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Workbook______________" defaultThemeVersion="124226"/>
  <bookViews>
    <workbookView xWindow="12" yWindow="636" windowWidth="12516" windowHeight="7152" tabRatio="828" firstSheet="1" activeTab="1"/>
  </bookViews>
  <sheets>
    <sheet name="Groups" sheetId="101" r:id="rId1"/>
    <sheet name="Total" sheetId="100" r:id="rId2"/>
    <sheet name="Project- Total grade" sheetId="86" r:id="rId3"/>
    <sheet name="Personal" sheetId="103" r:id="rId4"/>
    <sheet name="Proposal" sheetId="99" r:id="rId5"/>
    <sheet name="Inception" sheetId="92" r:id="rId6"/>
    <sheet name="SRS" sheetId="93" r:id="rId7"/>
    <sheet name="SDS" sheetId="94" r:id="rId8"/>
    <sheet name="Iter0 - ZFR" sheetId="95" r:id="rId9"/>
    <sheet name="Iter1 - MVP" sheetId="96" r:id="rId10"/>
    <sheet name="Iter2 - TDD" sheetId="97" r:id="rId11"/>
    <sheet name="Iter3-Refactoring" sheetId="98" r:id="rId12"/>
    <sheet name="Iter4-Final" sheetId="85" r:id="rId13"/>
    <sheet name="PR" sheetId="102" r:id="rId14"/>
    <sheet name="DV-IDENTITY-0" sheetId="87" state="veryHidden" r:id="rId15"/>
  </sheets>
  <definedNames>
    <definedName name="AHDA_IDs" localSheetId="14">#REF!</definedName>
    <definedName name="AHDA_IDs" localSheetId="5">#REF!</definedName>
    <definedName name="AHDA_IDs" localSheetId="8">#REF!</definedName>
    <definedName name="AHDA_IDs" localSheetId="9">#REF!</definedName>
    <definedName name="AHDA_IDs" localSheetId="10">#REF!</definedName>
    <definedName name="AHDA_IDs" localSheetId="11">#REF!</definedName>
    <definedName name="AHDA_IDs" localSheetId="12">#REF!</definedName>
    <definedName name="AHDA_IDs" localSheetId="2">#REF!</definedName>
    <definedName name="AHDA_IDs" localSheetId="4">#REF!</definedName>
    <definedName name="AHDA_IDs" localSheetId="7">#REF!</definedName>
    <definedName name="AHDA_IDs" localSheetId="6">#REF!</definedName>
    <definedName name="BestSeller_IDs" localSheetId="14">#REF!</definedName>
    <definedName name="BestSeller_IDs" localSheetId="5">#REF!</definedName>
    <definedName name="BestSeller_IDs" localSheetId="8">#REF!</definedName>
    <definedName name="BestSeller_IDs" localSheetId="9">#REF!</definedName>
    <definedName name="BestSeller_IDs" localSheetId="10">#REF!</definedName>
    <definedName name="BestSeller_IDs" localSheetId="11">#REF!</definedName>
    <definedName name="BestSeller_IDs" localSheetId="12">#REF!</definedName>
    <definedName name="BestSeller_IDs" localSheetId="2">#REF!</definedName>
    <definedName name="BestSeller_IDs" localSheetId="4">#REF!</definedName>
    <definedName name="BestSeller_IDs" localSheetId="7">#REF!</definedName>
    <definedName name="BestSeller_IDs" localSheetId="6">#REF!</definedName>
    <definedName name="CarPool_IDs" localSheetId="14">#REF!</definedName>
    <definedName name="CarPool_IDs" localSheetId="5">#REF!</definedName>
    <definedName name="CarPool_IDs" localSheetId="8">#REF!</definedName>
    <definedName name="CarPool_IDs" localSheetId="9">#REF!</definedName>
    <definedName name="CarPool_IDs" localSheetId="10">#REF!</definedName>
    <definedName name="CarPool_IDs" localSheetId="11">#REF!</definedName>
    <definedName name="CarPool_IDs" localSheetId="12">#REF!</definedName>
    <definedName name="CarPool_IDs" localSheetId="2">#REF!</definedName>
    <definedName name="CarPool_IDs" localSheetId="4">#REF!</definedName>
    <definedName name="CarPool_IDs" localSheetId="7">#REF!</definedName>
    <definedName name="CarPool_IDs" localSheetId="6">#REF!</definedName>
    <definedName name="ChatIt" localSheetId="14">#REF!</definedName>
    <definedName name="ChatIt" localSheetId="5">#REF!</definedName>
    <definedName name="ChatIt" localSheetId="8">#REF!</definedName>
    <definedName name="ChatIt" localSheetId="9">#REF!</definedName>
    <definedName name="ChatIt" localSheetId="10">#REF!</definedName>
    <definedName name="ChatIt" localSheetId="11">#REF!</definedName>
    <definedName name="ChatIt" localSheetId="12">#REF!</definedName>
    <definedName name="ChatIt" localSheetId="2">#REF!</definedName>
    <definedName name="ChatIt" localSheetId="4">#REF!</definedName>
    <definedName name="ChatIt" localSheetId="7">#REF!</definedName>
    <definedName name="ChatIt" localSheetId="6">#REF!</definedName>
    <definedName name="ChatIt_IDs" localSheetId="14">#REF!</definedName>
    <definedName name="ChatIt_IDs" localSheetId="5">#REF!</definedName>
    <definedName name="ChatIt_IDs" localSheetId="8">#REF!</definedName>
    <definedName name="ChatIt_IDs" localSheetId="9">#REF!</definedName>
    <definedName name="ChatIt_IDs" localSheetId="10">#REF!</definedName>
    <definedName name="ChatIt_IDs" localSheetId="11">#REF!</definedName>
    <definedName name="ChatIt_IDs" localSheetId="12">#REF!</definedName>
    <definedName name="ChatIt_IDs" localSheetId="2">#REF!</definedName>
    <definedName name="ChatIt_IDs" localSheetId="4">#REF!</definedName>
    <definedName name="ChatIt_IDs" localSheetId="7">#REF!</definedName>
    <definedName name="ChatIt_IDs" localSheetId="6">#REF!</definedName>
    <definedName name="ChatItIDs" localSheetId="14">#REF!</definedName>
    <definedName name="ChatItIDs" localSheetId="5">#REF!</definedName>
    <definedName name="ChatItIDs" localSheetId="8">#REF!</definedName>
    <definedName name="ChatItIDs" localSheetId="9">#REF!</definedName>
    <definedName name="ChatItIDs" localSheetId="10">#REF!</definedName>
    <definedName name="ChatItIDs" localSheetId="11">#REF!</definedName>
    <definedName name="ChatItIDs" localSheetId="12">#REF!</definedName>
    <definedName name="ChatItIDs" localSheetId="2">#REF!</definedName>
    <definedName name="ChatItIDs" localSheetId="4">#REF!</definedName>
    <definedName name="ChatItIDs" localSheetId="7">#REF!</definedName>
    <definedName name="ChatItIDs" localSheetId="6">#REF!</definedName>
    <definedName name="MyFirstMail_IDs" localSheetId="14">#REF!</definedName>
    <definedName name="MyFirstMail_IDs" localSheetId="5">#REF!</definedName>
    <definedName name="MyFirstMail_IDs" localSheetId="8">#REF!</definedName>
    <definedName name="MyFirstMail_IDs" localSheetId="9">#REF!</definedName>
    <definedName name="MyFirstMail_IDs" localSheetId="10">#REF!</definedName>
    <definedName name="MyFirstMail_IDs" localSheetId="11">#REF!</definedName>
    <definedName name="MyFirstMail_IDs" localSheetId="12">#REF!</definedName>
    <definedName name="MyFirstMail_IDs" localSheetId="2">#REF!</definedName>
    <definedName name="MyFirstMail_IDs" localSheetId="4">#REF!</definedName>
    <definedName name="MyFirstMail_IDs" localSheetId="7">#REF!</definedName>
    <definedName name="MyFirstMail_IDs" localSheetId="6">#REF!</definedName>
    <definedName name="OnlineExamsInterface_IDs" localSheetId="14">#REF!</definedName>
    <definedName name="OnlineExamsInterface_IDs" localSheetId="5">#REF!</definedName>
    <definedName name="OnlineExamsInterface_IDs" localSheetId="8">#REF!</definedName>
    <definedName name="OnlineExamsInterface_IDs" localSheetId="9">#REF!</definedName>
    <definedName name="OnlineExamsInterface_IDs" localSheetId="10">#REF!</definedName>
    <definedName name="OnlineExamsInterface_IDs" localSheetId="11">#REF!</definedName>
    <definedName name="OnlineExamsInterface_IDs" localSheetId="12">#REF!</definedName>
    <definedName name="OnlineExamsInterface_IDs" localSheetId="2">#REF!</definedName>
    <definedName name="OnlineExamsInterface_IDs" localSheetId="4">#REF!</definedName>
    <definedName name="OnlineExamsInterface_IDs" localSheetId="7">#REF!</definedName>
    <definedName name="OnlineExamsInterface_IDs" localSheetId="6">#REF!</definedName>
    <definedName name="SUDAM_IDs" localSheetId="14">#REF!</definedName>
    <definedName name="SUDAM_IDs" localSheetId="5">#REF!</definedName>
    <definedName name="SUDAM_IDs" localSheetId="8">#REF!</definedName>
    <definedName name="SUDAM_IDs" localSheetId="9">#REF!</definedName>
    <definedName name="SUDAM_IDs" localSheetId="10">#REF!</definedName>
    <definedName name="SUDAM_IDs" localSheetId="11">#REF!</definedName>
    <definedName name="SUDAM_IDs" localSheetId="12">#REF!</definedName>
    <definedName name="SUDAM_IDs" localSheetId="2">#REF!</definedName>
    <definedName name="SUDAM_IDs" localSheetId="4">#REF!</definedName>
    <definedName name="SUDAM_IDs" localSheetId="7">#REF!</definedName>
    <definedName name="SUDAM_IDs" localSheetId="6">#REF!</definedName>
  </definedNames>
  <calcPr calcId="145621"/>
</workbook>
</file>

<file path=xl/calcChain.xml><?xml version="1.0" encoding="utf-8"?>
<calcChain xmlns="http://schemas.openxmlformats.org/spreadsheetml/2006/main">
  <c r="H5" i="85" l="1"/>
  <c r="G3" i="96"/>
  <c r="G4" i="96"/>
  <c r="G5" i="96"/>
  <c r="G6" i="96"/>
  <c r="G2" i="96"/>
  <c r="I3" i="94"/>
  <c r="I4" i="94"/>
  <c r="I5" i="94"/>
  <c r="G7" i="99"/>
  <c r="G2" i="99"/>
  <c r="G3" i="99"/>
  <c r="G4" i="99"/>
  <c r="G5" i="99"/>
  <c r="G6" i="99"/>
  <c r="G8" i="99"/>
  <c r="G9" i="99"/>
  <c r="H6" i="85" l="1"/>
  <c r="H2" i="85"/>
  <c r="H4" i="98" l="1"/>
  <c r="H3" i="98"/>
  <c r="H4" i="97"/>
  <c r="H3" i="97" l="1"/>
  <c r="E20" i="103"/>
  <c r="E19" i="103"/>
  <c r="E18" i="103"/>
  <c r="E17" i="103"/>
  <c r="E16" i="103"/>
  <c r="E15" i="103"/>
  <c r="E14" i="103"/>
  <c r="E13" i="103"/>
  <c r="E12" i="103"/>
  <c r="E11" i="103"/>
  <c r="E10" i="103"/>
  <c r="E9" i="103"/>
  <c r="E8" i="103"/>
  <c r="E7" i="103"/>
  <c r="E6" i="103"/>
  <c r="E5" i="103"/>
  <c r="E4" i="103"/>
  <c r="E3" i="103"/>
  <c r="E2" i="103"/>
  <c r="H6" i="97" l="1"/>
  <c r="H5" i="97" l="1"/>
  <c r="H4" i="85" l="1"/>
  <c r="H3" i="85"/>
  <c r="H6" i="98"/>
  <c r="H5" i="98"/>
  <c r="H2" i="98"/>
  <c r="H2" i="97"/>
  <c r="I6" i="95" l="1"/>
  <c r="I5" i="95"/>
  <c r="I4" i="95"/>
  <c r="I3" i="95"/>
  <c r="I2" i="95"/>
  <c r="I6" i="94" l="1"/>
  <c r="I2" i="94" l="1"/>
  <c r="H3" i="93" l="1"/>
  <c r="H6" i="93"/>
  <c r="H5" i="93"/>
  <c r="H4" i="93"/>
  <c r="H2" i="93"/>
  <c r="I2" i="92"/>
  <c r="B3" i="86" s="1"/>
  <c r="I6" i="92"/>
  <c r="B2" i="86" s="1"/>
  <c r="I5" i="92"/>
  <c r="I4" i="92"/>
  <c r="I3" i="92"/>
  <c r="B4" i="86" l="1"/>
  <c r="B5" i="86"/>
  <c r="B6" i="86"/>
  <c r="C15" i="100" s="1"/>
  <c r="F15" i="100" s="1"/>
  <c r="C10" i="100" l="1"/>
  <c r="F10" i="100" s="1"/>
  <c r="C7" i="100"/>
  <c r="F7" i="100" s="1"/>
  <c r="C5" i="100"/>
  <c r="F5" i="100" s="1"/>
  <c r="C13" i="100"/>
  <c r="F13" i="100" s="1"/>
  <c r="C12" i="100"/>
  <c r="F12" i="100" s="1"/>
  <c r="C4" i="100"/>
  <c r="F4" i="100" s="1"/>
  <c r="D54" i="100"/>
  <c r="C17" i="100" l="1"/>
  <c r="F17" i="100" s="1"/>
  <c r="C2" i="100"/>
  <c r="F2" i="100" s="1"/>
  <c r="C11" i="100"/>
  <c r="F11" i="100" s="1"/>
  <c r="C6" i="100"/>
  <c r="F6" i="100" s="1"/>
  <c r="C8" i="100"/>
  <c r="F8" i="100" s="1"/>
  <c r="C3" i="100"/>
  <c r="F3" i="100" s="1"/>
  <c r="C20" i="100"/>
  <c r="F20" i="100" s="1"/>
  <c r="C18" i="100"/>
  <c r="F18" i="100" s="1"/>
  <c r="C16" i="100"/>
  <c r="F16" i="100" s="1"/>
  <c r="C19" i="100"/>
  <c r="F19" i="100" s="1"/>
  <c r="C14" i="100"/>
  <c r="F14" i="100" s="1"/>
  <c r="C9" i="100"/>
  <c r="F9" i="100" s="1"/>
  <c r="D53" i="100"/>
  <c r="A35" i="87" l="1"/>
  <c r="B35" i="87"/>
  <c r="C35" i="87"/>
  <c r="D35" i="87"/>
  <c r="E35" i="87"/>
  <c r="F35" i="87"/>
  <c r="G35" i="87"/>
  <c r="H35" i="87"/>
  <c r="I35" i="87"/>
  <c r="J35" i="87"/>
  <c r="K35" i="87"/>
  <c r="L35" i="87"/>
  <c r="M35" i="87"/>
  <c r="N35" i="87"/>
  <c r="O35" i="87"/>
  <c r="P35" i="87"/>
  <c r="Q35" i="87"/>
  <c r="R35" i="87"/>
  <c r="S35" i="87"/>
  <c r="T35" i="87"/>
  <c r="U35" i="87"/>
  <c r="V35" i="87"/>
  <c r="W35" i="87"/>
  <c r="X35" i="87"/>
  <c r="Y35" i="87"/>
  <c r="Z35" i="87"/>
  <c r="AA35" i="87"/>
  <c r="AB35" i="87"/>
  <c r="AC35" i="87"/>
  <c r="AD35" i="87"/>
  <c r="AE35" i="87"/>
  <c r="AF35" i="87"/>
  <c r="AG35" i="87"/>
  <c r="AH35" i="87"/>
  <c r="AI35" i="87"/>
  <c r="AJ35" i="87"/>
  <c r="AK35" i="87"/>
  <c r="AL35" i="87"/>
  <c r="AM35" i="87"/>
  <c r="AN35" i="87"/>
  <c r="AO35" i="87"/>
  <c r="AP35" i="87"/>
  <c r="AQ35" i="87"/>
  <c r="AR35" i="87"/>
  <c r="AS35" i="87"/>
  <c r="AT35" i="87"/>
  <c r="AU35" i="87"/>
  <c r="AV35" i="87"/>
  <c r="AW35" i="87"/>
  <c r="AX35" i="87"/>
  <c r="AY35" i="87"/>
  <c r="AZ35" i="87"/>
  <c r="BA35" i="87"/>
  <c r="BB35" i="87"/>
  <c r="BC35" i="87"/>
  <c r="BD35" i="87"/>
  <c r="BE35" i="87"/>
  <c r="BF35" i="87"/>
  <c r="BG35" i="87"/>
  <c r="BH35" i="87"/>
  <c r="BI35" i="87"/>
  <c r="BJ35" i="87"/>
  <c r="BK35" i="87"/>
  <c r="BL35" i="87"/>
  <c r="BM35" i="87"/>
  <c r="BN35" i="87"/>
  <c r="BO35" i="87"/>
  <c r="BP35" i="87"/>
  <c r="BQ35" i="87"/>
  <c r="BR35" i="87"/>
  <c r="BS35" i="87"/>
  <c r="BT35" i="87"/>
  <c r="BU35" i="87"/>
  <c r="BV35" i="87"/>
  <c r="BW35" i="87"/>
  <c r="BX35" i="87"/>
  <c r="BY35" i="87"/>
  <c r="BZ35" i="87"/>
  <c r="CA35" i="87"/>
  <c r="CB35" i="87"/>
  <c r="CC35" i="87"/>
  <c r="CD35" i="87"/>
  <c r="CE35" i="87"/>
  <c r="CF35" i="87"/>
  <c r="CG35" i="87"/>
  <c r="CH35" i="87"/>
  <c r="CI35" i="87"/>
  <c r="CJ35" i="87"/>
  <c r="CK35" i="87"/>
  <c r="CL35" i="87"/>
  <c r="CM35" i="87"/>
  <c r="CN35" i="87"/>
  <c r="CO35" i="87"/>
  <c r="CP35" i="87"/>
  <c r="CQ35" i="87"/>
  <c r="CR35" i="87"/>
  <c r="CS35" i="87"/>
  <c r="CT35" i="87"/>
  <c r="CU35" i="87"/>
  <c r="CV35" i="87"/>
  <c r="CW35" i="87"/>
  <c r="CX35" i="87"/>
  <c r="CY35" i="87"/>
  <c r="CZ35" i="87"/>
  <c r="DA35" i="87"/>
  <c r="DB35" i="87"/>
  <c r="DC35" i="87"/>
  <c r="DD35" i="87"/>
  <c r="DE35" i="87"/>
  <c r="DF35" i="87"/>
  <c r="DG35" i="87"/>
  <c r="DH35" i="87"/>
  <c r="DI35" i="87"/>
  <c r="DJ35" i="87"/>
  <c r="DK35" i="87"/>
  <c r="DL35" i="87"/>
  <c r="DM35" i="87"/>
  <c r="DN35" i="87"/>
  <c r="DO35" i="87"/>
  <c r="A34" i="87" l="1"/>
  <c r="B34" i="87"/>
  <c r="C34" i="87"/>
  <c r="D34" i="87"/>
  <c r="E34" i="87"/>
  <c r="F34" i="87"/>
  <c r="G34" i="87"/>
  <c r="H34" i="87"/>
  <c r="I34" i="87"/>
  <c r="J34" i="87"/>
  <c r="K34" i="87"/>
  <c r="L34" i="87"/>
  <c r="M34" i="87"/>
  <c r="N34" i="87"/>
  <c r="O34" i="87"/>
  <c r="P34" i="87"/>
  <c r="Q34" i="87"/>
  <c r="R34" i="87"/>
  <c r="S34" i="87"/>
  <c r="T34" i="87"/>
  <c r="U34" i="87"/>
  <c r="V34" i="87"/>
  <c r="W34" i="87"/>
  <c r="X34" i="87"/>
  <c r="Y34" i="87"/>
  <c r="Z34" i="87"/>
  <c r="AA34" i="87"/>
  <c r="AB34" i="87"/>
  <c r="AC34" i="87"/>
  <c r="AD34" i="87"/>
  <c r="AE34" i="87"/>
  <c r="AF34" i="87"/>
  <c r="AG34" i="87"/>
  <c r="AH34" i="87"/>
  <c r="AI34" i="87"/>
  <c r="AJ34" i="87"/>
  <c r="AK34" i="87"/>
  <c r="AL34" i="87"/>
  <c r="AM34" i="87"/>
  <c r="AN34" i="87"/>
  <c r="AO34" i="87"/>
  <c r="AP34" i="87"/>
  <c r="AQ34" i="87"/>
  <c r="AR34" i="87"/>
  <c r="AS34" i="87"/>
  <c r="AT34" i="87"/>
  <c r="AU34" i="87"/>
  <c r="AV34" i="87"/>
  <c r="AW34" i="87"/>
  <c r="AX34" i="87"/>
  <c r="AY34" i="87"/>
  <c r="AZ34" i="87"/>
  <c r="BA34" i="87"/>
  <c r="BB34" i="87"/>
  <c r="BC34" i="87"/>
  <c r="BD34" i="87"/>
  <c r="BE34" i="87"/>
  <c r="BF34" i="87"/>
  <c r="BG34" i="87"/>
  <c r="BH34" i="87"/>
  <c r="BI34" i="87"/>
  <c r="BJ34" i="87"/>
  <c r="BK34" i="87"/>
  <c r="BL34" i="87"/>
  <c r="BM34" i="87"/>
  <c r="BN34" i="87"/>
  <c r="BO34" i="87"/>
  <c r="BP34" i="87"/>
  <c r="BQ34" i="87"/>
  <c r="BR34" i="87"/>
  <c r="BS34" i="87"/>
  <c r="BT34" i="87"/>
  <c r="BU34" i="87"/>
  <c r="BV34" i="87"/>
  <c r="BW34" i="87"/>
  <c r="BX34" i="87"/>
  <c r="BY34" i="87"/>
  <c r="BZ34" i="87"/>
  <c r="CA34" i="87"/>
  <c r="CB34" i="87"/>
  <c r="CC34" i="87"/>
  <c r="CD34" i="87"/>
  <c r="CE34" i="87"/>
  <c r="CF34" i="87"/>
  <c r="CG34" i="87"/>
  <c r="CH34" i="87"/>
  <c r="CI34" i="87"/>
  <c r="CJ34" i="87"/>
  <c r="CK34" i="87"/>
  <c r="CL34" i="87"/>
  <c r="CM34" i="87"/>
  <c r="CN34" i="87"/>
  <c r="CO34" i="87"/>
  <c r="CP34" i="87"/>
  <c r="CQ34" i="87"/>
  <c r="CR34" i="87"/>
  <c r="CS34" i="87"/>
  <c r="CT34" i="87"/>
  <c r="CU34" i="87"/>
  <c r="CV34" i="87"/>
  <c r="CW34" i="87"/>
  <c r="CX34" i="87"/>
  <c r="CY34" i="87"/>
  <c r="CZ34" i="87"/>
  <c r="DA34" i="87"/>
  <c r="DB34" i="87"/>
  <c r="DC34" i="87"/>
  <c r="DD34" i="87"/>
  <c r="DE34" i="87"/>
  <c r="DF34" i="87"/>
  <c r="DG34" i="87"/>
  <c r="DH34" i="87"/>
  <c r="DI34" i="87"/>
  <c r="DJ34" i="87"/>
  <c r="DK34" i="87"/>
  <c r="DL34" i="87"/>
  <c r="DM34" i="87"/>
  <c r="A1" i="87" l="1"/>
  <c r="B1" i="87"/>
  <c r="C1" i="87"/>
  <c r="D1" i="87"/>
  <c r="E1" i="87"/>
  <c r="F1" i="87"/>
  <c r="G1" i="87"/>
  <c r="H1" i="87"/>
  <c r="I1" i="87"/>
  <c r="J1" i="87"/>
  <c r="K1" i="87"/>
  <c r="L1" i="87"/>
  <c r="M1" i="87"/>
  <c r="N1" i="87"/>
  <c r="O1" i="87"/>
  <c r="P1" i="87"/>
  <c r="Q1" i="87"/>
  <c r="R1" i="87"/>
  <c r="S1" i="87"/>
  <c r="T1" i="87"/>
  <c r="U1" i="87"/>
  <c r="V1" i="87"/>
  <c r="W1" i="87"/>
  <c r="X1" i="87"/>
  <c r="Y1" i="87"/>
  <c r="Z1" i="87"/>
  <c r="AA1" i="87"/>
  <c r="AB1" i="87"/>
  <c r="AC1" i="87"/>
  <c r="AD1" i="87"/>
  <c r="AE1" i="87"/>
  <c r="AF1" i="87"/>
  <c r="AG1" i="87"/>
  <c r="AH1" i="87"/>
  <c r="AI1" i="87"/>
  <c r="AJ1" i="87"/>
  <c r="AK1" i="87"/>
  <c r="AL1" i="87"/>
  <c r="AM1" i="87"/>
  <c r="AN1" i="87"/>
  <c r="AO1" i="87"/>
  <c r="AP1" i="87"/>
  <c r="AQ1" i="87"/>
  <c r="AR1" i="87"/>
  <c r="AS1" i="87"/>
  <c r="AT1" i="87"/>
  <c r="AU1" i="87"/>
  <c r="AV1" i="87"/>
  <c r="AW1" i="87"/>
  <c r="AX1" i="87"/>
  <c r="AY1" i="87"/>
  <c r="AZ1" i="87"/>
  <c r="BA1" i="87"/>
  <c r="BB1" i="87"/>
  <c r="BC1" i="87"/>
  <c r="BD1" i="87"/>
  <c r="BE1" i="87"/>
  <c r="BF1" i="87"/>
  <c r="BG1" i="87"/>
  <c r="BH1" i="87"/>
  <c r="BI1" i="87"/>
  <c r="BJ1" i="87"/>
  <c r="BK1" i="87"/>
  <c r="BL1" i="87"/>
  <c r="BM1" i="87"/>
  <c r="BN1" i="87"/>
  <c r="BO1" i="87"/>
  <c r="BP1" i="87"/>
  <c r="BQ1" i="87"/>
  <c r="BR1" i="87"/>
  <c r="BS1" i="87"/>
  <c r="BT1" i="87"/>
  <c r="BU1" i="87"/>
  <c r="BV1" i="87"/>
  <c r="BW1" i="87"/>
  <c r="BX1" i="87"/>
  <c r="BY1" i="87"/>
  <c r="BZ1" i="87"/>
  <c r="CA1" i="87"/>
  <c r="CB1" i="87"/>
  <c r="CC1" i="87"/>
  <c r="CD1" i="87"/>
  <c r="CE1" i="87"/>
  <c r="CF1" i="87"/>
  <c r="CG1" i="87"/>
  <c r="CH1" i="87"/>
  <c r="CI1" i="87"/>
  <c r="CJ1" i="87"/>
  <c r="CK1" i="87"/>
  <c r="CL1" i="87"/>
  <c r="CM1" i="87"/>
  <c r="CN1" i="87"/>
  <c r="CO1" i="87"/>
  <c r="CP1" i="87"/>
  <c r="CQ1" i="87"/>
  <c r="CR1" i="87"/>
  <c r="CS1" i="87"/>
  <c r="CT1" i="87"/>
  <c r="CU1" i="87"/>
  <c r="CV1" i="87"/>
  <c r="CW1" i="87"/>
  <c r="CX1" i="87"/>
  <c r="CY1" i="87"/>
  <c r="CZ1" i="87"/>
  <c r="DA1" i="87"/>
  <c r="DB1" i="87"/>
  <c r="DC1" i="87"/>
  <c r="DD1" i="87"/>
  <c r="DE1" i="87"/>
  <c r="DF1" i="87"/>
  <c r="DG1" i="87"/>
  <c r="DH1" i="87"/>
  <c r="DI1" i="87"/>
  <c r="DJ1" i="87"/>
  <c r="DK1" i="87"/>
  <c r="DL1" i="87"/>
  <c r="DM1" i="87"/>
  <c r="DN1" i="87"/>
  <c r="DO1" i="87"/>
  <c r="DP1" i="87"/>
  <c r="DQ1" i="87"/>
  <c r="DR1" i="87"/>
  <c r="DS1" i="87"/>
  <c r="DT1" i="87"/>
  <c r="DU1" i="87"/>
  <c r="DV1" i="87"/>
  <c r="DW1" i="87"/>
  <c r="DX1" i="87"/>
  <c r="DY1" i="87"/>
  <c r="DZ1" i="87"/>
  <c r="EA1" i="87"/>
  <c r="EB1" i="87"/>
  <c r="EC1" i="87"/>
  <c r="ED1" i="87"/>
  <c r="EE1" i="87"/>
  <c r="EF1" i="87"/>
  <c r="EG1" i="87"/>
  <c r="EH1" i="87"/>
  <c r="EI1" i="87"/>
  <c r="EJ1" i="87"/>
  <c r="EK1" i="87"/>
  <c r="EL1" i="87"/>
  <c r="EM1" i="87"/>
  <c r="EN1" i="87"/>
  <c r="EO1" i="87"/>
  <c r="EP1" i="87"/>
  <c r="EQ1" i="87"/>
  <c r="ER1" i="87"/>
  <c r="ES1" i="87"/>
  <c r="ET1" i="87"/>
  <c r="EU1" i="87"/>
  <c r="EV1" i="87"/>
  <c r="EW1" i="87"/>
  <c r="EX1" i="87"/>
  <c r="EY1" i="87"/>
  <c r="EZ1" i="87"/>
  <c r="FA1" i="87"/>
  <c r="FB1" i="87"/>
  <c r="FC1" i="87"/>
  <c r="FD1" i="87"/>
  <c r="FE1" i="87"/>
  <c r="FF1" i="87"/>
  <c r="FG1" i="87"/>
  <c r="FH1" i="87"/>
  <c r="FI1" i="87"/>
  <c r="FJ1" i="87"/>
  <c r="FK1" i="87"/>
  <c r="FL1" i="87"/>
  <c r="FM1" i="87"/>
  <c r="FN1" i="87"/>
  <c r="FO1" i="87"/>
  <c r="FP1" i="87"/>
  <c r="FQ1" i="87"/>
  <c r="FR1" i="87"/>
  <c r="FS1" i="87"/>
  <c r="FT1" i="87"/>
  <c r="FU1" i="87"/>
  <c r="FV1" i="87"/>
  <c r="FW1" i="87"/>
  <c r="FX1" i="87"/>
  <c r="FY1" i="87"/>
  <c r="FZ1" i="87"/>
  <c r="GA1" i="87"/>
  <c r="GB1" i="87"/>
  <c r="GC1" i="87"/>
  <c r="GD1" i="87"/>
  <c r="GE1" i="87"/>
  <c r="GF1" i="87"/>
  <c r="GG1" i="87"/>
  <c r="GH1" i="87"/>
  <c r="GI1" i="87"/>
  <c r="GJ1" i="87"/>
  <c r="GK1" i="87"/>
  <c r="GL1" i="87"/>
  <c r="GM1" i="87"/>
  <c r="GN1" i="87"/>
  <c r="GO1" i="87"/>
  <c r="GP1" i="87"/>
  <c r="GQ1" i="87"/>
  <c r="GR1" i="87"/>
  <c r="GS1" i="87"/>
  <c r="GT1" i="87"/>
  <c r="GU1" i="87"/>
  <c r="GV1" i="87"/>
  <c r="GW1" i="87"/>
  <c r="GX1" i="87"/>
  <c r="GY1" i="87"/>
  <c r="GZ1" i="87"/>
  <c r="HA1" i="87"/>
  <c r="HB1" i="87"/>
  <c r="HC1" i="87"/>
  <c r="HD1" i="87"/>
  <c r="HE1" i="87"/>
  <c r="HF1" i="87"/>
  <c r="HG1" i="87"/>
  <c r="HH1" i="87"/>
  <c r="HI1" i="87"/>
  <c r="HJ1" i="87"/>
  <c r="HK1" i="87"/>
  <c r="HL1" i="87"/>
  <c r="HM1" i="87"/>
  <c r="HN1" i="87"/>
  <c r="HO1" i="87"/>
  <c r="HP1" i="87"/>
  <c r="HQ1" i="87"/>
  <c r="HR1" i="87"/>
  <c r="HS1" i="87"/>
  <c r="HT1" i="87"/>
  <c r="HU1" i="87"/>
  <c r="HV1" i="87"/>
  <c r="HW1" i="87"/>
  <c r="HX1" i="87"/>
  <c r="HY1" i="87"/>
  <c r="HZ1" i="87"/>
  <c r="IA1" i="87"/>
  <c r="IB1" i="87"/>
  <c r="IC1" i="87"/>
  <c r="ID1" i="87"/>
  <c r="IE1" i="87"/>
  <c r="IF1" i="87"/>
  <c r="IG1" i="87"/>
  <c r="IH1" i="87"/>
  <c r="II1" i="87"/>
  <c r="IJ1" i="87"/>
  <c r="IK1" i="87"/>
  <c r="IL1" i="87"/>
  <c r="IM1" i="87"/>
  <c r="IN1" i="87"/>
  <c r="IO1" i="87"/>
  <c r="IP1" i="87"/>
  <c r="IQ1" i="87"/>
  <c r="IR1" i="87"/>
  <c r="IS1" i="87"/>
  <c r="IT1" i="87"/>
  <c r="IU1" i="87"/>
  <c r="IV1" i="87"/>
  <c r="A2" i="87"/>
  <c r="B2" i="87"/>
  <c r="C2" i="87"/>
  <c r="D2" i="87"/>
  <c r="E2" i="87"/>
  <c r="F2" i="87"/>
  <c r="G2" i="87"/>
  <c r="H2" i="87"/>
  <c r="I2" i="87"/>
  <c r="J2" i="87"/>
  <c r="K2" i="87"/>
  <c r="L2" i="87"/>
  <c r="M2" i="87"/>
  <c r="N2" i="87"/>
  <c r="O2" i="87"/>
  <c r="P2" i="87"/>
  <c r="Q2" i="87"/>
  <c r="R2" i="87"/>
  <c r="S2" i="87"/>
  <c r="T2" i="87"/>
  <c r="U2" i="87"/>
  <c r="V2" i="87"/>
  <c r="W2" i="87"/>
  <c r="X2" i="87"/>
  <c r="Y2" i="87"/>
  <c r="Z2" i="87"/>
  <c r="AA2" i="87"/>
  <c r="AB2" i="87"/>
  <c r="AC2" i="87"/>
  <c r="AD2" i="87"/>
  <c r="AE2" i="87"/>
  <c r="AF2" i="87"/>
  <c r="AG2" i="87"/>
  <c r="AH2" i="87"/>
  <c r="AI2" i="87"/>
  <c r="AJ2" i="87"/>
  <c r="AK2" i="87"/>
  <c r="AL2" i="87"/>
  <c r="AM2" i="87"/>
  <c r="AN2" i="87"/>
  <c r="AO2" i="87"/>
  <c r="AP2" i="87"/>
  <c r="AQ2" i="87"/>
  <c r="AR2" i="87"/>
  <c r="AS2" i="87"/>
  <c r="AT2" i="87"/>
  <c r="AU2" i="87"/>
  <c r="AV2" i="87"/>
  <c r="AW2" i="87"/>
  <c r="AX2" i="87"/>
  <c r="AY2" i="87"/>
  <c r="AZ2" i="87"/>
  <c r="BA2" i="87"/>
  <c r="BB2" i="87"/>
  <c r="BC2" i="87"/>
  <c r="BD2" i="87"/>
  <c r="BE2" i="87"/>
  <c r="BF2" i="87"/>
  <c r="BG2" i="87"/>
  <c r="BH2" i="87"/>
  <c r="BI2" i="87"/>
  <c r="BJ2" i="87"/>
  <c r="BK2" i="87"/>
  <c r="BL2" i="87"/>
  <c r="BM2" i="87"/>
  <c r="BN2" i="87"/>
  <c r="BO2" i="87"/>
  <c r="BP2" i="87"/>
  <c r="BQ2" i="87"/>
  <c r="BR2" i="87"/>
  <c r="BS2" i="87"/>
  <c r="BT2" i="87"/>
  <c r="BU2" i="87"/>
  <c r="BV2" i="87"/>
  <c r="BW2" i="87"/>
  <c r="BX2" i="87"/>
  <c r="BY2" i="87"/>
  <c r="BZ2" i="87"/>
  <c r="CA2" i="87"/>
  <c r="CB2" i="87"/>
  <c r="CC2" i="87"/>
  <c r="CD2" i="87"/>
  <c r="CE2" i="87"/>
  <c r="CF2" i="87"/>
  <c r="CG2" i="87"/>
  <c r="CH2" i="87"/>
  <c r="CI2" i="87"/>
  <c r="CJ2" i="87"/>
  <c r="CK2" i="87"/>
  <c r="CL2" i="87"/>
  <c r="CM2" i="87"/>
  <c r="CN2" i="87"/>
  <c r="CO2" i="87"/>
  <c r="CP2" i="87"/>
  <c r="CQ2" i="87"/>
  <c r="CR2" i="87"/>
  <c r="CS2" i="87"/>
  <c r="CT2" i="87"/>
  <c r="CU2" i="87"/>
  <c r="CV2" i="87"/>
  <c r="CW2" i="87"/>
  <c r="CX2" i="87"/>
  <c r="CY2" i="87"/>
  <c r="CZ2" i="87"/>
  <c r="DA2" i="87"/>
  <c r="DB2" i="87"/>
  <c r="DC2" i="87"/>
  <c r="DD2" i="87"/>
  <c r="DE2" i="87"/>
  <c r="DF2" i="87"/>
  <c r="DG2" i="87"/>
  <c r="DH2" i="87"/>
  <c r="DI2" i="87"/>
  <c r="DJ2" i="87"/>
  <c r="DK2" i="87"/>
  <c r="DL2" i="87"/>
  <c r="DM2" i="87"/>
  <c r="DN2" i="87"/>
  <c r="DO2" i="87"/>
  <c r="DP2" i="87"/>
  <c r="DQ2" i="87"/>
  <c r="DR2" i="87"/>
  <c r="DS2" i="87"/>
  <c r="DT2" i="87"/>
  <c r="DU2" i="87"/>
  <c r="DV2" i="87"/>
  <c r="DW2" i="87"/>
  <c r="DX2" i="87"/>
  <c r="DY2" i="87"/>
  <c r="DZ2" i="87"/>
  <c r="EA2" i="87"/>
  <c r="EB2" i="87"/>
  <c r="EC2" i="87"/>
  <c r="ED2" i="87"/>
  <c r="EE2" i="87"/>
  <c r="EF2" i="87"/>
  <c r="EG2" i="87"/>
  <c r="EH2" i="87"/>
  <c r="EI2" i="87"/>
  <c r="EJ2" i="87"/>
  <c r="EK2" i="87"/>
  <c r="EL2" i="87"/>
  <c r="EM2" i="87"/>
  <c r="EN2" i="87"/>
  <c r="EO2" i="87"/>
  <c r="EP2" i="87"/>
  <c r="EQ2" i="87"/>
  <c r="ER2" i="87"/>
  <c r="ES2" i="87"/>
  <c r="ET2" i="87"/>
  <c r="EU2" i="87"/>
  <c r="EV2" i="87"/>
  <c r="EW2" i="87"/>
  <c r="EX2" i="87"/>
  <c r="EY2" i="87"/>
  <c r="EZ2" i="87"/>
  <c r="FA2" i="87"/>
  <c r="FB2" i="87"/>
  <c r="FC2" i="87"/>
  <c r="FD2" i="87"/>
  <c r="FE2" i="87"/>
  <c r="FF2" i="87"/>
  <c r="FG2" i="87"/>
  <c r="FH2" i="87"/>
  <c r="FI2" i="87"/>
  <c r="FJ2" i="87"/>
  <c r="FK2" i="87"/>
  <c r="FL2" i="87"/>
  <c r="FM2" i="87"/>
  <c r="FN2" i="87"/>
  <c r="FO2" i="87"/>
  <c r="FP2" i="87"/>
  <c r="FQ2" i="87"/>
  <c r="FR2" i="87"/>
  <c r="FS2" i="87"/>
  <c r="FT2" i="87"/>
  <c r="FU2" i="87"/>
  <c r="FV2" i="87"/>
  <c r="FW2" i="87"/>
  <c r="FX2" i="87"/>
  <c r="FY2" i="87"/>
  <c r="FZ2" i="87"/>
  <c r="GA2" i="87"/>
  <c r="GB2" i="87"/>
  <c r="GC2" i="87"/>
  <c r="GD2" i="87"/>
  <c r="GE2" i="87"/>
  <c r="GF2" i="87"/>
  <c r="GG2" i="87"/>
  <c r="GH2" i="87"/>
  <c r="GI2" i="87"/>
  <c r="GJ2" i="87"/>
  <c r="GK2" i="87"/>
  <c r="GL2" i="87"/>
  <c r="GM2" i="87"/>
  <c r="GN2" i="87"/>
  <c r="GO2" i="87"/>
  <c r="GP2" i="87"/>
  <c r="GQ2" i="87"/>
  <c r="GR2" i="87"/>
  <c r="GS2" i="87"/>
  <c r="GT2" i="87"/>
  <c r="GU2" i="87"/>
  <c r="GV2" i="87"/>
  <c r="GW2" i="87"/>
  <c r="GX2" i="87"/>
  <c r="GY2" i="87"/>
  <c r="GZ2" i="87"/>
  <c r="HA2" i="87"/>
  <c r="HB2" i="87"/>
  <c r="HC2" i="87"/>
  <c r="HD2" i="87"/>
  <c r="HE2" i="87"/>
  <c r="HF2" i="87"/>
  <c r="HG2" i="87"/>
  <c r="HH2" i="87"/>
  <c r="HI2" i="87"/>
  <c r="HJ2" i="87"/>
  <c r="HK2" i="87"/>
  <c r="HL2" i="87"/>
  <c r="HM2" i="87"/>
  <c r="HN2" i="87"/>
  <c r="HO2" i="87"/>
  <c r="HP2" i="87"/>
  <c r="HQ2" i="87"/>
  <c r="HR2" i="87"/>
  <c r="HS2" i="87"/>
  <c r="HT2" i="87"/>
  <c r="HU2" i="87"/>
  <c r="HV2" i="87"/>
  <c r="HW2" i="87"/>
  <c r="HX2" i="87"/>
  <c r="HY2" i="87"/>
  <c r="HZ2" i="87"/>
  <c r="IA2" i="87"/>
  <c r="IB2" i="87"/>
  <c r="IC2" i="87"/>
  <c r="ID2" i="87"/>
  <c r="IE2" i="87"/>
  <c r="IF2" i="87"/>
  <c r="IG2" i="87"/>
  <c r="IH2" i="87"/>
  <c r="II2" i="87"/>
  <c r="IJ2" i="87"/>
  <c r="IK2" i="87"/>
  <c r="IL2" i="87"/>
  <c r="IM2" i="87"/>
  <c r="IN2" i="87"/>
  <c r="IO2" i="87"/>
  <c r="IP2" i="87"/>
  <c r="IQ2" i="87"/>
  <c r="IR2" i="87"/>
  <c r="IS2" i="87"/>
  <c r="IT2" i="87"/>
  <c r="IU2" i="87"/>
  <c r="IV2" i="87"/>
  <c r="A3" i="87"/>
  <c r="B3" i="87"/>
  <c r="C3" i="87"/>
  <c r="D3" i="87"/>
  <c r="E3" i="87"/>
  <c r="F3" i="87"/>
  <c r="G3" i="87"/>
  <c r="H3" i="87"/>
  <c r="I3" i="87"/>
  <c r="J3" i="87"/>
  <c r="K3" i="87"/>
  <c r="L3" i="87"/>
  <c r="M3" i="87"/>
  <c r="N3" i="87"/>
  <c r="O3" i="87"/>
  <c r="P3" i="87"/>
  <c r="Q3" i="87"/>
  <c r="R3" i="87"/>
  <c r="S3" i="87"/>
  <c r="T3" i="87"/>
  <c r="U3" i="87"/>
  <c r="V3" i="87"/>
  <c r="W3" i="87"/>
  <c r="X3" i="87"/>
  <c r="Y3" i="87"/>
  <c r="Z3" i="87"/>
  <c r="AA3" i="87"/>
  <c r="AB3" i="87"/>
  <c r="AC3" i="87"/>
  <c r="AD3" i="87"/>
  <c r="AE3" i="87"/>
  <c r="AF3" i="87"/>
  <c r="AG3" i="87"/>
  <c r="AH3" i="87"/>
  <c r="AI3" i="87"/>
  <c r="AJ3" i="87"/>
  <c r="AK3" i="87"/>
  <c r="AL3" i="87"/>
  <c r="AM3" i="87"/>
  <c r="AN3" i="87"/>
  <c r="AO3" i="87"/>
  <c r="AP3" i="87"/>
  <c r="AQ3" i="87"/>
  <c r="AR3" i="87"/>
  <c r="AS3" i="87"/>
  <c r="AT3" i="87"/>
  <c r="AU3" i="87"/>
  <c r="AV3" i="87"/>
  <c r="AW3" i="87"/>
  <c r="AX3" i="87"/>
  <c r="AY3" i="87"/>
  <c r="AZ3" i="87"/>
  <c r="BA3" i="87"/>
  <c r="BB3" i="87"/>
  <c r="BC3" i="87"/>
  <c r="BD3" i="87"/>
  <c r="BE3" i="87"/>
  <c r="BF3" i="87"/>
  <c r="BG3" i="87"/>
  <c r="BH3" i="87"/>
  <c r="BI3" i="87"/>
  <c r="BJ3" i="87"/>
  <c r="BK3" i="87"/>
  <c r="BL3" i="87"/>
  <c r="BM3" i="87"/>
  <c r="BN3" i="87"/>
  <c r="BO3" i="87"/>
  <c r="BP3" i="87"/>
  <c r="BQ3" i="87"/>
  <c r="BR3" i="87"/>
  <c r="BS3" i="87"/>
  <c r="BT3" i="87"/>
  <c r="BU3" i="87"/>
  <c r="BV3" i="87"/>
  <c r="BW3" i="87"/>
  <c r="BX3" i="87"/>
  <c r="BY3" i="87"/>
  <c r="BZ3" i="87"/>
  <c r="CA3" i="87"/>
  <c r="CB3" i="87"/>
  <c r="CC3" i="87"/>
  <c r="CD3" i="87"/>
  <c r="CE3" i="87"/>
  <c r="CF3" i="87"/>
  <c r="CG3" i="87"/>
  <c r="CH3" i="87"/>
  <c r="CI3" i="87"/>
  <c r="CJ3" i="87"/>
  <c r="CK3" i="87"/>
  <c r="CL3" i="87"/>
  <c r="CM3" i="87"/>
  <c r="CN3" i="87"/>
  <c r="CO3" i="87"/>
  <c r="CP3" i="87"/>
  <c r="CQ3" i="87"/>
  <c r="CR3" i="87"/>
  <c r="CS3" i="87"/>
  <c r="CT3" i="87"/>
  <c r="CU3" i="87"/>
  <c r="CV3" i="87"/>
  <c r="CW3" i="87"/>
  <c r="CX3" i="87"/>
  <c r="CY3" i="87"/>
  <c r="CZ3" i="87"/>
  <c r="DA3" i="87"/>
  <c r="DB3" i="87"/>
  <c r="DC3" i="87"/>
  <c r="DD3" i="87"/>
  <c r="DE3" i="87"/>
  <c r="DF3" i="87"/>
  <c r="DG3" i="87"/>
  <c r="DH3" i="87"/>
  <c r="DI3" i="87"/>
  <c r="DJ3" i="87"/>
  <c r="DK3" i="87"/>
  <c r="DL3" i="87"/>
  <c r="DM3" i="87"/>
  <c r="DN3" i="87"/>
  <c r="DO3" i="87"/>
  <c r="DP3" i="87"/>
  <c r="DQ3" i="87"/>
  <c r="DR3" i="87"/>
  <c r="DS3" i="87"/>
  <c r="DT3" i="87"/>
  <c r="DU3" i="87"/>
  <c r="DV3" i="87"/>
  <c r="DW3" i="87"/>
  <c r="DX3" i="87"/>
  <c r="DY3" i="87"/>
  <c r="DZ3" i="87"/>
  <c r="EA3" i="87"/>
  <c r="EB3" i="87"/>
  <c r="EC3" i="87"/>
  <c r="ED3" i="87"/>
  <c r="EE3" i="87"/>
  <c r="EF3" i="87"/>
  <c r="EG3" i="87"/>
  <c r="EH3" i="87"/>
  <c r="EI3" i="87"/>
  <c r="EJ3" i="87"/>
  <c r="EK3" i="87"/>
  <c r="EL3" i="87"/>
  <c r="EM3" i="87"/>
  <c r="EN3" i="87"/>
  <c r="EO3" i="87"/>
  <c r="EP3" i="87"/>
  <c r="EQ3" i="87"/>
  <c r="ER3" i="87"/>
  <c r="ES3" i="87"/>
  <c r="ET3" i="87"/>
  <c r="EU3" i="87"/>
  <c r="EV3" i="87"/>
  <c r="EW3" i="87"/>
  <c r="EX3" i="87"/>
  <c r="EY3" i="87"/>
  <c r="EZ3" i="87"/>
  <c r="FA3" i="87"/>
  <c r="FB3" i="87"/>
  <c r="FC3" i="87"/>
  <c r="FD3" i="87"/>
  <c r="FE3" i="87"/>
  <c r="FF3" i="87"/>
  <c r="FG3" i="87"/>
  <c r="FH3" i="87"/>
  <c r="FI3" i="87"/>
  <c r="FJ3" i="87"/>
  <c r="FK3" i="87"/>
  <c r="FL3" i="87"/>
  <c r="FM3" i="87"/>
  <c r="FN3" i="87"/>
  <c r="FO3" i="87"/>
  <c r="FP3" i="87"/>
  <c r="FQ3" i="87"/>
  <c r="FR3" i="87"/>
  <c r="FS3" i="87"/>
  <c r="FT3" i="87"/>
  <c r="FU3" i="87"/>
  <c r="FV3" i="87"/>
  <c r="FW3" i="87"/>
  <c r="FX3" i="87"/>
  <c r="FY3" i="87"/>
  <c r="FZ3" i="87"/>
  <c r="GA3" i="87"/>
  <c r="GB3" i="87"/>
  <c r="GC3" i="87"/>
  <c r="GD3" i="87"/>
  <c r="GE3" i="87"/>
  <c r="GF3" i="87"/>
  <c r="GG3" i="87"/>
  <c r="GH3" i="87"/>
  <c r="GI3" i="87"/>
  <c r="GJ3" i="87"/>
  <c r="GK3" i="87"/>
  <c r="GL3" i="87"/>
  <c r="GM3" i="87"/>
  <c r="GN3" i="87"/>
  <c r="GO3" i="87"/>
  <c r="GP3" i="87"/>
  <c r="GQ3" i="87"/>
  <c r="GR3" i="87"/>
  <c r="GS3" i="87"/>
  <c r="GT3" i="87"/>
  <c r="GU3" i="87"/>
  <c r="GV3" i="87"/>
  <c r="GW3" i="87"/>
  <c r="GX3" i="87"/>
  <c r="GY3" i="87"/>
  <c r="GZ3" i="87"/>
  <c r="HA3" i="87"/>
  <c r="HB3" i="87"/>
  <c r="HC3" i="87"/>
  <c r="HD3" i="87"/>
  <c r="HE3" i="87"/>
  <c r="HF3" i="87"/>
  <c r="HG3" i="87"/>
  <c r="HH3" i="87"/>
  <c r="HI3" i="87"/>
  <c r="HJ3" i="87"/>
  <c r="HK3" i="87"/>
  <c r="HL3" i="87"/>
  <c r="HM3" i="87"/>
  <c r="HN3" i="87"/>
  <c r="HO3" i="87"/>
  <c r="HP3" i="87"/>
  <c r="HQ3" i="87"/>
  <c r="HR3" i="87"/>
  <c r="HS3" i="87"/>
  <c r="HT3" i="87"/>
  <c r="HU3" i="87"/>
  <c r="HV3" i="87"/>
  <c r="HW3" i="87"/>
  <c r="HX3" i="87"/>
  <c r="HY3" i="87"/>
  <c r="HZ3" i="87"/>
  <c r="IA3" i="87"/>
  <c r="IB3" i="87"/>
  <c r="IC3" i="87"/>
  <c r="ID3" i="87"/>
  <c r="IE3" i="87"/>
  <c r="IF3" i="87"/>
  <c r="IG3" i="87"/>
  <c r="IH3" i="87"/>
  <c r="II3" i="87"/>
  <c r="IJ3" i="87"/>
  <c r="IL3" i="87"/>
  <c r="IM3" i="87"/>
  <c r="IN3" i="87"/>
  <c r="IO3" i="87"/>
  <c r="IP3" i="87"/>
  <c r="IQ3" i="87"/>
  <c r="IR3" i="87"/>
  <c r="IS3" i="87"/>
  <c r="IT3" i="87"/>
  <c r="IU3" i="87"/>
  <c r="IV3" i="87"/>
  <c r="A4" i="87"/>
  <c r="B4" i="87"/>
  <c r="C4" i="87"/>
  <c r="D4" i="87"/>
  <c r="E4" i="87"/>
  <c r="F4" i="87"/>
  <c r="H4" i="87"/>
  <c r="I4" i="87"/>
  <c r="J4" i="87"/>
  <c r="K4" i="87"/>
  <c r="L4" i="87"/>
  <c r="M4" i="87"/>
  <c r="N4" i="87"/>
  <c r="O4" i="87"/>
  <c r="P4" i="87"/>
  <c r="Q4" i="87"/>
  <c r="R4" i="87"/>
  <c r="S4" i="87"/>
  <c r="T4" i="87"/>
  <c r="U4" i="87"/>
  <c r="V4" i="87"/>
  <c r="W4" i="87"/>
  <c r="X4" i="87"/>
  <c r="Y4" i="87"/>
  <c r="Z4" i="87"/>
  <c r="AA4" i="87"/>
  <c r="AB4" i="87"/>
  <c r="AC4" i="87"/>
  <c r="AD4" i="87"/>
  <c r="AE4" i="87"/>
  <c r="AF4" i="87"/>
  <c r="AG4" i="87"/>
  <c r="AH4" i="87"/>
  <c r="AI4" i="87"/>
  <c r="AJ4" i="87"/>
  <c r="AK4" i="87"/>
  <c r="AL4" i="87"/>
  <c r="AM4" i="87"/>
  <c r="AN4" i="87"/>
  <c r="AO4" i="87"/>
  <c r="AP4" i="87"/>
  <c r="AQ4" i="87"/>
  <c r="AR4" i="87"/>
  <c r="AS4" i="87"/>
  <c r="AT4" i="87"/>
  <c r="AU4" i="87"/>
  <c r="AV4" i="87"/>
  <c r="AW4" i="87"/>
  <c r="AX4" i="87"/>
  <c r="AY4" i="87"/>
  <c r="AZ4" i="87"/>
  <c r="BA4" i="87"/>
  <c r="BB4" i="87"/>
  <c r="BC4" i="87"/>
  <c r="BD4" i="87"/>
  <c r="BE4" i="87"/>
  <c r="BF4" i="87"/>
  <c r="BG4" i="87"/>
  <c r="BH4" i="87"/>
  <c r="BI4" i="87"/>
  <c r="BJ4" i="87"/>
  <c r="BK4" i="87"/>
  <c r="BL4" i="87"/>
  <c r="BM4" i="87"/>
  <c r="BN4" i="87"/>
  <c r="BO4" i="87"/>
  <c r="BP4" i="87"/>
  <c r="BQ4" i="87"/>
  <c r="BR4" i="87"/>
  <c r="BS4" i="87"/>
  <c r="BT4" i="87"/>
  <c r="BU4" i="87"/>
  <c r="BV4" i="87"/>
  <c r="BW4" i="87"/>
  <c r="BX4" i="87"/>
  <c r="BY4" i="87"/>
  <c r="BZ4" i="87"/>
  <c r="CA4" i="87"/>
  <c r="CB4" i="87"/>
  <c r="CC4" i="87"/>
  <c r="CD4" i="87"/>
  <c r="CE4" i="87"/>
  <c r="CF4" i="87"/>
  <c r="CG4" i="87"/>
  <c r="CH4" i="87"/>
  <c r="CI4" i="87"/>
  <c r="CJ4" i="87"/>
  <c r="CK4" i="87"/>
  <c r="CL4" i="87"/>
  <c r="CM4" i="87"/>
  <c r="CN4" i="87"/>
  <c r="CO4" i="87"/>
  <c r="CP4" i="87"/>
  <c r="CQ4" i="87"/>
  <c r="CR4" i="87"/>
  <c r="CS4" i="87"/>
  <c r="CT4" i="87"/>
  <c r="CU4" i="87"/>
  <c r="CV4" i="87"/>
  <c r="CW4" i="87"/>
  <c r="CX4" i="87"/>
  <c r="CY4" i="87"/>
  <c r="CZ4" i="87"/>
  <c r="DA4" i="87"/>
  <c r="DB4" i="87"/>
  <c r="DC4" i="87"/>
  <c r="DD4" i="87"/>
  <c r="DE4" i="87"/>
  <c r="DF4" i="87"/>
  <c r="DG4" i="87"/>
  <c r="DH4" i="87"/>
  <c r="DI4" i="87"/>
  <c r="DJ4" i="87"/>
  <c r="DL4" i="87"/>
  <c r="DM4" i="87"/>
  <c r="DN4" i="87"/>
  <c r="DO4" i="87"/>
  <c r="DP4" i="87"/>
  <c r="DQ4" i="87"/>
  <c r="DR4" i="87"/>
  <c r="DS4" i="87"/>
  <c r="DT4" i="87"/>
  <c r="DU4" i="87"/>
  <c r="DV4" i="87"/>
  <c r="DW4" i="87"/>
  <c r="DX4" i="87"/>
  <c r="DY4" i="87"/>
  <c r="DZ4" i="87"/>
  <c r="EA4" i="87"/>
  <c r="EB4" i="87"/>
  <c r="EC4" i="87"/>
  <c r="EE4" i="87"/>
  <c r="EF4" i="87"/>
  <c r="EG4" i="87"/>
  <c r="EH4" i="87"/>
  <c r="EI4" i="87"/>
  <c r="EJ4" i="87"/>
  <c r="EK4" i="87"/>
  <c r="EL4" i="87"/>
  <c r="EM4" i="87"/>
  <c r="EN4" i="87"/>
  <c r="EO4" i="87"/>
  <c r="EP4" i="87"/>
  <c r="EQ4" i="87"/>
  <c r="ER4" i="87"/>
  <c r="ES4" i="87"/>
  <c r="ET4" i="87"/>
  <c r="EU4" i="87"/>
  <c r="EV4" i="87"/>
  <c r="EW4" i="87"/>
  <c r="EX4" i="87"/>
  <c r="EY4" i="87"/>
  <c r="EZ4" i="87"/>
  <c r="FA4" i="87"/>
  <c r="FB4" i="87"/>
  <c r="FC4" i="87"/>
  <c r="FD4" i="87"/>
  <c r="FE4" i="87"/>
  <c r="FF4" i="87"/>
  <c r="FG4" i="87"/>
  <c r="FH4" i="87"/>
  <c r="FI4" i="87"/>
  <c r="FJ4" i="87"/>
  <c r="FK4" i="87"/>
  <c r="FL4" i="87"/>
  <c r="FM4" i="87"/>
  <c r="FN4" i="87"/>
  <c r="FO4" i="87"/>
  <c r="FP4" i="87"/>
  <c r="FQ4" i="87"/>
  <c r="FR4" i="87"/>
  <c r="FS4" i="87"/>
  <c r="FT4" i="87"/>
  <c r="FU4" i="87"/>
  <c r="FV4" i="87"/>
  <c r="FW4" i="87"/>
  <c r="FX4" i="87"/>
  <c r="FY4" i="87"/>
  <c r="FZ4" i="87"/>
  <c r="GA4" i="87"/>
  <c r="GB4" i="87"/>
  <c r="GC4" i="87"/>
  <c r="GD4" i="87"/>
  <c r="GE4" i="87"/>
  <c r="GF4" i="87"/>
  <c r="GG4" i="87"/>
  <c r="GH4" i="87"/>
  <c r="GI4" i="87"/>
  <c r="GJ4" i="87"/>
  <c r="GK4" i="87"/>
  <c r="GL4" i="87"/>
  <c r="GM4" i="87"/>
  <c r="GN4" i="87"/>
  <c r="GO4" i="87"/>
  <c r="GP4" i="87"/>
  <c r="GQ4" i="87"/>
  <c r="GR4" i="87"/>
  <c r="GS4" i="87"/>
  <c r="GT4" i="87"/>
  <c r="GU4" i="87"/>
  <c r="GV4" i="87"/>
  <c r="GW4" i="87"/>
  <c r="GX4" i="87"/>
  <c r="GY4" i="87"/>
  <c r="GZ4" i="87"/>
  <c r="HA4" i="87"/>
  <c r="HB4" i="87"/>
  <c r="HC4" i="87"/>
  <c r="HD4" i="87"/>
  <c r="HE4" i="87"/>
  <c r="HF4" i="87"/>
  <c r="HG4" i="87"/>
  <c r="HH4" i="87"/>
  <c r="HI4" i="87"/>
  <c r="HJ4" i="87"/>
  <c r="HK4" i="87"/>
  <c r="HL4" i="87"/>
  <c r="HM4" i="87"/>
  <c r="HN4" i="87"/>
  <c r="HO4" i="87"/>
  <c r="HP4" i="87"/>
  <c r="HQ4" i="87"/>
  <c r="HR4" i="87"/>
  <c r="HS4" i="87"/>
  <c r="HT4" i="87"/>
  <c r="HU4" i="87"/>
  <c r="HV4" i="87"/>
  <c r="HW4" i="87"/>
  <c r="HX4" i="87"/>
  <c r="HY4" i="87"/>
  <c r="HZ4" i="87"/>
  <c r="IA4" i="87"/>
  <c r="IB4" i="87"/>
  <c r="IC4" i="87"/>
  <c r="ID4" i="87"/>
  <c r="IE4" i="87"/>
  <c r="IF4" i="87"/>
  <c r="IG4" i="87"/>
  <c r="IH4" i="87"/>
  <c r="II4" i="87"/>
  <c r="IJ4" i="87"/>
  <c r="IK4" i="87"/>
  <c r="IL4" i="87"/>
  <c r="IM4" i="87"/>
  <c r="IN4" i="87"/>
  <c r="IO4" i="87"/>
  <c r="IP4" i="87"/>
  <c r="IQ4" i="87"/>
  <c r="IR4" i="87"/>
  <c r="IS4" i="87"/>
  <c r="IT4" i="87"/>
  <c r="IU4" i="87"/>
  <c r="IV4" i="87"/>
  <c r="A5" i="87"/>
  <c r="B5" i="87"/>
  <c r="C5" i="87"/>
  <c r="D5" i="87"/>
  <c r="E5" i="87"/>
  <c r="F5" i="87"/>
  <c r="G5" i="87"/>
  <c r="H5" i="87"/>
  <c r="I5" i="87"/>
  <c r="J5" i="87"/>
  <c r="K5" i="87"/>
  <c r="L5" i="87"/>
  <c r="M5" i="87"/>
  <c r="N5" i="87"/>
  <c r="O5" i="87"/>
  <c r="P5" i="87"/>
  <c r="Q5" i="87"/>
  <c r="R5" i="87"/>
  <c r="S5" i="87"/>
  <c r="T5" i="87"/>
  <c r="U5" i="87"/>
  <c r="V5" i="87"/>
  <c r="W5" i="87"/>
  <c r="X5" i="87"/>
  <c r="Y5" i="87"/>
  <c r="Z5" i="87"/>
  <c r="AA5" i="87"/>
  <c r="AB5" i="87"/>
  <c r="AC5" i="87"/>
  <c r="AD5" i="87"/>
  <c r="AE5" i="87"/>
  <c r="AF5" i="87"/>
  <c r="AG5" i="87"/>
  <c r="AH5" i="87"/>
  <c r="AI5" i="87"/>
  <c r="AJ5" i="87"/>
  <c r="AK5" i="87"/>
  <c r="AL5" i="87"/>
  <c r="AM5" i="87"/>
  <c r="AN5" i="87"/>
  <c r="AO5" i="87"/>
  <c r="AP5" i="87"/>
  <c r="AQ5" i="87"/>
  <c r="AR5" i="87"/>
  <c r="AS5" i="87"/>
  <c r="AT5" i="87"/>
  <c r="AU5" i="87"/>
  <c r="AV5" i="87"/>
  <c r="AW5" i="87"/>
  <c r="AX5" i="87"/>
  <c r="AY5" i="87"/>
  <c r="AZ5" i="87"/>
  <c r="BA5" i="87"/>
  <c r="BB5" i="87"/>
  <c r="BC5" i="87"/>
  <c r="BD5" i="87"/>
  <c r="BE5" i="87"/>
  <c r="BF5" i="87"/>
  <c r="BG5" i="87"/>
  <c r="BH5" i="87"/>
  <c r="BI5" i="87"/>
  <c r="BJ5" i="87"/>
  <c r="BK5" i="87"/>
  <c r="BL5" i="87"/>
  <c r="BM5" i="87"/>
  <c r="BN5" i="87"/>
  <c r="BO5" i="87"/>
  <c r="BP5" i="87"/>
  <c r="BQ5" i="87"/>
  <c r="BR5" i="87"/>
  <c r="BS5" i="87"/>
  <c r="BT5" i="87"/>
  <c r="BU5" i="87"/>
  <c r="BV5" i="87"/>
  <c r="BW5" i="87"/>
  <c r="BX5" i="87"/>
  <c r="BY5" i="87"/>
  <c r="BZ5" i="87"/>
  <c r="CA5" i="87"/>
  <c r="CB5" i="87"/>
  <c r="CC5" i="87"/>
  <c r="CD5" i="87"/>
  <c r="CE5" i="87"/>
  <c r="CF5" i="87"/>
  <c r="CG5" i="87"/>
  <c r="CH5" i="87"/>
  <c r="CI5" i="87"/>
  <c r="CJ5" i="87"/>
  <c r="CK5" i="87"/>
  <c r="CL5" i="87"/>
  <c r="CM5" i="87"/>
  <c r="CN5" i="87"/>
  <c r="CO5" i="87"/>
  <c r="CP5" i="87"/>
  <c r="CQ5" i="87"/>
  <c r="CR5" i="87"/>
  <c r="CS5" i="87"/>
  <c r="CT5" i="87"/>
  <c r="CU5" i="87"/>
  <c r="CV5" i="87"/>
  <c r="CW5" i="87"/>
  <c r="CX5" i="87"/>
  <c r="CY5" i="87"/>
  <c r="CZ5" i="87"/>
  <c r="DA5" i="87"/>
  <c r="DB5" i="87"/>
  <c r="DC5" i="87"/>
  <c r="DD5" i="87"/>
  <c r="DE5" i="87"/>
  <c r="DF5" i="87"/>
  <c r="DG5" i="87"/>
  <c r="DH5" i="87"/>
  <c r="DI5" i="87"/>
  <c r="DJ5" i="87"/>
  <c r="DK5" i="87"/>
  <c r="DL5" i="87"/>
  <c r="DM5" i="87"/>
  <c r="DN5" i="87"/>
  <c r="DO5" i="87"/>
  <c r="DP5" i="87"/>
  <c r="DQ5" i="87"/>
  <c r="DR5" i="87"/>
  <c r="DS5" i="87"/>
  <c r="DT5" i="87"/>
  <c r="DU5" i="87"/>
  <c r="DV5" i="87"/>
  <c r="DW5" i="87"/>
  <c r="DX5" i="87"/>
  <c r="DY5" i="87"/>
  <c r="DZ5" i="87"/>
  <c r="EB5" i="87"/>
  <c r="EC5" i="87"/>
  <c r="ED5" i="87"/>
  <c r="EE5" i="87"/>
  <c r="EF5" i="87"/>
  <c r="EG5" i="87"/>
  <c r="EH5" i="87"/>
  <c r="EI5" i="87"/>
  <c r="EJ5" i="87"/>
  <c r="EK5" i="87"/>
  <c r="EL5" i="87"/>
  <c r="EM5" i="87"/>
  <c r="EO5" i="87"/>
  <c r="EP5" i="87"/>
  <c r="EQ5" i="87"/>
  <c r="ER5" i="87"/>
  <c r="ES5" i="87"/>
  <c r="ET5" i="87"/>
  <c r="EU5" i="87"/>
  <c r="EV5" i="87"/>
  <c r="EW5" i="87"/>
  <c r="EX5" i="87"/>
  <c r="EY5" i="87"/>
  <c r="EZ5" i="87"/>
  <c r="FA5" i="87"/>
  <c r="FB5" i="87"/>
  <c r="FD5" i="87"/>
  <c r="FE5" i="87"/>
  <c r="FF5" i="87"/>
  <c r="FG5" i="87"/>
  <c r="FH5" i="87"/>
  <c r="FI5" i="87"/>
  <c r="FJ5" i="87"/>
  <c r="FK5" i="87"/>
  <c r="FL5" i="87"/>
  <c r="FM5" i="87"/>
  <c r="FN5" i="87"/>
  <c r="FO5" i="87"/>
  <c r="FP5" i="87"/>
  <c r="FQ5" i="87"/>
  <c r="FR5" i="87"/>
  <c r="FS5" i="87"/>
  <c r="FU5" i="87"/>
  <c r="FV5" i="87"/>
  <c r="FW5" i="87"/>
  <c r="FX5" i="87"/>
  <c r="FY5" i="87"/>
  <c r="FZ5" i="87"/>
  <c r="GA5" i="87"/>
  <c r="GB5" i="87"/>
  <c r="GC5" i="87"/>
  <c r="GD5" i="87"/>
  <c r="GE5" i="87"/>
  <c r="GF5" i="87"/>
  <c r="GG5" i="87"/>
  <c r="GH5" i="87"/>
  <c r="GI5" i="87"/>
  <c r="GJ5" i="87"/>
  <c r="GK5" i="87"/>
  <c r="GL5" i="87"/>
  <c r="GM5" i="87"/>
  <c r="GN5" i="87"/>
  <c r="GO5" i="87"/>
  <c r="GP5" i="87"/>
  <c r="GR5" i="87"/>
  <c r="GS5" i="87"/>
  <c r="GT5" i="87"/>
  <c r="GU5" i="87"/>
  <c r="GV5" i="87"/>
  <c r="GW5" i="87"/>
  <c r="GX5" i="87"/>
  <c r="GY5" i="87"/>
  <c r="GZ5" i="87"/>
  <c r="HA5" i="87"/>
  <c r="HB5" i="87"/>
  <c r="HC5" i="87"/>
  <c r="HD5" i="87"/>
  <c r="HE5" i="87"/>
  <c r="HF5" i="87"/>
  <c r="HG5" i="87"/>
  <c r="HH5" i="87"/>
  <c r="HI5" i="87"/>
  <c r="HJ5" i="87"/>
  <c r="HK5" i="87"/>
  <c r="HL5" i="87"/>
  <c r="HM5" i="87"/>
  <c r="HN5" i="87"/>
  <c r="HO5" i="87"/>
  <c r="HP5" i="87"/>
  <c r="HQ5" i="87"/>
  <c r="HR5" i="87"/>
  <c r="HS5" i="87"/>
  <c r="HU5" i="87"/>
  <c r="HV5" i="87"/>
  <c r="HW5" i="87"/>
  <c r="HX5" i="87"/>
  <c r="HY5" i="87"/>
  <c r="HZ5" i="87"/>
  <c r="IA5" i="87"/>
  <c r="IB5" i="87"/>
  <c r="IC5" i="87"/>
  <c r="ID5" i="87"/>
  <c r="IE5" i="87"/>
  <c r="IG5" i="87"/>
  <c r="A6" i="87"/>
  <c r="B6" i="87"/>
  <c r="C6" i="87"/>
  <c r="D6" i="87"/>
  <c r="E6" i="87"/>
  <c r="F6" i="87"/>
  <c r="G6" i="87"/>
  <c r="H6" i="87"/>
  <c r="A7" i="87"/>
  <c r="B7" i="87"/>
  <c r="C7" i="87"/>
  <c r="D7" i="87"/>
  <c r="E7" i="87"/>
  <c r="F7" i="87"/>
  <c r="G7" i="87"/>
  <c r="H7" i="87"/>
  <c r="I7" i="87"/>
  <c r="J7" i="87"/>
  <c r="K7" i="87"/>
  <c r="L7" i="87"/>
  <c r="M7" i="87"/>
  <c r="N7" i="87"/>
  <c r="O7" i="87"/>
  <c r="P7" i="87"/>
  <c r="Q7" i="87"/>
  <c r="R7" i="87"/>
  <c r="S7" i="87"/>
  <c r="T7" i="87"/>
  <c r="U7" i="87"/>
  <c r="V7" i="87"/>
  <c r="W7" i="87"/>
  <c r="X7" i="87"/>
  <c r="Y7" i="87"/>
  <c r="Z7" i="87"/>
  <c r="AA7" i="87"/>
  <c r="AB7" i="87"/>
  <c r="AC7" i="87"/>
  <c r="AD7" i="87"/>
  <c r="AE7" i="87"/>
  <c r="AF7" i="87"/>
  <c r="AG7" i="87"/>
  <c r="AH7" i="87"/>
  <c r="AI7" i="87"/>
  <c r="AJ7" i="87"/>
  <c r="AK7" i="87"/>
  <c r="AL7" i="87"/>
  <c r="AM7" i="87"/>
  <c r="AN7" i="87"/>
  <c r="AO7" i="87"/>
  <c r="AP7" i="87"/>
  <c r="AQ7" i="87"/>
  <c r="AR7" i="87"/>
  <c r="AS7" i="87"/>
  <c r="AT7" i="87"/>
  <c r="AU7" i="87"/>
  <c r="AV7" i="87"/>
  <c r="AW7" i="87"/>
  <c r="AX7" i="87"/>
  <c r="AY7" i="87"/>
  <c r="AZ7" i="87"/>
  <c r="BA7" i="87"/>
  <c r="BB7" i="87"/>
  <c r="BC7" i="87"/>
  <c r="BD7" i="87"/>
  <c r="BE7" i="87"/>
  <c r="BF7" i="87"/>
  <c r="BG7" i="87"/>
  <c r="BH7" i="87"/>
  <c r="BI7" i="87"/>
  <c r="BJ7" i="87"/>
  <c r="BK7" i="87"/>
  <c r="BL7" i="87"/>
  <c r="BM7" i="87"/>
  <c r="BN7" i="87"/>
  <c r="BO7" i="87"/>
  <c r="BP7" i="87"/>
  <c r="BQ7" i="87"/>
  <c r="BR7" i="87"/>
  <c r="BS7" i="87"/>
  <c r="BT7" i="87"/>
  <c r="BU7" i="87"/>
  <c r="BV7" i="87"/>
  <c r="BW7" i="87"/>
  <c r="BX7" i="87"/>
  <c r="BY7" i="87"/>
  <c r="BZ7" i="87"/>
  <c r="CA7" i="87"/>
  <c r="CB7" i="87"/>
  <c r="CC7" i="87"/>
  <c r="CD7" i="87"/>
  <c r="CE7" i="87"/>
  <c r="CF7" i="87"/>
  <c r="CG7" i="87"/>
  <c r="CH7" i="87"/>
  <c r="CI7" i="87"/>
  <c r="CJ7" i="87"/>
  <c r="CK7" i="87"/>
  <c r="CL7" i="87"/>
  <c r="CM7" i="87"/>
  <c r="CN7" i="87"/>
  <c r="CO7" i="87"/>
  <c r="CP7" i="87"/>
  <c r="CQ7" i="87"/>
  <c r="CR7" i="87"/>
  <c r="CS7" i="87"/>
  <c r="CT7" i="87"/>
  <c r="CU7" i="87"/>
  <c r="CV7" i="87"/>
  <c r="CW7" i="87"/>
  <c r="CX7" i="87"/>
  <c r="CY7" i="87"/>
  <c r="CZ7" i="87"/>
  <c r="DA7" i="87"/>
  <c r="DB7" i="87"/>
  <c r="DC7" i="87"/>
  <c r="DD7" i="87"/>
  <c r="DE7" i="87"/>
  <c r="DF7" i="87"/>
  <c r="DG7" i="87"/>
  <c r="DH7" i="87"/>
  <c r="DI7" i="87"/>
  <c r="DJ7" i="87"/>
  <c r="DK7" i="87"/>
  <c r="DL7" i="87"/>
  <c r="DM7" i="87"/>
  <c r="DN7" i="87"/>
  <c r="DO7" i="87"/>
  <c r="DP7" i="87"/>
  <c r="DQ7" i="87"/>
  <c r="DR7" i="87"/>
  <c r="DS7" i="87"/>
  <c r="DT7" i="87"/>
  <c r="DU7" i="87"/>
  <c r="DV7" i="87"/>
  <c r="DW7" i="87"/>
  <c r="DX7" i="87"/>
  <c r="DY7" i="87"/>
  <c r="DZ7" i="87"/>
  <c r="EA7" i="87"/>
  <c r="EB7" i="87"/>
  <c r="EC7" i="87"/>
  <c r="ED7" i="87"/>
  <c r="EE7" i="87"/>
  <c r="EF7" i="87"/>
  <c r="EG7" i="87"/>
  <c r="EH7" i="87"/>
  <c r="EI7" i="87"/>
  <c r="EJ7" i="87"/>
  <c r="EK7" i="87"/>
  <c r="EL7" i="87"/>
  <c r="EM7" i="87"/>
  <c r="EN7" i="87"/>
  <c r="EO7" i="87"/>
  <c r="EP7" i="87"/>
  <c r="EQ7" i="87"/>
  <c r="ER7" i="87"/>
  <c r="ES7" i="87"/>
  <c r="ET7" i="87"/>
  <c r="EU7" i="87"/>
  <c r="EV7" i="87"/>
  <c r="EW7" i="87"/>
  <c r="EX7" i="87"/>
  <c r="EY7" i="87"/>
  <c r="EZ7" i="87"/>
  <c r="FA7" i="87"/>
  <c r="FB7" i="87"/>
  <c r="FC7" i="87"/>
  <c r="FD7" i="87"/>
  <c r="FE7" i="87"/>
  <c r="FF7" i="87"/>
  <c r="FG7" i="87"/>
  <c r="FH7" i="87"/>
  <c r="FI7" i="87"/>
  <c r="FJ7" i="87"/>
  <c r="FK7" i="87"/>
  <c r="FL7" i="87"/>
  <c r="FM7" i="87"/>
  <c r="FN7" i="87"/>
  <c r="FO7" i="87"/>
  <c r="FP7" i="87"/>
  <c r="FQ7" i="87"/>
  <c r="FR7" i="87"/>
  <c r="FS7" i="87"/>
  <c r="FT7" i="87"/>
  <c r="FU7" i="87"/>
  <c r="FV7" i="87"/>
  <c r="FW7" i="87"/>
  <c r="FX7" i="87"/>
  <c r="FY7" i="87"/>
  <c r="FZ7" i="87"/>
  <c r="GA7" i="87"/>
  <c r="GB7" i="87"/>
  <c r="GC7" i="87"/>
  <c r="GD7" i="87"/>
  <c r="GE7" i="87"/>
  <c r="GF7" i="87"/>
  <c r="GG7" i="87"/>
  <c r="GH7" i="87"/>
  <c r="GI7" i="87"/>
  <c r="GJ7" i="87"/>
  <c r="GK7" i="87"/>
  <c r="A8" i="87"/>
  <c r="B8" i="87"/>
  <c r="C8" i="87"/>
  <c r="D8" i="87"/>
  <c r="E8" i="87"/>
  <c r="F8" i="87"/>
  <c r="G8" i="87"/>
  <c r="H8" i="87"/>
  <c r="I8" i="87"/>
  <c r="J8" i="87"/>
  <c r="K8" i="87"/>
  <c r="L8" i="87"/>
  <c r="M8" i="87"/>
  <c r="N8" i="87"/>
  <c r="O8" i="87"/>
  <c r="P8" i="87"/>
  <c r="Q8" i="87"/>
  <c r="R8" i="87"/>
  <c r="S8" i="87"/>
  <c r="T8" i="87"/>
  <c r="U8" i="87"/>
  <c r="V8" i="87"/>
  <c r="W8" i="87"/>
  <c r="X8" i="87"/>
  <c r="Y8" i="87"/>
  <c r="Z8" i="87"/>
  <c r="AA8" i="87"/>
  <c r="A9" i="87"/>
  <c r="B9" i="87"/>
  <c r="C9" i="87"/>
  <c r="D9" i="87"/>
  <c r="E9" i="87"/>
  <c r="F9" i="87"/>
  <c r="G9" i="87"/>
  <c r="H9" i="87"/>
  <c r="I9" i="87"/>
  <c r="J9" i="87"/>
  <c r="K9" i="87"/>
  <c r="L9" i="87"/>
  <c r="M9" i="87"/>
  <c r="N9" i="87"/>
  <c r="O9" i="87"/>
  <c r="P9" i="87"/>
  <c r="Q9" i="87"/>
  <c r="R9" i="87"/>
  <c r="S9" i="87"/>
  <c r="T9" i="87"/>
  <c r="U9" i="87"/>
  <c r="V9" i="87"/>
  <c r="W9" i="87"/>
  <c r="X9" i="87"/>
  <c r="Y9" i="87"/>
  <c r="Z9" i="87"/>
  <c r="AA9" i="87"/>
  <c r="AB9" i="87"/>
  <c r="AC9" i="87"/>
  <c r="AD9" i="87"/>
  <c r="AE9" i="87"/>
  <c r="AF9" i="87"/>
  <c r="AG9" i="87"/>
  <c r="AH9" i="87"/>
  <c r="AI9" i="87"/>
  <c r="AJ9" i="87"/>
  <c r="AK9" i="87"/>
  <c r="AL9" i="87"/>
  <c r="AM9" i="87"/>
  <c r="AN9" i="87"/>
  <c r="AO9" i="87"/>
  <c r="A10" i="87"/>
  <c r="B10" i="87"/>
  <c r="C10" i="87"/>
  <c r="D10" i="87"/>
  <c r="E10" i="87"/>
  <c r="F10" i="87"/>
  <c r="G10" i="87"/>
  <c r="H10" i="87"/>
  <c r="I10" i="87"/>
  <c r="J10" i="87"/>
  <c r="K10" i="87"/>
  <c r="L10" i="87"/>
  <c r="M10" i="87"/>
  <c r="N10" i="87"/>
  <c r="O10" i="87"/>
  <c r="P10" i="87"/>
  <c r="Q10" i="87"/>
  <c r="R10" i="87"/>
  <c r="S10" i="87"/>
  <c r="T10" i="87"/>
  <c r="U10" i="87"/>
  <c r="V10" i="87"/>
  <c r="W10" i="87"/>
  <c r="X10" i="87"/>
  <c r="Y10" i="87"/>
  <c r="Z10" i="87"/>
  <c r="AA10" i="87"/>
  <c r="AB10" i="87"/>
  <c r="AC10" i="87"/>
  <c r="AD10" i="87"/>
  <c r="AE10" i="87"/>
  <c r="AF10" i="87"/>
  <c r="AG10" i="87"/>
  <c r="AH10" i="87"/>
  <c r="AI10" i="87"/>
  <c r="AJ10" i="87"/>
  <c r="AK10" i="87"/>
  <c r="AL10" i="87"/>
  <c r="AM10" i="87"/>
  <c r="AN10" i="87"/>
  <c r="AO10" i="87"/>
  <c r="AP10" i="87"/>
  <c r="AQ10" i="87"/>
  <c r="AR10" i="87"/>
  <c r="AS10" i="87"/>
  <c r="AT10" i="87"/>
  <c r="AU10" i="87"/>
  <c r="AV10" i="87"/>
  <c r="AW10" i="87"/>
  <c r="AX10" i="87"/>
  <c r="AY10" i="87"/>
  <c r="AZ10" i="87"/>
  <c r="BA10" i="87"/>
  <c r="BB10" i="87"/>
  <c r="BC10" i="87"/>
  <c r="BD10" i="87"/>
  <c r="BE10" i="87"/>
  <c r="BF10" i="87"/>
  <c r="BG10" i="87"/>
  <c r="BH10" i="87"/>
  <c r="BI10" i="87"/>
  <c r="BJ10" i="87"/>
  <c r="BK10" i="87"/>
  <c r="BL10" i="87"/>
  <c r="BM10" i="87"/>
  <c r="BN10" i="87"/>
  <c r="BO10" i="87"/>
  <c r="BP10" i="87"/>
  <c r="BQ10" i="87"/>
  <c r="BR10" i="87"/>
  <c r="BS10" i="87"/>
  <c r="BT10" i="87"/>
  <c r="BU10" i="87"/>
  <c r="BV10" i="87"/>
  <c r="BW10" i="87"/>
  <c r="BY10" i="87"/>
  <c r="BZ10" i="87"/>
  <c r="CA10" i="87"/>
  <c r="CB10" i="87"/>
  <c r="CC10" i="87"/>
  <c r="CD10" i="87"/>
  <c r="CE10" i="87"/>
  <c r="CF10" i="87"/>
  <c r="CG10" i="87"/>
  <c r="CH10" i="87"/>
  <c r="CI10" i="87"/>
  <c r="CJ10" i="87"/>
  <c r="CK10" i="87"/>
  <c r="CL10" i="87"/>
  <c r="CM10" i="87"/>
  <c r="CN10" i="87"/>
  <c r="CO10" i="87"/>
  <c r="CP10" i="87"/>
  <c r="CQ10" i="87"/>
  <c r="CR10" i="87"/>
  <c r="CS10" i="87"/>
  <c r="CT10" i="87"/>
  <c r="CU10" i="87"/>
  <c r="CV10" i="87"/>
  <c r="CW10" i="87"/>
  <c r="CX10" i="87"/>
  <c r="CY10" i="87"/>
  <c r="CZ10" i="87"/>
  <c r="DA10" i="87"/>
  <c r="DB10" i="87"/>
  <c r="DC10" i="87"/>
  <c r="DD10" i="87"/>
  <c r="DE10" i="87"/>
  <c r="DF10" i="87"/>
  <c r="DG10" i="87"/>
  <c r="DH10" i="87"/>
  <c r="DI10" i="87"/>
  <c r="DJ10" i="87"/>
  <c r="DK10" i="87"/>
  <c r="DL10" i="87"/>
  <c r="DM10" i="87"/>
  <c r="DN10" i="87"/>
  <c r="DO10" i="87"/>
  <c r="DP10" i="87"/>
  <c r="DQ10" i="87"/>
  <c r="DR10" i="87"/>
  <c r="DS10" i="87"/>
  <c r="DT10" i="87"/>
  <c r="DU10" i="87"/>
  <c r="DV10" i="87"/>
  <c r="DW10" i="87"/>
  <c r="DX10" i="87"/>
  <c r="DY10" i="87"/>
  <c r="DZ10" i="87"/>
  <c r="EA10" i="87"/>
  <c r="EB10" i="87"/>
  <c r="EC10" i="87"/>
  <c r="ED10" i="87"/>
  <c r="EE10" i="87"/>
  <c r="EF10" i="87"/>
  <c r="EG10" i="87"/>
  <c r="EH10" i="87"/>
  <c r="EI10" i="87"/>
  <c r="EJ10" i="87"/>
  <c r="EK10" i="87"/>
  <c r="EL10" i="87"/>
  <c r="EM10" i="87"/>
  <c r="EN10" i="87"/>
  <c r="A11" i="87"/>
  <c r="B11" i="87"/>
  <c r="C11" i="87"/>
  <c r="D11" i="87"/>
  <c r="E11" i="87"/>
  <c r="F11" i="87"/>
  <c r="G11" i="87"/>
  <c r="H11" i="87"/>
  <c r="I11" i="87"/>
  <c r="J11" i="87"/>
  <c r="K11" i="87"/>
  <c r="L11" i="87"/>
  <c r="M11" i="87"/>
  <c r="N11" i="87"/>
  <c r="O11" i="87"/>
  <c r="P11" i="87"/>
  <c r="Q11" i="87"/>
  <c r="R11" i="87"/>
  <c r="S11" i="87"/>
  <c r="T11" i="87"/>
  <c r="U11" i="87"/>
  <c r="V11" i="87"/>
  <c r="W11" i="87"/>
  <c r="X11" i="87"/>
  <c r="Y11" i="87"/>
  <c r="Z11" i="87"/>
  <c r="AA11" i="87"/>
  <c r="AB11" i="87"/>
  <c r="AC11" i="87"/>
  <c r="AD11" i="87"/>
  <c r="AE11" i="87"/>
  <c r="AF11" i="87"/>
  <c r="AG11" i="87"/>
  <c r="AH11" i="87"/>
  <c r="AI11" i="87"/>
  <c r="AJ11" i="87"/>
  <c r="AK11" i="87"/>
  <c r="AL11" i="87"/>
  <c r="AM11" i="87"/>
  <c r="AN11" i="87"/>
  <c r="AO11" i="87"/>
  <c r="AP11" i="87"/>
  <c r="AQ11" i="87"/>
  <c r="AR11" i="87"/>
  <c r="AS11" i="87"/>
  <c r="AT11" i="87"/>
  <c r="AU11" i="87"/>
  <c r="AV11" i="87"/>
  <c r="AW11" i="87"/>
  <c r="AX11" i="87"/>
  <c r="AY11" i="87"/>
  <c r="AZ11" i="87"/>
  <c r="BA11" i="87"/>
  <c r="BB11" i="87"/>
  <c r="BC11" i="87"/>
  <c r="BD11" i="87"/>
  <c r="BE11" i="87"/>
  <c r="BF11" i="87"/>
  <c r="BG11" i="87"/>
  <c r="BH11" i="87"/>
  <c r="BI11" i="87"/>
  <c r="BJ11" i="87"/>
  <c r="BK11" i="87"/>
  <c r="BL11" i="87"/>
  <c r="BM11" i="87"/>
  <c r="BN11" i="87"/>
  <c r="BO11" i="87"/>
  <c r="BP11" i="87"/>
  <c r="BQ11" i="87"/>
  <c r="BR11" i="87"/>
  <c r="BS11" i="87"/>
  <c r="BT11" i="87"/>
  <c r="BU11" i="87"/>
  <c r="BV11" i="87"/>
  <c r="BW11" i="87"/>
  <c r="BX11" i="87"/>
  <c r="BY11" i="87"/>
  <c r="BZ11" i="87"/>
  <c r="CA11" i="87"/>
  <c r="CB11" i="87"/>
  <c r="CC11" i="87"/>
  <c r="CD11" i="87"/>
  <c r="CE11" i="87"/>
  <c r="CF11" i="87"/>
  <c r="CG11" i="87"/>
  <c r="CH11" i="87"/>
  <c r="CI11" i="87"/>
  <c r="CJ11" i="87"/>
  <c r="CK11" i="87"/>
  <c r="CL11" i="87"/>
  <c r="CM11" i="87"/>
  <c r="CN11" i="87"/>
  <c r="CO11" i="87"/>
  <c r="CP11" i="87"/>
  <c r="CQ11" i="87"/>
  <c r="CR11" i="87"/>
  <c r="CS11" i="87"/>
  <c r="CT11" i="87"/>
  <c r="CU11" i="87"/>
  <c r="A12" i="87"/>
  <c r="B12" i="87"/>
  <c r="C12" i="87"/>
  <c r="D12" i="87"/>
  <c r="E12" i="87"/>
  <c r="F12" i="87"/>
  <c r="G12" i="87"/>
  <c r="H12" i="87"/>
  <c r="I12" i="87"/>
  <c r="J12" i="87"/>
  <c r="K12" i="87"/>
  <c r="L12" i="87"/>
  <c r="M12" i="87"/>
  <c r="N12" i="87"/>
  <c r="O12" i="87"/>
  <c r="P12" i="87"/>
  <c r="Q12" i="87"/>
  <c r="R12" i="87"/>
  <c r="S12" i="87"/>
  <c r="T12" i="87"/>
  <c r="U12" i="87"/>
  <c r="V12" i="87"/>
  <c r="W12" i="87"/>
  <c r="X12" i="87"/>
  <c r="Y12" i="87"/>
  <c r="Z12" i="87"/>
  <c r="AA12" i="87"/>
  <c r="AB12" i="87"/>
  <c r="AC12" i="87"/>
  <c r="AD12" i="87"/>
  <c r="AE12" i="87"/>
  <c r="AF12" i="87"/>
  <c r="AG12" i="87"/>
  <c r="AH12" i="87"/>
  <c r="AI12" i="87"/>
  <c r="AJ12" i="87"/>
  <c r="AK12" i="87"/>
  <c r="AL12" i="87"/>
  <c r="AM12" i="87"/>
  <c r="AN12" i="87"/>
  <c r="AO12" i="87"/>
  <c r="AP12" i="87"/>
  <c r="AQ12" i="87"/>
  <c r="AR12" i="87"/>
  <c r="AS12" i="87"/>
  <c r="AT12" i="87"/>
  <c r="AU12" i="87"/>
  <c r="AV12" i="87"/>
  <c r="AW12" i="87"/>
  <c r="AX12" i="87"/>
  <c r="AY12" i="87"/>
  <c r="AZ12" i="87"/>
  <c r="BA12" i="87"/>
  <c r="BB12" i="87"/>
  <c r="BC12" i="87"/>
  <c r="BD12" i="87"/>
  <c r="BE12" i="87"/>
  <c r="BF12" i="87"/>
  <c r="BG12" i="87"/>
  <c r="BH12" i="87"/>
  <c r="BI12" i="87"/>
  <c r="BJ12" i="87"/>
  <c r="BK12" i="87"/>
  <c r="BL12" i="87"/>
  <c r="BM12" i="87"/>
  <c r="BN12" i="87"/>
  <c r="BO12" i="87"/>
  <c r="BP12" i="87"/>
  <c r="BQ12" i="87"/>
  <c r="BR12" i="87"/>
  <c r="BS12" i="87"/>
  <c r="BT12" i="87"/>
  <c r="BU12" i="87"/>
  <c r="BV12" i="87"/>
  <c r="BW12" i="87"/>
  <c r="BX12" i="87"/>
  <c r="BY12" i="87"/>
  <c r="BZ12" i="87"/>
  <c r="CA12" i="87"/>
  <c r="CB12" i="87"/>
  <c r="CC12" i="87"/>
  <c r="CD12" i="87"/>
  <c r="CE12" i="87"/>
  <c r="CF12" i="87"/>
  <c r="CG12" i="87"/>
  <c r="CH12" i="87"/>
  <c r="CI12" i="87"/>
  <c r="CJ12" i="87"/>
  <c r="CK12" i="87"/>
  <c r="CL12" i="87"/>
  <c r="CM12" i="87"/>
  <c r="CN12" i="87"/>
  <c r="CO12" i="87"/>
  <c r="CP12" i="87"/>
  <c r="CQ12" i="87"/>
  <c r="CR12" i="87"/>
  <c r="CS12" i="87"/>
  <c r="CT12" i="87"/>
  <c r="CU12" i="87"/>
  <c r="CV12" i="87"/>
  <c r="CW12" i="87"/>
  <c r="CX12" i="87"/>
  <c r="CY12" i="87"/>
  <c r="CZ12" i="87"/>
  <c r="DA12" i="87"/>
  <c r="DB12" i="87"/>
  <c r="DC12" i="87"/>
  <c r="DD12" i="87"/>
  <c r="DE12" i="87"/>
  <c r="DF12" i="87"/>
  <c r="DG12" i="87"/>
  <c r="DH12" i="87"/>
  <c r="DI12" i="87"/>
  <c r="DJ12" i="87"/>
  <c r="DK12" i="87"/>
  <c r="DL12" i="87"/>
  <c r="DM12" i="87"/>
  <c r="DN12" i="87"/>
  <c r="DO12" i="87"/>
  <c r="DP12" i="87"/>
  <c r="DQ12" i="87"/>
  <c r="DR12" i="87"/>
  <c r="DS12" i="87"/>
  <c r="DT12" i="87"/>
  <c r="DU12" i="87"/>
  <c r="DV12" i="87"/>
  <c r="DW12" i="87"/>
  <c r="DX12" i="87"/>
  <c r="DY12" i="87"/>
  <c r="DZ12" i="87"/>
  <c r="EA12" i="87"/>
  <c r="EB12" i="87"/>
  <c r="EC12" i="87"/>
  <c r="ED12" i="87"/>
  <c r="EE12" i="87"/>
  <c r="EF12" i="87"/>
  <c r="EG12" i="87"/>
  <c r="EH12" i="87"/>
  <c r="EI12" i="87"/>
  <c r="EJ12" i="87"/>
  <c r="EK12" i="87"/>
  <c r="EL12" i="87"/>
  <c r="EM12" i="87"/>
  <c r="EN12" i="87"/>
  <c r="EO12" i="87"/>
  <c r="EP12" i="87"/>
  <c r="EQ12" i="87"/>
  <c r="ER12" i="87"/>
  <c r="ES12" i="87"/>
  <c r="ET12" i="87"/>
  <c r="EU12" i="87"/>
  <c r="EV12" i="87"/>
  <c r="A13" i="87"/>
  <c r="B13" i="87"/>
  <c r="C13" i="87"/>
  <c r="D13" i="87"/>
  <c r="E13" i="87"/>
  <c r="F13" i="87"/>
  <c r="G13" i="87"/>
  <c r="H13" i="87"/>
  <c r="I13" i="87"/>
  <c r="J13" i="87"/>
  <c r="K13" i="87"/>
  <c r="L13" i="87"/>
  <c r="M13" i="87"/>
  <c r="N13" i="87"/>
  <c r="O13" i="87"/>
  <c r="P13" i="87"/>
  <c r="Q13" i="87"/>
  <c r="R13" i="87"/>
  <c r="A14" i="87"/>
  <c r="B14" i="87"/>
  <c r="C14" i="87"/>
  <c r="D14" i="87"/>
  <c r="E14" i="87"/>
  <c r="F14" i="87"/>
  <c r="G14" i="87"/>
  <c r="H14" i="87"/>
  <c r="I14" i="87"/>
  <c r="J14" i="87"/>
  <c r="K14" i="87"/>
  <c r="L14" i="87"/>
  <c r="M14" i="87"/>
  <c r="N14" i="87"/>
  <c r="A15" i="87"/>
  <c r="B15" i="87"/>
  <c r="C15" i="87"/>
  <c r="D15" i="87"/>
  <c r="E15" i="87"/>
  <c r="F15" i="87"/>
  <c r="G15" i="87"/>
  <c r="H15" i="87"/>
  <c r="I15" i="87"/>
  <c r="J15" i="87"/>
  <c r="K15" i="87"/>
  <c r="L15" i="87"/>
  <c r="M15" i="87"/>
  <c r="N15" i="87"/>
  <c r="O15" i="87"/>
  <c r="DN16" i="87"/>
  <c r="DO16" i="87"/>
  <c r="DP16" i="87"/>
  <c r="DQ16" i="87"/>
  <c r="DR16" i="87"/>
  <c r="DS16" i="87"/>
  <c r="DT16" i="87"/>
  <c r="DU16" i="87"/>
  <c r="DV16" i="87"/>
  <c r="DW16" i="87"/>
  <c r="DX16" i="87"/>
  <c r="DY16" i="87"/>
  <c r="DZ16" i="87"/>
  <c r="EA16" i="87"/>
  <c r="EB16" i="87"/>
  <c r="EC16" i="87"/>
  <c r="ED16" i="87"/>
  <c r="EE16" i="87"/>
  <c r="EF16" i="87"/>
  <c r="EG16" i="87"/>
  <c r="EH16" i="87"/>
  <c r="EI16" i="87"/>
  <c r="EJ16" i="87"/>
  <c r="EK16" i="87"/>
  <c r="EL16" i="87"/>
  <c r="EM16" i="87"/>
  <c r="EN16" i="87"/>
  <c r="EO16" i="87"/>
  <c r="EP16" i="87"/>
  <c r="EQ16" i="87"/>
  <c r="ER16" i="87"/>
  <c r="ES16" i="87"/>
  <c r="ET16" i="87"/>
  <c r="EU16" i="87"/>
  <c r="EV16" i="87"/>
  <c r="EW16" i="87"/>
  <c r="EX16" i="87"/>
  <c r="EY16" i="87"/>
  <c r="EZ16" i="87"/>
  <c r="FA16" i="87"/>
  <c r="FB16" i="87"/>
  <c r="FC16" i="87"/>
  <c r="FD16" i="87"/>
  <c r="FE16" i="87"/>
  <c r="FF16" i="87"/>
  <c r="FG16" i="87"/>
  <c r="FH16" i="87"/>
  <c r="FI16" i="87"/>
  <c r="FJ16" i="87"/>
  <c r="FK16" i="87"/>
  <c r="FL16" i="87"/>
  <c r="A17" i="87"/>
  <c r="B17" i="87"/>
  <c r="C17" i="87"/>
  <c r="D17" i="87"/>
  <c r="E17" i="87"/>
  <c r="F17" i="87"/>
  <c r="G17" i="87"/>
  <c r="H17" i="87"/>
  <c r="I17" i="87"/>
  <c r="J17" i="87"/>
  <c r="K17" i="87"/>
  <c r="L17" i="87"/>
  <c r="M17" i="87"/>
  <c r="N17" i="87"/>
  <c r="O17" i="87"/>
  <c r="P17" i="87"/>
  <c r="Q17" i="87"/>
  <c r="R17" i="87"/>
  <c r="S17" i="87"/>
  <c r="T17" i="87"/>
  <c r="U17" i="87"/>
  <c r="V17" i="87"/>
  <c r="W17" i="87"/>
  <c r="X17" i="87"/>
  <c r="Y17" i="87"/>
  <c r="Z17" i="87"/>
  <c r="AA17" i="87"/>
  <c r="AB17" i="87"/>
  <c r="AC17" i="87"/>
  <c r="AD17" i="87"/>
  <c r="AE17" i="87"/>
  <c r="AF17" i="87"/>
  <c r="AG17" i="87"/>
  <c r="AH17" i="87"/>
  <c r="AI17" i="87"/>
  <c r="AJ17" i="87"/>
  <c r="AK17" i="87"/>
  <c r="AL17" i="87"/>
  <c r="AM17" i="87"/>
  <c r="AN17" i="87"/>
  <c r="AO17" i="87"/>
  <c r="AP17" i="87"/>
  <c r="AQ17" i="87"/>
  <c r="AR17" i="87"/>
  <c r="AS17" i="87"/>
  <c r="AT17" i="87"/>
  <c r="AU17" i="87"/>
  <c r="AV17" i="87"/>
  <c r="AW17" i="87"/>
  <c r="AX17" i="87"/>
  <c r="AY17" i="87"/>
  <c r="AZ17" i="87"/>
  <c r="BA17" i="87"/>
  <c r="BB17" i="87"/>
  <c r="BC17" i="87"/>
  <c r="BD17" i="87"/>
  <c r="BE17" i="87"/>
  <c r="BF17" i="87"/>
  <c r="BG17" i="87"/>
  <c r="BH17" i="87"/>
  <c r="BI17" i="87"/>
  <c r="BJ17" i="87"/>
  <c r="BK17" i="87"/>
  <c r="BL17" i="87"/>
  <c r="BM17" i="87"/>
  <c r="BN17" i="87"/>
  <c r="BO17" i="87"/>
  <c r="BP17" i="87"/>
  <c r="BQ17" i="87"/>
  <c r="BR17" i="87"/>
  <c r="BS17" i="87"/>
  <c r="BT17" i="87"/>
  <c r="BU17" i="87"/>
  <c r="BV17" i="87"/>
  <c r="BW17" i="87"/>
  <c r="BX17" i="87"/>
  <c r="BY17" i="87"/>
  <c r="BZ17" i="87"/>
  <c r="CA17" i="87"/>
  <c r="CB17" i="87"/>
  <c r="CC17" i="87"/>
  <c r="CD17" i="87"/>
  <c r="CE17" i="87"/>
  <c r="CF17" i="87"/>
  <c r="CG17" i="87"/>
  <c r="CH17" i="87"/>
  <c r="CI17" i="87"/>
  <c r="CJ17" i="87"/>
  <c r="CK17" i="87"/>
  <c r="CL17" i="87"/>
  <c r="CM17" i="87"/>
  <c r="CN17" i="87"/>
  <c r="CO17" i="87"/>
  <c r="CP17" i="87"/>
  <c r="CQ17" i="87"/>
  <c r="CR17" i="87"/>
  <c r="CS17" i="87"/>
  <c r="CT17" i="87"/>
  <c r="CU17" i="87"/>
  <c r="CV17" i="87"/>
  <c r="CW17" i="87"/>
  <c r="CX17" i="87"/>
  <c r="CY17" i="87"/>
  <c r="CZ17" i="87"/>
  <c r="DA17" i="87"/>
  <c r="DB17" i="87"/>
  <c r="DC17" i="87"/>
  <c r="DD17" i="87"/>
  <c r="DE17" i="87"/>
  <c r="DF17" i="87"/>
  <c r="DG17" i="87"/>
  <c r="DH17" i="87"/>
  <c r="DI17" i="87"/>
  <c r="DJ17" i="87"/>
  <c r="DK17" i="87"/>
  <c r="DL17" i="87"/>
  <c r="DM17" i="87"/>
  <c r="DN17" i="87"/>
  <c r="DO17" i="87"/>
  <c r="DP17" i="87"/>
  <c r="DQ17" i="87"/>
  <c r="DR17" i="87"/>
  <c r="DS17" i="87"/>
  <c r="DT17" i="87"/>
  <c r="DU17" i="87"/>
  <c r="DV17" i="87"/>
  <c r="DW17" i="87"/>
  <c r="DX17" i="87"/>
  <c r="DY17" i="87"/>
  <c r="DZ17" i="87"/>
  <c r="EA17" i="87"/>
  <c r="EB17" i="87"/>
  <c r="EC17" i="87"/>
  <c r="ED17" i="87"/>
  <c r="EE17" i="87"/>
  <c r="EF17" i="87"/>
  <c r="EG17" i="87"/>
  <c r="EH17" i="87"/>
  <c r="EI17" i="87"/>
  <c r="A18" i="87"/>
  <c r="B18" i="87"/>
  <c r="C18" i="87"/>
  <c r="D18" i="87"/>
  <c r="E18" i="87"/>
  <c r="F18" i="87"/>
  <c r="G18" i="87"/>
  <c r="H18" i="87"/>
  <c r="I18" i="87"/>
  <c r="J18" i="87"/>
  <c r="K18" i="87"/>
  <c r="L18" i="87"/>
  <c r="M18" i="87"/>
  <c r="N18" i="87"/>
  <c r="O18" i="87"/>
  <c r="P18" i="87"/>
  <c r="Q18" i="87"/>
  <c r="R18" i="87"/>
  <c r="A19" i="87"/>
  <c r="B19" i="87"/>
  <c r="C19" i="87"/>
  <c r="D19" i="87"/>
  <c r="E19" i="87"/>
  <c r="F19" i="87"/>
  <c r="G19" i="87"/>
  <c r="H19" i="87"/>
  <c r="I19" i="87"/>
  <c r="J19" i="87"/>
  <c r="K19" i="87"/>
  <c r="L19" i="87"/>
  <c r="M19" i="87"/>
  <c r="N19" i="87"/>
  <c r="O19" i="87"/>
  <c r="P19" i="87"/>
  <c r="Q19" i="87"/>
  <c r="R19" i="87"/>
  <c r="S19" i="87"/>
  <c r="T19" i="87"/>
  <c r="U19" i="87"/>
  <c r="V19" i="87"/>
  <c r="W19" i="87"/>
  <c r="X19" i="87"/>
  <c r="Y19" i="87"/>
  <c r="A20" i="87"/>
  <c r="B20" i="87"/>
  <c r="C20" i="87"/>
  <c r="D20" i="87"/>
  <c r="DN21" i="87"/>
  <c r="A23" i="87"/>
  <c r="B23" i="87"/>
  <c r="A24" i="87"/>
  <c r="B24" i="87"/>
  <c r="C24" i="87"/>
  <c r="D24" i="87"/>
  <c r="E24" i="87"/>
  <c r="F24" i="87"/>
  <c r="G24" i="87"/>
  <c r="H24" i="87"/>
  <c r="I24" i="87"/>
  <c r="J24" i="87"/>
  <c r="K24" i="87"/>
  <c r="L24" i="87"/>
  <c r="M24" i="87"/>
  <c r="N24" i="87"/>
  <c r="O24" i="87"/>
  <c r="P24" i="87"/>
  <c r="Q24" i="87"/>
  <c r="R24" i="87"/>
  <c r="S24" i="87"/>
  <c r="T24" i="87"/>
  <c r="U24" i="87"/>
  <c r="V24" i="87"/>
  <c r="W24" i="87"/>
  <c r="X24" i="87"/>
  <c r="Y24" i="87"/>
  <c r="Z24" i="87"/>
  <c r="AA24" i="87"/>
  <c r="AB24" i="87"/>
  <c r="AC24" i="87"/>
  <c r="AD24" i="87"/>
  <c r="AE24" i="87"/>
  <c r="AF24" i="87"/>
  <c r="A25" i="87"/>
  <c r="B25" i="87"/>
  <c r="C25" i="87"/>
  <c r="D25" i="87"/>
  <c r="E25" i="87"/>
  <c r="F25" i="87"/>
  <c r="G25" i="87"/>
  <c r="H25" i="87"/>
  <c r="I25" i="87"/>
  <c r="J25" i="87"/>
  <c r="K25" i="87"/>
  <c r="L25" i="87"/>
  <c r="M25" i="87"/>
  <c r="N25" i="87"/>
  <c r="O25" i="87"/>
  <c r="P25" i="87"/>
  <c r="Q25" i="87"/>
  <c r="R25" i="87"/>
  <c r="S25" i="87"/>
  <c r="T25" i="87"/>
  <c r="U25" i="87"/>
  <c r="V25" i="87"/>
  <c r="W25" i="87"/>
  <c r="X25" i="87"/>
  <c r="Y25" i="87"/>
  <c r="Z25" i="87"/>
  <c r="AA25" i="87"/>
  <c r="AB25" i="87"/>
  <c r="AC25" i="87"/>
  <c r="AD25" i="87"/>
  <c r="AE25" i="87"/>
  <c r="AF25" i="87"/>
  <c r="AG25" i="87"/>
  <c r="AH25" i="87"/>
  <c r="AI25" i="87"/>
  <c r="AJ25" i="87"/>
  <c r="AK25" i="87"/>
  <c r="AL25" i="87"/>
  <c r="AM25" i="87"/>
  <c r="AN25" i="87"/>
  <c r="AO25" i="87"/>
  <c r="AP25" i="87"/>
  <c r="AQ25" i="87"/>
  <c r="AR25" i="87"/>
  <c r="AS25" i="87"/>
  <c r="AT25" i="87"/>
  <c r="AU25" i="87"/>
  <c r="AV25" i="87"/>
  <c r="AW25" i="87"/>
  <c r="AX25" i="87"/>
  <c r="AY25" i="87"/>
  <c r="AZ25" i="87"/>
  <c r="BA25" i="87"/>
  <c r="BB25" i="87"/>
  <c r="BC25" i="87"/>
  <c r="BD25" i="87"/>
  <c r="BE25" i="87"/>
  <c r="BF25" i="87"/>
  <c r="BG25" i="87"/>
  <c r="BH25" i="87"/>
  <c r="BI25" i="87"/>
  <c r="BJ25" i="87"/>
  <c r="BK25" i="87"/>
  <c r="BL25" i="87"/>
  <c r="BM25" i="87"/>
  <c r="BN25" i="87"/>
  <c r="BO25" i="87"/>
  <c r="BP25" i="87"/>
  <c r="BQ25" i="87"/>
  <c r="BR25" i="87"/>
  <c r="A26" i="87"/>
  <c r="B26" i="87"/>
  <c r="C26" i="87"/>
  <c r="D26" i="87"/>
  <c r="E26" i="87"/>
  <c r="F26" i="87"/>
  <c r="G26" i="87"/>
  <c r="H26" i="87"/>
  <c r="I26" i="87"/>
  <c r="J26" i="87"/>
  <c r="K26" i="87"/>
  <c r="L26" i="87"/>
  <c r="M26" i="87"/>
  <c r="N26" i="87"/>
  <c r="O26" i="87"/>
  <c r="P26" i="87"/>
  <c r="Q26" i="87"/>
  <c r="R26" i="87"/>
  <c r="S26" i="87"/>
  <c r="T26" i="87"/>
  <c r="U26" i="87"/>
  <c r="V26" i="87"/>
  <c r="W26" i="87"/>
  <c r="X26" i="87"/>
  <c r="Y26" i="87"/>
  <c r="Z26" i="87"/>
  <c r="AA26" i="87"/>
  <c r="AB26" i="87"/>
  <c r="AC26" i="87"/>
  <c r="AD26" i="87"/>
  <c r="AE26" i="87"/>
  <c r="AF26" i="87"/>
  <c r="AG26" i="87"/>
  <c r="AH26" i="87"/>
  <c r="AI26" i="87"/>
  <c r="AJ26" i="87"/>
  <c r="AK26" i="87"/>
  <c r="AL26" i="87"/>
  <c r="AM26" i="87"/>
  <c r="AN26" i="87"/>
  <c r="AO26" i="87"/>
  <c r="AP26" i="87"/>
  <c r="AQ26" i="87"/>
  <c r="AR26" i="87"/>
  <c r="AS26" i="87"/>
  <c r="AT26" i="87"/>
  <c r="AU26" i="87"/>
  <c r="AV26" i="87"/>
  <c r="AW26" i="87"/>
  <c r="AX26" i="87"/>
  <c r="AY26" i="87"/>
  <c r="AZ26" i="87"/>
  <c r="BA26" i="87"/>
  <c r="BB26" i="87"/>
  <c r="BC26" i="87"/>
  <c r="BD26" i="87"/>
  <c r="A27" i="87"/>
  <c r="B27" i="87"/>
  <c r="C27" i="87"/>
  <c r="D27" i="87"/>
  <c r="E27" i="87"/>
  <c r="F27" i="87"/>
  <c r="G27" i="87"/>
  <c r="H27" i="87"/>
  <c r="I27" i="87"/>
  <c r="J27" i="87"/>
  <c r="K27" i="87"/>
  <c r="L27" i="87"/>
  <c r="A28" i="87"/>
  <c r="B28" i="87"/>
  <c r="C28" i="87"/>
  <c r="D28" i="87"/>
  <c r="E28" i="87"/>
  <c r="F28" i="87"/>
  <c r="G28" i="87"/>
  <c r="H28" i="87"/>
  <c r="I28" i="87"/>
  <c r="J28" i="87"/>
  <c r="K28" i="87"/>
  <c r="L28" i="87"/>
  <c r="M28" i="87"/>
  <c r="N28" i="87"/>
  <c r="O28" i="87"/>
  <c r="P28" i="87"/>
  <c r="Q28" i="87"/>
  <c r="R28" i="87"/>
  <c r="S28" i="87"/>
  <c r="T28" i="87"/>
  <c r="U28" i="87"/>
  <c r="V28" i="87"/>
  <c r="W28" i="87"/>
  <c r="X28" i="87"/>
  <c r="Y28" i="87"/>
  <c r="Z28" i="87"/>
  <c r="AA28" i="87"/>
  <c r="AB28" i="87"/>
  <c r="AC28" i="87"/>
  <c r="AD28" i="87"/>
  <c r="AE28" i="87"/>
  <c r="AG28" i="87"/>
  <c r="AH28" i="87"/>
  <c r="AI28" i="87"/>
  <c r="AJ28" i="87"/>
  <c r="AK28" i="87"/>
  <c r="AL28" i="87"/>
  <c r="AM28" i="87"/>
  <c r="AN28" i="87"/>
  <c r="AO28" i="87"/>
  <c r="AP28" i="87"/>
  <c r="AQ28" i="87"/>
  <c r="AR28" i="87"/>
  <c r="AT28" i="87"/>
  <c r="AU28" i="87"/>
  <c r="AV28" i="87"/>
  <c r="AW28" i="87"/>
  <c r="AX28" i="87"/>
  <c r="AY28" i="87"/>
  <c r="AZ28" i="87"/>
  <c r="BA28" i="87"/>
  <c r="BB28" i="87"/>
  <c r="BC28" i="87"/>
  <c r="BD28" i="87"/>
  <c r="BR28" i="87"/>
  <c r="BT28" i="87"/>
  <c r="BU28" i="87"/>
  <c r="BV28" i="87"/>
  <c r="BW28" i="87"/>
  <c r="BX28" i="87"/>
  <c r="BY28" i="87"/>
  <c r="BZ28" i="87"/>
  <c r="CA28" i="87"/>
  <c r="CB28" i="87"/>
  <c r="CC28" i="87"/>
  <c r="CD28" i="87"/>
  <c r="CE28" i="87"/>
  <c r="CG28" i="87"/>
  <c r="CH28" i="87"/>
  <c r="CI28" i="87"/>
  <c r="CJ28" i="87"/>
  <c r="CK28" i="87"/>
  <c r="CL28" i="87"/>
  <c r="CM28" i="87"/>
  <c r="CN28" i="87"/>
  <c r="CO28" i="87"/>
  <c r="CP28" i="87"/>
  <c r="CQ28" i="87"/>
  <c r="CR28" i="87"/>
  <c r="CT28" i="87"/>
  <c r="CU28" i="87"/>
  <c r="CV28" i="87"/>
  <c r="CW28" i="87"/>
  <c r="CX28" i="87"/>
  <c r="CY28" i="87"/>
  <c r="CZ28" i="87"/>
  <c r="DA28" i="87"/>
  <c r="DB28" i="87"/>
  <c r="DC28" i="87"/>
  <c r="DD28" i="87"/>
  <c r="DE28" i="87"/>
  <c r="DG28" i="87"/>
  <c r="DH28" i="87"/>
  <c r="DI28" i="87"/>
  <c r="DJ28" i="87"/>
  <c r="DK28" i="87"/>
  <c r="DL28" i="87"/>
  <c r="DM28" i="87"/>
  <c r="DN28" i="87"/>
  <c r="DO28" i="87"/>
  <c r="DP28" i="87"/>
  <c r="DQ28" i="87"/>
  <c r="DR28" i="87"/>
  <c r="DT28" i="87"/>
  <c r="DU28" i="87"/>
  <c r="DV28" i="87"/>
  <c r="DW28" i="87"/>
  <c r="DX28" i="87"/>
  <c r="DY28" i="87"/>
  <c r="DZ28" i="87"/>
  <c r="EA28" i="87"/>
  <c r="EB28" i="87"/>
  <c r="EC28" i="87"/>
  <c r="ED28" i="87"/>
  <c r="EE28" i="87"/>
  <c r="EG28" i="87"/>
  <c r="EH28" i="87"/>
  <c r="EI28" i="87"/>
  <c r="EJ28" i="87"/>
  <c r="EK28" i="87"/>
  <c r="EL28" i="87"/>
  <c r="EM28" i="87"/>
  <c r="EN28" i="87"/>
  <c r="EO28" i="87"/>
  <c r="EP28" i="87"/>
  <c r="EQ28" i="87"/>
  <c r="A29" i="87"/>
  <c r="B29" i="87"/>
  <c r="C29" i="87"/>
  <c r="D29" i="87"/>
  <c r="E29" i="87"/>
  <c r="F29" i="87"/>
  <c r="G29" i="87"/>
  <c r="H29" i="87"/>
  <c r="I29" i="87"/>
  <c r="J29" i="87"/>
  <c r="K29" i="87"/>
  <c r="L29" i="87"/>
  <c r="M29" i="87"/>
  <c r="N29" i="87"/>
  <c r="O29" i="87"/>
  <c r="P29" i="87"/>
  <c r="Q29" i="87"/>
  <c r="A30" i="87"/>
  <c r="B30" i="87"/>
  <c r="C30" i="87"/>
  <c r="D30" i="87"/>
  <c r="E30" i="87"/>
  <c r="F30" i="87"/>
  <c r="G30" i="87"/>
  <c r="H30" i="87"/>
  <c r="I30" i="87"/>
  <c r="J30" i="87"/>
  <c r="K30" i="87"/>
  <c r="L30" i="87"/>
  <c r="M30" i="87"/>
  <c r="N30" i="87"/>
  <c r="O30" i="87"/>
  <c r="P30" i="87"/>
  <c r="Q30" i="87"/>
  <c r="R30" i="87"/>
  <c r="S30" i="87"/>
  <c r="T30" i="87"/>
  <c r="U30" i="87"/>
  <c r="V30" i="87"/>
  <c r="W30" i="87"/>
  <c r="X30" i="87"/>
  <c r="A31" i="87"/>
  <c r="B31" i="87"/>
  <c r="C31" i="87"/>
  <c r="D31" i="87"/>
  <c r="E31" i="87"/>
  <c r="F31" i="87"/>
  <c r="A32" i="87"/>
  <c r="C32" i="87"/>
  <c r="D32" i="87"/>
  <c r="E32" i="87"/>
  <c r="F32" i="87"/>
  <c r="G32" i="87"/>
  <c r="H32" i="87"/>
  <c r="I32" i="87"/>
  <c r="J32" i="87"/>
  <c r="K32" i="87"/>
  <c r="L32" i="87"/>
  <c r="M32" i="87"/>
  <c r="N32" i="87"/>
  <c r="P32" i="87"/>
  <c r="Q32" i="87"/>
  <c r="R32" i="87"/>
  <c r="S32" i="87"/>
  <c r="T32" i="87"/>
  <c r="U32" i="87"/>
  <c r="V32" i="87"/>
  <c r="W32" i="87"/>
  <c r="X32" i="87"/>
  <c r="Y32" i="87"/>
  <c r="Z32" i="87"/>
  <c r="AN32" i="87"/>
  <c r="AP32" i="87"/>
  <c r="AQ32" i="87"/>
  <c r="AR32" i="87"/>
  <c r="AS32" i="87"/>
  <c r="AT32" i="87"/>
  <c r="AU32" i="87"/>
  <c r="AV32" i="87"/>
  <c r="AW32" i="87"/>
  <c r="AX32" i="87"/>
  <c r="AY32" i="87"/>
  <c r="AZ32" i="87"/>
  <c r="BA32" i="87"/>
  <c r="BC32" i="87"/>
  <c r="BD32" i="87"/>
  <c r="BE32" i="87"/>
  <c r="BF32" i="87"/>
  <c r="BG32" i="87"/>
  <c r="BH32" i="87"/>
  <c r="BI32" i="87"/>
  <c r="BJ32" i="87"/>
  <c r="BK32" i="87"/>
  <c r="BL32" i="87"/>
  <c r="BM32" i="87"/>
  <c r="BN32" i="87"/>
  <c r="BP32" i="87"/>
  <c r="BQ32" i="87"/>
  <c r="BR32" i="87"/>
  <c r="BS32" i="87"/>
  <c r="BT32" i="87"/>
  <c r="BU32" i="87"/>
  <c r="BV32" i="87"/>
  <c r="BW32" i="87"/>
  <c r="BX32" i="87"/>
  <c r="BY32" i="87"/>
  <c r="BZ32" i="87"/>
  <c r="CA32" i="87"/>
  <c r="CC32" i="87"/>
  <c r="CD32" i="87"/>
  <c r="CE32" i="87"/>
  <c r="CF32" i="87"/>
  <c r="CG32" i="87"/>
  <c r="CH32" i="87"/>
  <c r="CI32" i="87"/>
  <c r="CJ32" i="87"/>
  <c r="CK32" i="87"/>
  <c r="CL32" i="87"/>
  <c r="CM32" i="87"/>
  <c r="CN32" i="87"/>
  <c r="CP32" i="87"/>
  <c r="CQ32" i="87"/>
  <c r="CR32" i="87"/>
  <c r="CS32" i="87"/>
  <c r="CT32" i="87"/>
  <c r="CU32" i="87"/>
  <c r="CV32" i="87"/>
  <c r="CW32" i="87"/>
  <c r="CX32" i="87"/>
  <c r="CY32" i="87"/>
  <c r="CZ32" i="87"/>
  <c r="DA32" i="87"/>
  <c r="DC32" i="87"/>
  <c r="DD32" i="87"/>
  <c r="DE32" i="87"/>
  <c r="DF32" i="87"/>
  <c r="DG32" i="87"/>
  <c r="DH32" i="87"/>
  <c r="DI32" i="87"/>
  <c r="DJ32" i="87"/>
  <c r="DK32" i="87"/>
  <c r="DL32" i="87"/>
  <c r="DM32" i="87"/>
  <c r="DN32" i="87"/>
  <c r="DO32" i="87"/>
  <c r="DP32" i="87"/>
  <c r="DQ32" i="87"/>
  <c r="DR32" i="87"/>
  <c r="DS32" i="87"/>
  <c r="DT32" i="87"/>
  <c r="DU32" i="87"/>
  <c r="DV32" i="87"/>
  <c r="DW32" i="87"/>
  <c r="DX32" i="87"/>
  <c r="DY32" i="87"/>
  <c r="DZ32" i="87"/>
  <c r="EA32" i="87"/>
  <c r="A33" i="87"/>
  <c r="B33" i="87"/>
  <c r="C33" i="87"/>
  <c r="D33" i="87"/>
  <c r="E33" i="87"/>
  <c r="F33" i="87"/>
  <c r="G33" i="87"/>
  <c r="H33" i="87"/>
  <c r="I33" i="87"/>
  <c r="J33" i="87"/>
  <c r="HT5" i="87"/>
  <c r="GQ5" i="87"/>
  <c r="FT5" i="87"/>
  <c r="FC5" i="87"/>
  <c r="EN5" i="87"/>
  <c r="EA5" i="87"/>
  <c r="ED4" i="87"/>
  <c r="G4" i="87"/>
  <c r="DK4" i="87"/>
  <c r="IK3" i="87"/>
  <c r="BX10" i="87"/>
  <c r="IF5" i="87" l="1"/>
  <c r="DP35" i="87"/>
  <c r="IH5" i="87" l="1"/>
</calcChain>
</file>

<file path=xl/sharedStrings.xml><?xml version="1.0" encoding="utf-8"?>
<sst xmlns="http://schemas.openxmlformats.org/spreadsheetml/2006/main" count="171" uniqueCount="106">
  <si>
    <t>הערות</t>
  </si>
  <si>
    <t>סה"כ</t>
  </si>
  <si>
    <t>הצגה בסקר</t>
  </si>
  <si>
    <t>טיפול בסיכון עיקרי</t>
  </si>
  <si>
    <t>מערכת בקרת קוד</t>
  </si>
  <si>
    <t>AAAAAH+L/PI=</t>
  </si>
  <si>
    <t>פגישת תכנון לאבן-דרך 1</t>
  </si>
  <si>
    <t>.</t>
  </si>
  <si>
    <t>ID</t>
  </si>
  <si>
    <t>Total</t>
  </si>
  <si>
    <t>Comments</t>
  </si>
  <si>
    <t>Total Grade</t>
  </si>
  <si>
    <t>Commets</t>
  </si>
  <si>
    <t>Project Name</t>
  </si>
  <si>
    <t>Total Grade - 100%</t>
  </si>
  <si>
    <t>Github Wiki design</t>
  </si>
  <si>
    <t>קישור למסמכי הפרוייקט</t>
  </si>
  <si>
    <t xml:space="preserve">דיאגרמה </t>
  </si>
  <si>
    <t>Github Logo + Vision</t>
  </si>
  <si>
    <t>ניהול סיכונים</t>
  </si>
  <si>
    <t>הגדרת לקוח</t>
  </si>
  <si>
    <t>שליחת מייל עם קישור למאגר</t>
  </si>
  <si>
    <t>הכנה ופרסום SRS</t>
  </si>
  <si>
    <t>תאור התקדמות טכנולוגית</t>
  </si>
  <si>
    <t>רישום לסקר</t>
  </si>
  <si>
    <t>גרסה מלאה SRS</t>
  </si>
  <si>
    <t>סקר דרישות לקוח</t>
  </si>
  <si>
    <t>מפרט תיכון</t>
  </si>
  <si>
    <t>תכניות פיתוח וטיפול בסיכונים</t>
  </si>
  <si>
    <t>סיכום סקר עם לקוח</t>
  </si>
  <si>
    <t>עדכון שם הנציג באתר</t>
  </si>
  <si>
    <t>עדכון מסמכי התיכון</t>
  </si>
  <si>
    <t>רשימת משימות - Github</t>
  </si>
  <si>
    <t>תיעוד המוצר</t>
  </si>
  <si>
    <t>ZFR - Review (class)</t>
  </si>
  <si>
    <t>עדכון מאגר קוד</t>
  </si>
  <si>
    <t>MVP - Review (class)</t>
  </si>
  <si>
    <t>MVP Survey (Github)</t>
  </si>
  <si>
    <t>בדיקות- 20%</t>
  </si>
  <si>
    <t>ישיבת תכנון ספרינט 4 - 10%</t>
  </si>
  <si>
    <t xml:space="preserve">סקר שיפורי קוד - 20% </t>
  </si>
  <si>
    <t>הגדרת המוצר - 40%</t>
  </si>
  <si>
    <t xml:space="preserve">תיכון - 20% </t>
  </si>
  <si>
    <t>תכנון וסיכונים - 10%</t>
  </si>
  <si>
    <t>איכות ההצגה - 20%</t>
  </si>
  <si>
    <t>עמידה בזמנים - 10%</t>
  </si>
  <si>
    <t>הערות כלליות להגשה</t>
  </si>
  <si>
    <t>הערות להצגת הפרוייקט בכיתה</t>
  </si>
  <si>
    <t>Project</t>
  </si>
  <si>
    <t>Exam1</t>
  </si>
  <si>
    <t>Final</t>
  </si>
  <si>
    <t>Cancelled</t>
  </si>
  <si>
    <t>Exams</t>
  </si>
  <si>
    <t>Avg</t>
  </si>
  <si>
    <t>Amigos</t>
  </si>
  <si>
    <t>immedi-ate</t>
  </si>
  <si>
    <t>MedMinder</t>
  </si>
  <si>
    <t>ShifterMan</t>
  </si>
  <si>
    <t>FaceWorld</t>
  </si>
  <si>
    <t>Customroid</t>
  </si>
  <si>
    <t>X</t>
  </si>
  <si>
    <t>הרבה טקסט בשקפים, ניתוח סיכונים יפה</t>
  </si>
  <si>
    <t>מצגת מרובת טקסט, לא כולם הציגו, ללא התייחסות למימוש</t>
  </si>
  <si>
    <t>מוטיבציה וניתוח בעיות יפה</t>
  </si>
  <si>
    <t>הרבה טקסט במצגת והקראתו בהצגה</t>
  </si>
  <si>
    <t>מצגת יפה, ללא מימוש</t>
  </si>
  <si>
    <t>התמקדות בצרכים (בעיית תכנון זמן), תרשים קצת מטעה</t>
  </si>
  <si>
    <t>לא כולם הציגו, מצגת מרובת טקסט</t>
  </si>
  <si>
    <t>מצוין.</t>
  </si>
  <si>
    <t>Grade</t>
  </si>
  <si>
    <t>Proposal</t>
  </si>
  <si>
    <t>Project Summed Up</t>
  </si>
  <si>
    <t>Course Mates</t>
  </si>
  <si>
    <t>Shop-Smart</t>
  </si>
  <si>
    <t>שליחת מייל עם קישור למסמכי הפרויקט + הוספת הצוות לרשימת צוותים</t>
  </si>
  <si>
    <t>Shifter-Man</t>
  </si>
  <si>
    <t>Control Room</t>
  </si>
  <si>
    <t>ZFR -Project Quality</t>
  </si>
  <si>
    <t>ZFR - Review (Github)</t>
  </si>
  <si>
    <t>דו"ח סיכום - retro-perspective</t>
  </si>
  <si>
    <t>3. זכירות.</t>
  </si>
  <si>
    <t>4. Security (Basic).</t>
  </si>
  <si>
    <r>
      <t xml:space="preserve">5. Reliability (No exceptions </t>
    </r>
    <r>
      <rPr>
        <b/>
        <u/>
        <sz val="11"/>
        <color theme="1"/>
        <rFont val="Arial"/>
        <family val="2"/>
        <scheme val="minor"/>
      </rPr>
      <t>at all</t>
    </r>
    <r>
      <rPr>
        <sz val="11"/>
        <color theme="1"/>
        <rFont val="Arial"/>
        <family val="2"/>
        <charset val="177"/>
        <scheme val="minor"/>
      </rPr>
      <t>! (Also for not yet implemented functionalities).</t>
    </r>
  </si>
  <si>
    <t xml:space="preserve">7. ETC. </t>
  </si>
  <si>
    <t>Product Quality* - 35%</t>
  </si>
  <si>
    <t xml:space="preserve">ישיבת תכנון ספרינט 3 - 10% </t>
  </si>
  <si>
    <t>עדכון הויקי - 10%</t>
  </si>
  <si>
    <t>*Product quality culomn is going to include not only the functionality itself, but also non-functional requirements (=Quality of product):</t>
  </si>
  <si>
    <t>Retroperspective - 10%</t>
  </si>
  <si>
    <t>סקר ללקוח - 10%</t>
  </si>
  <si>
    <t>עדכון ויקי ומשימות - 10%</t>
  </si>
  <si>
    <t>Retroperspective - 15%</t>
  </si>
  <si>
    <t>משימות ב- Github - 10%</t>
  </si>
  <si>
    <t>סיכום עם לקוח - 10%</t>
  </si>
  <si>
    <t>דף איטרציה - 10%</t>
  </si>
  <si>
    <t>GitHub Pull Requests - 20%</t>
  </si>
  <si>
    <t>Project Summary - 25%</t>
  </si>
  <si>
    <t>Release Presentation - 25%</t>
  </si>
  <si>
    <t>1. Ease of use ~ Useability</t>
  </si>
  <si>
    <t>2. GUI.</t>
  </si>
  <si>
    <t>TDD - Review (class) -15%</t>
  </si>
  <si>
    <t>Simulation(future)</t>
  </si>
  <si>
    <t>Project Name (sorted)</t>
  </si>
  <si>
    <t>ControlRoom</t>
  </si>
  <si>
    <t>ID (sorted)</t>
  </si>
  <si>
    <t>Course-m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</si>
</sst>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1"/>
      <color rgb="FF00000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b/>
      <u/>
      <sz val="11"/>
      <color theme="1"/>
      <name val="Arial"/>
      <family val="2"/>
      <scheme val="minor"/>
    </font>
    <font>
      <sz val="11"/>
      <color rgb="FFFF0000"/>
      <name val="Arial"/>
      <family val="2"/>
      <charset val="177"/>
      <scheme val="minor"/>
    </font>
    <font>
      <sz val="1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3" fillId="2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2" xfId="0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2" fillId="0" borderId="1" xfId="0" applyFont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3" fillId="2" borderId="1" xfId="0" applyFont="1" applyFill="1" applyBorder="1" applyAlignment="1"/>
    <xf numFmtId="0" fontId="0" fillId="0" borderId="0" xfId="0" applyAlignment="1"/>
    <xf numFmtId="0" fontId="0" fillId="0" borderId="1" xfId="0" applyBorder="1" applyAlignment="1">
      <alignment readingOrder="2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5" xfId="0" applyFont="1" applyFill="1" applyBorder="1" applyAlignment="1">
      <alignment horizontal="left"/>
    </xf>
    <xf numFmtId="0" fontId="0" fillId="0" borderId="6" xfId="0" applyBorder="1"/>
    <xf numFmtId="0" fontId="0" fillId="0" borderId="1" xfId="0" applyBorder="1" applyAlignment="1">
      <alignment readingOrder="1"/>
    </xf>
    <xf numFmtId="0" fontId="0" fillId="0" borderId="1" xfId="0" applyBorder="1" applyAlignment="1">
      <alignment horizontal="right" readingOrder="2"/>
    </xf>
    <xf numFmtId="0" fontId="0" fillId="0" borderId="0" xfId="0" applyAlignment="1">
      <alignment horizontal="right"/>
    </xf>
    <xf numFmtId="0" fontId="0" fillId="0" borderId="0" xfId="0" applyAlignment="1">
      <alignment readingOrder="1"/>
    </xf>
    <xf numFmtId="0" fontId="3" fillId="2" borderId="1" xfId="0" applyFont="1" applyFill="1" applyBorder="1" applyAlignment="1">
      <alignment horizontal="left" readingOrder="1"/>
    </xf>
    <xf numFmtId="0" fontId="0" fillId="0" borderId="1" xfId="0" applyBorder="1" applyAlignment="1">
      <alignment horizontal="center" readingOrder="1"/>
    </xf>
    <xf numFmtId="0" fontId="0" fillId="0" borderId="1" xfId="0" applyBorder="1" applyAlignment="1">
      <alignment horizontal="left" readingOrder="1"/>
    </xf>
    <xf numFmtId="0" fontId="0" fillId="0" borderId="0" xfId="0" applyBorder="1"/>
    <xf numFmtId="0" fontId="3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top"/>
    </xf>
    <xf numFmtId="0" fontId="0" fillId="4" borderId="7" xfId="0" applyFill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right" vertical="top" wrapText="1"/>
    </xf>
    <xf numFmtId="0" fontId="0" fillId="0" borderId="7" xfId="0" applyBorder="1" applyAlignment="1">
      <alignment horizontal="right" vertical="top"/>
    </xf>
    <xf numFmtId="0" fontId="0" fillId="0" borderId="7" xfId="0" applyBorder="1" applyAlignment="1">
      <alignment horizontal="left" vertical="top"/>
    </xf>
    <xf numFmtId="0" fontId="0" fillId="0" borderId="7" xfId="0" applyFill="1" applyBorder="1"/>
    <xf numFmtId="0" fontId="0" fillId="0" borderId="7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0" fillId="0" borderId="0" xfId="0" applyBorder="1" applyAlignment="1">
      <alignment horizontal="center" readingOrder="1"/>
    </xf>
    <xf numFmtId="0" fontId="3" fillId="2" borderId="9" xfId="0" applyFont="1" applyFill="1" applyBorder="1" applyAlignment="1">
      <alignment horizontal="left" readingOrder="1"/>
    </xf>
    <xf numFmtId="0" fontId="0" fillId="0" borderId="8" xfId="0" applyBorder="1"/>
    <xf numFmtId="0" fontId="0" fillId="0" borderId="3" xfId="0" applyFill="1" applyBorder="1"/>
    <xf numFmtId="0" fontId="0" fillId="0" borderId="8" xfId="0" applyBorder="1" applyAlignment="1">
      <alignment readingOrder="1"/>
    </xf>
    <xf numFmtId="0" fontId="3" fillId="2" borderId="5" xfId="0" applyFont="1" applyFill="1" applyBorder="1" applyAlignment="1">
      <alignment horizontal="left" readingOrder="1"/>
    </xf>
    <xf numFmtId="0" fontId="3" fillId="2" borderId="10" xfId="0" applyFont="1" applyFill="1" applyBorder="1" applyAlignment="1">
      <alignment horizontal="left" readingOrder="1"/>
    </xf>
    <xf numFmtId="0" fontId="3" fillId="2" borderId="11" xfId="0" applyFont="1" applyFill="1" applyBorder="1" applyAlignment="1">
      <alignment horizontal="left" readingOrder="1"/>
    </xf>
    <xf numFmtId="0" fontId="0" fillId="0" borderId="6" xfId="0" applyBorder="1" applyAlignment="1">
      <alignment horizontal="center" readingOrder="1"/>
    </xf>
    <xf numFmtId="0" fontId="0" fillId="0" borderId="12" xfId="0" applyBorder="1" applyAlignment="1">
      <alignment horizontal="center" readingOrder="1"/>
    </xf>
    <xf numFmtId="0" fontId="0" fillId="0" borderId="13" xfId="0" applyBorder="1" applyAlignment="1">
      <alignment horizontal="center" readingOrder="1"/>
    </xf>
    <xf numFmtId="0" fontId="0" fillId="0" borderId="1" xfId="0" applyBorder="1" applyAlignment="1"/>
    <xf numFmtId="0" fontId="3" fillId="2" borderId="14" xfId="0" applyFont="1" applyFill="1" applyBorder="1" applyAlignment="1">
      <alignment horizontal="left"/>
    </xf>
    <xf numFmtId="0" fontId="3" fillId="2" borderId="1" xfId="0" applyFont="1" applyFill="1" applyBorder="1" applyAlignment="1">
      <alignment wrapText="1"/>
    </xf>
    <xf numFmtId="0" fontId="0" fillId="4" borderId="1" xfId="0" applyFill="1" applyBorder="1" applyAlignment="1"/>
    <xf numFmtId="0" fontId="0" fillId="4" borderId="1" xfId="0" applyFill="1" applyBorder="1"/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4" xfId="0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" sqref="A2:C20"/>
    </sheetView>
  </sheetViews>
  <sheetFormatPr defaultRowHeight="13.8" x14ac:dyDescent="0.25"/>
  <cols>
    <col min="1" max="1" width="12" bestFit="1" customWidth="1"/>
    <col min="2" max="2" width="10.69921875" bestFit="1" customWidth="1"/>
    <col min="3" max="3" width="13.3984375" customWidth="1"/>
  </cols>
  <sheetData>
    <row r="1" spans="1:3" ht="14.4" thickBot="1" x14ac:dyDescent="0.3">
      <c r="A1" s="20" t="s">
        <v>8</v>
      </c>
      <c r="B1" s="69" t="s">
        <v>70</v>
      </c>
      <c r="C1" s="69" t="s">
        <v>48</v>
      </c>
    </row>
    <row r="2" spans="1:3" ht="14.4" thickBot="1" x14ac:dyDescent="0.3">
      <c r="A2" s="3">
        <v>21682042</v>
      </c>
      <c r="B2" t="s">
        <v>105</v>
      </c>
      <c r="C2" t="s">
        <v>105</v>
      </c>
    </row>
    <row r="3" spans="1:3" ht="14.4" thickBot="1" x14ac:dyDescent="0.3">
      <c r="A3" s="3">
        <v>34608745</v>
      </c>
      <c r="B3" t="s">
        <v>56</v>
      </c>
      <c r="C3" t="s">
        <v>56</v>
      </c>
    </row>
    <row r="4" spans="1:3" ht="14.4" thickBot="1" x14ac:dyDescent="0.3">
      <c r="A4" s="3">
        <v>36795516</v>
      </c>
      <c r="B4" t="s">
        <v>59</v>
      </c>
      <c r="C4" t="s">
        <v>56</v>
      </c>
    </row>
    <row r="5" spans="1:3" ht="14.4" thickBot="1" x14ac:dyDescent="0.3">
      <c r="A5" s="3">
        <v>36977668</v>
      </c>
      <c r="B5" t="s">
        <v>55</v>
      </c>
      <c r="C5" t="s">
        <v>73</v>
      </c>
    </row>
    <row r="6" spans="1:3" ht="14.4" thickBot="1" x14ac:dyDescent="0.3">
      <c r="A6" s="3">
        <v>39015862</v>
      </c>
      <c r="B6" t="s">
        <v>54</v>
      </c>
      <c r="C6" t="s">
        <v>103</v>
      </c>
    </row>
    <row r="7" spans="1:3" ht="14.4" thickBot="1" x14ac:dyDescent="0.3">
      <c r="A7" s="3">
        <v>39991708</v>
      </c>
      <c r="B7" t="s">
        <v>55</v>
      </c>
      <c r="C7" t="s">
        <v>73</v>
      </c>
    </row>
    <row r="8" spans="1:3" ht="14.4" thickBot="1" x14ac:dyDescent="0.3">
      <c r="A8" s="3">
        <v>200553964</v>
      </c>
      <c r="B8" t="s">
        <v>54</v>
      </c>
      <c r="C8" t="s">
        <v>103</v>
      </c>
    </row>
    <row r="9" spans="1:3" ht="14.4" thickBot="1" x14ac:dyDescent="0.3">
      <c r="A9" s="3">
        <v>300373560</v>
      </c>
      <c r="B9" t="s">
        <v>58</v>
      </c>
      <c r="C9" t="s">
        <v>105</v>
      </c>
    </row>
    <row r="10" spans="1:3" ht="14.4" thickBot="1" x14ac:dyDescent="0.3">
      <c r="A10" s="3">
        <v>300605821</v>
      </c>
      <c r="B10" t="s">
        <v>59</v>
      </c>
      <c r="C10" t="s">
        <v>56</v>
      </c>
    </row>
    <row r="11" spans="1:3" ht="14.4" thickBot="1" x14ac:dyDescent="0.3">
      <c r="A11" s="3">
        <v>300638343</v>
      </c>
      <c r="B11" t="s">
        <v>103</v>
      </c>
      <c r="C11" t="s">
        <v>103</v>
      </c>
    </row>
    <row r="12" spans="1:3" ht="14.4" thickBot="1" x14ac:dyDescent="0.3">
      <c r="A12" s="7">
        <v>301445029</v>
      </c>
      <c r="B12" t="s">
        <v>103</v>
      </c>
      <c r="C12" t="s">
        <v>103</v>
      </c>
    </row>
    <row r="13" spans="1:3" ht="14.4" thickBot="1" x14ac:dyDescent="0.3">
      <c r="A13" s="3">
        <v>301668547</v>
      </c>
      <c r="B13" t="s">
        <v>60</v>
      </c>
      <c r="C13" t="s">
        <v>73</v>
      </c>
    </row>
    <row r="14" spans="1:3" ht="14.4" thickBot="1" x14ac:dyDescent="0.3">
      <c r="A14" s="3">
        <v>302892971</v>
      </c>
      <c r="B14" t="s">
        <v>58</v>
      </c>
      <c r="C14" t="s">
        <v>105</v>
      </c>
    </row>
    <row r="15" spans="1:3" ht="14.4" thickBot="1" x14ac:dyDescent="0.3">
      <c r="A15" s="3">
        <v>303829063</v>
      </c>
      <c r="B15" t="s">
        <v>60</v>
      </c>
      <c r="C15" t="s">
        <v>57</v>
      </c>
    </row>
    <row r="16" spans="1:3" ht="14.4" thickBot="1" x14ac:dyDescent="0.3">
      <c r="A16" s="7">
        <v>312669112</v>
      </c>
      <c r="B16" t="s">
        <v>57</v>
      </c>
      <c r="C16" t="s">
        <v>57</v>
      </c>
    </row>
    <row r="17" spans="1:3" ht="15" customHeight="1" thickBot="1" x14ac:dyDescent="0.3">
      <c r="A17" s="3">
        <v>317720134</v>
      </c>
      <c r="B17" t="s">
        <v>105</v>
      </c>
      <c r="C17" t="s">
        <v>105</v>
      </c>
    </row>
    <row r="18" spans="1:3" ht="15" customHeight="1" thickBot="1" x14ac:dyDescent="0.3">
      <c r="A18" s="3">
        <v>318090255</v>
      </c>
      <c r="B18" t="s">
        <v>57</v>
      </c>
      <c r="C18" t="s">
        <v>57</v>
      </c>
    </row>
    <row r="19" spans="1:3" ht="14.4" thickBot="1" x14ac:dyDescent="0.3">
      <c r="A19" s="3">
        <v>323327163</v>
      </c>
      <c r="B19" t="s">
        <v>57</v>
      </c>
      <c r="C19" t="s">
        <v>57</v>
      </c>
    </row>
    <row r="20" spans="1:3" ht="14.4" thickBot="1" x14ac:dyDescent="0.3">
      <c r="A20" s="3">
        <v>323744326</v>
      </c>
      <c r="B20" t="s">
        <v>56</v>
      </c>
      <c r="C20" t="s">
        <v>56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85" zoomScaleNormal="85" workbookViewId="0">
      <selection activeCell="F30" sqref="F30"/>
    </sheetView>
  </sheetViews>
  <sheetFormatPr defaultRowHeight="13.8" x14ac:dyDescent="0.25"/>
  <cols>
    <col min="1" max="1" width="17.8984375" bestFit="1" customWidth="1"/>
    <col min="2" max="2" width="19.69921875" bestFit="1" customWidth="1"/>
    <col min="3" max="3" width="20" bestFit="1" customWidth="1"/>
    <col min="4" max="4" width="14.3984375" bestFit="1" customWidth="1"/>
    <col min="5" max="5" width="26.69921875" customWidth="1"/>
    <col min="6" max="6" width="22.69921875" bestFit="1" customWidth="1"/>
    <col min="7" max="7" width="8.19921875" customWidth="1"/>
    <col min="8" max="8" width="69.19921875" bestFit="1" customWidth="1"/>
  </cols>
  <sheetData>
    <row r="1" spans="1:8" ht="14.4" thickBot="1" x14ac:dyDescent="0.3">
      <c r="A1" s="4" t="s">
        <v>13</v>
      </c>
      <c r="B1" s="4" t="s">
        <v>36</v>
      </c>
      <c r="C1" s="4" t="s">
        <v>37</v>
      </c>
      <c r="D1" s="4" t="s">
        <v>35</v>
      </c>
      <c r="E1" s="4" t="s">
        <v>79</v>
      </c>
      <c r="F1" s="4" t="s">
        <v>32</v>
      </c>
      <c r="G1" s="4" t="s">
        <v>1</v>
      </c>
      <c r="H1" s="4" t="s">
        <v>10</v>
      </c>
    </row>
    <row r="2" spans="1:8" ht="14.4" thickBot="1" x14ac:dyDescent="0.3">
      <c r="A2" s="32"/>
      <c r="B2" s="3"/>
      <c r="C2" s="46"/>
      <c r="D2" s="46"/>
      <c r="E2" s="46"/>
      <c r="F2" s="46"/>
      <c r="G2" s="72">
        <f t="shared" ref="G2:G6" si="0">(0.2*(B2+C2+D2+E2+F2))</f>
        <v>0</v>
      </c>
      <c r="H2" s="47"/>
    </row>
    <row r="3" spans="1:8" ht="14.4" thickBot="1" x14ac:dyDescent="0.3">
      <c r="A3" s="32"/>
      <c r="B3" s="3"/>
      <c r="C3" s="3"/>
      <c r="D3" s="3"/>
      <c r="E3" s="3"/>
      <c r="F3" s="3"/>
      <c r="G3" s="72">
        <f t="shared" si="0"/>
        <v>0</v>
      </c>
      <c r="H3" s="10"/>
    </row>
    <row r="4" spans="1:8" ht="14.4" thickBot="1" x14ac:dyDescent="0.3">
      <c r="A4" s="32"/>
      <c r="B4" s="3"/>
      <c r="C4" s="3"/>
      <c r="D4" s="3"/>
      <c r="E4" s="3"/>
      <c r="F4" s="3"/>
      <c r="G4" s="72">
        <f t="shared" si="0"/>
        <v>0</v>
      </c>
      <c r="H4" s="10"/>
    </row>
    <row r="5" spans="1:8" ht="14.4" thickBot="1" x14ac:dyDescent="0.3">
      <c r="A5" s="32"/>
      <c r="B5" s="3"/>
      <c r="C5" s="3"/>
      <c r="D5" s="3"/>
      <c r="E5" s="3"/>
      <c r="F5" s="3"/>
      <c r="G5" s="72">
        <f t="shared" si="0"/>
        <v>0</v>
      </c>
      <c r="H5" s="10"/>
    </row>
    <row r="6" spans="1:8" ht="14.4" thickBot="1" x14ac:dyDescent="0.3">
      <c r="A6" s="32"/>
      <c r="B6" s="3"/>
      <c r="C6" s="48"/>
      <c r="D6" s="48"/>
      <c r="E6" s="48"/>
      <c r="F6" s="48"/>
      <c r="G6" s="72">
        <f t="shared" si="0"/>
        <v>0</v>
      </c>
      <c r="H6" s="49"/>
    </row>
    <row r="7" spans="1:8" ht="14.4" thickBot="1" x14ac:dyDescent="0.3">
      <c r="A7" s="3"/>
      <c r="B7" s="3"/>
      <c r="C7" s="3"/>
      <c r="D7" s="3"/>
      <c r="E7" s="3"/>
      <c r="F7" s="3"/>
      <c r="G7" s="72"/>
      <c r="H7" s="5"/>
    </row>
    <row r="8" spans="1:8" ht="14.4" thickBot="1" x14ac:dyDescent="0.3">
      <c r="A8" s="3"/>
      <c r="B8" s="3"/>
      <c r="C8" s="3"/>
      <c r="D8" s="3"/>
      <c r="E8" s="3"/>
      <c r="F8" s="3"/>
      <c r="G8" s="3"/>
      <c r="H8" s="5"/>
    </row>
    <row r="9" spans="1:8" ht="14.4" thickBot="1" x14ac:dyDescent="0.3">
      <c r="A9" s="3"/>
      <c r="B9" s="3"/>
      <c r="C9" s="3"/>
      <c r="D9" s="3"/>
      <c r="E9" s="3"/>
      <c r="F9" s="3"/>
      <c r="G9" s="3"/>
      <c r="H9" s="5"/>
    </row>
    <row r="10" spans="1:8" ht="14.4" thickBot="1" x14ac:dyDescent="0.3">
      <c r="A10" s="7"/>
      <c r="B10" s="3"/>
      <c r="C10" s="3"/>
      <c r="D10" s="3"/>
      <c r="E10" s="3"/>
      <c r="F10" s="3"/>
      <c r="G10" s="3"/>
      <c r="H10" s="5"/>
    </row>
    <row r="11" spans="1:8" ht="14.4" thickBot="1" x14ac:dyDescent="0.3">
      <c r="A11" s="3"/>
      <c r="B11" s="3"/>
      <c r="C11" s="3"/>
      <c r="D11" s="3"/>
      <c r="E11" s="3"/>
      <c r="F11" s="3"/>
      <c r="G11" s="3"/>
      <c r="H11" s="5"/>
    </row>
    <row r="12" spans="1:8" ht="14.4" thickBot="1" x14ac:dyDescent="0.3">
      <c r="A12" s="3"/>
      <c r="B12" s="3"/>
      <c r="C12" s="3"/>
      <c r="D12" s="3"/>
      <c r="E12" s="3"/>
      <c r="F12" s="3"/>
      <c r="G12" s="3"/>
      <c r="H12" s="5"/>
    </row>
    <row r="13" spans="1:8" ht="14.4" thickBot="1" x14ac:dyDescent="0.3">
      <c r="A13" s="3"/>
      <c r="B13" s="3"/>
      <c r="C13" s="3"/>
      <c r="D13" s="3"/>
      <c r="E13" s="3"/>
      <c r="F13" s="3"/>
      <c r="G13" s="3"/>
      <c r="H13" s="5"/>
    </row>
    <row r="14" spans="1:8" ht="14.4" thickBot="1" x14ac:dyDescent="0.3">
      <c r="A14" s="3"/>
      <c r="B14" s="3"/>
      <c r="C14" s="3"/>
      <c r="D14" s="3"/>
      <c r="E14" s="3"/>
      <c r="F14" s="3"/>
      <c r="G14" s="3"/>
      <c r="H14" s="3"/>
    </row>
    <row r="15" spans="1:8" x14ac:dyDescent="0.25">
      <c r="B15" t="s">
        <v>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" sqref="A2:A8"/>
    </sheetView>
  </sheetViews>
  <sheetFormatPr defaultColWidth="9.09765625" defaultRowHeight="13.8" x14ac:dyDescent="0.25"/>
  <cols>
    <col min="1" max="1" width="12.69921875" bestFit="1" customWidth="1"/>
    <col min="2" max="2" width="20.296875" customWidth="1"/>
    <col min="3" max="3" width="24.09765625" bestFit="1" customWidth="1"/>
    <col min="4" max="4" width="10.8984375" bestFit="1" customWidth="1"/>
    <col min="5" max="5" width="23.19921875" bestFit="1" customWidth="1"/>
    <col min="6" max="6" width="21.69921875" bestFit="1" customWidth="1"/>
    <col min="7" max="7" width="14.296875" bestFit="1" customWidth="1"/>
    <col min="8" max="8" width="17.5" bestFit="1" customWidth="1"/>
    <col min="9" max="9" width="10.5" bestFit="1" customWidth="1"/>
  </cols>
  <sheetData>
    <row r="1" spans="1:9" ht="14.4" thickBot="1" x14ac:dyDescent="0.3">
      <c r="A1" s="4" t="s">
        <v>13</v>
      </c>
      <c r="B1" s="4" t="s">
        <v>84</v>
      </c>
      <c r="C1" s="4" t="s">
        <v>100</v>
      </c>
      <c r="D1" s="4" t="s">
        <v>38</v>
      </c>
      <c r="E1" s="4" t="s">
        <v>85</v>
      </c>
      <c r="F1" s="4" t="s">
        <v>88</v>
      </c>
      <c r="G1" s="4" t="s">
        <v>86</v>
      </c>
      <c r="H1" s="4" t="s">
        <v>14</v>
      </c>
      <c r="I1" s="4" t="s">
        <v>10</v>
      </c>
    </row>
    <row r="2" spans="1:9" ht="14.4" thickBot="1" x14ac:dyDescent="0.3">
      <c r="A2" s="32"/>
      <c r="B2" s="6"/>
      <c r="C2" s="6"/>
      <c r="D2" s="6"/>
      <c r="E2" s="6"/>
      <c r="F2" s="6"/>
      <c r="G2" s="6"/>
      <c r="H2" s="75">
        <f>(0.35*B2 + 0.15*C2 + 0.2*D2 + 0.1*E2 + 0.1*F2 +0.1*G2)</f>
        <v>0</v>
      </c>
    </row>
    <row r="3" spans="1:9" ht="14.4" thickBot="1" x14ac:dyDescent="0.3">
      <c r="A3" s="32"/>
      <c r="B3" s="6"/>
      <c r="C3" s="6"/>
      <c r="D3" s="51"/>
      <c r="E3" s="51"/>
      <c r="F3" s="51"/>
      <c r="G3" s="51"/>
      <c r="H3" s="75">
        <f>(0.35*B3 + 0.15*C3 + 0.2*D3 + 0.1*E3 + 0.1*F3 +0.1*G3)</f>
        <v>0</v>
      </c>
    </row>
    <row r="4" spans="1:9" ht="14.4" thickBot="1" x14ac:dyDescent="0.3">
      <c r="A4" s="32"/>
      <c r="B4" s="53"/>
      <c r="C4" s="50"/>
      <c r="D4" s="50"/>
      <c r="E4" s="54"/>
      <c r="F4" s="54"/>
      <c r="G4" s="54"/>
      <c r="H4" s="76">
        <f>(0.35*B4 + 0.15*C4 + 0.2*D4 + 0.1*E4 + 0.1*F4 +0.1*G4)</f>
        <v>0</v>
      </c>
    </row>
    <row r="5" spans="1:9" ht="14.4" thickBot="1" x14ac:dyDescent="0.3">
      <c r="A5" s="32"/>
      <c r="B5" s="6"/>
      <c r="C5" s="6"/>
      <c r="D5" s="52"/>
      <c r="E5" s="52"/>
      <c r="F5" s="52"/>
      <c r="G5" s="52"/>
      <c r="H5" s="75">
        <f t="shared" ref="H5:H6" si="0">(0.35*B5 + 0.15*C5 + 0.2*D5 + 0.1*E5 + 0.1*F5 +0.1*G5)</f>
        <v>0</v>
      </c>
      <c r="I5" s="49"/>
    </row>
    <row r="6" spans="1:9" ht="14.4" thickBot="1" x14ac:dyDescent="0.3">
      <c r="A6" s="32"/>
      <c r="B6" s="6"/>
      <c r="C6" s="6"/>
      <c r="D6" s="6"/>
      <c r="E6" s="6"/>
      <c r="F6" s="6"/>
      <c r="G6" s="6"/>
      <c r="H6" s="75">
        <f t="shared" si="0"/>
        <v>0</v>
      </c>
      <c r="I6" s="47"/>
    </row>
    <row r="7" spans="1:9" ht="14.4" thickBot="1" x14ac:dyDescent="0.3">
      <c r="A7" s="3"/>
      <c r="B7" s="6"/>
      <c r="C7" s="6"/>
      <c r="D7" s="6"/>
      <c r="E7" s="6"/>
      <c r="F7" s="6"/>
      <c r="G7" s="6"/>
      <c r="H7" s="75"/>
      <c r="I7" s="12"/>
    </row>
    <row r="8" spans="1:9" ht="14.4" thickBot="1" x14ac:dyDescent="0.3">
      <c r="A8" s="3"/>
      <c r="B8" s="6"/>
      <c r="C8" s="6"/>
      <c r="D8" s="6"/>
      <c r="E8" s="6"/>
      <c r="F8" s="6"/>
      <c r="G8" s="6"/>
      <c r="H8" s="6"/>
      <c r="I8" s="12"/>
    </row>
    <row r="9" spans="1:9" ht="14.4" thickBot="1" x14ac:dyDescent="0.3">
      <c r="A9" s="3"/>
      <c r="B9" s="6"/>
      <c r="C9" s="6"/>
      <c r="D9" s="6"/>
      <c r="E9" s="6"/>
      <c r="F9" s="6"/>
      <c r="G9" s="6"/>
      <c r="H9" s="6"/>
      <c r="I9" s="13"/>
    </row>
    <row r="10" spans="1:9" ht="14.4" thickBot="1" x14ac:dyDescent="0.3">
      <c r="A10" s="7"/>
      <c r="B10" s="6"/>
      <c r="C10" s="6"/>
      <c r="D10" s="6"/>
      <c r="E10" s="6"/>
      <c r="F10" s="6"/>
      <c r="G10" s="6"/>
      <c r="H10" s="6"/>
      <c r="I10" s="14"/>
    </row>
    <row r="11" spans="1:9" ht="34.5" customHeight="1" thickBot="1" x14ac:dyDescent="0.3">
      <c r="A11" s="3"/>
      <c r="B11" s="6"/>
      <c r="C11" s="6"/>
      <c r="D11" s="6"/>
      <c r="E11" s="6"/>
      <c r="F11" s="6"/>
      <c r="G11" s="6"/>
      <c r="H11" s="6"/>
      <c r="I11" s="14"/>
    </row>
    <row r="12" spans="1:9" ht="14.4" thickBot="1" x14ac:dyDescent="0.3">
      <c r="A12" s="3"/>
      <c r="B12" s="6"/>
      <c r="C12" s="6"/>
      <c r="D12" s="6"/>
      <c r="E12" s="6"/>
      <c r="F12" s="6"/>
      <c r="G12" s="6"/>
      <c r="H12" s="6"/>
      <c r="I12" s="14"/>
    </row>
    <row r="13" spans="1:9" ht="14.4" thickBot="1" x14ac:dyDescent="0.3">
      <c r="A13" s="3"/>
      <c r="B13" s="6"/>
      <c r="C13" s="6"/>
      <c r="D13" s="6"/>
      <c r="E13" s="6"/>
      <c r="F13" s="6"/>
      <c r="G13" s="6"/>
      <c r="H13" s="6"/>
      <c r="I13" s="12"/>
    </row>
    <row r="14" spans="1:9" ht="14.4" thickBot="1" x14ac:dyDescent="0.3">
      <c r="A14" s="3"/>
      <c r="B14" s="6"/>
      <c r="C14" s="6"/>
      <c r="D14" s="6"/>
      <c r="E14" s="6"/>
      <c r="F14" s="6"/>
      <c r="G14" s="6"/>
      <c r="H14" s="6"/>
      <c r="I14" s="14"/>
    </row>
    <row r="21" spans="2:7" x14ac:dyDescent="0.25">
      <c r="B21" s="44" t="s">
        <v>87</v>
      </c>
      <c r="C21" s="44"/>
      <c r="D21" s="44"/>
      <c r="E21" s="44"/>
      <c r="F21" s="44"/>
      <c r="G21" s="44"/>
    </row>
    <row r="22" spans="2:7" x14ac:dyDescent="0.25">
      <c r="B22" s="45" t="s">
        <v>98</v>
      </c>
      <c r="C22" s="44"/>
      <c r="D22" s="44"/>
      <c r="E22" s="44"/>
      <c r="F22" s="44"/>
      <c r="G22" s="44"/>
    </row>
    <row r="23" spans="2:7" x14ac:dyDescent="0.25">
      <c r="B23" s="45" t="s">
        <v>99</v>
      </c>
      <c r="C23" s="44"/>
      <c r="D23" s="44"/>
      <c r="E23" s="44"/>
      <c r="F23" s="44"/>
      <c r="G23" s="44"/>
    </row>
    <row r="24" spans="2:7" x14ac:dyDescent="0.25">
      <c r="B24" s="45" t="s">
        <v>80</v>
      </c>
      <c r="C24" s="44"/>
      <c r="D24" s="44"/>
      <c r="E24" s="44"/>
      <c r="F24" s="44"/>
      <c r="G24" s="44"/>
    </row>
    <row r="25" spans="2:7" x14ac:dyDescent="0.25">
      <c r="B25" s="45" t="s">
        <v>81</v>
      </c>
      <c r="C25" s="44"/>
      <c r="D25" s="44"/>
      <c r="E25" s="44"/>
      <c r="F25" s="44"/>
      <c r="G25" s="44"/>
    </row>
    <row r="26" spans="2:7" x14ac:dyDescent="0.25">
      <c r="B26" s="45" t="s">
        <v>82</v>
      </c>
      <c r="C26" s="44"/>
      <c r="D26" s="44"/>
      <c r="E26" s="44"/>
      <c r="F26" s="44"/>
      <c r="G26" s="44"/>
    </row>
    <row r="27" spans="2:7" x14ac:dyDescent="0.25">
      <c r="B27" s="45" t="s">
        <v>83</v>
      </c>
      <c r="C27" s="44"/>
      <c r="D27" s="44"/>
      <c r="E27" s="44"/>
      <c r="F27" s="44"/>
      <c r="G27" s="44"/>
    </row>
    <row r="28" spans="2:7" x14ac:dyDescent="0.25">
      <c r="B28" s="43"/>
    </row>
    <row r="29" spans="2:7" x14ac:dyDescent="0.25">
      <c r="B29" s="43"/>
    </row>
    <row r="30" spans="2:7" x14ac:dyDescent="0.25">
      <c r="B30" s="43"/>
    </row>
    <row r="31" spans="2:7" x14ac:dyDescent="0.25">
      <c r="B31" s="43"/>
    </row>
    <row r="32" spans="2:7" x14ac:dyDescent="0.25">
      <c r="B32" s="43"/>
    </row>
    <row r="33" spans="2:2" x14ac:dyDescent="0.25">
      <c r="B33" s="43"/>
    </row>
    <row r="34" spans="2:2" x14ac:dyDescent="0.25">
      <c r="B34" s="4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E1" zoomScaleNormal="100" workbookViewId="0">
      <selection activeCell="I2" sqref="I2:I8"/>
    </sheetView>
  </sheetViews>
  <sheetFormatPr defaultColWidth="9.09765625" defaultRowHeight="13.8" x14ac:dyDescent="0.25"/>
  <cols>
    <col min="1" max="1" width="15.59765625" customWidth="1"/>
    <col min="2" max="2" width="24.5" customWidth="1"/>
    <col min="3" max="3" width="16.8984375" bestFit="1" customWidth="1"/>
    <col min="4" max="4" width="22.69921875" bestFit="1" customWidth="1"/>
    <col min="5" max="5" width="25.09765625" bestFit="1" customWidth="1"/>
    <col min="6" max="6" width="20.69921875" bestFit="1" customWidth="1"/>
    <col min="7" max="7" width="23.09765625" bestFit="1" customWidth="1"/>
    <col min="8" max="8" width="17.69921875" bestFit="1" customWidth="1"/>
    <col min="9" max="9" width="45.19921875" bestFit="1" customWidth="1"/>
  </cols>
  <sheetData>
    <row r="1" spans="1:9" ht="14.4" thickBot="1" x14ac:dyDescent="0.3">
      <c r="A1" s="4" t="s">
        <v>13</v>
      </c>
      <c r="B1" s="4" t="s">
        <v>84</v>
      </c>
      <c r="C1" s="4" t="s">
        <v>89</v>
      </c>
      <c r="D1" s="15" t="s">
        <v>90</v>
      </c>
      <c r="E1" s="4" t="s">
        <v>39</v>
      </c>
      <c r="F1" s="4" t="s">
        <v>40</v>
      </c>
      <c r="G1" s="4" t="s">
        <v>91</v>
      </c>
      <c r="H1" s="4" t="s">
        <v>14</v>
      </c>
      <c r="I1" s="4" t="s">
        <v>10</v>
      </c>
    </row>
    <row r="2" spans="1:9" ht="15" thickBot="1" x14ac:dyDescent="0.25">
      <c r="A2" s="32" t="s">
        <v>72</v>
      </c>
      <c r="B2" s="56"/>
      <c r="C2" s="3"/>
      <c r="D2" s="3"/>
      <c r="E2" s="3"/>
      <c r="F2" s="3"/>
      <c r="G2" s="3"/>
      <c r="H2" s="75">
        <f>(0.35*B2 + 0.1*C2 + 0.1*D2 + 0.1*E2 + 0.2*F2 +0.15*G2)</f>
        <v>0</v>
      </c>
      <c r="I2" s="3"/>
    </row>
    <row r="3" spans="1:9" ht="31.5" customHeight="1" thickBot="1" x14ac:dyDescent="0.3">
      <c r="A3" s="32" t="s">
        <v>56</v>
      </c>
      <c r="B3" s="55"/>
      <c r="C3" s="48"/>
      <c r="D3" s="48"/>
      <c r="E3" s="48"/>
      <c r="F3" s="48"/>
      <c r="G3" s="48"/>
      <c r="H3" s="75">
        <f t="shared" ref="H3:H4" si="0">(0.35*B3 + 0.1*C3 + 0.1*D3 + 0.1*E3 + 0.2*F3 +0.15*G3)</f>
        <v>0</v>
      </c>
      <c r="I3" s="9"/>
    </row>
    <row r="4" spans="1:9" ht="15" thickBot="1" x14ac:dyDescent="0.25">
      <c r="A4" s="32" t="s">
        <v>73</v>
      </c>
      <c r="B4" s="6"/>
      <c r="C4" s="48"/>
      <c r="D4" s="48"/>
      <c r="E4" s="48"/>
      <c r="F4" s="48"/>
      <c r="G4" s="48"/>
      <c r="H4" s="75">
        <f t="shared" si="0"/>
        <v>0</v>
      </c>
      <c r="I4" s="48"/>
    </row>
    <row r="5" spans="1:9" ht="32.25" customHeight="1" thickBot="1" x14ac:dyDescent="0.3">
      <c r="A5" s="32" t="s">
        <v>75</v>
      </c>
      <c r="B5" s="6"/>
      <c r="C5" s="3"/>
      <c r="D5" s="3"/>
      <c r="E5" s="3"/>
      <c r="F5" s="3"/>
      <c r="G5" s="3"/>
      <c r="H5" s="75">
        <f t="shared" ref="H5:H6" si="1">(0.35*B5 + 0.1*C5 + 0.1*D5 + 0.1*E5 + 0.2*F5 +0.15*G5)</f>
        <v>0</v>
      </c>
      <c r="I5" s="9"/>
    </row>
    <row r="6" spans="1:9" ht="14.4" thickBot="1" x14ac:dyDescent="0.3">
      <c r="A6" s="32" t="s">
        <v>76</v>
      </c>
      <c r="B6" s="6"/>
      <c r="C6" s="3"/>
      <c r="D6" s="3"/>
      <c r="E6" s="3"/>
      <c r="F6" s="3"/>
      <c r="G6" s="3"/>
      <c r="H6" s="75">
        <f t="shared" si="1"/>
        <v>0</v>
      </c>
      <c r="I6" s="5"/>
    </row>
    <row r="7" spans="1:9" ht="15" thickBot="1" x14ac:dyDescent="0.25">
      <c r="A7" s="3"/>
      <c r="B7" s="6"/>
      <c r="C7" s="3"/>
      <c r="D7" s="3"/>
      <c r="E7" s="3"/>
      <c r="F7" s="3"/>
      <c r="G7" s="3"/>
      <c r="H7" s="72"/>
      <c r="I7" s="3"/>
    </row>
    <row r="8" spans="1:9" ht="15" thickBot="1" x14ac:dyDescent="0.25">
      <c r="A8" s="3"/>
      <c r="B8" s="6"/>
      <c r="C8" s="3"/>
      <c r="D8" s="3"/>
      <c r="E8" s="3"/>
      <c r="F8" s="3"/>
      <c r="G8" s="3"/>
      <c r="H8" s="72"/>
      <c r="I8" s="3"/>
    </row>
    <row r="9" spans="1:9" ht="15" thickBot="1" x14ac:dyDescent="0.25">
      <c r="A9" s="3"/>
      <c r="B9" s="6"/>
      <c r="C9" s="3"/>
      <c r="D9" s="3"/>
      <c r="E9" s="3"/>
      <c r="F9" s="3"/>
      <c r="G9" s="3"/>
      <c r="H9" s="3"/>
      <c r="I9" s="3"/>
    </row>
    <row r="10" spans="1:9" ht="15" thickBot="1" x14ac:dyDescent="0.25">
      <c r="A10" s="7"/>
      <c r="B10" s="6"/>
      <c r="C10" s="3"/>
      <c r="D10" s="3"/>
      <c r="E10" s="3"/>
      <c r="F10" s="3"/>
      <c r="G10" s="3"/>
      <c r="H10" s="3"/>
      <c r="I10" s="3"/>
    </row>
    <row r="11" spans="1:9" ht="15" thickBot="1" x14ac:dyDescent="0.25">
      <c r="A11" s="3"/>
      <c r="B11" s="6"/>
      <c r="C11" s="3"/>
      <c r="D11" s="3"/>
      <c r="E11" s="3"/>
      <c r="F11" s="3"/>
      <c r="G11" s="3"/>
      <c r="H11" s="3"/>
      <c r="I11" s="3"/>
    </row>
    <row r="12" spans="1:9" ht="15" thickBot="1" x14ac:dyDescent="0.25">
      <c r="A12" s="3"/>
      <c r="B12" s="6"/>
      <c r="C12" s="3"/>
      <c r="D12" s="3"/>
      <c r="E12" s="3"/>
      <c r="F12" s="3"/>
      <c r="G12" s="3"/>
      <c r="H12" s="3"/>
      <c r="I12" s="3"/>
    </row>
    <row r="13" spans="1:9" ht="15" thickBot="1" x14ac:dyDescent="0.25">
      <c r="A13" s="3"/>
      <c r="B13" s="6"/>
      <c r="C13" s="3"/>
      <c r="D13" s="3"/>
      <c r="E13" s="3"/>
      <c r="F13" s="3"/>
      <c r="G13" s="3"/>
      <c r="H13" s="3"/>
      <c r="I13" s="3"/>
    </row>
    <row r="14" spans="1:9" ht="15" thickBot="1" x14ac:dyDescent="0.25">
      <c r="A14" s="3"/>
      <c r="B14" s="6"/>
      <c r="C14" s="3"/>
      <c r="D14" s="3"/>
      <c r="E14" s="3"/>
      <c r="F14" s="3"/>
      <c r="G14" s="3"/>
      <c r="H14" s="3"/>
      <c r="I14" s="3"/>
    </row>
    <row r="21" spans="2:7" x14ac:dyDescent="0.25">
      <c r="B21" s="44" t="s">
        <v>87</v>
      </c>
      <c r="C21" s="44"/>
      <c r="D21" s="44"/>
      <c r="E21" s="44"/>
      <c r="F21" s="44"/>
      <c r="G21" s="44"/>
    </row>
    <row r="22" spans="2:7" x14ac:dyDescent="0.25">
      <c r="B22" s="45" t="s">
        <v>98</v>
      </c>
      <c r="C22" s="44"/>
      <c r="D22" s="44"/>
      <c r="E22" s="44"/>
      <c r="F22" s="44"/>
      <c r="G22" s="44"/>
    </row>
    <row r="23" spans="2:7" x14ac:dyDescent="0.25">
      <c r="B23" s="45" t="s">
        <v>99</v>
      </c>
      <c r="C23" s="44"/>
      <c r="D23" s="44"/>
      <c r="E23" s="44"/>
      <c r="F23" s="44"/>
      <c r="G23" s="44"/>
    </row>
    <row r="24" spans="2:7" x14ac:dyDescent="0.25">
      <c r="B24" s="45" t="s">
        <v>80</v>
      </c>
      <c r="C24" s="44"/>
      <c r="D24" s="44"/>
      <c r="E24" s="44"/>
      <c r="F24" s="44"/>
      <c r="G24" s="44"/>
    </row>
    <row r="25" spans="2:7" x14ac:dyDescent="0.25">
      <c r="B25" s="45" t="s">
        <v>81</v>
      </c>
      <c r="C25" s="44"/>
      <c r="D25" s="44"/>
      <c r="E25" s="44"/>
      <c r="F25" s="44"/>
      <c r="G25" s="44"/>
    </row>
    <row r="26" spans="2:7" x14ac:dyDescent="0.25">
      <c r="B26" s="45" t="s">
        <v>82</v>
      </c>
      <c r="C26" s="44"/>
      <c r="D26" s="44"/>
      <c r="E26" s="44"/>
      <c r="F26" s="44"/>
      <c r="G26" s="44"/>
    </row>
    <row r="27" spans="2:7" x14ac:dyDescent="0.25">
      <c r="B27" s="45" t="s">
        <v>83</v>
      </c>
      <c r="C27" s="44"/>
      <c r="D27" s="44"/>
      <c r="E27" s="44"/>
      <c r="F27" s="44"/>
      <c r="G27" s="44"/>
    </row>
    <row r="28" spans="2:7" x14ac:dyDescent="0.25">
      <c r="B28" s="45"/>
      <c r="C28" s="44"/>
      <c r="D28" s="44"/>
      <c r="E28" s="44"/>
      <c r="F28" s="44"/>
      <c r="G28" s="44"/>
    </row>
    <row r="29" spans="2:7" x14ac:dyDescent="0.25">
      <c r="B29" s="45"/>
      <c r="C29" s="44"/>
      <c r="D29" s="44"/>
      <c r="E29" s="44"/>
      <c r="F29" s="44"/>
      <c r="G29" s="44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1"/>
  <dimension ref="A1:I14"/>
  <sheetViews>
    <sheetView workbookViewId="0">
      <selection activeCell="A2" sqref="A2:A11"/>
    </sheetView>
  </sheetViews>
  <sheetFormatPr defaultColWidth="9.09765625" defaultRowHeight="13.8" x14ac:dyDescent="0.25"/>
  <cols>
    <col min="1" max="1" width="18.59765625" bestFit="1" customWidth="1"/>
    <col min="2" max="2" width="24.09765625" customWidth="1"/>
    <col min="3" max="3" width="23" customWidth="1"/>
    <col min="4" max="4" width="29.19921875" customWidth="1"/>
    <col min="5" max="5" width="15.09765625" customWidth="1"/>
    <col min="6" max="6" width="19.8984375" customWidth="1"/>
    <col min="7" max="7" width="26.19921875" customWidth="1"/>
    <col min="8" max="8" width="11.19921875" bestFit="1" customWidth="1"/>
    <col min="9" max="9" width="39.09765625" customWidth="1"/>
  </cols>
  <sheetData>
    <row r="1" spans="1:9" ht="14.4" thickBot="1" x14ac:dyDescent="0.3">
      <c r="A1" s="4" t="s">
        <v>13</v>
      </c>
      <c r="B1" s="4" t="s">
        <v>97</v>
      </c>
      <c r="C1" s="4" t="s">
        <v>96</v>
      </c>
      <c r="D1" s="4" t="s">
        <v>95</v>
      </c>
      <c r="E1" s="4" t="s">
        <v>94</v>
      </c>
      <c r="F1" s="4" t="s">
        <v>93</v>
      </c>
      <c r="G1" s="4" t="s">
        <v>92</v>
      </c>
      <c r="H1" s="4" t="s">
        <v>11</v>
      </c>
      <c r="I1" s="4" t="s">
        <v>0</v>
      </c>
    </row>
    <row r="2" spans="1:9" ht="14.4" thickBot="1" x14ac:dyDescent="0.3">
      <c r="A2" s="32"/>
      <c r="B2" s="3"/>
      <c r="C2" s="3"/>
      <c r="D2" s="3"/>
      <c r="E2" s="3"/>
      <c r="F2" s="3"/>
      <c r="G2" s="3"/>
      <c r="H2" s="72">
        <f t="shared" ref="H2:H4" si="0">(0.25*B2+0.25*C2+0.2*D2+0.1*E2+0.1*F2+0.1*G2)</f>
        <v>0</v>
      </c>
      <c r="I2" s="17"/>
    </row>
    <row r="3" spans="1:9" ht="14.4" thickBot="1" x14ac:dyDescent="0.3">
      <c r="A3" s="32"/>
      <c r="B3" s="3"/>
      <c r="C3" s="3"/>
      <c r="D3" s="3"/>
      <c r="E3" s="3"/>
      <c r="F3" s="3"/>
      <c r="G3" s="3"/>
      <c r="H3" s="72">
        <f t="shared" si="0"/>
        <v>0</v>
      </c>
      <c r="I3" s="5"/>
    </row>
    <row r="4" spans="1:9" ht="14.4" thickBot="1" x14ac:dyDescent="0.3">
      <c r="A4" s="32"/>
      <c r="B4" s="3"/>
      <c r="C4" s="3"/>
      <c r="D4" s="3"/>
      <c r="E4" s="3"/>
      <c r="F4" s="3"/>
      <c r="G4" s="3"/>
      <c r="H4" s="72">
        <f t="shared" si="0"/>
        <v>0</v>
      </c>
      <c r="I4" s="3"/>
    </row>
    <row r="5" spans="1:9" ht="14.4" thickBot="1" x14ac:dyDescent="0.3">
      <c r="A5" s="32"/>
      <c r="B5" s="3"/>
      <c r="C5" s="3"/>
      <c r="D5" s="48"/>
      <c r="E5" s="48"/>
      <c r="F5" s="48"/>
      <c r="G5" s="48"/>
      <c r="H5" s="72">
        <f>(0.25*B5+0.25*C5+0.2*D5+0.1*E5+0.1*F5+0.1*G5)</f>
        <v>0</v>
      </c>
      <c r="I5" s="3"/>
    </row>
    <row r="6" spans="1:9" ht="14.4" thickBot="1" x14ac:dyDescent="0.3">
      <c r="A6" s="32"/>
      <c r="B6" s="3"/>
      <c r="C6" s="48"/>
      <c r="D6" s="48"/>
      <c r="E6" s="48"/>
      <c r="F6" s="48"/>
      <c r="G6" s="48"/>
      <c r="H6" s="77">
        <f>(0.25*B6+0.25*C6+0.2*D6+0.1*E6+0.1*F6+0.1*G6)</f>
        <v>0</v>
      </c>
      <c r="I6" s="3"/>
    </row>
    <row r="7" spans="1:9" ht="15" thickBot="1" x14ac:dyDescent="0.25">
      <c r="A7" s="3"/>
      <c r="B7" s="3"/>
      <c r="C7" s="3"/>
      <c r="D7" s="21"/>
      <c r="E7" s="21"/>
      <c r="F7" s="21"/>
      <c r="G7" s="21"/>
      <c r="H7" s="72"/>
      <c r="I7" s="3"/>
    </row>
    <row r="8" spans="1:9" ht="15" thickBot="1" x14ac:dyDescent="0.25">
      <c r="A8" s="3"/>
      <c r="B8" s="3"/>
      <c r="C8" s="3"/>
      <c r="D8" s="3"/>
      <c r="E8" s="3"/>
      <c r="F8" s="3"/>
      <c r="G8" s="3"/>
      <c r="H8" s="3"/>
      <c r="I8" s="3"/>
    </row>
    <row r="9" spans="1:9" ht="15" thickBot="1" x14ac:dyDescent="0.25">
      <c r="A9" s="3"/>
      <c r="B9" s="3"/>
      <c r="C9" s="3"/>
      <c r="D9" s="3"/>
      <c r="E9" s="3"/>
      <c r="F9" s="3"/>
      <c r="G9" s="3"/>
      <c r="H9" s="3"/>
      <c r="I9" s="3"/>
    </row>
    <row r="10" spans="1:9" ht="15" thickBot="1" x14ac:dyDescent="0.25">
      <c r="A10" s="7"/>
      <c r="B10" s="3"/>
      <c r="C10" s="3"/>
      <c r="D10" s="3"/>
      <c r="E10" s="3"/>
      <c r="F10" s="3"/>
      <c r="G10" s="3"/>
      <c r="H10" s="3"/>
      <c r="I10" s="3"/>
    </row>
    <row r="11" spans="1:9" ht="15" thickBot="1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9" ht="15" thickBot="1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ht="15" thickBot="1" x14ac:dyDescent="0.25">
      <c r="A13" s="3"/>
      <c r="B13" s="3"/>
      <c r="C13" s="3"/>
      <c r="D13" s="3"/>
      <c r="E13" s="3"/>
      <c r="F13" s="3"/>
      <c r="G13" s="3"/>
      <c r="H13" s="3"/>
      <c r="I13" s="5"/>
    </row>
    <row r="14" spans="1:9" ht="31.5" customHeight="1" thickBot="1" x14ac:dyDescent="0.25">
      <c r="A14" s="3"/>
      <c r="B14" s="3"/>
      <c r="C14" s="3"/>
      <c r="D14" s="3"/>
      <c r="E14" s="3"/>
      <c r="F14" s="3"/>
      <c r="G14" s="3"/>
      <c r="H14" s="3"/>
      <c r="I14" s="5"/>
    </row>
  </sheetData>
  <pageMargins left="0.7" right="0.7" top="0.75" bottom="0.75" header="0.3" footer="0.3"/>
  <pageSetup orientation="portrait" r:id="rId1"/>
  <customProperties>
    <customPr name="DVSECTION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>
    <row r="1" spans="1:1" x14ac:dyDescent="0.2">
      <c r="A1" t="s">
        <v>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3"/>
  <dimension ref="A1:IV35"/>
  <sheetViews>
    <sheetView workbookViewId="0">
      <selection activeCell="II5" sqref="II5"/>
    </sheetView>
  </sheetViews>
  <sheetFormatPr defaultColWidth="9.09765625" defaultRowHeight="13.8" x14ac:dyDescent="0.25"/>
  <sheetData>
    <row r="1" spans="1:256" ht="14.25" x14ac:dyDescent="0.2">
      <c r="A1" t="e">
        <f>IF(#REF!,"AAAAAH6e7QA=",0)</f>
        <v>#REF!</v>
      </c>
      <c r="B1" t="e">
        <f>AND(#REF!,"AAAAAH6e7QE=")</f>
        <v>#REF!</v>
      </c>
      <c r="C1" t="e">
        <f>AND(#REF!,"AAAAAH6e7QI=")</f>
        <v>#REF!</v>
      </c>
      <c r="D1" t="e">
        <f>AND(#REF!,"AAAAAH6e7QM=")</f>
        <v>#REF!</v>
      </c>
      <c r="E1" t="e">
        <f>AND(#REF!,"AAAAAH6e7QQ=")</f>
        <v>#REF!</v>
      </c>
      <c r="F1" t="e">
        <f>AND(#REF!,"AAAAAH6e7QU=")</f>
        <v>#REF!</v>
      </c>
      <c r="G1" t="e">
        <f>AND(#REF!,"AAAAAH6e7QY=")</f>
        <v>#REF!</v>
      </c>
      <c r="H1" t="e">
        <f>AND(#REF!,"AAAAAH6e7Qc=")</f>
        <v>#REF!</v>
      </c>
      <c r="I1" t="e">
        <f>AND(#REF!,"AAAAAH6e7Qg=")</f>
        <v>#REF!</v>
      </c>
      <c r="J1" t="e">
        <f>AND(#REF!,"AAAAAH6e7Qk=")</f>
        <v>#REF!</v>
      </c>
      <c r="K1" t="e">
        <f>AND(#REF!,"AAAAAH6e7Qo=")</f>
        <v>#REF!</v>
      </c>
      <c r="L1" t="e">
        <f>AND(#REF!,"AAAAAH6e7Qs=")</f>
        <v>#REF!</v>
      </c>
      <c r="M1" t="e">
        <f>AND(#REF!,"AAAAAH6e7Qw=")</f>
        <v>#REF!</v>
      </c>
      <c r="N1" t="e">
        <f>AND(#REF!,"AAAAAH6e7Q0=")</f>
        <v>#REF!</v>
      </c>
      <c r="O1" t="e">
        <f>AND(#REF!,"AAAAAH6e7Q4=")</f>
        <v>#REF!</v>
      </c>
      <c r="P1" t="e">
        <f>AND(#REF!,"AAAAAH6e7Q8=")</f>
        <v>#REF!</v>
      </c>
      <c r="Q1" t="e">
        <f>IF(#REF!,"AAAAAH6e7RA=",0)</f>
        <v>#REF!</v>
      </c>
      <c r="R1" t="e">
        <f>AND(#REF!,"AAAAAH6e7RE=")</f>
        <v>#REF!</v>
      </c>
      <c r="S1" t="e">
        <f>AND(#REF!,"AAAAAH6e7RI=")</f>
        <v>#REF!</v>
      </c>
      <c r="T1" t="e">
        <f>AND(#REF!,"AAAAAH6e7RM=")</f>
        <v>#REF!</v>
      </c>
      <c r="U1" t="e">
        <f>AND(#REF!,"AAAAAH6e7RQ=")</f>
        <v>#REF!</v>
      </c>
      <c r="V1" t="e">
        <f>AND(#REF!,"AAAAAH6e7RU=")</f>
        <v>#REF!</v>
      </c>
      <c r="W1" t="e">
        <f>AND(#REF!,"AAAAAH6e7RY=")</f>
        <v>#REF!</v>
      </c>
      <c r="X1" t="e">
        <f>AND(#REF!,"AAAAAH6e7Rc=")</f>
        <v>#REF!</v>
      </c>
      <c r="Y1" t="e">
        <f>AND(#REF!,"AAAAAH6e7Rg=")</f>
        <v>#REF!</v>
      </c>
      <c r="Z1" t="e">
        <f>AND(#REF!,"AAAAAH6e7Rk=")</f>
        <v>#REF!</v>
      </c>
      <c r="AA1" t="e">
        <f>AND(#REF!,"AAAAAH6e7Ro=")</f>
        <v>#REF!</v>
      </c>
      <c r="AB1" t="e">
        <f>AND(#REF!,"AAAAAH6e7Rs=")</f>
        <v>#REF!</v>
      </c>
      <c r="AC1" t="e">
        <f>AND(#REF!,"AAAAAH6e7Rw=")</f>
        <v>#REF!</v>
      </c>
      <c r="AD1" t="e">
        <f>AND(#REF!,"AAAAAH6e7R0=")</f>
        <v>#REF!</v>
      </c>
      <c r="AE1" t="e">
        <f>AND(#REF!,"AAAAAH6e7R4=")</f>
        <v>#REF!</v>
      </c>
      <c r="AF1" t="e">
        <f>AND(#REF!,"AAAAAH6e7R8=")</f>
        <v>#REF!</v>
      </c>
      <c r="AG1" t="e">
        <f>IF(#REF!,"AAAAAH6e7SA=",0)</f>
        <v>#REF!</v>
      </c>
      <c r="AH1" t="e">
        <f>AND(#REF!,"AAAAAH6e7SE=")</f>
        <v>#REF!</v>
      </c>
      <c r="AI1" t="e">
        <f>AND(#REF!,"AAAAAH6e7SI=")</f>
        <v>#REF!</v>
      </c>
      <c r="AJ1" t="e">
        <f>AND(#REF!,"AAAAAH6e7SM=")</f>
        <v>#REF!</v>
      </c>
      <c r="AK1" t="e">
        <f>AND(#REF!,"AAAAAH6e7SQ=")</f>
        <v>#REF!</v>
      </c>
      <c r="AL1" t="e">
        <f>AND(#REF!,"AAAAAH6e7SU=")</f>
        <v>#REF!</v>
      </c>
      <c r="AM1" t="e">
        <f>AND(#REF!,"AAAAAH6e7SY=")</f>
        <v>#REF!</v>
      </c>
      <c r="AN1" t="e">
        <f>AND(#REF!,"AAAAAH6e7Sc=")</f>
        <v>#REF!</v>
      </c>
      <c r="AO1" t="e">
        <f>AND(#REF!,"AAAAAH6e7Sg=")</f>
        <v>#REF!</v>
      </c>
      <c r="AP1" t="e">
        <f>AND(#REF!,"AAAAAH6e7Sk=")</f>
        <v>#REF!</v>
      </c>
      <c r="AQ1" t="e">
        <f>AND(#REF!,"AAAAAH6e7So=")</f>
        <v>#REF!</v>
      </c>
      <c r="AR1" t="e">
        <f>AND(#REF!,"AAAAAH6e7Ss=")</f>
        <v>#REF!</v>
      </c>
      <c r="AS1" t="e">
        <f>AND(#REF!,"AAAAAH6e7Sw=")</f>
        <v>#REF!</v>
      </c>
      <c r="AT1" t="e">
        <f>AND(#REF!,"AAAAAH6e7S0=")</f>
        <v>#REF!</v>
      </c>
      <c r="AU1" t="e">
        <f>AND(#REF!,"AAAAAH6e7S4=")</f>
        <v>#REF!</v>
      </c>
      <c r="AV1" t="e">
        <f>AND(#REF!,"AAAAAH6e7S8=")</f>
        <v>#REF!</v>
      </c>
      <c r="AW1" t="e">
        <f>IF(#REF!,"AAAAAH6e7TA=",0)</f>
        <v>#REF!</v>
      </c>
      <c r="AX1" t="e">
        <f>AND(#REF!,"AAAAAH6e7TE=")</f>
        <v>#REF!</v>
      </c>
      <c r="AY1" t="e">
        <f>AND(#REF!,"AAAAAH6e7TI=")</f>
        <v>#REF!</v>
      </c>
      <c r="AZ1" t="e">
        <f>AND(#REF!,"AAAAAH6e7TM=")</f>
        <v>#REF!</v>
      </c>
      <c r="BA1" t="e">
        <f>AND(#REF!,"AAAAAH6e7TQ=")</f>
        <v>#REF!</v>
      </c>
      <c r="BB1" t="e">
        <f>AND(#REF!,"AAAAAH6e7TU=")</f>
        <v>#REF!</v>
      </c>
      <c r="BC1" t="e">
        <f>AND(#REF!,"AAAAAH6e7TY=")</f>
        <v>#REF!</v>
      </c>
      <c r="BD1" t="e">
        <f>AND(#REF!,"AAAAAH6e7Tc=")</f>
        <v>#REF!</v>
      </c>
      <c r="BE1" t="e">
        <f>AND(#REF!,"AAAAAH6e7Tg=")</f>
        <v>#REF!</v>
      </c>
      <c r="BF1" t="e">
        <f>AND(#REF!,"AAAAAH6e7Tk=")</f>
        <v>#REF!</v>
      </c>
      <c r="BG1" t="e">
        <f>AND(#REF!,"AAAAAH6e7To=")</f>
        <v>#REF!</v>
      </c>
      <c r="BH1" t="e">
        <f>AND(#REF!,"AAAAAH6e7Ts=")</f>
        <v>#REF!</v>
      </c>
      <c r="BI1" t="e">
        <f>AND(#REF!,"AAAAAH6e7Tw=")</f>
        <v>#REF!</v>
      </c>
      <c r="BJ1" t="e">
        <f>AND(#REF!,"AAAAAH6e7T0=")</f>
        <v>#REF!</v>
      </c>
      <c r="BK1" t="e">
        <f>AND(#REF!,"AAAAAH6e7T4=")</f>
        <v>#REF!</v>
      </c>
      <c r="BL1" t="e">
        <f>AND(#REF!,"AAAAAH6e7T8=")</f>
        <v>#REF!</v>
      </c>
      <c r="BM1" t="e">
        <f>IF(#REF!,"AAAAAH6e7UA=",0)</f>
        <v>#REF!</v>
      </c>
      <c r="BN1" t="e">
        <f>AND(#REF!,"AAAAAH6e7UE=")</f>
        <v>#REF!</v>
      </c>
      <c r="BO1" t="e">
        <f>AND(#REF!,"AAAAAH6e7UI=")</f>
        <v>#REF!</v>
      </c>
      <c r="BP1" t="e">
        <f>AND(#REF!,"AAAAAH6e7UM=")</f>
        <v>#REF!</v>
      </c>
      <c r="BQ1" t="e">
        <f>AND(#REF!,"AAAAAH6e7UQ=")</f>
        <v>#REF!</v>
      </c>
      <c r="BR1" t="e">
        <f>AND(#REF!,"AAAAAH6e7UU=")</f>
        <v>#REF!</v>
      </c>
      <c r="BS1" t="e">
        <f>AND(#REF!,"AAAAAH6e7UY=")</f>
        <v>#REF!</v>
      </c>
      <c r="BT1" t="e">
        <f>AND(#REF!,"AAAAAH6e7Uc=")</f>
        <v>#REF!</v>
      </c>
      <c r="BU1" t="e">
        <f>AND(#REF!,"AAAAAH6e7Ug=")</f>
        <v>#REF!</v>
      </c>
      <c r="BV1" t="e">
        <f>AND(#REF!,"AAAAAH6e7Uk=")</f>
        <v>#REF!</v>
      </c>
      <c r="BW1" t="e">
        <f>AND(#REF!,"AAAAAH6e7Uo=")</f>
        <v>#REF!</v>
      </c>
      <c r="BX1" t="e">
        <f>AND(#REF!,"AAAAAH6e7Us=")</f>
        <v>#REF!</v>
      </c>
      <c r="BY1" t="e">
        <f>AND(#REF!,"AAAAAH6e7Uw=")</f>
        <v>#REF!</v>
      </c>
      <c r="BZ1" t="e">
        <f>AND(#REF!,"AAAAAH6e7U0=")</f>
        <v>#REF!</v>
      </c>
      <c r="CA1" t="e">
        <f>AND(#REF!,"AAAAAH6e7U4=")</f>
        <v>#REF!</v>
      </c>
      <c r="CB1" t="e">
        <f>AND(#REF!,"AAAAAH6e7U8=")</f>
        <v>#REF!</v>
      </c>
      <c r="CC1" t="e">
        <f>IF(#REF!,"AAAAAH6e7VA=",0)</f>
        <v>#REF!</v>
      </c>
      <c r="CD1" t="e">
        <f>AND(#REF!,"AAAAAH6e7VE=")</f>
        <v>#REF!</v>
      </c>
      <c r="CE1" t="e">
        <f>AND(#REF!,"AAAAAH6e7VI=")</f>
        <v>#REF!</v>
      </c>
      <c r="CF1" t="e">
        <f>AND(#REF!,"AAAAAH6e7VM=")</f>
        <v>#REF!</v>
      </c>
      <c r="CG1" t="e">
        <f>AND(#REF!,"AAAAAH6e7VQ=")</f>
        <v>#REF!</v>
      </c>
      <c r="CH1" t="e">
        <f>AND(#REF!,"AAAAAH6e7VU=")</f>
        <v>#REF!</v>
      </c>
      <c r="CI1" t="e">
        <f>AND(#REF!,"AAAAAH6e7VY=")</f>
        <v>#REF!</v>
      </c>
      <c r="CJ1" t="e">
        <f>AND(#REF!,"AAAAAH6e7Vc=")</f>
        <v>#REF!</v>
      </c>
      <c r="CK1" t="e">
        <f>AND(#REF!,"AAAAAH6e7Vg=")</f>
        <v>#REF!</v>
      </c>
      <c r="CL1" t="e">
        <f>AND(#REF!,"AAAAAH6e7Vk=")</f>
        <v>#REF!</v>
      </c>
      <c r="CM1" t="e">
        <f>AND(#REF!,"AAAAAH6e7Vo=")</f>
        <v>#REF!</v>
      </c>
      <c r="CN1" t="e">
        <f>AND(#REF!,"AAAAAH6e7Vs=")</f>
        <v>#REF!</v>
      </c>
      <c r="CO1" t="e">
        <f>AND(#REF!,"AAAAAH6e7Vw=")</f>
        <v>#REF!</v>
      </c>
      <c r="CP1" t="e">
        <f>AND(#REF!,"AAAAAH6e7V0=")</f>
        <v>#REF!</v>
      </c>
      <c r="CQ1" t="e">
        <f>AND(#REF!,"AAAAAH6e7V4=")</f>
        <v>#REF!</v>
      </c>
      <c r="CR1" t="e">
        <f>AND(#REF!,"AAAAAH6e7V8=")</f>
        <v>#REF!</v>
      </c>
      <c r="CS1" t="e">
        <f>IF(#REF!,"AAAAAH6e7WA=",0)</f>
        <v>#REF!</v>
      </c>
      <c r="CT1" t="e">
        <f>AND(#REF!,"AAAAAH6e7WE=")</f>
        <v>#REF!</v>
      </c>
      <c r="CU1" t="e">
        <f>AND(#REF!,"AAAAAH6e7WI=")</f>
        <v>#REF!</v>
      </c>
      <c r="CV1" t="e">
        <f>AND(#REF!,"AAAAAH6e7WM=")</f>
        <v>#REF!</v>
      </c>
      <c r="CW1" t="e">
        <f>AND(#REF!,"AAAAAH6e7WQ=")</f>
        <v>#REF!</v>
      </c>
      <c r="CX1" t="e">
        <f>AND(#REF!,"AAAAAH6e7WU=")</f>
        <v>#REF!</v>
      </c>
      <c r="CY1" t="e">
        <f>AND(#REF!,"AAAAAH6e7WY=")</f>
        <v>#REF!</v>
      </c>
      <c r="CZ1" t="e">
        <f>AND(#REF!,"AAAAAH6e7Wc=")</f>
        <v>#REF!</v>
      </c>
      <c r="DA1" t="e">
        <f>AND(#REF!,"AAAAAH6e7Wg=")</f>
        <v>#REF!</v>
      </c>
      <c r="DB1" t="e">
        <f>AND(#REF!,"AAAAAH6e7Wk=")</f>
        <v>#REF!</v>
      </c>
      <c r="DC1" t="e">
        <f>AND(#REF!,"AAAAAH6e7Wo=")</f>
        <v>#REF!</v>
      </c>
      <c r="DD1" t="e">
        <f>AND(#REF!,"AAAAAH6e7Ws=")</f>
        <v>#REF!</v>
      </c>
      <c r="DE1" t="e">
        <f>AND(#REF!,"AAAAAH6e7Ww=")</f>
        <v>#REF!</v>
      </c>
      <c r="DF1" t="e">
        <f>AND(#REF!,"AAAAAH6e7W0=")</f>
        <v>#REF!</v>
      </c>
      <c r="DG1" t="e">
        <f>AND(#REF!,"AAAAAH6e7W4=")</f>
        <v>#REF!</v>
      </c>
      <c r="DH1" t="e">
        <f>AND(#REF!,"AAAAAH6e7W8=")</f>
        <v>#REF!</v>
      </c>
      <c r="DI1" t="e">
        <f>IF(#REF!,"AAAAAH6e7XA=",0)</f>
        <v>#REF!</v>
      </c>
      <c r="DJ1" t="e">
        <f>AND(#REF!,"AAAAAH6e7XE=")</f>
        <v>#REF!</v>
      </c>
      <c r="DK1" t="e">
        <f>AND(#REF!,"AAAAAH6e7XI=")</f>
        <v>#REF!</v>
      </c>
      <c r="DL1" t="e">
        <f>AND(#REF!,"AAAAAH6e7XM=")</f>
        <v>#REF!</v>
      </c>
      <c r="DM1" t="e">
        <f>AND(#REF!,"AAAAAH6e7XQ=")</f>
        <v>#REF!</v>
      </c>
      <c r="DN1" t="e">
        <f>AND(#REF!,"AAAAAH6e7XU=")</f>
        <v>#REF!</v>
      </c>
      <c r="DO1" t="e">
        <f>AND(#REF!,"AAAAAH6e7XY=")</f>
        <v>#REF!</v>
      </c>
      <c r="DP1" t="e">
        <f>AND(#REF!,"AAAAAH6e7Xc=")</f>
        <v>#REF!</v>
      </c>
      <c r="DQ1" t="e">
        <f>AND(#REF!,"AAAAAH6e7Xg=")</f>
        <v>#REF!</v>
      </c>
      <c r="DR1" t="e">
        <f>AND(#REF!,"AAAAAH6e7Xk=")</f>
        <v>#REF!</v>
      </c>
      <c r="DS1" t="e">
        <f>AND(#REF!,"AAAAAH6e7Xo=")</f>
        <v>#REF!</v>
      </c>
      <c r="DT1" t="e">
        <f>AND(#REF!,"AAAAAH6e7Xs=")</f>
        <v>#REF!</v>
      </c>
      <c r="DU1" t="e">
        <f>AND(#REF!,"AAAAAH6e7Xw=")</f>
        <v>#REF!</v>
      </c>
      <c r="DV1" t="e">
        <f>AND(#REF!,"AAAAAH6e7X0=")</f>
        <v>#REF!</v>
      </c>
      <c r="DW1" t="e">
        <f>AND(#REF!,"AAAAAH6e7X4=")</f>
        <v>#REF!</v>
      </c>
      <c r="DX1" t="e">
        <f>AND(#REF!,"AAAAAH6e7X8=")</f>
        <v>#REF!</v>
      </c>
      <c r="DY1" t="e">
        <f>IF(#REF!,"AAAAAH6e7YA=",0)</f>
        <v>#REF!</v>
      </c>
      <c r="DZ1" t="e">
        <f>AND(#REF!,"AAAAAH6e7YE=")</f>
        <v>#REF!</v>
      </c>
      <c r="EA1" t="e">
        <f>AND(#REF!,"AAAAAH6e7YI=")</f>
        <v>#REF!</v>
      </c>
      <c r="EB1" t="e">
        <f>AND(#REF!,"AAAAAH6e7YM=")</f>
        <v>#REF!</v>
      </c>
      <c r="EC1" t="e">
        <f>AND(#REF!,"AAAAAH6e7YQ=")</f>
        <v>#REF!</v>
      </c>
      <c r="ED1" t="e">
        <f>AND(#REF!,"AAAAAH6e7YU=")</f>
        <v>#REF!</v>
      </c>
      <c r="EE1" t="e">
        <f>AND(#REF!,"AAAAAH6e7YY=")</f>
        <v>#REF!</v>
      </c>
      <c r="EF1" t="e">
        <f>AND(#REF!,"AAAAAH6e7Yc=")</f>
        <v>#REF!</v>
      </c>
      <c r="EG1" t="e">
        <f>AND(#REF!,"AAAAAH6e7Yg=")</f>
        <v>#REF!</v>
      </c>
      <c r="EH1" t="e">
        <f>AND(#REF!,"AAAAAH6e7Yk=")</f>
        <v>#REF!</v>
      </c>
      <c r="EI1" t="e">
        <f>AND(#REF!,"AAAAAH6e7Yo=")</f>
        <v>#REF!</v>
      </c>
      <c r="EJ1" t="e">
        <f>AND(#REF!,"AAAAAH6e7Ys=")</f>
        <v>#REF!</v>
      </c>
      <c r="EK1" t="e">
        <f>AND(#REF!,"AAAAAH6e7Yw=")</f>
        <v>#REF!</v>
      </c>
      <c r="EL1" t="e">
        <f>AND(#REF!,"AAAAAH6e7Y0=")</f>
        <v>#REF!</v>
      </c>
      <c r="EM1" t="e">
        <f>AND(#REF!,"AAAAAH6e7Y4=")</f>
        <v>#REF!</v>
      </c>
      <c r="EN1" t="e">
        <f>AND(#REF!,"AAAAAH6e7Y8=")</f>
        <v>#REF!</v>
      </c>
      <c r="EO1" t="e">
        <f>IF(#REF!,"AAAAAH6e7ZA=",0)</f>
        <v>#REF!</v>
      </c>
      <c r="EP1" t="e">
        <f>AND(#REF!,"AAAAAH6e7ZE=")</f>
        <v>#REF!</v>
      </c>
      <c r="EQ1" t="e">
        <f>AND(#REF!,"AAAAAH6e7ZI=")</f>
        <v>#REF!</v>
      </c>
      <c r="ER1" t="e">
        <f>AND(#REF!,"AAAAAH6e7ZM=")</f>
        <v>#REF!</v>
      </c>
      <c r="ES1" t="e">
        <f>AND(#REF!,"AAAAAH6e7ZQ=")</f>
        <v>#REF!</v>
      </c>
      <c r="ET1" t="e">
        <f>AND(#REF!,"AAAAAH6e7ZU=")</f>
        <v>#REF!</v>
      </c>
      <c r="EU1" t="e">
        <f>AND(#REF!,"AAAAAH6e7ZY=")</f>
        <v>#REF!</v>
      </c>
      <c r="EV1" t="e">
        <f>AND(#REF!,"AAAAAH6e7Zc=")</f>
        <v>#REF!</v>
      </c>
      <c r="EW1" t="e">
        <f>AND(#REF!,"AAAAAH6e7Zg=")</f>
        <v>#REF!</v>
      </c>
      <c r="EX1" t="e">
        <f>AND(#REF!,"AAAAAH6e7Zk=")</f>
        <v>#REF!</v>
      </c>
      <c r="EY1" t="e">
        <f>AND(#REF!,"AAAAAH6e7Zo=")</f>
        <v>#REF!</v>
      </c>
      <c r="EZ1" t="e">
        <f>AND(#REF!,"AAAAAH6e7Zs=")</f>
        <v>#REF!</v>
      </c>
      <c r="FA1" t="e">
        <f>AND(#REF!,"AAAAAH6e7Zw=")</f>
        <v>#REF!</v>
      </c>
      <c r="FB1" t="e">
        <f>AND(#REF!,"AAAAAH6e7Z0=")</f>
        <v>#REF!</v>
      </c>
      <c r="FC1" t="e">
        <f>AND(#REF!,"AAAAAH6e7Z4=")</f>
        <v>#REF!</v>
      </c>
      <c r="FD1" t="e">
        <f>AND(#REF!,"AAAAAH6e7Z8=")</f>
        <v>#REF!</v>
      </c>
      <c r="FE1" t="e">
        <f>IF(#REF!,"AAAAAH6e7aA=",0)</f>
        <v>#REF!</v>
      </c>
      <c r="FF1" t="e">
        <f>AND(#REF!,"AAAAAH6e7aE=")</f>
        <v>#REF!</v>
      </c>
      <c r="FG1" t="e">
        <f>AND(#REF!,"AAAAAH6e7aI=")</f>
        <v>#REF!</v>
      </c>
      <c r="FH1" t="e">
        <f>AND(#REF!,"AAAAAH6e7aM=")</f>
        <v>#REF!</v>
      </c>
      <c r="FI1" t="e">
        <f>AND(#REF!,"AAAAAH6e7aQ=")</f>
        <v>#REF!</v>
      </c>
      <c r="FJ1" t="e">
        <f>AND(#REF!,"AAAAAH6e7aU=")</f>
        <v>#REF!</v>
      </c>
      <c r="FK1" t="e">
        <f>AND(#REF!,"AAAAAH6e7aY=")</f>
        <v>#REF!</v>
      </c>
      <c r="FL1" t="e">
        <f>AND(#REF!,"AAAAAH6e7ac=")</f>
        <v>#REF!</v>
      </c>
      <c r="FM1" t="e">
        <f>AND(#REF!,"AAAAAH6e7ag=")</f>
        <v>#REF!</v>
      </c>
      <c r="FN1" t="e">
        <f>AND(#REF!,"AAAAAH6e7ak=")</f>
        <v>#REF!</v>
      </c>
      <c r="FO1" t="e">
        <f>AND(#REF!,"AAAAAH6e7ao=")</f>
        <v>#REF!</v>
      </c>
      <c r="FP1" t="e">
        <f>AND(#REF!,"AAAAAH6e7as=")</f>
        <v>#REF!</v>
      </c>
      <c r="FQ1" t="e">
        <f>AND(#REF!,"AAAAAH6e7aw=")</f>
        <v>#REF!</v>
      </c>
      <c r="FR1" t="e">
        <f>AND(#REF!,"AAAAAH6e7a0=")</f>
        <v>#REF!</v>
      </c>
      <c r="FS1" t="e">
        <f>AND(#REF!,"AAAAAH6e7a4=")</f>
        <v>#REF!</v>
      </c>
      <c r="FT1" t="e">
        <f>AND(#REF!,"AAAAAH6e7a8=")</f>
        <v>#REF!</v>
      </c>
      <c r="FU1" t="e">
        <f>IF(#REF!,"AAAAAH6e7bA=",0)</f>
        <v>#REF!</v>
      </c>
      <c r="FV1" t="e">
        <f>AND(#REF!,"AAAAAH6e7bE=")</f>
        <v>#REF!</v>
      </c>
      <c r="FW1" t="e">
        <f>AND(#REF!,"AAAAAH6e7bI=")</f>
        <v>#REF!</v>
      </c>
      <c r="FX1" t="e">
        <f>AND(#REF!,"AAAAAH6e7bM=")</f>
        <v>#REF!</v>
      </c>
      <c r="FY1" t="e">
        <f>AND(#REF!,"AAAAAH6e7bQ=")</f>
        <v>#REF!</v>
      </c>
      <c r="FZ1" t="e">
        <f>AND(#REF!,"AAAAAH6e7bU=")</f>
        <v>#REF!</v>
      </c>
      <c r="GA1" t="e">
        <f>AND(#REF!,"AAAAAH6e7bY=")</f>
        <v>#REF!</v>
      </c>
      <c r="GB1" t="e">
        <f>AND(#REF!,"AAAAAH6e7bc=")</f>
        <v>#REF!</v>
      </c>
      <c r="GC1" t="e">
        <f>AND(#REF!,"AAAAAH6e7bg=")</f>
        <v>#REF!</v>
      </c>
      <c r="GD1" t="e">
        <f>AND(#REF!,"AAAAAH6e7bk=")</f>
        <v>#REF!</v>
      </c>
      <c r="GE1" t="e">
        <f>AND(#REF!,"AAAAAH6e7bo=")</f>
        <v>#REF!</v>
      </c>
      <c r="GF1" t="e">
        <f>AND(#REF!,"AAAAAH6e7bs=")</f>
        <v>#REF!</v>
      </c>
      <c r="GG1" t="e">
        <f>AND(#REF!,"AAAAAH6e7bw=")</f>
        <v>#REF!</v>
      </c>
      <c r="GH1" t="e">
        <f>AND(#REF!,"AAAAAH6e7b0=")</f>
        <v>#REF!</v>
      </c>
      <c r="GI1" t="e">
        <f>AND(#REF!,"AAAAAH6e7b4=")</f>
        <v>#REF!</v>
      </c>
      <c r="GJ1" t="e">
        <f>AND(#REF!,"AAAAAH6e7b8=")</f>
        <v>#REF!</v>
      </c>
      <c r="GK1" t="e">
        <f>IF(#REF!,"AAAAAH6e7cA=",0)</f>
        <v>#REF!</v>
      </c>
      <c r="GL1" t="e">
        <f>AND(#REF!,"AAAAAH6e7cE=")</f>
        <v>#REF!</v>
      </c>
      <c r="GM1" t="e">
        <f>AND(#REF!,"AAAAAH6e7cI=")</f>
        <v>#REF!</v>
      </c>
      <c r="GN1" t="e">
        <f>AND(#REF!,"AAAAAH6e7cM=")</f>
        <v>#REF!</v>
      </c>
      <c r="GO1" t="e">
        <f>AND(#REF!,"AAAAAH6e7cQ=")</f>
        <v>#REF!</v>
      </c>
      <c r="GP1" t="e">
        <f>AND(#REF!,"AAAAAH6e7cU=")</f>
        <v>#REF!</v>
      </c>
      <c r="GQ1" t="e">
        <f>AND(#REF!,"AAAAAH6e7cY=")</f>
        <v>#REF!</v>
      </c>
      <c r="GR1" t="e">
        <f>AND(#REF!,"AAAAAH6e7cc=")</f>
        <v>#REF!</v>
      </c>
      <c r="GS1" t="e">
        <f>AND(#REF!,"AAAAAH6e7cg=")</f>
        <v>#REF!</v>
      </c>
      <c r="GT1" t="e">
        <f>AND(#REF!,"AAAAAH6e7ck=")</f>
        <v>#REF!</v>
      </c>
      <c r="GU1" t="e">
        <f>AND(#REF!,"AAAAAH6e7co=")</f>
        <v>#REF!</v>
      </c>
      <c r="GV1" t="e">
        <f>AND(#REF!,"AAAAAH6e7cs=")</f>
        <v>#REF!</v>
      </c>
      <c r="GW1" t="e">
        <f>AND(#REF!,"AAAAAH6e7cw=")</f>
        <v>#REF!</v>
      </c>
      <c r="GX1" t="e">
        <f>AND(#REF!,"AAAAAH6e7c0=")</f>
        <v>#REF!</v>
      </c>
      <c r="GY1" t="e">
        <f>AND(#REF!,"AAAAAH6e7c4=")</f>
        <v>#REF!</v>
      </c>
      <c r="GZ1" t="e">
        <f>AND(#REF!,"AAAAAH6e7c8=")</f>
        <v>#REF!</v>
      </c>
      <c r="HA1" t="e">
        <f>IF(#REF!,"AAAAAH6e7dA=",0)</f>
        <v>#REF!</v>
      </c>
      <c r="HB1" t="e">
        <f>AND(#REF!,"AAAAAH6e7dE=")</f>
        <v>#REF!</v>
      </c>
      <c r="HC1" t="e">
        <f>AND(#REF!,"AAAAAH6e7dI=")</f>
        <v>#REF!</v>
      </c>
      <c r="HD1" t="e">
        <f>AND(#REF!,"AAAAAH6e7dM=")</f>
        <v>#REF!</v>
      </c>
      <c r="HE1" t="e">
        <f>AND(#REF!,"AAAAAH6e7dQ=")</f>
        <v>#REF!</v>
      </c>
      <c r="HF1" t="e">
        <f>AND(#REF!,"AAAAAH6e7dU=")</f>
        <v>#REF!</v>
      </c>
      <c r="HG1" t="e">
        <f>AND(#REF!,"AAAAAH6e7dY=")</f>
        <v>#REF!</v>
      </c>
      <c r="HH1" t="e">
        <f>AND(#REF!,"AAAAAH6e7dc=")</f>
        <v>#REF!</v>
      </c>
      <c r="HI1" t="e">
        <f>AND(#REF!,"AAAAAH6e7dg=")</f>
        <v>#REF!</v>
      </c>
      <c r="HJ1" t="e">
        <f>AND(#REF!,"AAAAAH6e7dk=")</f>
        <v>#REF!</v>
      </c>
      <c r="HK1" t="e">
        <f>AND(#REF!,"AAAAAH6e7do=")</f>
        <v>#REF!</v>
      </c>
      <c r="HL1" t="e">
        <f>AND(#REF!,"AAAAAH6e7ds=")</f>
        <v>#REF!</v>
      </c>
      <c r="HM1" t="e">
        <f>AND(#REF!,"AAAAAH6e7dw=")</f>
        <v>#REF!</v>
      </c>
      <c r="HN1" t="e">
        <f>AND(#REF!,"AAAAAH6e7d0=")</f>
        <v>#REF!</v>
      </c>
      <c r="HO1" t="e">
        <f>AND(#REF!,"AAAAAH6e7d4=")</f>
        <v>#REF!</v>
      </c>
      <c r="HP1" t="e">
        <f>AND(#REF!,"AAAAAH6e7d8=")</f>
        <v>#REF!</v>
      </c>
      <c r="HQ1" t="e">
        <f>IF(#REF!,"AAAAAH6e7eA=",0)</f>
        <v>#REF!</v>
      </c>
      <c r="HR1" t="e">
        <f>AND(#REF!,"AAAAAH6e7eE=")</f>
        <v>#REF!</v>
      </c>
      <c r="HS1" t="e">
        <f>AND(#REF!,"AAAAAH6e7eI=")</f>
        <v>#REF!</v>
      </c>
      <c r="HT1" t="e">
        <f>AND(#REF!,"AAAAAH6e7eM=")</f>
        <v>#REF!</v>
      </c>
      <c r="HU1" t="e">
        <f>AND(#REF!,"AAAAAH6e7eQ=")</f>
        <v>#REF!</v>
      </c>
      <c r="HV1" t="e">
        <f>AND(#REF!,"AAAAAH6e7eU=")</f>
        <v>#REF!</v>
      </c>
      <c r="HW1" t="e">
        <f>AND(#REF!,"AAAAAH6e7eY=")</f>
        <v>#REF!</v>
      </c>
      <c r="HX1" t="e">
        <f>AND(#REF!,"AAAAAH6e7ec=")</f>
        <v>#REF!</v>
      </c>
      <c r="HY1" t="e">
        <f>AND(#REF!,"AAAAAH6e7eg=")</f>
        <v>#REF!</v>
      </c>
      <c r="HZ1" t="e">
        <f>AND(#REF!,"AAAAAH6e7ek=")</f>
        <v>#REF!</v>
      </c>
      <c r="IA1" t="e">
        <f>AND(#REF!,"AAAAAH6e7eo=")</f>
        <v>#REF!</v>
      </c>
      <c r="IB1" t="e">
        <f>AND(#REF!,"AAAAAH6e7es=")</f>
        <v>#REF!</v>
      </c>
      <c r="IC1" t="e">
        <f>AND(#REF!,"AAAAAH6e7ew=")</f>
        <v>#REF!</v>
      </c>
      <c r="ID1" t="e">
        <f>AND(#REF!,"AAAAAH6e7e0=")</f>
        <v>#REF!</v>
      </c>
      <c r="IE1" t="e">
        <f>AND(#REF!,"AAAAAH6e7e4=")</f>
        <v>#REF!</v>
      </c>
      <c r="IF1" t="e">
        <f>AND(#REF!,"AAAAAH6e7e8=")</f>
        <v>#REF!</v>
      </c>
      <c r="IG1" t="e">
        <f>IF(#REF!,"AAAAAH6e7fA=",0)</f>
        <v>#REF!</v>
      </c>
      <c r="IH1" t="e">
        <f>AND(#REF!,"AAAAAH6e7fE=")</f>
        <v>#REF!</v>
      </c>
      <c r="II1" t="e">
        <f>AND(#REF!,"AAAAAH6e7fI=")</f>
        <v>#REF!</v>
      </c>
      <c r="IJ1" t="e">
        <f>AND(#REF!,"AAAAAH6e7fM=")</f>
        <v>#REF!</v>
      </c>
      <c r="IK1" t="e">
        <f>AND(#REF!,"AAAAAH6e7fQ=")</f>
        <v>#REF!</v>
      </c>
      <c r="IL1" t="e">
        <f>AND(#REF!,"AAAAAH6e7fU=")</f>
        <v>#REF!</v>
      </c>
      <c r="IM1" t="e">
        <f>AND(#REF!,"AAAAAH6e7fY=")</f>
        <v>#REF!</v>
      </c>
      <c r="IN1" t="e">
        <f>AND(#REF!,"AAAAAH6e7fc=")</f>
        <v>#REF!</v>
      </c>
      <c r="IO1" t="e">
        <f>AND(#REF!,"AAAAAH6e7fg=")</f>
        <v>#REF!</v>
      </c>
      <c r="IP1" t="e">
        <f>AND(#REF!,"AAAAAH6e7fk=")</f>
        <v>#REF!</v>
      </c>
      <c r="IQ1" t="e">
        <f>AND(#REF!,"AAAAAH6e7fo=")</f>
        <v>#REF!</v>
      </c>
      <c r="IR1" t="e">
        <f>AND(#REF!,"AAAAAH6e7fs=")</f>
        <v>#REF!</v>
      </c>
      <c r="IS1" t="e">
        <f>AND(#REF!,"AAAAAH6e7fw=")</f>
        <v>#REF!</v>
      </c>
      <c r="IT1" t="e">
        <f>AND(#REF!,"AAAAAH6e7f0=")</f>
        <v>#REF!</v>
      </c>
      <c r="IU1" t="e">
        <f>AND(#REF!,"AAAAAH6e7f4=")</f>
        <v>#REF!</v>
      </c>
      <c r="IV1" t="e">
        <f>AND(#REF!,"AAAAAH6e7f8=")</f>
        <v>#REF!</v>
      </c>
    </row>
    <row r="2" spans="1:256" ht="14.25" x14ac:dyDescent="0.2">
      <c r="A2" t="e">
        <f>IF(#REF!,"AAAAAAs/6gA=",0)</f>
        <v>#REF!</v>
      </c>
      <c r="B2" t="e">
        <f>AND(#REF!,"AAAAAAs/6gE=")</f>
        <v>#REF!</v>
      </c>
      <c r="C2" t="e">
        <f>AND(#REF!,"AAAAAAs/6gI=")</f>
        <v>#REF!</v>
      </c>
      <c r="D2" t="e">
        <f>AND(#REF!,"AAAAAAs/6gM=")</f>
        <v>#REF!</v>
      </c>
      <c r="E2" t="e">
        <f>AND(#REF!,"AAAAAAs/6gQ=")</f>
        <v>#REF!</v>
      </c>
      <c r="F2" t="e">
        <f>AND(#REF!,"AAAAAAs/6gU=")</f>
        <v>#REF!</v>
      </c>
      <c r="G2" t="e">
        <f>AND(#REF!,"AAAAAAs/6gY=")</f>
        <v>#REF!</v>
      </c>
      <c r="H2" t="e">
        <f>AND(#REF!,"AAAAAAs/6gc=")</f>
        <v>#REF!</v>
      </c>
      <c r="I2" t="e">
        <f>AND(#REF!,"AAAAAAs/6gg=")</f>
        <v>#REF!</v>
      </c>
      <c r="J2" t="e">
        <f>AND(#REF!,"AAAAAAs/6gk=")</f>
        <v>#REF!</v>
      </c>
      <c r="K2" t="e">
        <f>AND(#REF!,"AAAAAAs/6go=")</f>
        <v>#REF!</v>
      </c>
      <c r="L2" t="e">
        <f>AND(#REF!,"AAAAAAs/6gs=")</f>
        <v>#REF!</v>
      </c>
      <c r="M2" t="e">
        <f>AND(#REF!,"AAAAAAs/6gw=")</f>
        <v>#REF!</v>
      </c>
      <c r="N2" t="e">
        <f>AND(#REF!,"AAAAAAs/6g0=")</f>
        <v>#REF!</v>
      </c>
      <c r="O2" t="e">
        <f>AND(#REF!,"AAAAAAs/6g4=")</f>
        <v>#REF!</v>
      </c>
      <c r="P2" t="e">
        <f>AND(#REF!,"AAAAAAs/6g8=")</f>
        <v>#REF!</v>
      </c>
      <c r="Q2" t="e">
        <f>IF(#REF!,"AAAAAAs/6hA=",0)</f>
        <v>#REF!</v>
      </c>
      <c r="R2" t="e">
        <f>AND(#REF!,"AAAAAAs/6hE=")</f>
        <v>#REF!</v>
      </c>
      <c r="S2" t="e">
        <f>AND(#REF!,"AAAAAAs/6hI=")</f>
        <v>#REF!</v>
      </c>
      <c r="T2" t="e">
        <f>AND(#REF!,"AAAAAAs/6hM=")</f>
        <v>#REF!</v>
      </c>
      <c r="U2" t="e">
        <f>AND(#REF!,"AAAAAAs/6hQ=")</f>
        <v>#REF!</v>
      </c>
      <c r="V2" t="e">
        <f>AND(#REF!,"AAAAAAs/6hU=")</f>
        <v>#REF!</v>
      </c>
      <c r="W2" t="e">
        <f>AND(#REF!,"AAAAAAs/6hY=")</f>
        <v>#REF!</v>
      </c>
      <c r="X2" t="e">
        <f>AND(#REF!,"AAAAAAs/6hc=")</f>
        <v>#REF!</v>
      </c>
      <c r="Y2" t="e">
        <f>AND(#REF!,"AAAAAAs/6hg=")</f>
        <v>#REF!</v>
      </c>
      <c r="Z2" t="e">
        <f>AND(#REF!,"AAAAAAs/6hk=")</f>
        <v>#REF!</v>
      </c>
      <c r="AA2" t="e">
        <f>AND(#REF!,"AAAAAAs/6ho=")</f>
        <v>#REF!</v>
      </c>
      <c r="AB2" t="e">
        <f>AND(#REF!,"AAAAAAs/6hs=")</f>
        <v>#REF!</v>
      </c>
      <c r="AC2" t="e">
        <f>AND(#REF!,"AAAAAAs/6hw=")</f>
        <v>#REF!</v>
      </c>
      <c r="AD2" t="e">
        <f>AND(#REF!,"AAAAAAs/6h0=")</f>
        <v>#REF!</v>
      </c>
      <c r="AE2" t="e">
        <f>AND(#REF!,"AAAAAAs/6h4=")</f>
        <v>#REF!</v>
      </c>
      <c r="AF2" t="e">
        <f>AND(#REF!,"AAAAAAs/6h8=")</f>
        <v>#REF!</v>
      </c>
      <c r="AG2" t="e">
        <f>IF(#REF!,"AAAAAAs/6iA=",0)</f>
        <v>#REF!</v>
      </c>
      <c r="AH2" t="e">
        <f>AND(#REF!,"AAAAAAs/6iE=")</f>
        <v>#REF!</v>
      </c>
      <c r="AI2" t="e">
        <f>AND(#REF!,"AAAAAAs/6iI=")</f>
        <v>#REF!</v>
      </c>
      <c r="AJ2" t="e">
        <f>AND(#REF!,"AAAAAAs/6iM=")</f>
        <v>#REF!</v>
      </c>
      <c r="AK2" t="e">
        <f>AND(#REF!,"AAAAAAs/6iQ=")</f>
        <v>#REF!</v>
      </c>
      <c r="AL2" t="e">
        <f>AND(#REF!,"AAAAAAs/6iU=")</f>
        <v>#REF!</v>
      </c>
      <c r="AM2" t="e">
        <f>AND(#REF!,"AAAAAAs/6iY=")</f>
        <v>#REF!</v>
      </c>
      <c r="AN2" t="e">
        <f>AND(#REF!,"AAAAAAs/6ic=")</f>
        <v>#REF!</v>
      </c>
      <c r="AO2" t="e">
        <f>AND(#REF!,"AAAAAAs/6ig=")</f>
        <v>#REF!</v>
      </c>
      <c r="AP2" t="e">
        <f>AND(#REF!,"AAAAAAs/6ik=")</f>
        <v>#REF!</v>
      </c>
      <c r="AQ2" t="e">
        <f>AND(#REF!,"AAAAAAs/6io=")</f>
        <v>#REF!</v>
      </c>
      <c r="AR2" t="e">
        <f>AND(#REF!,"AAAAAAs/6is=")</f>
        <v>#REF!</v>
      </c>
      <c r="AS2" t="e">
        <f>AND(#REF!,"AAAAAAs/6iw=")</f>
        <v>#REF!</v>
      </c>
      <c r="AT2" t="e">
        <f>AND(#REF!,"AAAAAAs/6i0=")</f>
        <v>#REF!</v>
      </c>
      <c r="AU2" t="e">
        <f>AND(#REF!,"AAAAAAs/6i4=")</f>
        <v>#REF!</v>
      </c>
      <c r="AV2" t="e">
        <f>AND(#REF!,"AAAAAAs/6i8=")</f>
        <v>#REF!</v>
      </c>
      <c r="AW2" t="e">
        <f>IF(#REF!,"AAAAAAs/6jA=",0)</f>
        <v>#REF!</v>
      </c>
      <c r="AX2" t="e">
        <f>AND(#REF!,"AAAAAAs/6jE=")</f>
        <v>#REF!</v>
      </c>
      <c r="AY2" t="e">
        <f>AND(#REF!,"AAAAAAs/6jI=")</f>
        <v>#REF!</v>
      </c>
      <c r="AZ2" t="e">
        <f>AND(#REF!,"AAAAAAs/6jM=")</f>
        <v>#REF!</v>
      </c>
      <c r="BA2" t="e">
        <f>AND(#REF!,"AAAAAAs/6jQ=")</f>
        <v>#REF!</v>
      </c>
      <c r="BB2" t="e">
        <f>AND(#REF!,"AAAAAAs/6jU=")</f>
        <v>#REF!</v>
      </c>
      <c r="BC2" t="e">
        <f>AND(#REF!,"AAAAAAs/6jY=")</f>
        <v>#REF!</v>
      </c>
      <c r="BD2" t="e">
        <f>AND(#REF!,"AAAAAAs/6jc=")</f>
        <v>#REF!</v>
      </c>
      <c r="BE2" t="e">
        <f>AND(#REF!,"AAAAAAs/6jg=")</f>
        <v>#REF!</v>
      </c>
      <c r="BF2" t="e">
        <f>AND(#REF!,"AAAAAAs/6jk=")</f>
        <v>#REF!</v>
      </c>
      <c r="BG2" t="e">
        <f>AND(#REF!,"AAAAAAs/6jo=")</f>
        <v>#REF!</v>
      </c>
      <c r="BH2" t="e">
        <f>AND(#REF!,"AAAAAAs/6js=")</f>
        <v>#REF!</v>
      </c>
      <c r="BI2" t="e">
        <f>AND(#REF!,"AAAAAAs/6jw=")</f>
        <v>#REF!</v>
      </c>
      <c r="BJ2" t="e">
        <f>AND(#REF!,"AAAAAAs/6j0=")</f>
        <v>#REF!</v>
      </c>
      <c r="BK2" t="e">
        <f>AND(#REF!,"AAAAAAs/6j4=")</f>
        <v>#REF!</v>
      </c>
      <c r="BL2" t="e">
        <f>AND(#REF!,"AAAAAAs/6j8=")</f>
        <v>#REF!</v>
      </c>
      <c r="BM2" t="e">
        <f>IF(#REF!,"AAAAAAs/6kA=",0)</f>
        <v>#REF!</v>
      </c>
      <c r="BN2" t="e">
        <f>AND(#REF!,"AAAAAAs/6kE=")</f>
        <v>#REF!</v>
      </c>
      <c r="BO2" t="e">
        <f>AND(#REF!,"AAAAAAs/6kI=")</f>
        <v>#REF!</v>
      </c>
      <c r="BP2" t="e">
        <f>AND(#REF!,"AAAAAAs/6kM=")</f>
        <v>#REF!</v>
      </c>
      <c r="BQ2" t="e">
        <f>AND(#REF!,"AAAAAAs/6kQ=")</f>
        <v>#REF!</v>
      </c>
      <c r="BR2" t="e">
        <f>AND(#REF!,"AAAAAAs/6kU=")</f>
        <v>#REF!</v>
      </c>
      <c r="BS2" t="e">
        <f>AND(#REF!,"AAAAAAs/6kY=")</f>
        <v>#REF!</v>
      </c>
      <c r="BT2" t="e">
        <f>AND(#REF!,"AAAAAAs/6kc=")</f>
        <v>#REF!</v>
      </c>
      <c r="BU2" t="e">
        <f>AND(#REF!,"AAAAAAs/6kg=")</f>
        <v>#REF!</v>
      </c>
      <c r="BV2" t="e">
        <f>AND(#REF!,"AAAAAAs/6kk=")</f>
        <v>#REF!</v>
      </c>
      <c r="BW2" t="e">
        <f>AND(#REF!,"AAAAAAs/6ko=")</f>
        <v>#REF!</v>
      </c>
      <c r="BX2" t="e">
        <f>AND(#REF!,"AAAAAAs/6ks=")</f>
        <v>#REF!</v>
      </c>
      <c r="BY2" t="e">
        <f>AND(#REF!,"AAAAAAs/6kw=")</f>
        <v>#REF!</v>
      </c>
      <c r="BZ2" t="e">
        <f>AND(#REF!,"AAAAAAs/6k0=")</f>
        <v>#REF!</v>
      </c>
      <c r="CA2" t="e">
        <f>AND(#REF!,"AAAAAAs/6k4=")</f>
        <v>#REF!</v>
      </c>
      <c r="CB2" t="e">
        <f>AND(#REF!,"AAAAAAs/6k8=")</f>
        <v>#REF!</v>
      </c>
      <c r="CC2" t="e">
        <f>IF(#REF!,"AAAAAAs/6lA=",0)</f>
        <v>#REF!</v>
      </c>
      <c r="CD2" t="e">
        <f>AND(#REF!,"AAAAAAs/6lE=")</f>
        <v>#REF!</v>
      </c>
      <c r="CE2" t="e">
        <f>AND(#REF!,"AAAAAAs/6lI=")</f>
        <v>#REF!</v>
      </c>
      <c r="CF2" t="e">
        <f>AND(#REF!,"AAAAAAs/6lM=")</f>
        <v>#REF!</v>
      </c>
      <c r="CG2" t="e">
        <f>AND(#REF!,"AAAAAAs/6lQ=")</f>
        <v>#REF!</v>
      </c>
      <c r="CH2" t="e">
        <f>AND(#REF!,"AAAAAAs/6lU=")</f>
        <v>#REF!</v>
      </c>
      <c r="CI2" t="e">
        <f>AND(#REF!,"AAAAAAs/6lY=")</f>
        <v>#REF!</v>
      </c>
      <c r="CJ2" t="e">
        <f>AND(#REF!,"AAAAAAs/6lc=")</f>
        <v>#REF!</v>
      </c>
      <c r="CK2" t="e">
        <f>AND(#REF!,"AAAAAAs/6lg=")</f>
        <v>#REF!</v>
      </c>
      <c r="CL2" t="e">
        <f>AND(#REF!,"AAAAAAs/6lk=")</f>
        <v>#REF!</v>
      </c>
      <c r="CM2" t="e">
        <f>AND(#REF!,"AAAAAAs/6lo=")</f>
        <v>#REF!</v>
      </c>
      <c r="CN2" t="e">
        <f>AND(#REF!,"AAAAAAs/6ls=")</f>
        <v>#REF!</v>
      </c>
      <c r="CO2" t="e">
        <f>AND(#REF!,"AAAAAAs/6lw=")</f>
        <v>#REF!</v>
      </c>
      <c r="CP2" t="e">
        <f>AND(#REF!,"AAAAAAs/6l0=")</f>
        <v>#REF!</v>
      </c>
      <c r="CQ2" t="e">
        <f>AND(#REF!,"AAAAAAs/6l4=")</f>
        <v>#REF!</v>
      </c>
      <c r="CR2" t="e">
        <f>AND(#REF!,"AAAAAAs/6l8=")</f>
        <v>#REF!</v>
      </c>
      <c r="CS2" t="e">
        <f>IF(#REF!,"AAAAAAs/6mA=",0)</f>
        <v>#REF!</v>
      </c>
      <c r="CT2" t="e">
        <f>AND(#REF!,"AAAAAAs/6mE=")</f>
        <v>#REF!</v>
      </c>
      <c r="CU2" t="e">
        <f>AND(#REF!,"AAAAAAs/6mI=")</f>
        <v>#REF!</v>
      </c>
      <c r="CV2" t="e">
        <f>AND(#REF!,"AAAAAAs/6mM=")</f>
        <v>#REF!</v>
      </c>
      <c r="CW2" t="e">
        <f>AND(#REF!,"AAAAAAs/6mQ=")</f>
        <v>#REF!</v>
      </c>
      <c r="CX2" t="e">
        <f>AND(#REF!,"AAAAAAs/6mU=")</f>
        <v>#REF!</v>
      </c>
      <c r="CY2" t="e">
        <f>AND(#REF!,"AAAAAAs/6mY=")</f>
        <v>#REF!</v>
      </c>
      <c r="CZ2" t="e">
        <f>AND(#REF!,"AAAAAAs/6mc=")</f>
        <v>#REF!</v>
      </c>
      <c r="DA2" t="e">
        <f>AND(#REF!,"AAAAAAs/6mg=")</f>
        <v>#REF!</v>
      </c>
      <c r="DB2" t="e">
        <f>AND(#REF!,"AAAAAAs/6mk=")</f>
        <v>#REF!</v>
      </c>
      <c r="DC2" t="e">
        <f>AND(#REF!,"AAAAAAs/6mo=")</f>
        <v>#REF!</v>
      </c>
      <c r="DD2" t="e">
        <f>AND(#REF!,"AAAAAAs/6ms=")</f>
        <v>#REF!</v>
      </c>
      <c r="DE2" t="e">
        <f>AND(#REF!,"AAAAAAs/6mw=")</f>
        <v>#REF!</v>
      </c>
      <c r="DF2" t="e">
        <f>AND(#REF!,"AAAAAAs/6m0=")</f>
        <v>#REF!</v>
      </c>
      <c r="DG2" t="e">
        <f>AND(#REF!,"AAAAAAs/6m4=")</f>
        <v>#REF!</v>
      </c>
      <c r="DH2" t="e">
        <f>AND(#REF!,"AAAAAAs/6m8=")</f>
        <v>#REF!</v>
      </c>
      <c r="DI2" t="e">
        <f>IF(#REF!,"AAAAAAs/6nA=",0)</f>
        <v>#REF!</v>
      </c>
      <c r="DJ2" t="e">
        <f>AND(#REF!,"AAAAAAs/6nE=")</f>
        <v>#REF!</v>
      </c>
      <c r="DK2" t="e">
        <f>AND(#REF!,"AAAAAAs/6nI=")</f>
        <v>#REF!</v>
      </c>
      <c r="DL2" t="e">
        <f>AND(#REF!,"AAAAAAs/6nM=")</f>
        <v>#REF!</v>
      </c>
      <c r="DM2" t="e">
        <f>AND(#REF!,"AAAAAAs/6nQ=")</f>
        <v>#REF!</v>
      </c>
      <c r="DN2" t="e">
        <f>AND(#REF!,"AAAAAAs/6nU=")</f>
        <v>#REF!</v>
      </c>
      <c r="DO2" t="e">
        <f>AND(#REF!,"AAAAAAs/6nY=")</f>
        <v>#REF!</v>
      </c>
      <c r="DP2" t="e">
        <f>AND(#REF!,"AAAAAAs/6nc=")</f>
        <v>#REF!</v>
      </c>
      <c r="DQ2" t="e">
        <f>AND(#REF!,"AAAAAAs/6ng=")</f>
        <v>#REF!</v>
      </c>
      <c r="DR2" t="e">
        <f>AND(#REF!,"AAAAAAs/6nk=")</f>
        <v>#REF!</v>
      </c>
      <c r="DS2" t="e">
        <f>AND(#REF!,"AAAAAAs/6no=")</f>
        <v>#REF!</v>
      </c>
      <c r="DT2" t="e">
        <f>AND(#REF!,"AAAAAAs/6ns=")</f>
        <v>#REF!</v>
      </c>
      <c r="DU2" t="e">
        <f>AND(#REF!,"AAAAAAs/6nw=")</f>
        <v>#REF!</v>
      </c>
      <c r="DV2" t="e">
        <f>AND(#REF!,"AAAAAAs/6n0=")</f>
        <v>#REF!</v>
      </c>
      <c r="DW2" t="e">
        <f>AND(#REF!,"AAAAAAs/6n4=")</f>
        <v>#REF!</v>
      </c>
      <c r="DX2" t="e">
        <f>AND(#REF!,"AAAAAAs/6n8=")</f>
        <v>#REF!</v>
      </c>
      <c r="DY2" t="e">
        <f>IF(#REF!,"AAAAAAs/6oA=",0)</f>
        <v>#REF!</v>
      </c>
      <c r="DZ2" t="e">
        <f>AND(#REF!,"AAAAAAs/6oE=")</f>
        <v>#REF!</v>
      </c>
      <c r="EA2" t="e">
        <f>AND(#REF!,"AAAAAAs/6oI=")</f>
        <v>#REF!</v>
      </c>
      <c r="EB2" t="e">
        <f>AND(#REF!,"AAAAAAs/6oM=")</f>
        <v>#REF!</v>
      </c>
      <c r="EC2" t="e">
        <f>AND(#REF!,"AAAAAAs/6oQ=")</f>
        <v>#REF!</v>
      </c>
      <c r="ED2" t="e">
        <f>AND(#REF!,"AAAAAAs/6oU=")</f>
        <v>#REF!</v>
      </c>
      <c r="EE2" t="e">
        <f>AND(#REF!,"AAAAAAs/6oY=")</f>
        <v>#REF!</v>
      </c>
      <c r="EF2" t="e">
        <f>AND(#REF!,"AAAAAAs/6oc=")</f>
        <v>#REF!</v>
      </c>
      <c r="EG2" t="e">
        <f>AND(#REF!,"AAAAAAs/6og=")</f>
        <v>#REF!</v>
      </c>
      <c r="EH2" t="e">
        <f>AND(#REF!,"AAAAAAs/6ok=")</f>
        <v>#REF!</v>
      </c>
      <c r="EI2" t="e">
        <f>AND(#REF!,"AAAAAAs/6oo=")</f>
        <v>#REF!</v>
      </c>
      <c r="EJ2" t="e">
        <f>AND(#REF!,"AAAAAAs/6os=")</f>
        <v>#REF!</v>
      </c>
      <c r="EK2" t="e">
        <f>AND(#REF!,"AAAAAAs/6ow=")</f>
        <v>#REF!</v>
      </c>
      <c r="EL2" t="e">
        <f>AND(#REF!,"AAAAAAs/6o0=")</f>
        <v>#REF!</v>
      </c>
      <c r="EM2" t="e">
        <f>AND(#REF!,"AAAAAAs/6o4=")</f>
        <v>#REF!</v>
      </c>
      <c r="EN2" t="e">
        <f>AND(#REF!,"AAAAAAs/6o8=")</f>
        <v>#REF!</v>
      </c>
      <c r="EO2" t="e">
        <f>IF(#REF!,"AAAAAAs/6pA=",0)</f>
        <v>#REF!</v>
      </c>
      <c r="EP2" t="e">
        <f>AND(#REF!,"AAAAAAs/6pE=")</f>
        <v>#REF!</v>
      </c>
      <c r="EQ2" t="e">
        <f>AND(#REF!,"AAAAAAs/6pI=")</f>
        <v>#REF!</v>
      </c>
      <c r="ER2" t="e">
        <f>AND(#REF!,"AAAAAAs/6pM=")</f>
        <v>#REF!</v>
      </c>
      <c r="ES2" t="e">
        <f>AND(#REF!,"AAAAAAs/6pQ=")</f>
        <v>#REF!</v>
      </c>
      <c r="ET2" t="e">
        <f>AND(#REF!,"AAAAAAs/6pU=")</f>
        <v>#REF!</v>
      </c>
      <c r="EU2" t="e">
        <f>AND(#REF!,"AAAAAAs/6pY=")</f>
        <v>#REF!</v>
      </c>
      <c r="EV2" t="e">
        <f>AND(#REF!,"AAAAAAs/6pc=")</f>
        <v>#REF!</v>
      </c>
      <c r="EW2" t="e">
        <f>AND(#REF!,"AAAAAAs/6pg=")</f>
        <v>#REF!</v>
      </c>
      <c r="EX2" t="e">
        <f>AND(#REF!,"AAAAAAs/6pk=")</f>
        <v>#REF!</v>
      </c>
      <c r="EY2" t="e">
        <f>AND(#REF!,"AAAAAAs/6po=")</f>
        <v>#REF!</v>
      </c>
      <c r="EZ2" t="e">
        <f>AND(#REF!,"AAAAAAs/6ps=")</f>
        <v>#REF!</v>
      </c>
      <c r="FA2" t="e">
        <f>AND(#REF!,"AAAAAAs/6pw=")</f>
        <v>#REF!</v>
      </c>
      <c r="FB2" t="e">
        <f>AND(#REF!,"AAAAAAs/6p0=")</f>
        <v>#REF!</v>
      </c>
      <c r="FC2" t="e">
        <f>AND(#REF!,"AAAAAAs/6p4=")</f>
        <v>#REF!</v>
      </c>
      <c r="FD2" t="e">
        <f>AND(#REF!,"AAAAAAs/6p8=")</f>
        <v>#REF!</v>
      </c>
      <c r="FE2" t="e">
        <f>IF(#REF!,"AAAAAAs/6qA=",0)</f>
        <v>#REF!</v>
      </c>
      <c r="FF2" t="e">
        <f>AND(#REF!,"AAAAAAs/6qE=")</f>
        <v>#REF!</v>
      </c>
      <c r="FG2" t="e">
        <f>AND(#REF!,"AAAAAAs/6qI=")</f>
        <v>#REF!</v>
      </c>
      <c r="FH2" t="e">
        <f>AND(#REF!,"AAAAAAs/6qM=")</f>
        <v>#REF!</v>
      </c>
      <c r="FI2" t="e">
        <f>AND(#REF!,"AAAAAAs/6qQ=")</f>
        <v>#REF!</v>
      </c>
      <c r="FJ2" t="e">
        <f>AND(#REF!,"AAAAAAs/6qU=")</f>
        <v>#REF!</v>
      </c>
      <c r="FK2" t="e">
        <f>AND(#REF!,"AAAAAAs/6qY=")</f>
        <v>#REF!</v>
      </c>
      <c r="FL2" t="e">
        <f>AND(#REF!,"AAAAAAs/6qc=")</f>
        <v>#REF!</v>
      </c>
      <c r="FM2" t="e">
        <f>AND(#REF!,"AAAAAAs/6qg=")</f>
        <v>#REF!</v>
      </c>
      <c r="FN2" t="e">
        <f>AND(#REF!,"AAAAAAs/6qk=")</f>
        <v>#REF!</v>
      </c>
      <c r="FO2" t="e">
        <f>AND(#REF!,"AAAAAAs/6qo=")</f>
        <v>#REF!</v>
      </c>
      <c r="FP2" t="e">
        <f>AND(#REF!,"AAAAAAs/6qs=")</f>
        <v>#REF!</v>
      </c>
      <c r="FQ2" t="e">
        <f>AND(#REF!,"AAAAAAs/6qw=")</f>
        <v>#REF!</v>
      </c>
      <c r="FR2" t="e">
        <f>AND(#REF!,"AAAAAAs/6q0=")</f>
        <v>#REF!</v>
      </c>
      <c r="FS2" t="e">
        <f>AND(#REF!,"AAAAAAs/6q4=")</f>
        <v>#REF!</v>
      </c>
      <c r="FT2" t="e">
        <f>AND(#REF!,"AAAAAAs/6q8=")</f>
        <v>#REF!</v>
      </c>
      <c r="FU2" t="e">
        <f>IF(#REF!,"AAAAAAs/6rA=",0)</f>
        <v>#REF!</v>
      </c>
      <c r="FV2" t="e">
        <f>AND(#REF!,"AAAAAAs/6rE=")</f>
        <v>#REF!</v>
      </c>
      <c r="FW2" t="e">
        <f>AND(#REF!,"AAAAAAs/6rI=")</f>
        <v>#REF!</v>
      </c>
      <c r="FX2" t="e">
        <f>AND(#REF!,"AAAAAAs/6rM=")</f>
        <v>#REF!</v>
      </c>
      <c r="FY2" t="e">
        <f>AND(#REF!,"AAAAAAs/6rQ=")</f>
        <v>#REF!</v>
      </c>
      <c r="FZ2" t="e">
        <f>AND(#REF!,"AAAAAAs/6rU=")</f>
        <v>#REF!</v>
      </c>
      <c r="GA2" t="e">
        <f>AND(#REF!,"AAAAAAs/6rY=")</f>
        <v>#REF!</v>
      </c>
      <c r="GB2" t="e">
        <f>AND(#REF!,"AAAAAAs/6rc=")</f>
        <v>#REF!</v>
      </c>
      <c r="GC2" t="e">
        <f>AND(#REF!,"AAAAAAs/6rg=")</f>
        <v>#REF!</v>
      </c>
      <c r="GD2" t="e">
        <f>AND(#REF!,"AAAAAAs/6rk=")</f>
        <v>#REF!</v>
      </c>
      <c r="GE2" t="e">
        <f>AND(#REF!,"AAAAAAs/6ro=")</f>
        <v>#REF!</v>
      </c>
      <c r="GF2" t="e">
        <f>AND(#REF!,"AAAAAAs/6rs=")</f>
        <v>#REF!</v>
      </c>
      <c r="GG2" t="e">
        <f>AND(#REF!,"AAAAAAs/6rw=")</f>
        <v>#REF!</v>
      </c>
      <c r="GH2" t="e">
        <f>AND(#REF!,"AAAAAAs/6r0=")</f>
        <v>#REF!</v>
      </c>
      <c r="GI2" t="e">
        <f>AND(#REF!,"AAAAAAs/6r4=")</f>
        <v>#REF!</v>
      </c>
      <c r="GJ2" t="e">
        <f>AND(#REF!,"AAAAAAs/6r8=")</f>
        <v>#REF!</v>
      </c>
      <c r="GK2" t="e">
        <f>IF(#REF!,"AAAAAAs/6sA=",0)</f>
        <v>#REF!</v>
      </c>
      <c r="GL2" t="e">
        <f>AND(#REF!,"AAAAAAs/6sE=")</f>
        <v>#REF!</v>
      </c>
      <c r="GM2" t="e">
        <f>AND(#REF!,"AAAAAAs/6sI=")</f>
        <v>#REF!</v>
      </c>
      <c r="GN2" t="e">
        <f>AND(#REF!,"AAAAAAs/6sM=")</f>
        <v>#REF!</v>
      </c>
      <c r="GO2" t="e">
        <f>AND(#REF!,"AAAAAAs/6sQ=")</f>
        <v>#REF!</v>
      </c>
      <c r="GP2" t="e">
        <f>AND(#REF!,"AAAAAAs/6sU=")</f>
        <v>#REF!</v>
      </c>
      <c r="GQ2" t="e">
        <f>AND(#REF!,"AAAAAAs/6sY=")</f>
        <v>#REF!</v>
      </c>
      <c r="GR2" t="e">
        <f>AND(#REF!,"AAAAAAs/6sc=")</f>
        <v>#REF!</v>
      </c>
      <c r="GS2" t="e">
        <f>AND(#REF!,"AAAAAAs/6sg=")</f>
        <v>#REF!</v>
      </c>
      <c r="GT2" t="e">
        <f>AND(#REF!,"AAAAAAs/6sk=")</f>
        <v>#REF!</v>
      </c>
      <c r="GU2" t="e">
        <f>AND(#REF!,"AAAAAAs/6so=")</f>
        <v>#REF!</v>
      </c>
      <c r="GV2" t="e">
        <f>AND(#REF!,"AAAAAAs/6ss=")</f>
        <v>#REF!</v>
      </c>
      <c r="GW2" t="e">
        <f>AND(#REF!,"AAAAAAs/6sw=")</f>
        <v>#REF!</v>
      </c>
      <c r="GX2" t="e">
        <f>AND(#REF!,"AAAAAAs/6s0=")</f>
        <v>#REF!</v>
      </c>
      <c r="GY2" t="e">
        <f>AND(#REF!,"AAAAAAs/6s4=")</f>
        <v>#REF!</v>
      </c>
      <c r="GZ2" t="e">
        <f>AND(#REF!,"AAAAAAs/6s8=")</f>
        <v>#REF!</v>
      </c>
      <c r="HA2" t="e">
        <f>IF(#REF!,"AAAAAAs/6tA=",0)</f>
        <v>#REF!</v>
      </c>
      <c r="HB2" t="e">
        <f>AND(#REF!,"AAAAAAs/6tE=")</f>
        <v>#REF!</v>
      </c>
      <c r="HC2" t="e">
        <f>AND(#REF!,"AAAAAAs/6tI=")</f>
        <v>#REF!</v>
      </c>
      <c r="HD2" t="e">
        <f>AND(#REF!,"AAAAAAs/6tM=")</f>
        <v>#REF!</v>
      </c>
      <c r="HE2" t="e">
        <f>AND(#REF!,"AAAAAAs/6tQ=")</f>
        <v>#REF!</v>
      </c>
      <c r="HF2" t="e">
        <f>AND(#REF!,"AAAAAAs/6tU=")</f>
        <v>#REF!</v>
      </c>
      <c r="HG2" t="e">
        <f>AND(#REF!,"AAAAAAs/6tY=")</f>
        <v>#REF!</v>
      </c>
      <c r="HH2" t="e">
        <f>AND(#REF!,"AAAAAAs/6tc=")</f>
        <v>#REF!</v>
      </c>
      <c r="HI2" t="e">
        <f>AND(#REF!,"AAAAAAs/6tg=")</f>
        <v>#REF!</v>
      </c>
      <c r="HJ2" t="e">
        <f>AND(#REF!,"AAAAAAs/6tk=")</f>
        <v>#REF!</v>
      </c>
      <c r="HK2" t="e">
        <f>AND(#REF!,"AAAAAAs/6to=")</f>
        <v>#REF!</v>
      </c>
      <c r="HL2" t="e">
        <f>AND(#REF!,"AAAAAAs/6ts=")</f>
        <v>#REF!</v>
      </c>
      <c r="HM2" t="e">
        <f>AND(#REF!,"AAAAAAs/6tw=")</f>
        <v>#REF!</v>
      </c>
      <c r="HN2" t="e">
        <f>AND(#REF!,"AAAAAAs/6t0=")</f>
        <v>#REF!</v>
      </c>
      <c r="HO2" t="e">
        <f>AND(#REF!,"AAAAAAs/6t4=")</f>
        <v>#REF!</v>
      </c>
      <c r="HP2" t="e">
        <f>AND(#REF!,"AAAAAAs/6t8=")</f>
        <v>#REF!</v>
      </c>
      <c r="HQ2" t="e">
        <f>IF(#REF!,"AAAAAAs/6uA=",0)</f>
        <v>#REF!</v>
      </c>
      <c r="HR2" t="e">
        <f>AND(#REF!,"AAAAAAs/6uE=")</f>
        <v>#REF!</v>
      </c>
      <c r="HS2" t="e">
        <f>AND(#REF!,"AAAAAAs/6uI=")</f>
        <v>#REF!</v>
      </c>
      <c r="HT2" t="e">
        <f>AND(#REF!,"AAAAAAs/6uM=")</f>
        <v>#REF!</v>
      </c>
      <c r="HU2" t="e">
        <f>AND(#REF!,"AAAAAAs/6uQ=")</f>
        <v>#REF!</v>
      </c>
      <c r="HV2" t="e">
        <f>AND(#REF!,"AAAAAAs/6uU=")</f>
        <v>#REF!</v>
      </c>
      <c r="HW2" t="e">
        <f>AND(#REF!,"AAAAAAs/6uY=")</f>
        <v>#REF!</v>
      </c>
      <c r="HX2" t="e">
        <f>AND(#REF!,"AAAAAAs/6uc=")</f>
        <v>#REF!</v>
      </c>
      <c r="HY2" t="e">
        <f>AND(#REF!,"AAAAAAs/6ug=")</f>
        <v>#REF!</v>
      </c>
      <c r="HZ2" t="e">
        <f>AND(#REF!,"AAAAAAs/6uk=")</f>
        <v>#REF!</v>
      </c>
      <c r="IA2" t="e">
        <f>AND(#REF!,"AAAAAAs/6uo=")</f>
        <v>#REF!</v>
      </c>
      <c r="IB2" t="e">
        <f>AND(#REF!,"AAAAAAs/6us=")</f>
        <v>#REF!</v>
      </c>
      <c r="IC2" t="e">
        <f>AND(#REF!,"AAAAAAs/6uw=")</f>
        <v>#REF!</v>
      </c>
      <c r="ID2" t="e">
        <f>AND(#REF!,"AAAAAAs/6u0=")</f>
        <v>#REF!</v>
      </c>
      <c r="IE2" t="e">
        <f>AND(#REF!,"AAAAAAs/6u4=")</f>
        <v>#REF!</v>
      </c>
      <c r="IF2" t="e">
        <f>AND(#REF!,"AAAAAAs/6u8=")</f>
        <v>#REF!</v>
      </c>
      <c r="IG2" t="e">
        <f>IF(#REF!,"AAAAAAs/6vA=",0)</f>
        <v>#REF!</v>
      </c>
      <c r="IH2" t="e">
        <f>AND(#REF!,"AAAAAAs/6vE=")</f>
        <v>#REF!</v>
      </c>
      <c r="II2" t="e">
        <f>AND(#REF!,"AAAAAAs/6vI=")</f>
        <v>#REF!</v>
      </c>
      <c r="IJ2" t="e">
        <f>AND(#REF!,"AAAAAAs/6vM=")</f>
        <v>#REF!</v>
      </c>
      <c r="IK2" t="e">
        <f>AND(#REF!,"AAAAAAs/6vQ=")</f>
        <v>#REF!</v>
      </c>
      <c r="IL2" t="e">
        <f>AND(#REF!,"AAAAAAs/6vU=")</f>
        <v>#REF!</v>
      </c>
      <c r="IM2" t="e">
        <f>AND(#REF!,"AAAAAAs/6vY=")</f>
        <v>#REF!</v>
      </c>
      <c r="IN2" t="e">
        <f>AND(#REF!,"AAAAAAs/6vc=")</f>
        <v>#REF!</v>
      </c>
      <c r="IO2" t="e">
        <f>AND(#REF!,"AAAAAAs/6vg=")</f>
        <v>#REF!</v>
      </c>
      <c r="IP2" t="e">
        <f>AND(#REF!,"AAAAAAs/6vk=")</f>
        <v>#REF!</v>
      </c>
      <c r="IQ2" t="e">
        <f>AND(#REF!,"AAAAAAs/6vo=")</f>
        <v>#REF!</v>
      </c>
      <c r="IR2" t="e">
        <f>AND(#REF!,"AAAAAAs/6vs=")</f>
        <v>#REF!</v>
      </c>
      <c r="IS2" t="e">
        <f>AND(#REF!,"AAAAAAs/6vw=")</f>
        <v>#REF!</v>
      </c>
      <c r="IT2" t="e">
        <f>AND(#REF!,"AAAAAAs/6v0=")</f>
        <v>#REF!</v>
      </c>
      <c r="IU2" t="e">
        <f>AND(#REF!,"AAAAAAs/6v4=")</f>
        <v>#REF!</v>
      </c>
      <c r="IV2" t="e">
        <f>AND(#REF!,"AAAAAAs/6v8=")</f>
        <v>#REF!</v>
      </c>
    </row>
    <row r="3" spans="1:256" ht="14.25" x14ac:dyDescent="0.2">
      <c r="A3" t="e">
        <f>IF(#REF!,"AAAAAC9/+wA=",0)</f>
        <v>#REF!</v>
      </c>
      <c r="B3" t="e">
        <f>AND(#REF!,"AAAAAC9/+wE=")</f>
        <v>#REF!</v>
      </c>
      <c r="C3" t="e">
        <f>AND(#REF!,"AAAAAC9/+wI=")</f>
        <v>#REF!</v>
      </c>
      <c r="D3" t="e">
        <f>AND(#REF!,"AAAAAC9/+wM=")</f>
        <v>#REF!</v>
      </c>
      <c r="E3" t="e">
        <f>AND(#REF!,"AAAAAC9/+wQ=")</f>
        <v>#REF!</v>
      </c>
      <c r="F3" t="e">
        <f>AND(#REF!,"AAAAAC9/+wU=")</f>
        <v>#REF!</v>
      </c>
      <c r="G3" t="e">
        <f>AND(#REF!,"AAAAAC9/+wY=")</f>
        <v>#REF!</v>
      </c>
      <c r="H3" t="e">
        <f>AND(#REF!,"AAAAAC9/+wc=")</f>
        <v>#REF!</v>
      </c>
      <c r="I3" t="e">
        <f>AND(#REF!,"AAAAAC9/+wg=")</f>
        <v>#REF!</v>
      </c>
      <c r="J3" t="e">
        <f>AND(#REF!,"AAAAAC9/+wk=")</f>
        <v>#REF!</v>
      </c>
      <c r="K3" t="e">
        <f>AND(#REF!,"AAAAAC9/+wo=")</f>
        <v>#REF!</v>
      </c>
      <c r="L3" t="e">
        <f>AND(#REF!,"AAAAAC9/+ws=")</f>
        <v>#REF!</v>
      </c>
      <c r="M3" t="e">
        <f>AND(#REF!,"AAAAAC9/+ww=")</f>
        <v>#REF!</v>
      </c>
      <c r="N3" t="e">
        <f>AND(#REF!,"AAAAAC9/+w0=")</f>
        <v>#REF!</v>
      </c>
      <c r="O3" t="e">
        <f>AND(#REF!,"AAAAAC9/+w4=")</f>
        <v>#REF!</v>
      </c>
      <c r="P3" t="e">
        <f>AND(#REF!,"AAAAAC9/+w8=")</f>
        <v>#REF!</v>
      </c>
      <c r="Q3" t="e">
        <f>IF(#REF!,"AAAAAC9/+xA=",0)</f>
        <v>#REF!</v>
      </c>
      <c r="R3" t="e">
        <f>AND(#REF!,"AAAAAC9/+xE=")</f>
        <v>#REF!</v>
      </c>
      <c r="S3" t="e">
        <f>AND(#REF!,"AAAAAC9/+xI=")</f>
        <v>#REF!</v>
      </c>
      <c r="T3" t="e">
        <f>AND(#REF!,"AAAAAC9/+xM=")</f>
        <v>#REF!</v>
      </c>
      <c r="U3" t="e">
        <f>AND(#REF!,"AAAAAC9/+xQ=")</f>
        <v>#REF!</v>
      </c>
      <c r="V3" t="e">
        <f>AND(#REF!,"AAAAAC9/+xU=")</f>
        <v>#REF!</v>
      </c>
      <c r="W3" t="e">
        <f>AND(#REF!,"AAAAAC9/+xY=")</f>
        <v>#REF!</v>
      </c>
      <c r="X3" t="e">
        <f>AND(#REF!,"AAAAAC9/+xc=")</f>
        <v>#REF!</v>
      </c>
      <c r="Y3" t="e">
        <f>AND(#REF!,"AAAAAC9/+xg=")</f>
        <v>#REF!</v>
      </c>
      <c r="Z3" t="e">
        <f>AND(#REF!,"AAAAAC9/+xk=")</f>
        <v>#REF!</v>
      </c>
      <c r="AA3" t="e">
        <f>AND(#REF!,"AAAAAC9/+xo=")</f>
        <v>#REF!</v>
      </c>
      <c r="AB3" t="e">
        <f>AND(#REF!,"AAAAAC9/+xs=")</f>
        <v>#REF!</v>
      </c>
      <c r="AC3" t="e">
        <f>AND(#REF!,"AAAAAC9/+xw=")</f>
        <v>#REF!</v>
      </c>
      <c r="AD3" t="e">
        <f>AND(#REF!,"AAAAAC9/+x0=")</f>
        <v>#REF!</v>
      </c>
      <c r="AE3" t="e">
        <f>AND(#REF!,"AAAAAC9/+x4=")</f>
        <v>#REF!</v>
      </c>
      <c r="AF3" t="e">
        <f>AND(#REF!,"AAAAAC9/+x8=")</f>
        <v>#REF!</v>
      </c>
      <c r="AG3" t="e">
        <f>IF(#REF!,"AAAAAC9/+yA=",0)</f>
        <v>#REF!</v>
      </c>
      <c r="AH3" t="e">
        <f>AND(#REF!,"AAAAAC9/+yE=")</f>
        <v>#REF!</v>
      </c>
      <c r="AI3" t="e">
        <f>AND(#REF!,"AAAAAC9/+yI=")</f>
        <v>#REF!</v>
      </c>
      <c r="AJ3" t="e">
        <f>AND(#REF!,"AAAAAC9/+yM=")</f>
        <v>#REF!</v>
      </c>
      <c r="AK3" t="e">
        <f>AND(#REF!,"AAAAAC9/+yQ=")</f>
        <v>#REF!</v>
      </c>
      <c r="AL3" t="e">
        <f>AND(#REF!,"AAAAAC9/+yU=")</f>
        <v>#REF!</v>
      </c>
      <c r="AM3" t="e">
        <f>AND(#REF!,"AAAAAC9/+yY=")</f>
        <v>#REF!</v>
      </c>
      <c r="AN3" t="e">
        <f>AND(#REF!,"AAAAAC9/+yc=")</f>
        <v>#REF!</v>
      </c>
      <c r="AO3" t="e">
        <f>AND(#REF!,"AAAAAC9/+yg=")</f>
        <v>#REF!</v>
      </c>
      <c r="AP3" t="e">
        <f>AND(#REF!,"AAAAAC9/+yk=")</f>
        <v>#REF!</v>
      </c>
      <c r="AQ3" t="e">
        <f>AND(#REF!,"AAAAAC9/+yo=")</f>
        <v>#REF!</v>
      </c>
      <c r="AR3" t="e">
        <f>AND(#REF!,"AAAAAC9/+ys=")</f>
        <v>#REF!</v>
      </c>
      <c r="AS3" t="e">
        <f>AND(#REF!,"AAAAAC9/+yw=")</f>
        <v>#REF!</v>
      </c>
      <c r="AT3" t="e">
        <f>AND(#REF!,"AAAAAC9/+y0=")</f>
        <v>#REF!</v>
      </c>
      <c r="AU3" t="e">
        <f>AND(#REF!,"AAAAAC9/+y4=")</f>
        <v>#REF!</v>
      </c>
      <c r="AV3" t="e">
        <f>AND(#REF!,"AAAAAC9/+y8=")</f>
        <v>#REF!</v>
      </c>
      <c r="AW3" t="e">
        <f>IF(#REF!,"AAAAAC9/+zA=",0)</f>
        <v>#REF!</v>
      </c>
      <c r="AX3" t="e">
        <f>IF(#REF!,"AAAAAC9/+zE=",0)</f>
        <v>#REF!</v>
      </c>
      <c r="AY3" t="e">
        <f>IF(#REF!,"AAAAAC9/+zI=",0)</f>
        <v>#REF!</v>
      </c>
      <c r="AZ3" t="e">
        <f>IF(#REF!,"AAAAAC9/+zM=",0)</f>
        <v>#REF!</v>
      </c>
      <c r="BA3" t="e">
        <f>IF(#REF!,"AAAAAC9/+zQ=",0)</f>
        <v>#REF!</v>
      </c>
      <c r="BB3" t="e">
        <f>IF(#REF!,"AAAAAC9/+zU=",0)</f>
        <v>#REF!</v>
      </c>
      <c r="BC3" t="e">
        <f>IF(#REF!,"AAAAAC9/+zY=",0)</f>
        <v>#REF!</v>
      </c>
      <c r="BD3" t="e">
        <f>IF(#REF!,"AAAAAC9/+zc=",0)</f>
        <v>#REF!</v>
      </c>
      <c r="BE3" t="e">
        <f>IF(#REF!,"AAAAAC9/+zg=",0)</f>
        <v>#REF!</v>
      </c>
      <c r="BF3" t="e">
        <f>IF(#REF!,"AAAAAC9/+zk=",0)</f>
        <v>#REF!</v>
      </c>
      <c r="BG3" t="e">
        <f>IF(#REF!,"AAAAAC9/+zo=",0)</f>
        <v>#REF!</v>
      </c>
      <c r="BH3" t="e">
        <f>IF(#REF!,"AAAAAC9/+zs=",0)</f>
        <v>#REF!</v>
      </c>
      <c r="BI3" t="e">
        <f>IF(#REF!,"AAAAAC9/+zw=",0)</f>
        <v>#REF!</v>
      </c>
      <c r="BJ3" t="e">
        <f>IF(#REF!,"AAAAAC9/+z0=",0)</f>
        <v>#REF!</v>
      </c>
      <c r="BK3" t="e">
        <f>IF(#REF!,"AAAAAC9/+z4=",0)</f>
        <v>#REF!</v>
      </c>
      <c r="BL3" t="e">
        <f>IF(#REF!,"AAAAAC9/+z8=",0)</f>
        <v>#REF!</v>
      </c>
      <c r="BM3" t="e">
        <f>IF(#REF!,"AAAAAC9/+0A=",0)</f>
        <v>#REF!</v>
      </c>
      <c r="BN3" t="e">
        <f>IF(#REF!,"AAAAAC9/+0E=",0)</f>
        <v>#REF!</v>
      </c>
      <c r="BO3" t="e">
        <f>IF(#REF!,"AAAAAC9/+0I=",0)</f>
        <v>#REF!</v>
      </c>
      <c r="BP3" t="e">
        <f>IF(#REF!,"AAAAAC9/+0M=",0)</f>
        <v>#REF!</v>
      </c>
      <c r="BQ3" t="e">
        <f>IF(#REF!,"AAAAAC9/+0Q=",0)</f>
        <v>#REF!</v>
      </c>
      <c r="BR3" t="e">
        <f>IF(#REF!,"AAAAAC9/+0U=",0)</f>
        <v>#REF!</v>
      </c>
      <c r="BS3" t="e">
        <f>IF(#REF!,"AAAAAC9/+0Y=",0)</f>
        <v>#REF!</v>
      </c>
      <c r="BT3" t="e">
        <f>IF(#REF!,"AAAAAC9/+0c=",0)</f>
        <v>#REF!</v>
      </c>
      <c r="BU3" t="e">
        <f>IF(#REF!,"AAAAAC9/+0g=",0)</f>
        <v>#REF!</v>
      </c>
      <c r="BV3" t="e">
        <f>IF(#REF!,"AAAAAC9/+0k=",0)</f>
        <v>#REF!</v>
      </c>
      <c r="BW3" t="e">
        <f>IF(#REF!,"AAAAAC9/+0o=",0)</f>
        <v>#REF!</v>
      </c>
      <c r="BX3" t="e">
        <f>IF(#REF!,"AAAAAC9/+0s=",0)</f>
        <v>#REF!</v>
      </c>
      <c r="BY3" t="e">
        <f>IF(#REF!,"AAAAAC9/+0w=",0)</f>
        <v>#REF!</v>
      </c>
      <c r="BZ3" t="e">
        <f>IF(#REF!,"AAAAAC9/+00=",0)</f>
        <v>#REF!</v>
      </c>
      <c r="CA3" t="e">
        <f>IF(#REF!,"AAAAAC9/+04=",0)</f>
        <v>#REF!</v>
      </c>
      <c r="CB3" t="e">
        <f>IF(#REF!,"AAAAAC9/+08=",0)</f>
        <v>#REF!</v>
      </c>
      <c r="CC3" t="e">
        <f>IF(#REF!,"AAAAAC9/+1A=",0)</f>
        <v>#REF!</v>
      </c>
      <c r="CD3" t="e">
        <f>IF(#REF!,"AAAAAC9/+1E=",0)</f>
        <v>#REF!</v>
      </c>
      <c r="CE3" t="e">
        <f>IF(#REF!,"AAAAAC9/+1I=",0)</f>
        <v>#REF!</v>
      </c>
      <c r="CF3" t="e">
        <f>IF(#REF!,"AAAAAC9/+1M=",0)</f>
        <v>#REF!</v>
      </c>
      <c r="CG3" t="e">
        <f>IF(#REF!,"AAAAAC9/+1Q=",0)</f>
        <v>#REF!</v>
      </c>
      <c r="CH3" t="e">
        <f>IF(#REF!,"AAAAAC9/+1U=",0)</f>
        <v>#REF!</v>
      </c>
      <c r="CI3" t="e">
        <f>IF(#REF!,"AAAAAC9/+1Y=",0)</f>
        <v>#REF!</v>
      </c>
      <c r="CJ3" t="e">
        <f>IF(#REF!,"AAAAAC9/+1c=",0)</f>
        <v>#REF!</v>
      </c>
      <c r="CK3" t="e">
        <f>IF(#REF!,"AAAAAC9/+1g=",0)</f>
        <v>#REF!</v>
      </c>
      <c r="CL3" t="e">
        <f>IF(#REF!,"AAAAAC9/+1k=",0)</f>
        <v>#REF!</v>
      </c>
      <c r="CM3" t="e">
        <f>IF(#REF!,"AAAAAC9/+1o=",0)</f>
        <v>#REF!</v>
      </c>
      <c r="CN3" t="e">
        <f>IF(#REF!,"AAAAAC9/+1s=",0)</f>
        <v>#REF!</v>
      </c>
      <c r="CO3" t="e">
        <f>IF(#REF!,"AAAAAC9/+1w=",0)</f>
        <v>#REF!</v>
      </c>
      <c r="CP3" t="e">
        <f>IF(#REF!,"AAAAAC9/+10=",0)</f>
        <v>#REF!</v>
      </c>
      <c r="CQ3" t="e">
        <f>IF(#REF!,"AAAAAC9/+14=",0)</f>
        <v>#REF!</v>
      </c>
      <c r="CR3" t="e">
        <f>IF(#REF!,"AAAAAC9/+18=",0)</f>
        <v>#REF!</v>
      </c>
      <c r="CS3" t="e">
        <f>IF(#REF!,"AAAAAC9/+2A=",0)</f>
        <v>#REF!</v>
      </c>
      <c r="CT3" t="e">
        <f>IF(#REF!,"AAAAAC9/+2E=",0)</f>
        <v>#REF!</v>
      </c>
      <c r="CU3" t="e">
        <f>IF(#REF!,"AAAAAC9/+2I=",0)</f>
        <v>#REF!</v>
      </c>
      <c r="CV3" t="e">
        <f>IF(#REF!,"AAAAAC9/+2M=",0)</f>
        <v>#REF!</v>
      </c>
      <c r="CW3" t="e">
        <f>IF(#REF!,"AAAAAC9/+2Q=",0)</f>
        <v>#REF!</v>
      </c>
      <c r="CX3" t="e">
        <f>IF(#REF!,"AAAAAC9/+2U=",0)</f>
        <v>#REF!</v>
      </c>
      <c r="CY3" t="e">
        <f>IF(#REF!,"AAAAAC9/+2Y=",0)</f>
        <v>#REF!</v>
      </c>
      <c r="CZ3" t="e">
        <f>IF(#REF!,"AAAAAC9/+2c=",0)</f>
        <v>#REF!</v>
      </c>
      <c r="DA3" t="e">
        <f>IF(#REF!,"AAAAAC9/+2g=",0)</f>
        <v>#REF!</v>
      </c>
      <c r="DB3" t="e">
        <f>IF(#REF!,"AAAAAC9/+2k=",0)</f>
        <v>#REF!</v>
      </c>
      <c r="DC3" t="e">
        <f>IF(#REF!,"AAAAAC9/+2o=",0)</f>
        <v>#REF!</v>
      </c>
      <c r="DD3" t="e">
        <f>IF(#REF!,"AAAAAC9/+2s=",0)</f>
        <v>#REF!</v>
      </c>
      <c r="DE3" t="e">
        <f>IF(#REF!,"AAAAAC9/+2w=",0)</f>
        <v>#REF!</v>
      </c>
      <c r="DF3" t="e">
        <f>IF(#REF!,"AAAAAC9/+20=",0)</f>
        <v>#REF!</v>
      </c>
      <c r="DG3" t="e">
        <f>IF(#REF!,"AAAAAC9/+24=",0)</f>
        <v>#REF!</v>
      </c>
      <c r="DH3" t="e">
        <f>IF(#REF!,"AAAAAC9/+28=",0)</f>
        <v>#REF!</v>
      </c>
      <c r="DI3" t="e">
        <f>AND(#REF!,"AAAAAC9/+3A=")</f>
        <v>#REF!</v>
      </c>
      <c r="DJ3" t="e">
        <f>AND(#REF!,"AAAAAC9/+3E=")</f>
        <v>#REF!</v>
      </c>
      <c r="DK3" t="e">
        <f>AND(#REF!,"AAAAAC9/+3I=")</f>
        <v>#REF!</v>
      </c>
      <c r="DL3" t="e">
        <f>AND(#REF!,"AAAAAC9/+3M=")</f>
        <v>#REF!</v>
      </c>
      <c r="DM3" t="e">
        <f>AND(#REF!,"AAAAAC9/+3Q=")</f>
        <v>#REF!</v>
      </c>
      <c r="DN3" t="e">
        <f>AND(#REF!,"AAAAAC9/+3U=")</f>
        <v>#REF!</v>
      </c>
      <c r="DO3" t="e">
        <f>AND(#REF!,"AAAAAC9/+3Y=")</f>
        <v>#REF!</v>
      </c>
      <c r="DP3" t="e">
        <f>AND(#REF!,"AAAAAC9/+3c=")</f>
        <v>#REF!</v>
      </c>
      <c r="DQ3" t="e">
        <f>IF(#REF!,"AAAAAC9/+3g=",0)</f>
        <v>#REF!</v>
      </c>
      <c r="DR3" t="e">
        <f>AND(#REF!,"AAAAAC9/+3k=")</f>
        <v>#REF!</v>
      </c>
      <c r="DS3" t="e">
        <f>AND(#REF!,"AAAAAC9/+3o=")</f>
        <v>#REF!</v>
      </c>
      <c r="DT3" t="e">
        <f>AND(#REF!,"AAAAAC9/+3s=")</f>
        <v>#REF!</v>
      </c>
      <c r="DU3" t="e">
        <f>AND(#REF!,"AAAAAC9/+3w=")</f>
        <v>#REF!</v>
      </c>
      <c r="DV3" t="e">
        <f>AND(#REF!,"AAAAAC9/+30=")</f>
        <v>#REF!</v>
      </c>
      <c r="DW3" t="e">
        <f>AND(#REF!,"AAAAAC9/+34=")</f>
        <v>#REF!</v>
      </c>
      <c r="DX3" t="e">
        <f>AND(#REF!,"AAAAAC9/+38=")</f>
        <v>#REF!</v>
      </c>
      <c r="DY3" t="e">
        <f>AND(#REF!,"AAAAAC9/+4A=")</f>
        <v>#REF!</v>
      </c>
      <c r="DZ3" t="e">
        <f>IF(#REF!,"AAAAAC9/+4E=",0)</f>
        <v>#REF!</v>
      </c>
      <c r="EA3" t="e">
        <f>AND(#REF!,"AAAAAC9/+4I=")</f>
        <v>#REF!</v>
      </c>
      <c r="EB3" t="e">
        <f>AND(#REF!,"AAAAAC9/+4M=")</f>
        <v>#REF!</v>
      </c>
      <c r="EC3" t="e">
        <f>AND(#REF!,"AAAAAC9/+4Q=")</f>
        <v>#REF!</v>
      </c>
      <c r="ED3" t="e">
        <f>AND(#REF!,"AAAAAC9/+4U=")</f>
        <v>#REF!</v>
      </c>
      <c r="EE3" t="e">
        <f>AND(#REF!,"AAAAAC9/+4Y=")</f>
        <v>#REF!</v>
      </c>
      <c r="EF3" t="e">
        <f>AND(#REF!,"AAAAAC9/+4c=")</f>
        <v>#REF!</v>
      </c>
      <c r="EG3" t="e">
        <f>AND(#REF!,"AAAAAC9/+4g=")</f>
        <v>#REF!</v>
      </c>
      <c r="EH3" t="e">
        <f>AND(#REF!,"AAAAAC9/+4k=")</f>
        <v>#REF!</v>
      </c>
      <c r="EI3" t="e">
        <f>IF(#REF!,"AAAAAC9/+4o=",0)</f>
        <v>#REF!</v>
      </c>
      <c r="EJ3" t="e">
        <f>AND(#REF!,"AAAAAC9/+4s=")</f>
        <v>#REF!</v>
      </c>
      <c r="EK3" t="e">
        <f>AND(#REF!,"AAAAAC9/+4w=")</f>
        <v>#REF!</v>
      </c>
      <c r="EL3" t="e">
        <f>AND(#REF!,"AAAAAC9/+40=")</f>
        <v>#REF!</v>
      </c>
      <c r="EM3" t="e">
        <f>AND(#REF!,"AAAAAC9/+44=")</f>
        <v>#REF!</v>
      </c>
      <c r="EN3" t="e">
        <f>AND(#REF!,"AAAAAC9/+48=")</f>
        <v>#REF!</v>
      </c>
      <c r="EO3" t="e">
        <f>AND(#REF!,"AAAAAC9/+5A=")</f>
        <v>#REF!</v>
      </c>
      <c r="EP3" t="e">
        <f>AND(#REF!,"AAAAAC9/+5E=")</f>
        <v>#REF!</v>
      </c>
      <c r="EQ3" t="e">
        <f>AND(#REF!,"AAAAAC9/+5I=")</f>
        <v>#REF!</v>
      </c>
      <c r="ER3" t="e">
        <f>IF(#REF!,"AAAAAC9/+5M=",0)</f>
        <v>#REF!</v>
      </c>
      <c r="ES3" t="e">
        <f>AND(#REF!,"AAAAAC9/+5Q=")</f>
        <v>#REF!</v>
      </c>
      <c r="ET3" t="e">
        <f>AND(#REF!,"AAAAAC9/+5U=")</f>
        <v>#REF!</v>
      </c>
      <c r="EU3" t="e">
        <f>AND(#REF!,"AAAAAC9/+5Y=")</f>
        <v>#REF!</v>
      </c>
      <c r="EV3" t="e">
        <f>AND(#REF!,"AAAAAC9/+5c=")</f>
        <v>#REF!</v>
      </c>
      <c r="EW3" t="e">
        <f>AND(#REF!,"AAAAAC9/+5g=")</f>
        <v>#REF!</v>
      </c>
      <c r="EX3" t="e">
        <f>AND(#REF!,"AAAAAC9/+5k=")</f>
        <v>#REF!</v>
      </c>
      <c r="EY3" t="e">
        <f>AND(#REF!,"AAAAAC9/+5o=")</f>
        <v>#REF!</v>
      </c>
      <c r="EZ3" t="e">
        <f>AND(#REF!,"AAAAAC9/+5s=")</f>
        <v>#REF!</v>
      </c>
      <c r="FA3" t="e">
        <f>IF(#REF!,"AAAAAC9/+5w=",0)</f>
        <v>#REF!</v>
      </c>
      <c r="FB3" t="e">
        <f>AND(#REF!,"AAAAAC9/+50=")</f>
        <v>#REF!</v>
      </c>
      <c r="FC3" t="e">
        <f>AND(#REF!,"AAAAAC9/+54=")</f>
        <v>#REF!</v>
      </c>
      <c r="FD3" t="e">
        <f>AND(#REF!,"AAAAAC9/+58=")</f>
        <v>#REF!</v>
      </c>
      <c r="FE3" t="e">
        <f>AND(#REF!,"AAAAAC9/+6A=")</f>
        <v>#REF!</v>
      </c>
      <c r="FF3" t="e">
        <f>AND(#REF!,"AAAAAC9/+6E=")</f>
        <v>#REF!</v>
      </c>
      <c r="FG3" t="e">
        <f>AND(#REF!,"AAAAAC9/+6I=")</f>
        <v>#REF!</v>
      </c>
      <c r="FH3" t="e">
        <f>AND(#REF!,"AAAAAC9/+6M=")</f>
        <v>#REF!</v>
      </c>
      <c r="FI3" t="e">
        <f>AND(#REF!,"AAAAAC9/+6Q=")</f>
        <v>#REF!</v>
      </c>
      <c r="FJ3" t="e">
        <f>IF(#REF!,"AAAAAC9/+6U=",0)</f>
        <v>#REF!</v>
      </c>
      <c r="FK3" t="e">
        <f>AND(#REF!,"AAAAAC9/+6Y=")</f>
        <v>#REF!</v>
      </c>
      <c r="FL3" t="e">
        <f>AND(#REF!,"AAAAAC9/+6c=")</f>
        <v>#REF!</v>
      </c>
      <c r="FM3" t="e">
        <f>AND(#REF!,"AAAAAC9/+6g=")</f>
        <v>#REF!</v>
      </c>
      <c r="FN3" t="e">
        <f>AND(#REF!,"AAAAAC9/+6k=")</f>
        <v>#REF!</v>
      </c>
      <c r="FO3" t="e">
        <f>AND(#REF!,"AAAAAC9/+6o=")</f>
        <v>#REF!</v>
      </c>
      <c r="FP3" t="e">
        <f>AND(#REF!,"AAAAAC9/+6s=")</f>
        <v>#REF!</v>
      </c>
      <c r="FQ3" t="e">
        <f>AND(#REF!,"AAAAAC9/+6w=")</f>
        <v>#REF!</v>
      </c>
      <c r="FR3" t="e">
        <f>AND(#REF!,"AAAAAC9/+60=")</f>
        <v>#REF!</v>
      </c>
      <c r="FS3" t="e">
        <f>IF(#REF!,"AAAAAC9/+64=",0)</f>
        <v>#REF!</v>
      </c>
      <c r="FT3" t="e">
        <f>AND(#REF!,"AAAAAC9/+68=")</f>
        <v>#REF!</v>
      </c>
      <c r="FU3" t="e">
        <f>AND(#REF!,"AAAAAC9/+7A=")</f>
        <v>#REF!</v>
      </c>
      <c r="FV3" t="e">
        <f>AND(#REF!,"AAAAAC9/+7E=")</f>
        <v>#REF!</v>
      </c>
      <c r="FW3" t="e">
        <f>AND(#REF!,"AAAAAC9/+7I=")</f>
        <v>#REF!</v>
      </c>
      <c r="FX3" t="e">
        <f>AND(#REF!,"AAAAAC9/+7M=")</f>
        <v>#REF!</v>
      </c>
      <c r="FY3" t="e">
        <f>AND(#REF!,"AAAAAC9/+7Q=")</f>
        <v>#REF!</v>
      </c>
      <c r="FZ3" t="e">
        <f>AND(#REF!,"AAAAAC9/+7U=")</f>
        <v>#REF!</v>
      </c>
      <c r="GA3" t="e">
        <f>AND(#REF!,"AAAAAC9/+7Y=")</f>
        <v>#REF!</v>
      </c>
      <c r="GB3" t="e">
        <f>IF(#REF!,"AAAAAC9/+7c=",0)</f>
        <v>#REF!</v>
      </c>
      <c r="GC3" t="e">
        <f>AND(#REF!,"AAAAAC9/+7g=")</f>
        <v>#REF!</v>
      </c>
      <c r="GD3" t="e">
        <f>AND(#REF!,"AAAAAC9/+7k=")</f>
        <v>#REF!</v>
      </c>
      <c r="GE3" t="e">
        <f>AND(#REF!,"AAAAAC9/+7o=")</f>
        <v>#REF!</v>
      </c>
      <c r="GF3" t="e">
        <f>AND(#REF!,"AAAAAC9/+7s=")</f>
        <v>#REF!</v>
      </c>
      <c r="GG3" t="e">
        <f>AND(#REF!,"AAAAAC9/+7w=")</f>
        <v>#REF!</v>
      </c>
      <c r="GH3" t="e">
        <f>AND(#REF!,"AAAAAC9/+70=")</f>
        <v>#REF!</v>
      </c>
      <c r="GI3" t="e">
        <f>AND(#REF!,"AAAAAC9/+74=")</f>
        <v>#REF!</v>
      </c>
      <c r="GJ3" t="e">
        <f>AND(#REF!,"AAAAAC9/+78=")</f>
        <v>#REF!</v>
      </c>
      <c r="GK3" t="e">
        <f>IF(#REF!,"AAAAAC9/+8A=",0)</f>
        <v>#REF!</v>
      </c>
      <c r="GL3" t="e">
        <f>AND(#REF!,"AAAAAC9/+8E=")</f>
        <v>#REF!</v>
      </c>
      <c r="GM3" t="e">
        <f>AND(#REF!,"AAAAAC9/+8I=")</f>
        <v>#REF!</v>
      </c>
      <c r="GN3" t="e">
        <f>AND(#REF!,"AAAAAC9/+8M=")</f>
        <v>#REF!</v>
      </c>
      <c r="GO3" t="e">
        <f>AND(#REF!,"AAAAAC9/+8Q=")</f>
        <v>#REF!</v>
      </c>
      <c r="GP3" t="e">
        <f>AND(#REF!,"AAAAAC9/+8U=")</f>
        <v>#REF!</v>
      </c>
      <c r="GQ3" t="e">
        <f>AND(#REF!,"AAAAAC9/+8Y=")</f>
        <v>#REF!</v>
      </c>
      <c r="GR3" t="e">
        <f>AND(#REF!,"AAAAAC9/+8c=")</f>
        <v>#REF!</v>
      </c>
      <c r="GS3" t="e">
        <f>AND(#REF!,"AAAAAC9/+8g=")</f>
        <v>#REF!</v>
      </c>
      <c r="GT3" t="e">
        <f>IF(#REF!,"AAAAAC9/+8k=",0)</f>
        <v>#REF!</v>
      </c>
      <c r="GU3" t="e">
        <f>AND(#REF!,"AAAAAC9/+8o=")</f>
        <v>#REF!</v>
      </c>
      <c r="GV3" t="e">
        <f>AND(#REF!,"AAAAAC9/+8s=")</f>
        <v>#REF!</v>
      </c>
      <c r="GW3" t="e">
        <f>AND(#REF!,"AAAAAC9/+8w=")</f>
        <v>#REF!</v>
      </c>
      <c r="GX3" t="e">
        <f>AND(#REF!,"AAAAAC9/+80=")</f>
        <v>#REF!</v>
      </c>
      <c r="GY3" t="e">
        <f>AND(#REF!,"AAAAAC9/+84=")</f>
        <v>#REF!</v>
      </c>
      <c r="GZ3" t="e">
        <f>AND(#REF!,"AAAAAC9/+88=")</f>
        <v>#REF!</v>
      </c>
      <c r="HA3" t="e">
        <f>AND(#REF!,"AAAAAC9/+9A=")</f>
        <v>#REF!</v>
      </c>
      <c r="HB3" t="e">
        <f>AND(#REF!,"AAAAAC9/+9E=")</f>
        <v>#REF!</v>
      </c>
      <c r="HC3" t="e">
        <f>IF(#REF!,"AAAAAC9/+9I=",0)</f>
        <v>#REF!</v>
      </c>
      <c r="HD3" t="e">
        <f>AND(#REF!,"AAAAAC9/+9M=")</f>
        <v>#REF!</v>
      </c>
      <c r="HE3" t="e">
        <f>AND(#REF!,"AAAAAC9/+9Q=")</f>
        <v>#REF!</v>
      </c>
      <c r="HF3" t="e">
        <f>AND(#REF!,"AAAAAC9/+9U=")</f>
        <v>#REF!</v>
      </c>
      <c r="HG3" t="e">
        <f>AND(#REF!,"AAAAAC9/+9Y=")</f>
        <v>#REF!</v>
      </c>
      <c r="HH3" t="e">
        <f>AND(#REF!,"AAAAAC9/+9c=")</f>
        <v>#REF!</v>
      </c>
      <c r="HI3" t="e">
        <f>AND(#REF!,"AAAAAC9/+9g=")</f>
        <v>#REF!</v>
      </c>
      <c r="HJ3" t="e">
        <f>AND(#REF!,"AAAAAC9/+9k=")</f>
        <v>#REF!</v>
      </c>
      <c r="HK3" t="e">
        <f>AND(#REF!,"AAAAAC9/+9o=")</f>
        <v>#REF!</v>
      </c>
      <c r="HL3" t="e">
        <f>IF(#REF!,"AAAAAC9/+9s=",0)</f>
        <v>#REF!</v>
      </c>
      <c r="HM3" t="e">
        <f>AND(#REF!,"AAAAAC9/+9w=")</f>
        <v>#REF!</v>
      </c>
      <c r="HN3" t="e">
        <f>AND(#REF!,"AAAAAC9/+90=")</f>
        <v>#REF!</v>
      </c>
      <c r="HO3" t="e">
        <f>AND(#REF!,"AAAAAC9/+94=")</f>
        <v>#REF!</v>
      </c>
      <c r="HP3" t="e">
        <f>AND(#REF!,"AAAAAC9/+98=")</f>
        <v>#REF!</v>
      </c>
      <c r="HQ3" t="e">
        <f>AND(#REF!,"AAAAAC9/++A=")</f>
        <v>#REF!</v>
      </c>
      <c r="HR3" t="e">
        <f>AND(#REF!,"AAAAAC9/++E=")</f>
        <v>#REF!</v>
      </c>
      <c r="HS3" t="e">
        <f>AND(#REF!,"AAAAAC9/++I=")</f>
        <v>#REF!</v>
      </c>
      <c r="HT3" t="e">
        <f>AND(#REF!,"AAAAAC9/++M=")</f>
        <v>#REF!</v>
      </c>
      <c r="HU3" t="e">
        <f>IF(#REF!,"AAAAAC9/++Q=",0)</f>
        <v>#REF!</v>
      </c>
      <c r="HV3" t="e">
        <f>AND(#REF!,"AAAAAC9/++U=")</f>
        <v>#REF!</v>
      </c>
      <c r="HW3" t="e">
        <f>AND(#REF!,"AAAAAC9/++Y=")</f>
        <v>#REF!</v>
      </c>
      <c r="HX3" t="e">
        <f>AND(#REF!,"AAAAAC9/++c=")</f>
        <v>#REF!</v>
      </c>
      <c r="HY3" t="e">
        <f>AND(#REF!,"AAAAAC9/++g=")</f>
        <v>#REF!</v>
      </c>
      <c r="HZ3" t="e">
        <f>AND(#REF!,"AAAAAC9/++k=")</f>
        <v>#REF!</v>
      </c>
      <c r="IA3" t="e">
        <f>AND(#REF!,"AAAAAC9/++o=")</f>
        <v>#REF!</v>
      </c>
      <c r="IB3" t="e">
        <f>AND(#REF!,"AAAAAC9/++s=")</f>
        <v>#REF!</v>
      </c>
      <c r="IC3" t="e">
        <f>AND(#REF!,"AAAAAC9/++w=")</f>
        <v>#REF!</v>
      </c>
      <c r="ID3" t="e">
        <f>IF(#REF!,"AAAAAC9/++0=",0)</f>
        <v>#REF!</v>
      </c>
      <c r="IE3" t="e">
        <f>IF(#REF!,"AAAAAC9/++4=",0)</f>
        <v>#REF!</v>
      </c>
      <c r="IF3" t="e">
        <f>IF(#REF!,"AAAAAC9/++8=",0)</f>
        <v>#REF!</v>
      </c>
      <c r="IG3" t="e">
        <f>IF(#REF!,"AAAAAC9/+/A=",0)</f>
        <v>#REF!</v>
      </c>
      <c r="IH3" t="e">
        <f>IF(#REF!,"AAAAAC9/+/E=",0)</f>
        <v>#REF!</v>
      </c>
      <c r="II3" t="e">
        <f>IF(#REF!,"AAAAAC9/+/I=",0)</f>
        <v>#REF!</v>
      </c>
      <c r="IJ3" t="e">
        <f>IF(#REF!,"AAAAAC9/+/M=",0)</f>
        <v>#REF!</v>
      </c>
      <c r="IK3" t="e">
        <f>IF(#REF!,"AAAAAC9/+/Q=",0)</f>
        <v>#REF!</v>
      </c>
      <c r="IL3" t="e">
        <f>IF(#REF!,"AAAAAC9/+/U=",0)</f>
        <v>#REF!</v>
      </c>
      <c r="IM3" t="e">
        <f>AND(#REF!,"AAAAAC9/+/Y=")</f>
        <v>#REF!</v>
      </c>
      <c r="IN3" t="e">
        <f>AND(#REF!,"AAAAAC9/+/c=")</f>
        <v>#REF!</v>
      </c>
      <c r="IO3" t="e">
        <f>IF(#REF!,"AAAAAC9/+/g=",0)</f>
        <v>#REF!</v>
      </c>
      <c r="IP3" t="e">
        <f>IF(#REF!,"AAAAAC9/+/k=",0)</f>
        <v>#REF!</v>
      </c>
      <c r="IQ3" t="e">
        <f>IF(#REF!,"AAAAAC9/+/o=",0)</f>
        <v>#REF!</v>
      </c>
      <c r="IR3" t="e">
        <f>AND(#REF!,"AAAAAC9/+/s=")</f>
        <v>#REF!</v>
      </c>
      <c r="IS3" t="e">
        <f>AND(#REF!,"AAAAAC9/+/w=")</f>
        <v>#REF!</v>
      </c>
      <c r="IT3" t="e">
        <f>AND(#REF!,"AAAAAC9/+/0=")</f>
        <v>#REF!</v>
      </c>
      <c r="IU3" t="e">
        <f>AND(#REF!,"AAAAAC9/+/4=")</f>
        <v>#REF!</v>
      </c>
      <c r="IV3" t="e">
        <f>AND(#REF!,"AAAAAC9/+/8=")</f>
        <v>#REF!</v>
      </c>
    </row>
    <row r="4" spans="1:256" ht="14.25" x14ac:dyDescent="0.2">
      <c r="A4" t="e">
        <f>IF(#REF!,"AAAAAH37yQA=",0)</f>
        <v>#REF!</v>
      </c>
      <c r="B4" t="e">
        <f>AND(#REF!,"AAAAAH37yQE=")</f>
        <v>#REF!</v>
      </c>
      <c r="C4" t="e">
        <f>AND(#REF!,"AAAAAH37yQI=")</f>
        <v>#REF!</v>
      </c>
      <c r="D4" t="e">
        <f>AND(#REF!,"AAAAAH37yQM=")</f>
        <v>#REF!</v>
      </c>
      <c r="E4" t="e">
        <f>AND(#REF!,"AAAAAH37yQQ=")</f>
        <v>#REF!</v>
      </c>
      <c r="F4" t="e">
        <f>AND(#REF!,"AAAAAH37yQU=")</f>
        <v>#REF!</v>
      </c>
      <c r="G4" t="e">
        <f>IF(#REF!,"AAAAAH37yQY=",0)</f>
        <v>#REF!</v>
      </c>
      <c r="H4" t="e">
        <f>AND(#REF!,"AAAAAH37yQc=")</f>
        <v>#REF!</v>
      </c>
      <c r="I4" t="e">
        <f>AND(#REF!,"AAAAAH37yQg=")</f>
        <v>#REF!</v>
      </c>
      <c r="J4" t="e">
        <f>AND(#REF!,"AAAAAH37yQk=")</f>
        <v>#REF!</v>
      </c>
      <c r="K4" t="e">
        <f>AND(#REF!,"AAAAAH37yQo=")</f>
        <v>#REF!</v>
      </c>
      <c r="L4" t="e">
        <f>AND(#REF!,"AAAAAH37yQs=")</f>
        <v>#REF!</v>
      </c>
      <c r="M4" t="e">
        <f>IF(#REF!,"AAAAAH37yQw=",0)</f>
        <v>#REF!</v>
      </c>
      <c r="N4" t="e">
        <f>AND(#REF!,"AAAAAH37yQ0=")</f>
        <v>#REF!</v>
      </c>
      <c r="O4" t="e">
        <f>AND(#REF!,"AAAAAH37yQ4=")</f>
        <v>#REF!</v>
      </c>
      <c r="P4" t="e">
        <f>AND(#REF!,"AAAAAH37yQ8=")</f>
        <v>#REF!</v>
      </c>
      <c r="Q4" t="e">
        <f>AND(#REF!,"AAAAAH37yRA=")</f>
        <v>#REF!</v>
      </c>
      <c r="R4" t="e">
        <f>AND(#REF!,"AAAAAH37yRE=")</f>
        <v>#REF!</v>
      </c>
      <c r="S4" t="e">
        <f>IF(#REF!,"AAAAAH37yRI=",0)</f>
        <v>#REF!</v>
      </c>
      <c r="T4" t="e">
        <f>AND(#REF!,"AAAAAH37yRM=")</f>
        <v>#REF!</v>
      </c>
      <c r="U4" t="e">
        <f>AND(#REF!,"AAAAAH37yRQ=")</f>
        <v>#REF!</v>
      </c>
      <c r="V4" t="e">
        <f>AND(#REF!,"AAAAAH37yRU=")</f>
        <v>#REF!</v>
      </c>
      <c r="W4" t="e">
        <f>AND(#REF!,"AAAAAH37yRY=")</f>
        <v>#REF!</v>
      </c>
      <c r="X4" t="e">
        <f>AND(#REF!,"AAAAAH37yRc=")</f>
        <v>#REF!</v>
      </c>
      <c r="Y4" t="e">
        <f>IF(#REF!,"AAAAAH37yRg=",0)</f>
        <v>#REF!</v>
      </c>
      <c r="Z4" t="e">
        <f>AND(#REF!,"AAAAAH37yRk=")</f>
        <v>#REF!</v>
      </c>
      <c r="AA4" t="e">
        <f>AND(#REF!,"AAAAAH37yRo=")</f>
        <v>#REF!</v>
      </c>
      <c r="AB4" t="e">
        <f>AND(#REF!,"AAAAAH37yRs=")</f>
        <v>#REF!</v>
      </c>
      <c r="AC4" t="e">
        <f>AND(#REF!,"AAAAAH37yRw=")</f>
        <v>#REF!</v>
      </c>
      <c r="AD4" t="e">
        <f>AND(#REF!,"AAAAAH37yR0=")</f>
        <v>#REF!</v>
      </c>
      <c r="AE4" t="e">
        <f>IF(#REF!,"AAAAAH37yR4=",0)</f>
        <v>#REF!</v>
      </c>
      <c r="AF4" t="e">
        <f>AND(#REF!,"AAAAAH37yR8=")</f>
        <v>#REF!</v>
      </c>
      <c r="AG4" t="e">
        <f>AND(#REF!,"AAAAAH37ySA=")</f>
        <v>#REF!</v>
      </c>
      <c r="AH4" t="e">
        <f>AND(#REF!,"AAAAAH37ySE=")</f>
        <v>#REF!</v>
      </c>
      <c r="AI4" t="e">
        <f>AND(#REF!,"AAAAAH37ySI=")</f>
        <v>#REF!</v>
      </c>
      <c r="AJ4" t="e">
        <f>AND(#REF!,"AAAAAH37ySM=")</f>
        <v>#REF!</v>
      </c>
      <c r="AK4" t="e">
        <f>IF(#REF!,"AAAAAH37ySQ=",0)</f>
        <v>#REF!</v>
      </c>
      <c r="AL4" t="e">
        <f>IF(#REF!,"AAAAAH37ySU=",0)</f>
        <v>#REF!</v>
      </c>
      <c r="AM4" t="e">
        <f>IF(#REF!,"AAAAAH37ySY=",0)</f>
        <v>#REF!</v>
      </c>
      <c r="AN4" t="e">
        <f>IF(#REF!,"AAAAAH37ySc=",0)</f>
        <v>#REF!</v>
      </c>
      <c r="AO4" t="e">
        <f>IF(#REF!,"AAAAAH37ySg=",0)</f>
        <v>#REF!</v>
      </c>
      <c r="AP4" t="e">
        <f>IF(#REF!,"AAAAAH37ySk=",0)</f>
        <v>#REF!</v>
      </c>
      <c r="AQ4" t="e">
        <f>IF(#REF!,"AAAAAH37ySo=",0)</f>
        <v>#REF!</v>
      </c>
      <c r="AR4" t="e">
        <f>IF(#REF!,"AAAAAH37ySs=",0)</f>
        <v>#REF!</v>
      </c>
      <c r="AS4" t="e">
        <f>IF(#REF!,"AAAAAH37ySw=",0)</f>
        <v>#REF!</v>
      </c>
      <c r="AT4" t="e">
        <f>IF(#REF!,"AAAAAH37yS0=",0)</f>
        <v>#REF!</v>
      </c>
      <c r="AU4" t="e">
        <f>IF(#REF!,"AAAAAH37yS4=",0)</f>
        <v>#REF!</v>
      </c>
      <c r="AV4" t="e">
        <f>IF(#REF!,"AAAAAH37yS8=",0)</f>
        <v>#REF!</v>
      </c>
      <c r="AW4" t="e">
        <f>IF(#REF!,"AAAAAH37yTA=",0)</f>
        <v>#REF!</v>
      </c>
      <c r="AX4" t="e">
        <f>IF(#REF!,"AAAAAH37yTE=",0)</f>
        <v>#REF!</v>
      </c>
      <c r="AY4" t="e">
        <f>IF(#REF!,"AAAAAH37yTI=",0)</f>
        <v>#REF!</v>
      </c>
      <c r="AZ4" t="e">
        <f>IF(#REF!,"AAAAAH37yTM=",0)</f>
        <v>#REF!</v>
      </c>
      <c r="BA4" t="e">
        <f>IF(#REF!,"AAAAAH37yTQ=",0)</f>
        <v>#REF!</v>
      </c>
      <c r="BB4" t="e">
        <f>IF(#REF!,"AAAAAH37yTU=",0)</f>
        <v>#REF!</v>
      </c>
      <c r="BC4" t="e">
        <f>IF(#REF!,"AAAAAH37yTY=",0)</f>
        <v>#REF!</v>
      </c>
      <c r="BD4" t="e">
        <f>IF(#REF!,"AAAAAH37yTc=",0)</f>
        <v>#REF!</v>
      </c>
      <c r="BE4" t="e">
        <f>IF(#REF!,"AAAAAH37yTg=",0)</f>
        <v>#REF!</v>
      </c>
      <c r="BF4" t="e">
        <f>IF(#REF!,"AAAAAH37yTk=",0)</f>
        <v>#REF!</v>
      </c>
      <c r="BG4" t="e">
        <f>IF(#REF!,"AAAAAH37yTo=",0)</f>
        <v>#REF!</v>
      </c>
      <c r="BH4" t="e">
        <f>IF(#REF!,"AAAAAH37yTs=",0)</f>
        <v>#REF!</v>
      </c>
      <c r="BI4" t="e">
        <f>IF(#REF!,"AAAAAH37yTw=",0)</f>
        <v>#REF!</v>
      </c>
      <c r="BJ4" t="e">
        <f>IF(#REF!,"AAAAAH37yT0=",0)</f>
        <v>#REF!</v>
      </c>
      <c r="BK4" t="e">
        <f>IF(#REF!,"AAAAAH37yT4=",0)</f>
        <v>#REF!</v>
      </c>
      <c r="BL4" t="e">
        <f>IF(#REF!,"AAAAAH37yT8=",0)</f>
        <v>#REF!</v>
      </c>
      <c r="BM4" t="e">
        <f>IF(#REF!,"AAAAAH37yUA=",0)</f>
        <v>#REF!</v>
      </c>
      <c r="BN4" t="e">
        <f>IF(#REF!,"AAAAAH37yUE=",0)</f>
        <v>#REF!</v>
      </c>
      <c r="BO4" t="e">
        <f>IF(#REF!,"AAAAAH37yUI=",0)</f>
        <v>#REF!</v>
      </c>
      <c r="BP4" t="e">
        <f>IF(#REF!,"AAAAAH37yUM=",0)</f>
        <v>#REF!</v>
      </c>
      <c r="BQ4" t="e">
        <f>IF(#REF!,"AAAAAH37yUQ=",0)</f>
        <v>#REF!</v>
      </c>
      <c r="BR4" t="e">
        <f>IF(#REF!,"AAAAAH37yUU=",0)</f>
        <v>#REF!</v>
      </c>
      <c r="BS4" t="e">
        <f>IF(#REF!,"AAAAAH37yUY=",0)</f>
        <v>#REF!</v>
      </c>
      <c r="BT4" t="e">
        <f>IF(#REF!,"AAAAAH37yUc=",0)</f>
        <v>#REF!</v>
      </c>
      <c r="BU4" t="e">
        <f>IF(#REF!,"AAAAAH37yUg=",0)</f>
        <v>#REF!</v>
      </c>
      <c r="BV4" t="e">
        <f>IF(#REF!,"AAAAAH37yUk=",0)</f>
        <v>#REF!</v>
      </c>
      <c r="BW4" t="e">
        <f>IF(#REF!,"AAAAAH37yUo=",0)</f>
        <v>#REF!</v>
      </c>
      <c r="BX4" t="e">
        <f>IF(#REF!,"AAAAAH37yUs=",0)</f>
        <v>#REF!</v>
      </c>
      <c r="BY4" t="e">
        <f>IF(#REF!,"AAAAAH37yUw=",0)</f>
        <v>#REF!</v>
      </c>
      <c r="BZ4" t="e">
        <f>IF(#REF!,"AAAAAH37yU0=",0)</f>
        <v>#REF!</v>
      </c>
      <c r="CA4" t="e">
        <f>IF(#REF!,"AAAAAH37yU4=",0)</f>
        <v>#REF!</v>
      </c>
      <c r="CB4" t="e">
        <f>IF(#REF!,"AAAAAH37yU8=",0)</f>
        <v>#REF!</v>
      </c>
      <c r="CC4" t="e">
        <f>IF(#REF!,"AAAAAH37yVA=",0)</f>
        <v>#REF!</v>
      </c>
      <c r="CD4" t="e">
        <f>IF(#REF!,"AAAAAH37yVE=",0)</f>
        <v>#REF!</v>
      </c>
      <c r="CE4" t="e">
        <f>IF(#REF!,"AAAAAH37yVI=",0)</f>
        <v>#REF!</v>
      </c>
      <c r="CF4" t="e">
        <f>IF(#REF!,"AAAAAH37yVM=",0)</f>
        <v>#REF!</v>
      </c>
      <c r="CG4" t="e">
        <f>IF(#REF!,"AAAAAH37yVQ=",0)</f>
        <v>#REF!</v>
      </c>
      <c r="CH4" t="e">
        <f>IF(#REF!,"AAAAAH37yVU=",0)</f>
        <v>#REF!</v>
      </c>
      <c r="CI4" t="e">
        <f>IF(#REF!,"AAAAAH37yVY=",0)</f>
        <v>#REF!</v>
      </c>
      <c r="CJ4" t="e">
        <f>IF(#REF!,"AAAAAH37yVc=",0)</f>
        <v>#REF!</v>
      </c>
      <c r="CK4" t="e">
        <f>IF(#REF!,"AAAAAH37yVg=",0)</f>
        <v>#REF!</v>
      </c>
      <c r="CL4" t="e">
        <f>IF(#REF!,"AAAAAH37yVk=",0)</f>
        <v>#REF!</v>
      </c>
      <c r="CM4" t="e">
        <f>IF(#REF!,"AAAAAH37yVo=",0)</f>
        <v>#REF!</v>
      </c>
      <c r="CN4" t="e">
        <f>IF(#REF!,"AAAAAH37yVs=",0)</f>
        <v>#REF!</v>
      </c>
      <c r="CO4" t="e">
        <f>IF(#REF!,"AAAAAH37yVw=",0)</f>
        <v>#REF!</v>
      </c>
      <c r="CP4" t="e">
        <f>IF(#REF!,"AAAAAH37yV0=",0)</f>
        <v>#REF!</v>
      </c>
      <c r="CQ4" t="e">
        <f>IF(#REF!,"AAAAAH37yV4=",0)</f>
        <v>#REF!</v>
      </c>
      <c r="CR4" t="e">
        <f>IF(#REF!,"AAAAAH37yV8=",0)</f>
        <v>#REF!</v>
      </c>
      <c r="CS4" t="e">
        <f>IF(#REF!,"AAAAAH37yWA=",0)</f>
        <v>#REF!</v>
      </c>
      <c r="CT4" t="e">
        <f>IF(#REF!,"AAAAAH37yWE=",0)</f>
        <v>#REF!</v>
      </c>
      <c r="CU4" t="e">
        <f>IF(#REF!,"AAAAAH37yWI=",0)</f>
        <v>#REF!</v>
      </c>
      <c r="CV4" t="e">
        <f>IF(#REF!,"AAAAAH37yWM=",0)</f>
        <v>#REF!</v>
      </c>
      <c r="CW4" t="e">
        <f>IF(#REF!,"AAAAAH37yWQ=",0)</f>
        <v>#REF!</v>
      </c>
      <c r="CX4" t="e">
        <f>IF(#REF!,"AAAAAH37yWU=",0)</f>
        <v>#REF!</v>
      </c>
      <c r="CY4" t="e">
        <f>IF(#REF!,"AAAAAH37yWY=",0)</f>
        <v>#REF!</v>
      </c>
      <c r="CZ4" t="e">
        <f>IF(#REF!,"AAAAAH37yWc=",0)</f>
        <v>#REF!</v>
      </c>
      <c r="DA4" t="e">
        <f>IF(#REF!,"AAAAAH37yWg=",0)</f>
        <v>#REF!</v>
      </c>
      <c r="DB4" t="e">
        <f>IF(#REF!,"AAAAAH37yWk=",0)</f>
        <v>#REF!</v>
      </c>
      <c r="DC4" t="e">
        <f>IF(#REF!,"AAAAAH37yWo=",0)</f>
        <v>#REF!</v>
      </c>
      <c r="DD4" t="e">
        <f>IF(#REF!,"AAAAAH37yWs=",0)</f>
        <v>#REF!</v>
      </c>
      <c r="DE4" t="e">
        <f>IF(#REF!,"AAAAAH37yWw=",0)</f>
        <v>#REF!</v>
      </c>
      <c r="DF4" t="e">
        <f>IF(#REF!,"AAAAAH37yW0=",0)</f>
        <v>#REF!</v>
      </c>
      <c r="DG4" t="e">
        <f>IF(#REF!,"AAAAAH37yW4=",0)</f>
        <v>#REF!</v>
      </c>
      <c r="DH4" t="e">
        <f>IF(#REF!,"AAAAAH37yW8=",0)</f>
        <v>#REF!</v>
      </c>
      <c r="DI4" t="e">
        <f>IF(#REF!,"AAAAAH37yXA=",0)</f>
        <v>#REF!</v>
      </c>
      <c r="DJ4" t="e">
        <f>IF(#REF!,"AAAAAH37yXE=",0)</f>
        <v>#REF!</v>
      </c>
      <c r="DK4" t="e">
        <f>IF(#REF!,"AAAAAH37yXI=",0)</f>
        <v>#REF!</v>
      </c>
      <c r="DL4" t="e">
        <f>IF(#REF!,"AAAAAH37yXM=",0)</f>
        <v>#REF!</v>
      </c>
      <c r="DM4" t="e">
        <f>AND(#REF!,"AAAAAH37yXQ=")</f>
        <v>#REF!</v>
      </c>
      <c r="DN4" t="e">
        <f>AND(#REF!,"AAAAAH37yXU=")</f>
        <v>#REF!</v>
      </c>
      <c r="DO4" t="e">
        <f>AND(#REF!,"AAAAAH37yXY=")</f>
        <v>#REF!</v>
      </c>
      <c r="DP4" t="e">
        <f>AND(#REF!,"AAAAAH37yXc=")</f>
        <v>#REF!</v>
      </c>
      <c r="DQ4" t="e">
        <f>AND(#REF!,"AAAAAH37yXg=")</f>
        <v>#REF!</v>
      </c>
      <c r="DR4" t="e">
        <f>AND(#REF!,"AAAAAH37yXk=")</f>
        <v>#REF!</v>
      </c>
      <c r="DS4" t="e">
        <f>AND(#REF!,"AAAAAH37yXo=")</f>
        <v>#REF!</v>
      </c>
      <c r="DT4" t="e">
        <f>AND(#REF!,"AAAAAH37yXs=")</f>
        <v>#REF!</v>
      </c>
      <c r="DU4" t="e">
        <f>AND(#REF!,"AAAAAH37yXw=")</f>
        <v>#REF!</v>
      </c>
      <c r="DV4" t="e">
        <f>IF(#REF!,"AAAAAH37yX0=",0)</f>
        <v>#REF!</v>
      </c>
      <c r="DW4" t="e">
        <f>IF(#REF!,"AAAAAH37yX4=",0)</f>
        <v>#REF!</v>
      </c>
      <c r="DX4" t="e">
        <f>IF(#REF!,"AAAAAH37yX8=",0)</f>
        <v>#REF!</v>
      </c>
      <c r="DY4" t="e">
        <f>IF(#REF!,"AAAAAH37yYA=",0)</f>
        <v>#REF!</v>
      </c>
      <c r="DZ4" t="e">
        <f>IF(#REF!,"AAAAAH37yYE=",0)</f>
        <v>#REF!</v>
      </c>
      <c r="EA4" t="e">
        <f>IF(#REF!,"AAAAAH37yYI=",0)</f>
        <v>#REF!</v>
      </c>
      <c r="EB4" t="e">
        <f>IF(#REF!,"AAAAAH37yYM=",0)</f>
        <v>#REF!</v>
      </c>
      <c r="EC4" t="e">
        <f>IF(#REF!,"AAAAAH37yYQ=",0)</f>
        <v>#REF!</v>
      </c>
      <c r="ED4" t="e">
        <f>IF(#REF!,"AAAAAH37yYU=",0)</f>
        <v>#REF!</v>
      </c>
      <c r="EE4" t="e">
        <f>IF(#REF!,"AAAAAH37yYY=",0)</f>
        <v>#REF!</v>
      </c>
      <c r="EF4" t="e">
        <f>AND(#REF!,"AAAAAH37yYc=")</f>
        <v>#REF!</v>
      </c>
      <c r="EG4" t="e">
        <f>AND(#REF!,"AAAAAH37yYg=")</f>
        <v>#REF!</v>
      </c>
      <c r="EH4" t="e">
        <f>AND(#REF!,"AAAAAH37yYk=")</f>
        <v>#REF!</v>
      </c>
      <c r="EI4" t="e">
        <f>AND(#REF!,"AAAAAH37yYo=")</f>
        <v>#REF!</v>
      </c>
      <c r="EJ4" t="e">
        <f>AND(#REF!,"AAAAAH37yYs=")</f>
        <v>#REF!</v>
      </c>
      <c r="EK4" t="e">
        <f>AND(#REF!,"AAAAAH37yYw=")</f>
        <v>#REF!</v>
      </c>
      <c r="EL4" t="e">
        <f>AND(#REF!,"AAAAAH37yY0=")</f>
        <v>#REF!</v>
      </c>
      <c r="EM4" t="e">
        <f>AND(#REF!,"AAAAAH37yY4=")</f>
        <v>#REF!</v>
      </c>
      <c r="EN4" t="e">
        <f>AND(#REF!,"AAAAAH37yY8=")</f>
        <v>#REF!</v>
      </c>
      <c r="EO4" t="e">
        <f>IF(#REF!,"AAAAAH37yZA=",0)</f>
        <v>#REF!</v>
      </c>
      <c r="EP4" t="e">
        <f>AND(#REF!,"AAAAAH37yZE=")</f>
        <v>#REF!</v>
      </c>
      <c r="EQ4" t="e">
        <f>AND(#REF!,"AAAAAH37yZI=")</f>
        <v>#REF!</v>
      </c>
      <c r="ER4" t="e">
        <f>IF(#REF!,"AAAAAH37yZM=",0)</f>
        <v>#REF!</v>
      </c>
      <c r="ES4" t="e">
        <f>AND(#REF!,"AAAAAH37yZQ=")</f>
        <v>#REF!</v>
      </c>
      <c r="ET4" t="e">
        <f>AND(#REF!,"AAAAAH37yZU=")</f>
        <v>#REF!</v>
      </c>
      <c r="EU4" t="e">
        <f>IF(#REF!,"AAAAAH37yZY=",0)</f>
        <v>#REF!</v>
      </c>
      <c r="EV4" t="e">
        <f>AND(#REF!,"AAAAAH37yZc=")</f>
        <v>#REF!</v>
      </c>
      <c r="EW4" t="e">
        <f>AND(#REF!,"AAAAAH37yZg=")</f>
        <v>#REF!</v>
      </c>
      <c r="EX4" t="e">
        <f>IF(#REF!,"AAAAAH37yZk=",0)</f>
        <v>#REF!</v>
      </c>
      <c r="EY4" t="e">
        <f>AND(#REF!,"AAAAAH37yZo=")</f>
        <v>#REF!</v>
      </c>
      <c r="EZ4" t="e">
        <f>AND(#REF!,"AAAAAH37yZs=")</f>
        <v>#REF!</v>
      </c>
      <c r="FA4" t="e">
        <f>IF(#REF!,"AAAAAH37yZw=",0)</f>
        <v>#REF!</v>
      </c>
      <c r="FB4" t="e">
        <f>AND(#REF!,"AAAAAH37yZ0=")</f>
        <v>#REF!</v>
      </c>
      <c r="FC4" t="e">
        <f>AND(#REF!,"AAAAAH37yZ4=")</f>
        <v>#REF!</v>
      </c>
      <c r="FD4" t="e">
        <f>IF(#REF!,"AAAAAH37yZ8=",0)</f>
        <v>#REF!</v>
      </c>
      <c r="FE4" t="e">
        <f>AND(#REF!,"AAAAAH37yaA=")</f>
        <v>#REF!</v>
      </c>
      <c r="FF4" t="e">
        <f>AND(#REF!,"AAAAAH37yaE=")</f>
        <v>#REF!</v>
      </c>
      <c r="FG4" t="e">
        <f>IF(#REF!,"AAAAAH37yaI=",0)</f>
        <v>#REF!</v>
      </c>
      <c r="FH4" t="e">
        <f>AND(#REF!,"AAAAAH37yaM=")</f>
        <v>#REF!</v>
      </c>
      <c r="FI4" t="e">
        <f>AND(#REF!,"AAAAAH37yaQ=")</f>
        <v>#REF!</v>
      </c>
      <c r="FJ4" t="e">
        <f>IF(#REF!,"AAAAAH37yaU=",0)</f>
        <v>#REF!</v>
      </c>
      <c r="FK4" t="e">
        <f>AND(#REF!,"AAAAAH37yaY=")</f>
        <v>#REF!</v>
      </c>
      <c r="FL4" t="e">
        <f>AND(#REF!,"AAAAAH37yac=")</f>
        <v>#REF!</v>
      </c>
      <c r="FM4" t="e">
        <f>IF(#REF!,"AAAAAH37yag=",0)</f>
        <v>#REF!</v>
      </c>
      <c r="FN4" t="e">
        <f>AND(#REF!,"AAAAAH37yak=")</f>
        <v>#REF!</v>
      </c>
      <c r="FO4" t="e">
        <f>AND(#REF!,"AAAAAH37yao=")</f>
        <v>#REF!</v>
      </c>
      <c r="FP4" t="e">
        <f>IF(#REF!,"AAAAAH37yas=",0)</f>
        <v>#REF!</v>
      </c>
      <c r="FQ4" t="e">
        <f>AND(#REF!,"AAAAAH37yaw=")</f>
        <v>#REF!</v>
      </c>
      <c r="FR4" t="e">
        <f>AND(#REF!,"AAAAAH37ya0=")</f>
        <v>#REF!</v>
      </c>
      <c r="FS4" t="e">
        <f>IF(#REF!,"AAAAAH37ya4=",0)</f>
        <v>#REF!</v>
      </c>
      <c r="FT4" t="e">
        <f>AND(#REF!,"AAAAAH37ya8=")</f>
        <v>#REF!</v>
      </c>
      <c r="FU4" t="e">
        <f>AND(#REF!,"AAAAAH37ybA=")</f>
        <v>#REF!</v>
      </c>
      <c r="FV4" t="e">
        <f>IF(#REF!,"AAAAAH37ybE=",0)</f>
        <v>#REF!</v>
      </c>
      <c r="FW4" t="e">
        <f>AND(#REF!,"AAAAAH37ybI=")</f>
        <v>#REF!</v>
      </c>
      <c r="FX4" t="e">
        <f>AND(#REF!,"AAAAAH37ybM=")</f>
        <v>#REF!</v>
      </c>
      <c r="FY4" t="e">
        <f>IF(#REF!,"AAAAAH37ybQ=",0)</f>
        <v>#REF!</v>
      </c>
      <c r="FZ4" t="e">
        <f>AND(#REF!,"AAAAAH37ybU=")</f>
        <v>#REF!</v>
      </c>
      <c r="GA4" t="e">
        <f>AND(#REF!,"AAAAAH37ybY=")</f>
        <v>#REF!</v>
      </c>
      <c r="GB4" t="e">
        <f>IF(#REF!,"AAAAAH37ybc=",0)</f>
        <v>#REF!</v>
      </c>
      <c r="GC4" t="e">
        <f>AND(#REF!,"AAAAAH37ybg=")</f>
        <v>#REF!</v>
      </c>
      <c r="GD4" t="e">
        <f>AND(#REF!,"AAAAAH37ybk=")</f>
        <v>#REF!</v>
      </c>
      <c r="GE4" t="e">
        <f>IF(#REF!,"AAAAAH37ybo=",0)</f>
        <v>#REF!</v>
      </c>
      <c r="GF4" t="e">
        <f>AND(#REF!,"AAAAAH37ybs=")</f>
        <v>#REF!</v>
      </c>
      <c r="GG4" t="e">
        <f>AND(#REF!,"AAAAAH37ybw=")</f>
        <v>#REF!</v>
      </c>
      <c r="GH4" t="e">
        <f>IF(#REF!,"AAAAAH37yb0=",0)</f>
        <v>#REF!</v>
      </c>
      <c r="GI4" t="e">
        <f>AND(#REF!,"AAAAAH37yb4=")</f>
        <v>#REF!</v>
      </c>
      <c r="GJ4" t="e">
        <f>AND(#REF!,"AAAAAH37yb8=")</f>
        <v>#REF!</v>
      </c>
      <c r="GK4" t="e">
        <f>IF(#REF!,"AAAAAH37ycA=",0)</f>
        <v>#REF!</v>
      </c>
      <c r="GL4" t="e">
        <f>AND(#REF!,"AAAAAH37ycE=")</f>
        <v>#REF!</v>
      </c>
      <c r="GM4" t="e">
        <f>AND(#REF!,"AAAAAH37ycI=")</f>
        <v>#REF!</v>
      </c>
      <c r="GN4" t="e">
        <f>IF(#REF!,"AAAAAH37ycM=",0)</f>
        <v>#REF!</v>
      </c>
      <c r="GO4" t="e">
        <f>AND(#REF!,"AAAAAH37ycQ=")</f>
        <v>#REF!</v>
      </c>
      <c r="GP4" t="e">
        <f>AND(#REF!,"AAAAAH37ycU=")</f>
        <v>#REF!</v>
      </c>
      <c r="GQ4" t="e">
        <f>IF(#REF!,"AAAAAH37ycY=",0)</f>
        <v>#REF!</v>
      </c>
      <c r="GR4" t="e">
        <f>AND(#REF!,"AAAAAH37ycc=")</f>
        <v>#REF!</v>
      </c>
      <c r="GS4" t="e">
        <f>AND(#REF!,"AAAAAH37ycg=")</f>
        <v>#REF!</v>
      </c>
      <c r="GT4" t="e">
        <f>IF(#REF!,"AAAAAH37yck=",0)</f>
        <v>#REF!</v>
      </c>
      <c r="GU4" t="e">
        <f>AND(#REF!,"AAAAAH37yco=")</f>
        <v>#REF!</v>
      </c>
      <c r="GV4" t="e">
        <f>AND(#REF!,"AAAAAH37ycs=")</f>
        <v>#REF!</v>
      </c>
      <c r="GW4" t="e">
        <f>IF(#REF!,"AAAAAH37ycw=",0)</f>
        <v>#REF!</v>
      </c>
      <c r="GX4" t="e">
        <f>AND(#REF!,"AAAAAH37yc0=")</f>
        <v>#REF!</v>
      </c>
      <c r="GY4" t="e">
        <f>AND(#REF!,"AAAAAH37yc4=")</f>
        <v>#REF!</v>
      </c>
      <c r="GZ4" t="e">
        <f>IF(#REF!,"AAAAAH37yc8=",0)</f>
        <v>#REF!</v>
      </c>
      <c r="HA4" t="e">
        <f>AND(#REF!,"AAAAAH37ydA=")</f>
        <v>#REF!</v>
      </c>
      <c r="HB4" t="e">
        <f>AND(#REF!,"AAAAAH37ydE=")</f>
        <v>#REF!</v>
      </c>
      <c r="HC4" t="e">
        <f>IF(#REF!,"AAAAAH37ydI=",0)</f>
        <v>#REF!</v>
      </c>
      <c r="HD4" t="e">
        <f>AND(#REF!,"AAAAAH37ydM=")</f>
        <v>#REF!</v>
      </c>
      <c r="HE4" t="e">
        <f>AND(#REF!,"AAAAAH37ydQ=")</f>
        <v>#REF!</v>
      </c>
      <c r="HF4" t="e">
        <f>IF(#REF!,"AAAAAH37ydU=",0)</f>
        <v>#REF!</v>
      </c>
      <c r="HG4" t="e">
        <f>AND(#REF!,"AAAAAH37ydY=")</f>
        <v>#REF!</v>
      </c>
      <c r="HH4" t="e">
        <f>AND(#REF!,"AAAAAH37ydc=")</f>
        <v>#REF!</v>
      </c>
      <c r="HI4" t="e">
        <f>IF(#REF!,"AAAAAH37ydg=",0)</f>
        <v>#REF!</v>
      </c>
      <c r="HJ4" t="e">
        <f>AND(#REF!,"AAAAAH37ydk=")</f>
        <v>#REF!</v>
      </c>
      <c r="HK4" t="e">
        <f>AND(#REF!,"AAAAAH37ydo=")</f>
        <v>#REF!</v>
      </c>
      <c r="HL4" t="e">
        <f>IF(#REF!,"AAAAAH37yds=",0)</f>
        <v>#REF!</v>
      </c>
      <c r="HM4" t="e">
        <f>AND(#REF!,"AAAAAH37ydw=")</f>
        <v>#REF!</v>
      </c>
      <c r="HN4" t="e">
        <f>AND(#REF!,"AAAAAH37yd0=")</f>
        <v>#REF!</v>
      </c>
      <c r="HO4" t="e">
        <f>IF(#REF!,"AAAAAH37yd4=",0)</f>
        <v>#REF!</v>
      </c>
      <c r="HP4" t="e">
        <f>AND(#REF!,"AAAAAH37yd8=")</f>
        <v>#REF!</v>
      </c>
      <c r="HQ4" t="e">
        <f>AND(#REF!,"AAAAAH37yeA=")</f>
        <v>#REF!</v>
      </c>
      <c r="HR4" t="e">
        <f>IF(#REF!,"AAAAAH37yeE=",0)</f>
        <v>#REF!</v>
      </c>
      <c r="HS4" t="e">
        <f>AND(#REF!,"AAAAAH37yeI=")</f>
        <v>#REF!</v>
      </c>
      <c r="HT4" t="e">
        <f>AND(#REF!,"AAAAAH37yeM=")</f>
        <v>#REF!</v>
      </c>
      <c r="HU4" t="e">
        <f>IF(#REF!,"AAAAAH37yeQ=",0)</f>
        <v>#REF!</v>
      </c>
      <c r="HV4" t="e">
        <f>AND(#REF!,"AAAAAH37yeU=")</f>
        <v>#REF!</v>
      </c>
      <c r="HW4" t="e">
        <f>AND(#REF!,"AAAAAH37yeY=")</f>
        <v>#REF!</v>
      </c>
      <c r="HX4" t="e">
        <f>IF(#REF!,"AAAAAH37yec=",0)</f>
        <v>#REF!</v>
      </c>
      <c r="HY4" t="e">
        <f>AND(#REF!,"AAAAAH37yeg=")</f>
        <v>#REF!</v>
      </c>
      <c r="HZ4" t="e">
        <f>AND(#REF!,"AAAAAH37yek=")</f>
        <v>#REF!</v>
      </c>
      <c r="IA4" t="e">
        <f>IF(#REF!,"AAAAAH37yeo=",0)</f>
        <v>#REF!</v>
      </c>
      <c r="IB4" t="e">
        <f>AND(#REF!,"AAAAAH37yes=")</f>
        <v>#REF!</v>
      </c>
      <c r="IC4" t="e">
        <f>AND(#REF!,"AAAAAH37yew=")</f>
        <v>#REF!</v>
      </c>
      <c r="ID4" t="e">
        <f>IF(#REF!,"AAAAAH37ye0=",0)</f>
        <v>#REF!</v>
      </c>
      <c r="IE4" t="e">
        <f>AND(#REF!,"AAAAAH37ye4=")</f>
        <v>#REF!</v>
      </c>
      <c r="IF4" t="e">
        <f>AND(#REF!,"AAAAAH37ye8=")</f>
        <v>#REF!</v>
      </c>
      <c r="IG4" t="e">
        <f>IF(#REF!,"AAAAAH37yfA=",0)</f>
        <v>#REF!</v>
      </c>
      <c r="IH4" t="e">
        <f>AND(#REF!,"AAAAAH37yfE=")</f>
        <v>#REF!</v>
      </c>
      <c r="II4" t="e">
        <f>AND(#REF!,"AAAAAH37yfI=")</f>
        <v>#REF!</v>
      </c>
      <c r="IJ4" t="e">
        <f>IF(#REF!,"AAAAAH37yfM=",0)</f>
        <v>#REF!</v>
      </c>
      <c r="IK4" t="e">
        <f>AND(#REF!,"AAAAAH37yfQ=")</f>
        <v>#REF!</v>
      </c>
      <c r="IL4" t="e">
        <f>AND(#REF!,"AAAAAH37yfU=")</f>
        <v>#REF!</v>
      </c>
      <c r="IM4" t="e">
        <f>IF(#REF!,"AAAAAH37yfY=",0)</f>
        <v>#REF!</v>
      </c>
      <c r="IN4" t="e">
        <f>AND(#REF!,"AAAAAH37yfc=")</f>
        <v>#REF!</v>
      </c>
      <c r="IO4" t="e">
        <f>AND(#REF!,"AAAAAH37yfg=")</f>
        <v>#REF!</v>
      </c>
      <c r="IP4" t="e">
        <f>IF(#REF!,"AAAAAH37yfk=",0)</f>
        <v>#REF!</v>
      </c>
      <c r="IQ4" t="e">
        <f>AND(#REF!,"AAAAAH37yfo=")</f>
        <v>#REF!</v>
      </c>
      <c r="IR4" t="e">
        <f>AND(#REF!,"AAAAAH37yfs=")</f>
        <v>#REF!</v>
      </c>
      <c r="IS4" t="e">
        <f>IF(#REF!,"AAAAAH37yfw=",0)</f>
        <v>#REF!</v>
      </c>
      <c r="IT4" t="e">
        <f>AND(#REF!,"AAAAAH37yf0=")</f>
        <v>#REF!</v>
      </c>
      <c r="IU4" t="e">
        <f>AND(#REF!,"AAAAAH37yf4=")</f>
        <v>#REF!</v>
      </c>
      <c r="IV4" t="e">
        <f>IF(#REF!,"AAAAAH37yf8=",0)</f>
        <v>#REF!</v>
      </c>
    </row>
    <row r="5" spans="1:256" ht="14.25" x14ac:dyDescent="0.2">
      <c r="A5" t="e">
        <f>AND(#REF!,"AAAAAH+L/AA=")</f>
        <v>#REF!</v>
      </c>
      <c r="B5" t="e">
        <f>AND(#REF!,"AAAAAH+L/AE=")</f>
        <v>#REF!</v>
      </c>
      <c r="C5" t="e">
        <f>IF(#REF!,"AAAAAH+L/AI=",0)</f>
        <v>#REF!</v>
      </c>
      <c r="D5" t="e">
        <f>AND(#REF!,"AAAAAH+L/AM=")</f>
        <v>#REF!</v>
      </c>
      <c r="E5" t="e">
        <f>AND(#REF!,"AAAAAH+L/AQ=")</f>
        <v>#REF!</v>
      </c>
      <c r="F5" t="e">
        <f>IF(#REF!,"AAAAAH+L/AU=",0)</f>
        <v>#REF!</v>
      </c>
      <c r="G5" t="e">
        <f>AND(#REF!,"AAAAAH+L/AY=")</f>
        <v>#REF!</v>
      </c>
      <c r="H5" t="e">
        <f>AND(#REF!,"AAAAAH+L/Ac=")</f>
        <v>#REF!</v>
      </c>
      <c r="I5" t="e">
        <f>IF(#REF!,"AAAAAH+L/Ag=",0)</f>
        <v>#REF!</v>
      </c>
      <c r="J5" t="e">
        <f>AND(#REF!,"AAAAAH+L/Ak=")</f>
        <v>#REF!</v>
      </c>
      <c r="K5" t="e">
        <f>AND(#REF!,"AAAAAH+L/Ao=")</f>
        <v>#REF!</v>
      </c>
      <c r="L5" t="e">
        <f>IF(#REF!,"AAAAAH+L/As=",0)</f>
        <v>#REF!</v>
      </c>
      <c r="M5" t="e">
        <f>AND(#REF!,"AAAAAH+L/Aw=")</f>
        <v>#REF!</v>
      </c>
      <c r="N5" t="e">
        <f>AND(#REF!,"AAAAAH+L/A0=")</f>
        <v>#REF!</v>
      </c>
      <c r="O5" t="e">
        <f>IF(#REF!,"AAAAAH+L/A4=",0)</f>
        <v>#REF!</v>
      </c>
      <c r="P5" t="e">
        <f>AND(#REF!,"AAAAAH+L/A8=")</f>
        <v>#REF!</v>
      </c>
      <c r="Q5" t="e">
        <f>AND(#REF!,"AAAAAH+L/BA=")</f>
        <v>#REF!</v>
      </c>
      <c r="R5" t="e">
        <f>IF(#REF!,"AAAAAH+L/BE=",0)</f>
        <v>#REF!</v>
      </c>
      <c r="S5" t="e">
        <f>AND(#REF!,"AAAAAH+L/BI=")</f>
        <v>#REF!</v>
      </c>
      <c r="T5" t="e">
        <f>AND(#REF!,"AAAAAH+L/BM=")</f>
        <v>#REF!</v>
      </c>
      <c r="U5" t="e">
        <f>IF(#REF!,"AAAAAH+L/BQ=",0)</f>
        <v>#REF!</v>
      </c>
      <c r="V5" t="e">
        <f>AND(#REF!,"AAAAAH+L/BU=")</f>
        <v>#REF!</v>
      </c>
      <c r="W5" t="e">
        <f>AND(#REF!,"AAAAAH+L/BY=")</f>
        <v>#REF!</v>
      </c>
      <c r="X5" t="e">
        <f>IF(#REF!,"AAAAAH+L/Bc=",0)</f>
        <v>#REF!</v>
      </c>
      <c r="Y5" t="e">
        <f>AND(#REF!,"AAAAAH+L/Bg=")</f>
        <v>#REF!</v>
      </c>
      <c r="Z5" t="e">
        <f>AND(#REF!,"AAAAAH+L/Bk=")</f>
        <v>#REF!</v>
      </c>
      <c r="AA5" t="e">
        <f>IF(#REF!,"AAAAAH+L/Bo=",0)</f>
        <v>#REF!</v>
      </c>
      <c r="AB5" t="e">
        <f>AND(#REF!,"AAAAAH+L/Bs=")</f>
        <v>#REF!</v>
      </c>
      <c r="AC5" t="e">
        <f>AND(#REF!,"AAAAAH+L/Bw=")</f>
        <v>#REF!</v>
      </c>
      <c r="AD5" t="e">
        <f>IF(#REF!,"AAAAAH+L/B0=",0)</f>
        <v>#REF!</v>
      </c>
      <c r="AE5" t="e">
        <f>AND(#REF!,"AAAAAH+L/B4=")</f>
        <v>#REF!</v>
      </c>
      <c r="AF5" t="e">
        <f>AND(#REF!,"AAAAAH+L/B8=")</f>
        <v>#REF!</v>
      </c>
      <c r="AG5" t="e">
        <f>IF(#REF!,"AAAAAH+L/CA=",0)</f>
        <v>#REF!</v>
      </c>
      <c r="AH5" t="e">
        <f>AND(#REF!,"AAAAAH+L/CE=")</f>
        <v>#REF!</v>
      </c>
      <c r="AI5" t="e">
        <f>AND(#REF!,"AAAAAH+L/CI=")</f>
        <v>#REF!</v>
      </c>
      <c r="AJ5" t="e">
        <f>IF(#REF!,"AAAAAH+L/CM=",0)</f>
        <v>#REF!</v>
      </c>
      <c r="AK5" t="e">
        <f>AND(#REF!,"AAAAAH+L/CQ=")</f>
        <v>#REF!</v>
      </c>
      <c r="AL5" t="e">
        <f>AND(#REF!,"AAAAAH+L/CU=")</f>
        <v>#REF!</v>
      </c>
      <c r="AM5" t="e">
        <f>IF(#REF!,"AAAAAH+L/CY=",0)</f>
        <v>#REF!</v>
      </c>
      <c r="AN5" t="e">
        <f>AND(#REF!,"AAAAAH+L/Cc=")</f>
        <v>#REF!</v>
      </c>
      <c r="AO5" t="e">
        <f>AND(#REF!,"AAAAAH+L/Cg=")</f>
        <v>#REF!</v>
      </c>
      <c r="AP5" t="e">
        <f>IF(#REF!,"AAAAAH+L/Ck=",0)</f>
        <v>#REF!</v>
      </c>
      <c r="AQ5" t="e">
        <f>AND(#REF!,"AAAAAH+L/Co=")</f>
        <v>#REF!</v>
      </c>
      <c r="AR5" t="e">
        <f>AND(#REF!,"AAAAAH+L/Cs=")</f>
        <v>#REF!</v>
      </c>
      <c r="AS5" t="e">
        <f>IF(#REF!,"AAAAAH+L/Cw=",0)</f>
        <v>#REF!</v>
      </c>
      <c r="AT5" t="e">
        <f>AND(#REF!,"AAAAAH+L/C0=")</f>
        <v>#REF!</v>
      </c>
      <c r="AU5" t="e">
        <f>AND(#REF!,"AAAAAH+L/C4=")</f>
        <v>#REF!</v>
      </c>
      <c r="AV5" t="e">
        <f>IF(#REF!,"AAAAAH+L/C8=",0)</f>
        <v>#REF!</v>
      </c>
      <c r="AW5" t="e">
        <f>AND(#REF!,"AAAAAH+L/DA=")</f>
        <v>#REF!</v>
      </c>
      <c r="AX5" t="e">
        <f>AND(#REF!,"AAAAAH+L/DE=")</f>
        <v>#REF!</v>
      </c>
      <c r="AY5" t="e">
        <f>IF(#REF!,"AAAAAH+L/DI=",0)</f>
        <v>#REF!</v>
      </c>
      <c r="AZ5" t="e">
        <f>AND(#REF!,"AAAAAH+L/DM=")</f>
        <v>#REF!</v>
      </c>
      <c r="BA5" t="e">
        <f>AND(#REF!,"AAAAAH+L/DQ=")</f>
        <v>#REF!</v>
      </c>
      <c r="BB5" t="e">
        <f>IF(#REF!,"AAAAAH+L/DU=",0)</f>
        <v>#REF!</v>
      </c>
      <c r="BC5" t="e">
        <f>AND(#REF!,"AAAAAH+L/DY=")</f>
        <v>#REF!</v>
      </c>
      <c r="BD5" t="e">
        <f>AND(#REF!,"AAAAAH+L/Dc=")</f>
        <v>#REF!</v>
      </c>
      <c r="BE5" t="e">
        <f>IF(#REF!,"AAAAAH+L/Dg=",0)</f>
        <v>#REF!</v>
      </c>
      <c r="BF5" t="e">
        <f>AND(#REF!,"AAAAAH+L/Dk=")</f>
        <v>#REF!</v>
      </c>
      <c r="BG5" t="e">
        <f>AND(#REF!,"AAAAAH+L/Do=")</f>
        <v>#REF!</v>
      </c>
      <c r="BH5" t="e">
        <f>IF(#REF!,"AAAAAH+L/Ds=",0)</f>
        <v>#REF!</v>
      </c>
      <c r="BI5" t="e">
        <f>AND(#REF!,"AAAAAH+L/Dw=")</f>
        <v>#REF!</v>
      </c>
      <c r="BJ5" t="e">
        <f>AND(#REF!,"AAAAAH+L/D0=")</f>
        <v>#REF!</v>
      </c>
      <c r="BK5" t="e">
        <f>IF(#REF!,"AAAAAH+L/D4=",0)</f>
        <v>#REF!</v>
      </c>
      <c r="BL5" t="e">
        <f>AND(#REF!,"AAAAAH+L/D8=")</f>
        <v>#REF!</v>
      </c>
      <c r="BM5" t="e">
        <f>AND(#REF!,"AAAAAH+L/EA=")</f>
        <v>#REF!</v>
      </c>
      <c r="BN5" t="e">
        <f>IF(#REF!,"AAAAAH+L/EE=",0)</f>
        <v>#REF!</v>
      </c>
      <c r="BO5" t="e">
        <f>AND(#REF!,"AAAAAH+L/EI=")</f>
        <v>#REF!</v>
      </c>
      <c r="BP5" t="e">
        <f>AND(#REF!,"AAAAAH+L/EM=")</f>
        <v>#REF!</v>
      </c>
      <c r="BQ5" t="e">
        <f>IF(#REF!,"AAAAAH+L/EQ=",0)</f>
        <v>#REF!</v>
      </c>
      <c r="BR5" t="e">
        <f>AND(#REF!,"AAAAAH+L/EU=")</f>
        <v>#REF!</v>
      </c>
      <c r="BS5" t="e">
        <f>AND(#REF!,"AAAAAH+L/EY=")</f>
        <v>#REF!</v>
      </c>
      <c r="BT5" t="e">
        <f>IF(#REF!,"AAAAAH+L/Ec=",0)</f>
        <v>#REF!</v>
      </c>
      <c r="BU5" t="e">
        <f>AND(#REF!,"AAAAAH+L/Eg=")</f>
        <v>#REF!</v>
      </c>
      <c r="BV5" t="e">
        <f>AND(#REF!,"AAAAAH+L/Ek=")</f>
        <v>#REF!</v>
      </c>
      <c r="BW5" t="e">
        <f>IF(#REF!,"AAAAAH+L/Eo=",0)</f>
        <v>#REF!</v>
      </c>
      <c r="BX5" t="e">
        <f>AND(#REF!,"AAAAAH+L/Es=")</f>
        <v>#REF!</v>
      </c>
      <c r="BY5" t="e">
        <f>AND(#REF!,"AAAAAH+L/Ew=")</f>
        <v>#REF!</v>
      </c>
      <c r="BZ5" t="e">
        <f>IF(#REF!,"AAAAAH+L/E0=",0)</f>
        <v>#REF!</v>
      </c>
      <c r="CA5" t="e">
        <f>AND(#REF!,"AAAAAH+L/E4=")</f>
        <v>#REF!</v>
      </c>
      <c r="CB5" t="e">
        <f>AND(#REF!,"AAAAAH+L/E8=")</f>
        <v>#REF!</v>
      </c>
      <c r="CC5" t="e">
        <f>IF(#REF!,"AAAAAH+L/FA=",0)</f>
        <v>#REF!</v>
      </c>
      <c r="CD5" t="e">
        <f>AND(#REF!,"AAAAAH+L/FE=")</f>
        <v>#REF!</v>
      </c>
      <c r="CE5" t="e">
        <f>AND(#REF!,"AAAAAH+L/FI=")</f>
        <v>#REF!</v>
      </c>
      <c r="CF5" t="e">
        <f>IF(#REF!,"AAAAAH+L/FM=",0)</f>
        <v>#REF!</v>
      </c>
      <c r="CG5" t="e">
        <f>AND(#REF!,"AAAAAH+L/FQ=")</f>
        <v>#REF!</v>
      </c>
      <c r="CH5" t="e">
        <f>AND(#REF!,"AAAAAH+L/FU=")</f>
        <v>#REF!</v>
      </c>
      <c r="CI5" t="e">
        <f>IF(#REF!,"AAAAAH+L/FY=",0)</f>
        <v>#REF!</v>
      </c>
      <c r="CJ5" t="e">
        <f>AND(#REF!,"AAAAAH+L/Fc=")</f>
        <v>#REF!</v>
      </c>
      <c r="CK5" t="e">
        <f>AND(#REF!,"AAAAAH+L/Fg=")</f>
        <v>#REF!</v>
      </c>
      <c r="CL5" t="e">
        <f>IF(#REF!,"AAAAAH+L/Fk=",0)</f>
        <v>#REF!</v>
      </c>
      <c r="CM5" t="e">
        <f>AND(#REF!,"AAAAAH+L/Fo=")</f>
        <v>#REF!</v>
      </c>
      <c r="CN5" t="e">
        <f>AND(#REF!,"AAAAAH+L/Fs=")</f>
        <v>#REF!</v>
      </c>
      <c r="CO5" t="e">
        <f>IF(#REF!,"AAAAAH+L/Fw=",0)</f>
        <v>#REF!</v>
      </c>
      <c r="CP5" t="e">
        <f>AND(#REF!,"AAAAAH+L/F0=")</f>
        <v>#REF!</v>
      </c>
      <c r="CQ5" t="e">
        <f>AND(#REF!,"AAAAAH+L/F4=")</f>
        <v>#REF!</v>
      </c>
      <c r="CR5" t="e">
        <f>IF(#REF!,"AAAAAH+L/F8=",0)</f>
        <v>#REF!</v>
      </c>
      <c r="CS5" t="e">
        <f>AND(#REF!,"AAAAAH+L/GA=")</f>
        <v>#REF!</v>
      </c>
      <c r="CT5" t="e">
        <f>AND(#REF!,"AAAAAH+L/GE=")</f>
        <v>#REF!</v>
      </c>
      <c r="CU5" t="e">
        <f>IF(#REF!,"AAAAAH+L/GI=",0)</f>
        <v>#REF!</v>
      </c>
      <c r="CV5" t="e">
        <f>AND(#REF!,"AAAAAH+L/GM=")</f>
        <v>#REF!</v>
      </c>
      <c r="CW5" t="e">
        <f>AND(#REF!,"AAAAAH+L/GQ=")</f>
        <v>#REF!</v>
      </c>
      <c r="CX5" t="e">
        <f>IF(#REF!,"AAAAAH+L/GU=",0)</f>
        <v>#REF!</v>
      </c>
      <c r="CY5" t="e">
        <f>AND(#REF!,"AAAAAH+L/GY=")</f>
        <v>#REF!</v>
      </c>
      <c r="CZ5" t="e">
        <f>AND(#REF!,"AAAAAH+L/Gc=")</f>
        <v>#REF!</v>
      </c>
      <c r="DA5" t="e">
        <f>IF(#REF!,"AAAAAH+L/Gg=",0)</f>
        <v>#REF!</v>
      </c>
      <c r="DB5" t="e">
        <f>AND(#REF!,"AAAAAH+L/Gk=")</f>
        <v>#REF!</v>
      </c>
      <c r="DC5" t="e">
        <f>AND(#REF!,"AAAAAH+L/Go=")</f>
        <v>#REF!</v>
      </c>
      <c r="DD5" t="e">
        <f>IF(#REF!,"AAAAAH+L/Gs=",0)</f>
        <v>#REF!</v>
      </c>
      <c r="DE5" t="e">
        <f>AND(#REF!,"AAAAAH+L/Gw=")</f>
        <v>#REF!</v>
      </c>
      <c r="DF5" t="e">
        <f>AND(#REF!,"AAAAAH+L/G0=")</f>
        <v>#REF!</v>
      </c>
      <c r="DG5" t="e">
        <f>IF(#REF!,"AAAAAH+L/G4=",0)</f>
        <v>#REF!</v>
      </c>
      <c r="DH5" t="e">
        <f>AND(#REF!,"AAAAAH+L/G8=")</f>
        <v>#REF!</v>
      </c>
      <c r="DI5" t="e">
        <f>AND(#REF!,"AAAAAH+L/HA=")</f>
        <v>#REF!</v>
      </c>
      <c r="DJ5" t="e">
        <f>IF(#REF!,"AAAAAH+L/HE=",0)</f>
        <v>#REF!</v>
      </c>
      <c r="DK5" t="e">
        <f>AND(#REF!,"AAAAAH+L/HI=")</f>
        <v>#REF!</v>
      </c>
      <c r="DL5" t="e">
        <f>AND(#REF!,"AAAAAH+L/HM=")</f>
        <v>#REF!</v>
      </c>
      <c r="DM5" t="e">
        <f>IF(#REF!,"AAAAAH+L/HQ=",0)</f>
        <v>#REF!</v>
      </c>
      <c r="DN5" t="e">
        <f>AND(#REF!,"AAAAAH+L/HU=")</f>
        <v>#REF!</v>
      </c>
      <c r="DO5" t="e">
        <f>AND(#REF!,"AAAAAH+L/HY=")</f>
        <v>#REF!</v>
      </c>
      <c r="DP5" t="e">
        <f>IF(#REF!,"AAAAAH+L/Hc=",0)</f>
        <v>#REF!</v>
      </c>
      <c r="DQ5" t="e">
        <f>AND(#REF!,"AAAAAH+L/Hg=")</f>
        <v>#REF!</v>
      </c>
      <c r="DR5" t="e">
        <f>AND(#REF!,"AAAAAH+L/Hk=")</f>
        <v>#REF!</v>
      </c>
      <c r="DS5" t="e">
        <f>IF(#REF!,"AAAAAH+L/Ho=",0)</f>
        <v>#REF!</v>
      </c>
      <c r="DT5" t="e">
        <f>IF(#REF!,"AAAAAH+L/Hs=",0)</f>
        <v>#REF!</v>
      </c>
      <c r="DU5" t="e">
        <f>IF(#REF!,"AAAAAH+L/Hw=",0)</f>
        <v>#REF!</v>
      </c>
      <c r="DV5" t="e">
        <f>IF(#REF!,"AAAAAH+L/H0=",0)</f>
        <v>#REF!</v>
      </c>
      <c r="DW5" t="e">
        <f>IF(#REF!,"AAAAAH+L/H4=",0)</f>
        <v>#REF!</v>
      </c>
      <c r="DX5" t="e">
        <f>IF(#REF!,"AAAAAH+L/H8=",0)</f>
        <v>#REF!</v>
      </c>
      <c r="DY5" t="e">
        <f>IF(#REF!,"AAAAAH+L/IA=",0)</f>
        <v>#REF!</v>
      </c>
      <c r="DZ5" t="e">
        <f>IF(#REF!,"AAAAAH+L/IE=",0)</f>
        <v>#REF!</v>
      </c>
      <c r="EA5" t="e">
        <f>IF(#REF!,"AAAAAH+L/II=",0)</f>
        <v>#REF!</v>
      </c>
      <c r="EB5" t="e">
        <f>IF(#REF!,"AAAAAH+L/IM=",0)</f>
        <v>#REF!</v>
      </c>
      <c r="EC5" t="e">
        <f>AND(#REF!,"AAAAAH+L/IQ=")</f>
        <v>#REF!</v>
      </c>
      <c r="ED5" t="e">
        <f>AND(#REF!,"AAAAAH+L/IU=")</f>
        <v>#REF!</v>
      </c>
      <c r="EE5" t="e">
        <f>AND(#REF!,"AAAAAH+L/IY=")</f>
        <v>#REF!</v>
      </c>
      <c r="EF5" t="e">
        <f>AND(#REF!,"AAAAAH+L/Ic=")</f>
        <v>#REF!</v>
      </c>
      <c r="EG5" t="e">
        <f>AND(#REF!,"AAAAAH+L/Ig=")</f>
        <v>#REF!</v>
      </c>
      <c r="EH5" t="e">
        <f>AND(#REF!,"AAAAAH+L/Ik=")</f>
        <v>#REF!</v>
      </c>
      <c r="EI5" t="e">
        <f>IF(#REF!,"AAAAAH+L/Io=",0)</f>
        <v>#REF!</v>
      </c>
      <c r="EJ5" t="e">
        <f>IF(#REF!,"AAAAAH+L/Is=",0)</f>
        <v>#REF!</v>
      </c>
      <c r="EK5" t="e">
        <f>IF(#REF!,"AAAAAH+L/Iw=",0)</f>
        <v>#REF!</v>
      </c>
      <c r="EL5" t="e">
        <f>IF(#REF!,"AAAAAH+L/I0=",0)</f>
        <v>#REF!</v>
      </c>
      <c r="EM5" t="e">
        <f>IF(#REF!,"AAAAAH+L/I4=",0)</f>
        <v>#REF!</v>
      </c>
      <c r="EN5" t="e">
        <f>IF(#REF!,"AAAAAH+L/I8=",0)</f>
        <v>#REF!</v>
      </c>
      <c r="EO5" t="e">
        <f>IF(#REF!,"AAAAAH+L/JA=",0)</f>
        <v>#REF!</v>
      </c>
      <c r="EP5" t="e">
        <f>AND(#REF!,"AAAAAH+L/JE=")</f>
        <v>#REF!</v>
      </c>
      <c r="EQ5" t="e">
        <f>AND(#REF!,"AAAAAH+L/JI=")</f>
        <v>#REF!</v>
      </c>
      <c r="ER5" t="e">
        <f>AND(#REF!,"AAAAAH+L/JM=")</f>
        <v>#REF!</v>
      </c>
      <c r="ES5" t="e">
        <f>AND(#REF!,"AAAAAH+L/JQ=")</f>
        <v>#REF!</v>
      </c>
      <c r="ET5" t="e">
        <f>AND(#REF!,"AAAAAH+L/JU=")</f>
        <v>#REF!</v>
      </c>
      <c r="EU5" t="e">
        <f>AND(#REF!,"AAAAAH+L/JY=")</f>
        <v>#REF!</v>
      </c>
      <c r="EV5" t="e">
        <f>AND(#REF!,"AAAAAH+L/Jc=")</f>
        <v>#REF!</v>
      </c>
      <c r="EW5" t="e">
        <f>IF(#REF!,"AAAAAH+L/Jg=",0)</f>
        <v>#REF!</v>
      </c>
      <c r="EX5" t="e">
        <f>IF(#REF!,"AAAAAH+L/Jk=",0)</f>
        <v>#REF!</v>
      </c>
      <c r="EY5" t="e">
        <f>IF(#REF!,"AAAAAH+L/Jo=",0)</f>
        <v>#REF!</v>
      </c>
      <c r="EZ5" t="e">
        <f>IF(#REF!,"AAAAAH+L/Js=",0)</f>
        <v>#REF!</v>
      </c>
      <c r="FA5" t="e">
        <f>IF(#REF!,"AAAAAH+L/Jw=",0)</f>
        <v>#REF!</v>
      </c>
      <c r="FB5" t="e">
        <f>IF(#REF!,"AAAAAH+L/J0=",0)</f>
        <v>#REF!</v>
      </c>
      <c r="FC5" t="e">
        <f>IF(#REF!,"AAAAAH+L/J4=",0)</f>
        <v>#REF!</v>
      </c>
      <c r="FD5" t="e">
        <f>IF(#REF!,"AAAAAH+L/J8=",0)</f>
        <v>#REF!</v>
      </c>
      <c r="FE5" t="e">
        <f>AND(#REF!,"AAAAAH+L/KA=")</f>
        <v>#REF!</v>
      </c>
      <c r="FF5" t="e">
        <f>AND(#REF!,"AAAAAH+L/KE=")</f>
        <v>#REF!</v>
      </c>
      <c r="FG5" t="e">
        <f>AND(#REF!,"AAAAAH+L/KI=")</f>
        <v>#REF!</v>
      </c>
      <c r="FH5" t="e">
        <f>AND(#REF!,"AAAAAH+L/KM=")</f>
        <v>#REF!</v>
      </c>
      <c r="FI5" t="e">
        <f>AND(#REF!,"AAAAAH+L/KQ=")</f>
        <v>#REF!</v>
      </c>
      <c r="FJ5" t="e">
        <f>AND(#REF!,"AAAAAH+L/KU=")</f>
        <v>#REF!</v>
      </c>
      <c r="FK5" t="e">
        <f>AND(#REF!,"AAAAAH+L/KY=")</f>
        <v>#REF!</v>
      </c>
      <c r="FL5" t="e">
        <f>AND(#REF!,"AAAAAH+L/Kc=")</f>
        <v>#REF!</v>
      </c>
      <c r="FM5" t="e">
        <f>IF(#REF!,"AAAAAH+L/Kg=",0)</f>
        <v>#REF!</v>
      </c>
      <c r="FN5" t="e">
        <f>IF(#REF!,"AAAAAH+L/Kk=",0)</f>
        <v>#REF!</v>
      </c>
      <c r="FO5" t="e">
        <f>IF(#REF!,"AAAAAH+L/Ko=",0)</f>
        <v>#REF!</v>
      </c>
      <c r="FP5" t="e">
        <f>IF(#REF!,"AAAAAH+L/Ks=",0)</f>
        <v>#REF!</v>
      </c>
      <c r="FQ5" t="e">
        <f>IF(#REF!,"AAAAAH+L/Kw=",0)</f>
        <v>#REF!</v>
      </c>
      <c r="FR5" t="e">
        <f>IF(#REF!,"AAAAAH+L/K0=",0)</f>
        <v>#REF!</v>
      </c>
      <c r="FS5" t="e">
        <f>IF(#REF!,"AAAAAH+L/K4=",0)</f>
        <v>#REF!</v>
      </c>
      <c r="FT5" t="e">
        <f>IF(#REF!,"AAAAAH+L/K8=",0)</f>
        <v>#REF!</v>
      </c>
      <c r="FU5" t="e">
        <f>IF(#REF!,"AAAAAH+L/LA=",0)</f>
        <v>#REF!</v>
      </c>
      <c r="FV5" t="e">
        <f>AND(#REF!,"AAAAAH+L/LE=")</f>
        <v>#REF!</v>
      </c>
      <c r="FW5" t="e">
        <f>AND(#REF!,"AAAAAH+L/LI=")</f>
        <v>#REF!</v>
      </c>
      <c r="FX5" t="e">
        <f>AND(#REF!,"AAAAAH+L/LM=")</f>
        <v>#REF!</v>
      </c>
      <c r="FY5" t="e">
        <f>AND(#REF!,"AAAAAH+L/LQ=")</f>
        <v>#REF!</v>
      </c>
      <c r="FZ5" t="e">
        <f>AND(#REF!,"AAAAAH+L/LU=")</f>
        <v>#REF!</v>
      </c>
      <c r="GA5" t="e">
        <f>AND(#REF!,"AAAAAH+L/LY=")</f>
        <v>#REF!</v>
      </c>
      <c r="GB5" t="e">
        <f>AND(#REF!,"AAAAAH+L/Lc=")</f>
        <v>#REF!</v>
      </c>
      <c r="GC5" t="e">
        <f>AND(#REF!,"AAAAAH+L/Lg=")</f>
        <v>#REF!</v>
      </c>
      <c r="GD5" t="e">
        <f>AND(#REF!,"AAAAAH+L/Lk=")</f>
        <v>#REF!</v>
      </c>
      <c r="GE5" t="e">
        <f>AND(#REF!,"AAAAAH+L/Lo=")</f>
        <v>#REF!</v>
      </c>
      <c r="GF5" t="e">
        <f>AND(#REF!,"AAAAAH+L/Ls=")</f>
        <v>#REF!</v>
      </c>
      <c r="GG5" t="e">
        <f>IF(#REF!,"AAAAAH+L/Lw=",0)</f>
        <v>#REF!</v>
      </c>
      <c r="GH5" t="e">
        <f>IF(#REF!,"AAAAAH+L/L0=",0)</f>
        <v>#REF!</v>
      </c>
      <c r="GI5" t="e">
        <f>IF(#REF!,"AAAAAH+L/L4=",0)</f>
        <v>#REF!</v>
      </c>
      <c r="GJ5" t="e">
        <f>IF(#REF!,"AAAAAH+L/L8=",0)</f>
        <v>#REF!</v>
      </c>
      <c r="GK5" t="e">
        <f>IF(#REF!,"AAAAAH+L/MA=",0)</f>
        <v>#REF!</v>
      </c>
      <c r="GL5" t="e">
        <f>IF(#REF!,"AAAAAH+L/ME=",0)</f>
        <v>#REF!</v>
      </c>
      <c r="GM5" t="e">
        <f>IF(#REF!,"AAAAAH+L/MI=",0)</f>
        <v>#REF!</v>
      </c>
      <c r="GN5" t="e">
        <f>IF(#REF!,"AAAAAH+L/MM=",0)</f>
        <v>#REF!</v>
      </c>
      <c r="GO5" t="e">
        <f>IF(#REF!,"AAAAAH+L/MQ=",0)</f>
        <v>#REF!</v>
      </c>
      <c r="GP5" t="e">
        <f>IF(#REF!,"AAAAAH+L/MU=",0)</f>
        <v>#REF!</v>
      </c>
      <c r="GQ5" t="e">
        <f>IF(#REF!,"AAAAAH+L/MY=",0)</f>
        <v>#REF!</v>
      </c>
      <c r="GR5">
        <f>IF('Iter4-Final'!1:1,"AAAAAH+L/Mc=",0)</f>
        <v>0</v>
      </c>
      <c r="GS5" t="e">
        <f>AND('Iter4-Final'!A1,"AAAAAH+L/Mg=")</f>
        <v>#VALUE!</v>
      </c>
      <c r="GT5" t="e">
        <f>AND('Iter4-Final'!B1,"AAAAAH+L/Mk=")</f>
        <v>#VALUE!</v>
      </c>
      <c r="GU5" t="e">
        <f>AND('Iter4-Final'!C1,"AAAAAH+L/Mo=")</f>
        <v>#VALUE!</v>
      </c>
      <c r="GV5" t="e">
        <f>AND('Iter4-Final'!D1,"AAAAAH+L/Ms=")</f>
        <v>#VALUE!</v>
      </c>
      <c r="GW5" t="e">
        <f>AND('Iter4-Final'!#REF!,"AAAAAH+L/Mw=")</f>
        <v>#REF!</v>
      </c>
      <c r="GX5" t="e">
        <f>AND('Iter4-Final'!E1,"AAAAAH+L/M0=")</f>
        <v>#VALUE!</v>
      </c>
      <c r="GY5" t="e">
        <f>AND('Iter4-Final'!F1,"AAAAAH+L/M4=")</f>
        <v>#VALUE!</v>
      </c>
      <c r="GZ5" t="e">
        <f>AND('Iter4-Final'!I1,"AAAAAH+L/M8=")</f>
        <v>#VALUE!</v>
      </c>
      <c r="HA5" t="e">
        <f>AND('Iter4-Final'!H1,"AAAAAH+L/NA=")</f>
        <v>#VALUE!</v>
      </c>
      <c r="HB5">
        <f>IF('Iter4-Final'!2:2,"AAAAAH+L/NE=",0)</f>
        <v>0</v>
      </c>
      <c r="HC5" t="e">
        <f>AND('Iter4-Final'!A2,"AAAAAH+L/NI=")</f>
        <v>#VALUE!</v>
      </c>
      <c r="HD5" t="e">
        <f>AND('Iter4-Final'!B2,"AAAAAH+L/NM=")</f>
        <v>#VALUE!</v>
      </c>
      <c r="HE5" t="e">
        <f>AND('Iter4-Final'!C2,"AAAAAH+L/NQ=")</f>
        <v>#VALUE!</v>
      </c>
      <c r="HF5" t="e">
        <f>AND('Iter4-Final'!#REF!,"AAAAAH+L/NU=")</f>
        <v>#REF!</v>
      </c>
      <c r="HG5" t="e">
        <f>AND('Iter4-Final'!#REF!,"AAAAAH+L/NY=")</f>
        <v>#REF!</v>
      </c>
      <c r="HH5" t="e">
        <f>AND('Iter4-Final'!#REF!,"AAAAAH+L/Nc=")</f>
        <v>#REF!</v>
      </c>
      <c r="HI5" t="e">
        <f>AND('Iter4-Final'!#REF!,"AAAAAH+L/Ng=")</f>
        <v>#REF!</v>
      </c>
      <c r="HJ5" t="e">
        <f>AND('Iter4-Final'!I2,"AAAAAH+L/Nk=")</f>
        <v>#VALUE!</v>
      </c>
      <c r="HK5" t="e">
        <f>AND('Iter4-Final'!H2,"AAAAAH+L/No=")</f>
        <v>#VALUE!</v>
      </c>
      <c r="HL5">
        <f>IF('Iter4-Final'!A:A,"AAAAAH+L/Ns=",0)</f>
        <v>0</v>
      </c>
      <c r="HM5">
        <f>IF('Iter4-Final'!B:B,"AAAAAH+L/Nw=",0)</f>
        <v>0</v>
      </c>
      <c r="HN5">
        <f>IF('Iter4-Final'!C:C,"AAAAAH+L/N0=",0)</f>
        <v>0</v>
      </c>
      <c r="HO5">
        <f>IF('Iter4-Final'!D:D,"AAAAAH+L/N4=",0)</f>
        <v>0</v>
      </c>
      <c r="HP5" t="e">
        <f>IF('Iter4-Final'!#REF!,"AAAAAH+L/N8=",0)</f>
        <v>#REF!</v>
      </c>
      <c r="HQ5">
        <f>IF('Iter4-Final'!E:E,"AAAAAH+L/OA=",0)</f>
        <v>0</v>
      </c>
      <c r="HR5">
        <f>IF('Iter4-Final'!F:F,"AAAAAH+L/OE=",0)</f>
        <v>0</v>
      </c>
      <c r="HS5">
        <f>IF('Iter4-Final'!I:I,"AAAAAH+L/OI=",0)</f>
        <v>0</v>
      </c>
      <c r="HT5">
        <f>IF('Iter4-Final'!H:H,"AAAAAH+L/OM=",0)</f>
        <v>0</v>
      </c>
      <c r="HU5">
        <f>IF('Project- Total grade'!1:1,"AAAAAH+L/OQ=",0)</f>
        <v>0</v>
      </c>
      <c r="HV5" t="e">
        <f>AND('Project- Total grade'!#REF!,"AAAAAH+L/OU=")</f>
        <v>#REF!</v>
      </c>
      <c r="HW5" t="e">
        <f>AND('Project- Total grade'!B1,"AAAAAH+L/OY=")</f>
        <v>#VALUE!</v>
      </c>
      <c r="HX5" t="e">
        <f>AND('Project- Total grade'!C1,"AAAAAH+L/Oc=")</f>
        <v>#VALUE!</v>
      </c>
      <c r="HY5" t="e">
        <f>AND('Project- Total grade'!D1,"AAAAAH+L/Og=")</f>
        <v>#VALUE!</v>
      </c>
      <c r="HZ5">
        <f>IF('Project- Total grade'!42:42,"AAAAAH+L/Ok=",0)</f>
        <v>0</v>
      </c>
      <c r="IA5" t="e">
        <f>AND('Project- Total grade'!#REF!,"AAAAAH+L/Oo=")</f>
        <v>#REF!</v>
      </c>
      <c r="IB5" t="e">
        <f>AND('Project- Total grade'!B42,"AAAAAH+L/Os=")</f>
        <v>#VALUE!</v>
      </c>
      <c r="IC5" t="e">
        <f>AND('Project- Total grade'!C42,"AAAAAH+L/Ow=")</f>
        <v>#VALUE!</v>
      </c>
      <c r="ID5" t="e">
        <f>AND('Project- Total grade'!D42,"AAAAAH+L/O0=")</f>
        <v>#VALUE!</v>
      </c>
      <c r="IE5" t="e">
        <f>IF('Project- Total grade'!#REF!,"AAAAAH+L/O4=",0)</f>
        <v>#REF!</v>
      </c>
      <c r="IF5">
        <f>IF('Project- Total grade'!B:B,"AAAAAH+L/O8=",0)</f>
        <v>0</v>
      </c>
      <c r="IG5">
        <f>IF('Project- Total grade'!C:C,"AAAAAH+L/PA=",0)</f>
        <v>0</v>
      </c>
      <c r="IH5">
        <f>IF('Project- Total grade'!D:D,"AAAAAH+L/PE=",0)</f>
        <v>0</v>
      </c>
      <c r="II5" t="s">
        <v>5</v>
      </c>
    </row>
    <row r="6" spans="1:256" ht="14.25" x14ac:dyDescent="0.2">
      <c r="A6" t="e">
        <f>AND(#REF!,"AAAAAFl+5gA=")</f>
        <v>#REF!</v>
      </c>
      <c r="B6" t="e">
        <f>AND(#REF!,"AAAAAFl+5gE=")</f>
        <v>#REF!</v>
      </c>
      <c r="C6" t="e">
        <f>AND(#REF!,"AAAAAFl+5gI=")</f>
        <v>#REF!</v>
      </c>
      <c r="D6" t="e">
        <f>AND(#REF!,"AAAAAFl+5gM=")</f>
        <v>#REF!</v>
      </c>
      <c r="E6" t="e">
        <f>AND(#REF!,"AAAAAFl+5gQ=")</f>
        <v>#REF!</v>
      </c>
      <c r="F6" t="e">
        <f>AND(#REF!,"AAAAAFl+5gU=")</f>
        <v>#REF!</v>
      </c>
      <c r="G6" t="e">
        <f>AND(#REF!,"AAAAAFl+5gY=")</f>
        <v>#REF!</v>
      </c>
      <c r="H6" t="e">
        <f>IF(#REF!,"AAAAAFl+5gc=",0)</f>
        <v>#REF!</v>
      </c>
    </row>
    <row r="7" spans="1:256" ht="14.25" x14ac:dyDescent="0.2">
      <c r="A7" t="e">
        <f>AND(#REF!,"AAAAAHWpfwI=")</f>
        <v>#REF!</v>
      </c>
      <c r="B7" t="e">
        <f>AND(#REF!,"AAAAAHWpfwM=")</f>
        <v>#REF!</v>
      </c>
      <c r="C7" t="e">
        <f>AND(#REF!,"AAAAAHWpfwQ=")</f>
        <v>#REF!</v>
      </c>
      <c r="D7" t="e">
        <f>AND(#REF!,"AAAAAHWpfwU=")</f>
        <v>#REF!</v>
      </c>
      <c r="E7" t="e">
        <f>AND(#REF!,"AAAAAHWpfwc=")</f>
        <v>#REF!</v>
      </c>
      <c r="F7" t="e">
        <f>AND(#REF!,"AAAAAHWpfwk=")</f>
        <v>#REF!</v>
      </c>
      <c r="G7" t="e">
        <f>AND(#REF!,"AAAAAHWpfwo=")</f>
        <v>#REF!</v>
      </c>
      <c r="H7" t="e">
        <f>AND(#REF!,"AAAAAHWpfws=")</f>
        <v>#REF!</v>
      </c>
      <c r="I7" t="e">
        <f>AND(#REF!,"AAAAAHWpfw0=")</f>
        <v>#REF!</v>
      </c>
      <c r="J7" t="e">
        <f>AND(#REF!,"AAAAAHWpfxA=")</f>
        <v>#REF!</v>
      </c>
      <c r="K7" t="e">
        <f>AND(#REF!,"AAAAAHWpfxI=")</f>
        <v>#REF!</v>
      </c>
      <c r="L7" t="e">
        <f>AND(#REF!,"AAAAAHWpfxM=")</f>
        <v>#REF!</v>
      </c>
      <c r="M7" t="e">
        <f>AND(#REF!,"AAAAAHWpfxY=")</f>
        <v>#REF!</v>
      </c>
      <c r="N7" t="e">
        <f>AND(#REF!,"AAAAAHWpfxg=")</f>
        <v>#REF!</v>
      </c>
      <c r="O7" t="e">
        <f>AND(#REF!,"AAAAAHWpfxk=")</f>
        <v>#REF!</v>
      </c>
      <c r="P7" t="e">
        <f>AND(#REF!,"AAAAAHWpfwA=")</f>
        <v>#REF!</v>
      </c>
      <c r="Q7" t="e">
        <f>AND(#REF!,"AAAAAHWpfwE=")</f>
        <v>#REF!</v>
      </c>
      <c r="R7" t="e">
        <f>AND(#REF!,"AAAAAHWpfwY=")</f>
        <v>#REF!</v>
      </c>
      <c r="S7" t="e">
        <f>AND(#REF!,"AAAAAHWpfwg=")</f>
        <v>#REF!</v>
      </c>
      <c r="T7" t="e">
        <f>AND(#REF!,"AAAAAHWpfww=")</f>
        <v>#REF!</v>
      </c>
      <c r="U7" t="e">
        <f>AND(#REF!,"AAAAAHWpfw4=")</f>
        <v>#REF!</v>
      </c>
      <c r="V7" t="e">
        <f>AND(#REF!,"AAAAAHWpfw8=")</f>
        <v>#REF!</v>
      </c>
      <c r="W7" t="e">
        <f>AND(#REF!,"AAAAAHWpfxE=")</f>
        <v>#REF!</v>
      </c>
      <c r="X7" t="e">
        <f>AND(#REF!,"AAAAAHWpfxQ=")</f>
        <v>#REF!</v>
      </c>
      <c r="Y7" t="e">
        <f>AND(#REF!,"AAAAAHWpfxU=")</f>
        <v>#REF!</v>
      </c>
      <c r="Z7" t="e">
        <f>AND(#REF!,"AAAAAHWpfxc=")</f>
        <v>#REF!</v>
      </c>
      <c r="AA7" t="e">
        <f>AND(#REF!,"AAAAAH6e7RQ=")</f>
        <v>#REF!</v>
      </c>
      <c r="AB7" t="e">
        <f>AND(#REF!,"AAAAAH6e7SQ=")</f>
        <v>#REF!</v>
      </c>
      <c r="AC7" t="e">
        <f>AND(#REF!,"AAAAAH6e7XQ=")</f>
        <v>#REF!</v>
      </c>
      <c r="AD7" t="e">
        <f>AND(#REF!,"AAAAAH6e7ZQ=")</f>
        <v>#REF!</v>
      </c>
      <c r="AE7" t="e">
        <f>AND(#REF!,"AAAAAH6e7dQ=")</f>
        <v>#REF!</v>
      </c>
      <c r="AF7" t="e">
        <f>AND(#REF!,"AAAAAH6e7fQ=")</f>
        <v>#REF!</v>
      </c>
      <c r="AG7" t="e">
        <f>AND(#REF!,"AAAAAAs/6gQ=")</f>
        <v>#REF!</v>
      </c>
      <c r="AH7" t="e">
        <f>AND(#REF!,"AAAAAAs/6iQ=")</f>
        <v>#REF!</v>
      </c>
      <c r="AI7" t="e">
        <f>AND(#REF!,"AAAAAAs/6lQ=")</f>
        <v>#REF!</v>
      </c>
      <c r="AJ7" t="e">
        <f>AND(#REF!,"AAAAAAs/6mQ=")</f>
        <v>#REF!</v>
      </c>
      <c r="AK7" t="e">
        <f>AND(#REF!,"AAAAAAs/6oQ=")</f>
        <v>#REF!</v>
      </c>
      <c r="AL7" t="e">
        <f>AND(#REF!,"AAAAAH6e7TY=")</f>
        <v>#REF!</v>
      </c>
      <c r="AM7" t="e">
        <f>AND(#REF!,"AAAAAH6e7Tc=")</f>
        <v>#REF!</v>
      </c>
      <c r="AN7" t="e">
        <f>AND(#REF!,"AAAAAH6e7Tg=")</f>
        <v>#REF!</v>
      </c>
      <c r="AO7" t="e">
        <f>AND(#REF!,"AAAAAH6e7Tk=")</f>
        <v>#REF!</v>
      </c>
      <c r="AP7" t="e">
        <f>AND(#REF!,"AAAAAH6e7To=")</f>
        <v>#REF!</v>
      </c>
      <c r="AQ7" t="e">
        <f>AND(#REF!,"AAAAAH6e7Ts=")</f>
        <v>#REF!</v>
      </c>
      <c r="AR7" t="e">
        <f>AND(#REF!,"AAAAAH6e7Tw=")</f>
        <v>#REF!</v>
      </c>
      <c r="AS7" t="e">
        <f>AND(#REF!,"AAAAAH6e7T0=")</f>
        <v>#REF!</v>
      </c>
      <c r="AT7" t="e">
        <f>AND(#REF!,"AAAAAH6e7T4=")</f>
        <v>#REF!</v>
      </c>
      <c r="AU7" t="e">
        <f>AND(#REF!,"AAAAAH6e7T8=")</f>
        <v>#REF!</v>
      </c>
      <c r="AV7" t="e">
        <f>AND(#REF!,"AAAAAH6e7UY=")</f>
        <v>#REF!</v>
      </c>
      <c r="AW7" t="e">
        <f>AND(#REF!,"AAAAAH6e7Uc=")</f>
        <v>#REF!</v>
      </c>
      <c r="AX7" t="e">
        <f>AND(#REF!,"AAAAAH6e7Ug=")</f>
        <v>#REF!</v>
      </c>
      <c r="AY7" t="e">
        <f>AND(#REF!,"AAAAAH6e7Uk=")</f>
        <v>#REF!</v>
      </c>
      <c r="AZ7" t="e">
        <f>AND(#REF!,"AAAAAH6e7Uo=")</f>
        <v>#REF!</v>
      </c>
      <c r="BA7" t="e">
        <f>AND(#REF!,"AAAAAH6e7Us=")</f>
        <v>#REF!</v>
      </c>
      <c r="BB7" t="e">
        <f>AND(#REF!,"AAAAAH6e7Uw=")</f>
        <v>#REF!</v>
      </c>
      <c r="BC7" t="e">
        <f>AND(#REF!,"AAAAAH6e7U0=")</f>
        <v>#REF!</v>
      </c>
      <c r="BD7" t="e">
        <f>AND(#REF!,"AAAAAH6e7U4=")</f>
        <v>#REF!</v>
      </c>
      <c r="BE7" t="e">
        <f>AND(#REF!,"AAAAAH6e7U8=")</f>
        <v>#REF!</v>
      </c>
      <c r="BF7" t="e">
        <f>AND(#REF!,"AAAAAH6e7VY=")</f>
        <v>#REF!</v>
      </c>
      <c r="BG7" t="e">
        <f>AND(#REF!,"AAAAAH6e7Vc=")</f>
        <v>#REF!</v>
      </c>
      <c r="BH7" t="e">
        <f>AND(#REF!,"AAAAAH6e7Vg=")</f>
        <v>#REF!</v>
      </c>
      <c r="BI7" t="e">
        <f>AND(#REF!,"AAAAAH6e7Vk=")</f>
        <v>#REF!</v>
      </c>
      <c r="BJ7" t="e">
        <f>AND(#REF!,"AAAAAH6e7Vo=")</f>
        <v>#REF!</v>
      </c>
      <c r="BK7" t="e">
        <f>AND(#REF!,"AAAAAH6e7Vs=")</f>
        <v>#REF!</v>
      </c>
      <c r="BL7" t="e">
        <f>AND(#REF!,"AAAAAH6e7Vw=")</f>
        <v>#REF!</v>
      </c>
      <c r="BM7" t="e">
        <f>AND(#REF!,"AAAAAH6e7V0=")</f>
        <v>#REF!</v>
      </c>
      <c r="BN7" t="e">
        <f>AND(#REF!,"AAAAAH6e7V4=")</f>
        <v>#REF!</v>
      </c>
      <c r="BO7" t="e">
        <f>AND(#REF!,"AAAAAH6e7V8=")</f>
        <v>#REF!</v>
      </c>
      <c r="BP7" t="e">
        <f>AND(#REF!,"AAAAAH6e7WY=")</f>
        <v>#REF!</v>
      </c>
      <c r="BQ7" t="e">
        <f>AND(#REF!,"AAAAAH6e7Wc=")</f>
        <v>#REF!</v>
      </c>
      <c r="BR7" t="e">
        <f>AND(#REF!,"AAAAAH6e7Wg=")</f>
        <v>#REF!</v>
      </c>
      <c r="BS7" t="e">
        <f>AND(#REF!,"AAAAAH6e7Wk=")</f>
        <v>#REF!</v>
      </c>
      <c r="BT7" t="e">
        <f>AND(#REF!,"AAAAAH6e7Wo=")</f>
        <v>#REF!</v>
      </c>
      <c r="BU7" t="e">
        <f>AND(#REF!,"AAAAAH6e7Ws=")</f>
        <v>#REF!</v>
      </c>
      <c r="BV7" t="e">
        <f>AND(#REF!,"AAAAAH6e7Ww=")</f>
        <v>#REF!</v>
      </c>
      <c r="BW7" t="e">
        <f>AND(#REF!,"AAAAAH6e7W0=")</f>
        <v>#REF!</v>
      </c>
      <c r="BX7" t="e">
        <f>AND(#REF!,"AAAAAH6e7W4=")</f>
        <v>#REF!</v>
      </c>
      <c r="BY7" t="e">
        <f>AND(#REF!,"AAAAAH6e7W8=")</f>
        <v>#REF!</v>
      </c>
      <c r="BZ7" t="e">
        <f>AND(#REF!,"AAAAAH6e7YY=")</f>
        <v>#REF!</v>
      </c>
      <c r="CA7" t="e">
        <f>AND(#REF!,"AAAAAH6e7Yc=")</f>
        <v>#REF!</v>
      </c>
      <c r="CB7" t="e">
        <f>AND(#REF!,"AAAAAH6e7Yg=")</f>
        <v>#REF!</v>
      </c>
      <c r="CC7" t="e">
        <f>AND(#REF!,"AAAAAH6e7Yk=")</f>
        <v>#REF!</v>
      </c>
      <c r="CD7" t="e">
        <f>AND(#REF!,"AAAAAH6e7Yo=")</f>
        <v>#REF!</v>
      </c>
      <c r="CE7" t="e">
        <f>AND(#REF!,"AAAAAH6e7Ys=")</f>
        <v>#REF!</v>
      </c>
      <c r="CF7" t="e">
        <f>AND(#REF!,"AAAAAH6e7Yw=")</f>
        <v>#REF!</v>
      </c>
      <c r="CG7" t="e">
        <f>AND(#REF!,"AAAAAH6e7Y0=")</f>
        <v>#REF!</v>
      </c>
      <c r="CH7" t="e">
        <f>AND(#REF!,"AAAAAH6e7Y4=")</f>
        <v>#REF!</v>
      </c>
      <c r="CI7" t="e">
        <f>AND(#REF!,"AAAAAH6e7Y8=")</f>
        <v>#REF!</v>
      </c>
      <c r="CJ7" t="e">
        <f>AND(#REF!,"AAAAAH6e7aY=")</f>
        <v>#REF!</v>
      </c>
      <c r="CK7" t="e">
        <f>AND(#REF!,"AAAAAH6e7ac=")</f>
        <v>#REF!</v>
      </c>
      <c r="CL7" t="e">
        <f>AND(#REF!,"AAAAAH6e7ag=")</f>
        <v>#REF!</v>
      </c>
      <c r="CM7" t="e">
        <f>AND(#REF!,"AAAAAH6e7ak=")</f>
        <v>#REF!</v>
      </c>
      <c r="CN7" t="e">
        <f>AND(#REF!,"AAAAAH6e7ao=")</f>
        <v>#REF!</v>
      </c>
      <c r="CO7" t="e">
        <f>AND(#REF!,"AAAAAH6e7as=")</f>
        <v>#REF!</v>
      </c>
      <c r="CP7" t="e">
        <f>AND(#REF!,"AAAAAH6e7aw=")</f>
        <v>#REF!</v>
      </c>
      <c r="CQ7" t="e">
        <f>AND(#REF!,"AAAAAH6e7a0=")</f>
        <v>#REF!</v>
      </c>
      <c r="CR7" t="e">
        <f>AND(#REF!,"AAAAAH6e7a4=")</f>
        <v>#REF!</v>
      </c>
      <c r="CS7" t="e">
        <f>AND(#REF!,"AAAAAH6e7a8=")</f>
        <v>#REF!</v>
      </c>
      <c r="CT7" t="e">
        <f>AND(#REF!,"AAAAAH6e7bY=")</f>
        <v>#REF!</v>
      </c>
      <c r="CU7" t="e">
        <f>AND(#REF!,"AAAAAH6e7bc=")</f>
        <v>#REF!</v>
      </c>
      <c r="CV7" t="e">
        <f>AND(#REF!,"AAAAAH6e7bg=")</f>
        <v>#REF!</v>
      </c>
      <c r="CW7" t="e">
        <f>AND(#REF!,"AAAAAH6e7bk=")</f>
        <v>#REF!</v>
      </c>
      <c r="CX7" t="e">
        <f>AND(#REF!,"AAAAAH6e7bo=")</f>
        <v>#REF!</v>
      </c>
      <c r="CY7" t="e">
        <f>AND(#REF!,"AAAAAH6e7bs=")</f>
        <v>#REF!</v>
      </c>
      <c r="CZ7" t="e">
        <f>AND(#REF!,"AAAAAH6e7bw=")</f>
        <v>#REF!</v>
      </c>
      <c r="DA7" t="e">
        <f>AND(#REF!,"AAAAAH6e7b0=")</f>
        <v>#REF!</v>
      </c>
      <c r="DB7" t="e">
        <f>AND(#REF!,"AAAAAH6e7b4=")</f>
        <v>#REF!</v>
      </c>
      <c r="DC7" t="e">
        <f>AND(#REF!,"AAAAAH6e7b8=")</f>
        <v>#REF!</v>
      </c>
      <c r="DD7" t="e">
        <f>AND(#REF!,"AAAAAH6e7cY=")</f>
        <v>#REF!</v>
      </c>
      <c r="DE7" t="e">
        <f>AND(#REF!,"AAAAAH6e7cc=")</f>
        <v>#REF!</v>
      </c>
      <c r="DF7" t="e">
        <f>AND(#REF!,"AAAAAH6e7cg=")</f>
        <v>#REF!</v>
      </c>
      <c r="DG7" t="e">
        <f>AND(#REF!,"AAAAAH6e7ck=")</f>
        <v>#REF!</v>
      </c>
      <c r="DH7" t="e">
        <f>AND(#REF!,"AAAAAH6e7co=")</f>
        <v>#REF!</v>
      </c>
      <c r="DI7" t="e">
        <f>AND(#REF!,"AAAAAH6e7cs=")</f>
        <v>#REF!</v>
      </c>
      <c r="DJ7" t="e">
        <f>AND(#REF!,"AAAAAH6e7cw=")</f>
        <v>#REF!</v>
      </c>
      <c r="DK7" t="e">
        <f>AND(#REF!,"AAAAAH6e7c0=")</f>
        <v>#REF!</v>
      </c>
      <c r="DL7" t="e">
        <f>AND(#REF!,"AAAAAH6e7c4=")</f>
        <v>#REF!</v>
      </c>
      <c r="DM7" t="e">
        <f>AND(#REF!,"AAAAAH6e7c8=")</f>
        <v>#REF!</v>
      </c>
      <c r="DN7" t="e">
        <f>AND(#REF!,"AAAAAH6e7eY=")</f>
        <v>#REF!</v>
      </c>
      <c r="DO7" t="e">
        <f>AND(#REF!,"AAAAAH6e7ec=")</f>
        <v>#REF!</v>
      </c>
      <c r="DP7" t="e">
        <f>AND(#REF!,"AAAAAH6e7eg=")</f>
        <v>#REF!</v>
      </c>
      <c r="DQ7" t="e">
        <f>AND(#REF!,"AAAAAH6e7ek=")</f>
        <v>#REF!</v>
      </c>
      <c r="DR7" t="e">
        <f>AND(#REF!,"AAAAAH6e7eo=")</f>
        <v>#REF!</v>
      </c>
      <c r="DS7" t="e">
        <f>AND(#REF!,"AAAAAH6e7es=")</f>
        <v>#REF!</v>
      </c>
      <c r="DT7" t="e">
        <f>AND(#REF!,"AAAAAH6e7ew=")</f>
        <v>#REF!</v>
      </c>
      <c r="DU7" t="e">
        <f>AND(#REF!,"AAAAAH6e7e0=")</f>
        <v>#REF!</v>
      </c>
      <c r="DV7" t="e">
        <f>AND(#REF!,"AAAAAH6e7e4=")</f>
        <v>#REF!</v>
      </c>
      <c r="DW7" t="e">
        <f>AND(#REF!,"AAAAAH6e7e8=")</f>
        <v>#REF!</v>
      </c>
      <c r="DX7" t="e">
        <f>AND(#REF!,"AAAAAAs/6hY=")</f>
        <v>#REF!</v>
      </c>
      <c r="DY7" t="e">
        <f>AND(#REF!,"AAAAAAs/6hc=")</f>
        <v>#REF!</v>
      </c>
      <c r="DZ7" t="e">
        <f>AND(#REF!,"AAAAAAs/6hg=")</f>
        <v>#REF!</v>
      </c>
      <c r="EA7" t="e">
        <f>AND(#REF!,"AAAAAAs/6hk=")</f>
        <v>#REF!</v>
      </c>
      <c r="EB7" t="e">
        <f>AND(#REF!,"AAAAAAs/6ho=")</f>
        <v>#REF!</v>
      </c>
      <c r="EC7" t="e">
        <f>AND(#REF!,"AAAAAAs/6hs=")</f>
        <v>#REF!</v>
      </c>
      <c r="ED7" t="e">
        <f>AND(#REF!,"AAAAAAs/6hw=")</f>
        <v>#REF!</v>
      </c>
      <c r="EE7" t="e">
        <f>AND(#REF!,"AAAAAAs/6h0=")</f>
        <v>#REF!</v>
      </c>
      <c r="EF7" t="e">
        <f>AND(#REF!,"AAAAAAs/6h4=")</f>
        <v>#REF!</v>
      </c>
      <c r="EG7" t="e">
        <f>AND(#REF!,"AAAAAAs/6h8=")</f>
        <v>#REF!</v>
      </c>
      <c r="EH7" t="e">
        <f>AND(#REF!,"AAAAAAs/6jY=")</f>
        <v>#REF!</v>
      </c>
      <c r="EI7" t="e">
        <f>AND(#REF!,"AAAAAAs/6jc=")</f>
        <v>#REF!</v>
      </c>
      <c r="EJ7" t="e">
        <f>AND(#REF!,"AAAAAAs/6jg=")</f>
        <v>#REF!</v>
      </c>
      <c r="EK7" t="e">
        <f>AND(#REF!,"AAAAAAs/6jk=")</f>
        <v>#REF!</v>
      </c>
      <c r="EL7" t="e">
        <f>AND(#REF!,"AAAAAAs/6jo=")</f>
        <v>#REF!</v>
      </c>
      <c r="EM7" t="e">
        <f>AND(#REF!,"AAAAAAs/6js=")</f>
        <v>#REF!</v>
      </c>
      <c r="EN7" t="e">
        <f>AND(#REF!,"AAAAAAs/6jw=")</f>
        <v>#REF!</v>
      </c>
      <c r="EO7" t="e">
        <f>AND(#REF!,"AAAAAAs/6j0=")</f>
        <v>#REF!</v>
      </c>
      <c r="EP7" t="e">
        <f>AND(#REF!,"AAAAAAs/6j4=")</f>
        <v>#REF!</v>
      </c>
      <c r="EQ7" t="e">
        <f>AND(#REF!,"AAAAAAs/6j8=")</f>
        <v>#REF!</v>
      </c>
      <c r="ER7" t="e">
        <f>AND(#REF!,"AAAAAAs/6kY=")</f>
        <v>#REF!</v>
      </c>
      <c r="ES7" t="e">
        <f>AND(#REF!,"AAAAAAs/6kc=")</f>
        <v>#REF!</v>
      </c>
      <c r="ET7" t="e">
        <f>AND(#REF!,"AAAAAAs/6kg=")</f>
        <v>#REF!</v>
      </c>
      <c r="EU7" t="e">
        <f>AND(#REF!,"AAAAAAs/6kk=")</f>
        <v>#REF!</v>
      </c>
      <c r="EV7" t="e">
        <f>AND(#REF!,"AAAAAAs/6ko=")</f>
        <v>#REF!</v>
      </c>
      <c r="EW7" t="e">
        <f>AND(#REF!,"AAAAAAs/6ks=")</f>
        <v>#REF!</v>
      </c>
      <c r="EX7" t="e">
        <f>AND(#REF!,"AAAAAAs/6kw=")</f>
        <v>#REF!</v>
      </c>
      <c r="EY7" t="e">
        <f>AND(#REF!,"AAAAAAs/6k0=")</f>
        <v>#REF!</v>
      </c>
      <c r="EZ7" t="e">
        <f>AND(#REF!,"AAAAAAs/6k4=")</f>
        <v>#REF!</v>
      </c>
      <c r="FA7" t="e">
        <f>AND(#REF!,"AAAAAAs/6k8=")</f>
        <v>#REF!</v>
      </c>
      <c r="FB7" t="e">
        <f>AND(#REF!,"AAAAAAs/6nY=")</f>
        <v>#REF!</v>
      </c>
      <c r="FC7" t="e">
        <f>AND(#REF!,"AAAAAAs/6nc=")</f>
        <v>#REF!</v>
      </c>
      <c r="FD7" t="e">
        <f>AND(#REF!,"AAAAAAs/6ng=")</f>
        <v>#REF!</v>
      </c>
      <c r="FE7" t="e">
        <f>AND(#REF!,"AAAAAAs/6nk=")</f>
        <v>#REF!</v>
      </c>
      <c r="FF7" t="e">
        <f>AND(#REF!,"AAAAAAs/6no=")</f>
        <v>#REF!</v>
      </c>
      <c r="FG7" t="e">
        <f>AND(#REF!,"AAAAAAs/6ns=")</f>
        <v>#REF!</v>
      </c>
      <c r="FH7" t="e">
        <f>AND(#REF!,"AAAAAAs/6nw=")</f>
        <v>#REF!</v>
      </c>
      <c r="FI7" t="e">
        <f>AND(#REF!,"AAAAAAs/6n0=")</f>
        <v>#REF!</v>
      </c>
      <c r="FJ7" t="e">
        <f>AND(#REF!,"AAAAAAs/6n4=")</f>
        <v>#REF!</v>
      </c>
      <c r="FK7" t="e">
        <f>AND(#REF!,"AAAAAAs/6n8=")</f>
        <v>#REF!</v>
      </c>
      <c r="FL7" t="e">
        <f>AND(#REF!,"AAAAAAs/6pY=")</f>
        <v>#REF!</v>
      </c>
      <c r="FM7" t="e">
        <f>AND(#REF!,"AAAAAAs/6pc=")</f>
        <v>#REF!</v>
      </c>
      <c r="FN7" t="e">
        <f>AND(#REF!,"AAAAAAs/6pg=")</f>
        <v>#REF!</v>
      </c>
      <c r="FO7" t="e">
        <f>AND(#REF!,"AAAAAAs/6pk=")</f>
        <v>#REF!</v>
      </c>
      <c r="FP7" t="e">
        <f>AND(#REF!,"AAAAAAs/6po=")</f>
        <v>#REF!</v>
      </c>
      <c r="FQ7" t="e">
        <f>AND(#REF!,"AAAAAAs/6ps=")</f>
        <v>#REF!</v>
      </c>
      <c r="FR7" t="e">
        <f>AND(#REF!,"AAAAAAs/6pw=")</f>
        <v>#REF!</v>
      </c>
      <c r="FS7" t="e">
        <f>AND(#REF!,"AAAAAAs/6p0=")</f>
        <v>#REF!</v>
      </c>
      <c r="FT7" t="e">
        <f>AND(#REF!,"AAAAAAs/6p4=")</f>
        <v>#REF!</v>
      </c>
      <c r="FU7" t="e">
        <f>AND(#REF!,"AAAAAAs/6p8=")</f>
        <v>#REF!</v>
      </c>
      <c r="FV7" t="e">
        <f>AND(#REF!,"AAAAAAs/6qY=")</f>
        <v>#REF!</v>
      </c>
      <c r="FW7" t="e">
        <f>AND(#REF!,"AAAAAAs/6qc=")</f>
        <v>#REF!</v>
      </c>
      <c r="FX7" t="e">
        <f>AND(#REF!,"AAAAAAs/6qg=")</f>
        <v>#REF!</v>
      </c>
      <c r="FY7" t="e">
        <f>AND(#REF!,"AAAAAAs/6qk=")</f>
        <v>#REF!</v>
      </c>
      <c r="FZ7" t="e">
        <f>AND(#REF!,"AAAAAAs/6qo=")</f>
        <v>#REF!</v>
      </c>
      <c r="GA7" t="e">
        <f>AND(#REF!,"AAAAAAs/6qs=")</f>
        <v>#REF!</v>
      </c>
      <c r="GB7" t="e">
        <f>AND(#REF!,"AAAAAAs/6qw=")</f>
        <v>#REF!</v>
      </c>
      <c r="GC7" t="e">
        <f>AND(#REF!,"AAAAAAs/6q0=")</f>
        <v>#REF!</v>
      </c>
      <c r="GD7" t="e">
        <f>AND(#REF!,"AAAAAAs/6q4=")</f>
        <v>#REF!</v>
      </c>
      <c r="GE7" t="e">
        <f>AND(#REF!,"AAAAAAs/6q8=")</f>
        <v>#REF!</v>
      </c>
      <c r="GF7" t="e">
        <f>AND(#REF!,"AAAAAH97/QA=")</f>
        <v>#REF!</v>
      </c>
      <c r="GG7" t="e">
        <f>AND(#REF!,"AAAAAH97/QE=")</f>
        <v>#REF!</v>
      </c>
      <c r="GH7" t="e">
        <f>AND(#REF!,"AAAAAH97/QI=")</f>
        <v>#REF!</v>
      </c>
      <c r="GI7" t="e">
        <f>AND(#REF!,"AAAAAH97/QQ=")</f>
        <v>#REF!</v>
      </c>
      <c r="GJ7" t="e">
        <f>AND(#REF!,"AAAAAH97/QU=")</f>
        <v>#REF!</v>
      </c>
      <c r="GK7" t="e">
        <f>AND(#REF!,"AAAAAH97/QM=")</f>
        <v>#REF!</v>
      </c>
    </row>
    <row r="8" spans="1:256" ht="14.25" x14ac:dyDescent="0.2">
      <c r="A8" t="e">
        <f>IF(#REF!,"AAAAAD/X/wA=",0)</f>
        <v>#REF!</v>
      </c>
      <c r="B8" t="e">
        <f>AND(#REF!,"AAAAAD/X/wE=")</f>
        <v>#REF!</v>
      </c>
      <c r="C8" t="e">
        <f>AND(#REF!,"AAAAAD/X/wI=")</f>
        <v>#REF!</v>
      </c>
      <c r="D8" t="e">
        <f>AND(#REF!,"AAAAAD/X/wM=")</f>
        <v>#REF!</v>
      </c>
      <c r="E8" t="e">
        <f>AND(#REF!,"AAAAAD/X/wQ=")</f>
        <v>#REF!</v>
      </c>
      <c r="F8" t="e">
        <f>AND(#REF!,"AAAAAD/X/wU=")</f>
        <v>#REF!</v>
      </c>
      <c r="G8" t="e">
        <f>AND(#REF!,"AAAAAD/X/wY=")</f>
        <v>#REF!</v>
      </c>
      <c r="H8" t="e">
        <f>AND(#REF!,"AAAAAD/X/wc=")</f>
        <v>#REF!</v>
      </c>
      <c r="I8" t="e">
        <f>AND(#REF!,"AAAAAD/X/wg=")</f>
        <v>#REF!</v>
      </c>
      <c r="J8" t="e">
        <f>IF(#REF!,"AAAAAD/X/wk=",0)</f>
        <v>#REF!</v>
      </c>
      <c r="K8" t="e">
        <f>AND(#REF!,"AAAAAD/X/wo=")</f>
        <v>#REF!</v>
      </c>
      <c r="L8" t="e">
        <f>AND(#REF!,"AAAAAD/X/ws=")</f>
        <v>#REF!</v>
      </c>
      <c r="M8" t="e">
        <f>AND(#REF!,"AAAAAD/X/ww=")</f>
        <v>#REF!</v>
      </c>
      <c r="N8" t="e">
        <f>AND(#REF!,"AAAAAD/X/w0=")</f>
        <v>#REF!</v>
      </c>
      <c r="O8" t="e">
        <f>AND(#REF!,"AAAAAD/X/w4=")</f>
        <v>#REF!</v>
      </c>
      <c r="P8" t="e">
        <f>AND(#REF!,"AAAAAD/X/w8=")</f>
        <v>#REF!</v>
      </c>
      <c r="Q8" t="e">
        <f>AND(#REF!,"AAAAAD/X/xA=")</f>
        <v>#REF!</v>
      </c>
      <c r="R8" t="e">
        <f>AND(#REF!,"AAAAAD/X/xE=")</f>
        <v>#REF!</v>
      </c>
      <c r="S8" t="e">
        <f>IF(#REF!,"AAAAAD/X/xI=",0)</f>
        <v>#REF!</v>
      </c>
      <c r="T8" t="e">
        <f>AND(#REF!,"AAAAAD/X/xM=")</f>
        <v>#REF!</v>
      </c>
      <c r="U8" t="e">
        <f>AND(#REF!,"AAAAAD/X/xQ=")</f>
        <v>#REF!</v>
      </c>
      <c r="V8" t="e">
        <f>AND(#REF!,"AAAAAD/X/xU=")</f>
        <v>#REF!</v>
      </c>
      <c r="W8" t="e">
        <f>AND(#REF!,"AAAAAD/X/xY=")</f>
        <v>#REF!</v>
      </c>
      <c r="X8" t="e">
        <f>AND(#REF!,"AAAAAD/X/xc=")</f>
        <v>#REF!</v>
      </c>
      <c r="Y8" t="e">
        <f>AND(#REF!,"AAAAAD/X/xg=")</f>
        <v>#REF!</v>
      </c>
      <c r="Z8" t="e">
        <f>AND(#REF!,"AAAAAD/X/xk=")</f>
        <v>#REF!</v>
      </c>
      <c r="AA8" t="e">
        <f>AND(#REF!,"AAAAAD/X/xo=")</f>
        <v>#REF!</v>
      </c>
    </row>
    <row r="9" spans="1:256" ht="14.25" x14ac:dyDescent="0.2">
      <c r="A9" t="e">
        <f>AND(#REF!,"AAAAAD2HMQA=")</f>
        <v>#REF!</v>
      </c>
      <c r="B9" t="e">
        <f>AND(#REF!,"AAAAAD2HMQE=")</f>
        <v>#REF!</v>
      </c>
      <c r="C9" t="e">
        <f>AND(#REF!,"AAAAAD2HMQI=")</f>
        <v>#REF!</v>
      </c>
      <c r="D9" t="e">
        <f>IF(#REF!,"AAAAAD2HMQM=",0)</f>
        <v>#REF!</v>
      </c>
      <c r="E9" t="e">
        <f>AND(#REF!,"AAAAAD2HMQQ=")</f>
        <v>#REF!</v>
      </c>
      <c r="F9" t="e">
        <f>AND(#REF!,"AAAAAD2HMQU=")</f>
        <v>#REF!</v>
      </c>
      <c r="G9" t="e">
        <f>AND(#REF!,"AAAAAD2HMQY=")</f>
        <v>#REF!</v>
      </c>
      <c r="H9" t="e">
        <f>AND(#REF!,"AAAAAD2HMQc=")</f>
        <v>#REF!</v>
      </c>
      <c r="I9" t="e">
        <f>AND(#REF!,"AAAAAD2HMQg=")</f>
        <v>#REF!</v>
      </c>
      <c r="J9" t="e">
        <f>AND(#REF!,"AAAAAD2HMQk=")</f>
        <v>#REF!</v>
      </c>
      <c r="K9" t="e">
        <f>AND(#REF!,"AAAAAD2HMQo=")</f>
        <v>#REF!</v>
      </c>
      <c r="L9" t="e">
        <f>AND(#REF!,"AAAAAD2HMQs=")</f>
        <v>#REF!</v>
      </c>
      <c r="M9" t="e">
        <f>AND(#REF!,"AAAAAD2HMQw=")</f>
        <v>#REF!</v>
      </c>
      <c r="N9" t="e">
        <f>IF(#REF!,"AAAAAD2HMQ0=",0)</f>
        <v>#REF!</v>
      </c>
      <c r="O9" t="e">
        <f>AND(#REF!,"AAAAAD2HMQ4=")</f>
        <v>#REF!</v>
      </c>
      <c r="P9" t="e">
        <f>AND(#REF!,"AAAAAD2HMQ8=")</f>
        <v>#REF!</v>
      </c>
      <c r="Q9" t="e">
        <f>AND(#REF!,"AAAAAD2HMRA=")</f>
        <v>#REF!</v>
      </c>
      <c r="R9" t="e">
        <f>AND(#REF!,"AAAAAD2HMRE=")</f>
        <v>#REF!</v>
      </c>
      <c r="S9" t="e">
        <f>AND(#REF!,"AAAAAD2HMRI=")</f>
        <v>#REF!</v>
      </c>
      <c r="T9" t="e">
        <f>AND(#REF!,"AAAAAD2HMRM=")</f>
        <v>#REF!</v>
      </c>
      <c r="U9" t="e">
        <f>AND(#REF!,"AAAAAD2HMRQ=")</f>
        <v>#REF!</v>
      </c>
      <c r="V9" t="e">
        <f>AND(#REF!,"AAAAAD2HMRU=")</f>
        <v>#REF!</v>
      </c>
      <c r="W9" t="e">
        <f>AND(#REF!,"AAAAAD2HMRY=")</f>
        <v>#REF!</v>
      </c>
      <c r="X9" t="e">
        <f>IF(#REF!,"AAAAAD2HMRc=",0)</f>
        <v>#REF!</v>
      </c>
      <c r="Y9" t="e">
        <f>AND(#REF!,"AAAAAD2HMRg=")</f>
        <v>#REF!</v>
      </c>
      <c r="Z9" t="e">
        <f>AND(#REF!,"AAAAAD2HMRk=")</f>
        <v>#REF!</v>
      </c>
      <c r="AA9" t="e">
        <f>AND(#REF!,"AAAAAD2HMRo=")</f>
        <v>#REF!</v>
      </c>
      <c r="AB9" t="e">
        <f>AND(#REF!,"AAAAAD2HMRs=")</f>
        <v>#REF!</v>
      </c>
      <c r="AC9" t="e">
        <f>AND(#REF!,"AAAAAD2HMRw=")</f>
        <v>#REF!</v>
      </c>
      <c r="AD9" t="e">
        <f>IF(#REF!,"AAAAAD2HMR0=",0)</f>
        <v>#REF!</v>
      </c>
      <c r="AE9" t="e">
        <f>AND(#REF!,"AAAAAD2HMR4=")</f>
        <v>#REF!</v>
      </c>
      <c r="AF9" t="e">
        <f>AND(#REF!,"AAAAAD2HMR8=")</f>
        <v>#REF!</v>
      </c>
      <c r="AG9" t="e">
        <f>AND(#REF!,"AAAAAD2HMSA=")</f>
        <v>#REF!</v>
      </c>
      <c r="AH9" t="e">
        <f>AND(#REF!,"AAAAAD2HMSE=")</f>
        <v>#REF!</v>
      </c>
      <c r="AI9" t="e">
        <f>AND(#REF!,"AAAAAD2HMSI=")</f>
        <v>#REF!</v>
      </c>
      <c r="AJ9" t="e">
        <f>IF(#REF!,"AAAAAD2HMSM=",0)</f>
        <v>#REF!</v>
      </c>
      <c r="AK9" t="e">
        <f>AND(#REF!,"AAAAAD2HMSQ=")</f>
        <v>#REF!</v>
      </c>
      <c r="AL9" t="e">
        <f>AND(#REF!,"AAAAAD2HMSU=")</f>
        <v>#REF!</v>
      </c>
      <c r="AM9" t="e">
        <f>AND(#REF!,"AAAAAD2HMSY=")</f>
        <v>#REF!</v>
      </c>
      <c r="AN9" t="e">
        <f>AND(#REF!,"AAAAAD2HMSc=")</f>
        <v>#REF!</v>
      </c>
      <c r="AO9" t="e">
        <f>AND(#REF!,"AAAAAD2HMSg=")</f>
        <v>#REF!</v>
      </c>
    </row>
    <row r="10" spans="1:256" ht="14.25" x14ac:dyDescent="0.2">
      <c r="A10" t="e">
        <f>AND(#REF!,"AAAAAHz/3QA=")</f>
        <v>#REF!</v>
      </c>
      <c r="B10" t="e">
        <f>AND(#REF!,"AAAAAHz/3QE=")</f>
        <v>#REF!</v>
      </c>
      <c r="C10" t="e">
        <f>AND(#REF!,"AAAAAHz/3QI=")</f>
        <v>#REF!</v>
      </c>
      <c r="D10" t="e">
        <f>IF(#REF!,"AAAAAHz/3QM=",0)</f>
        <v>#REF!</v>
      </c>
      <c r="E10" t="e">
        <f>AND(#REF!,"AAAAAHz/3QQ=")</f>
        <v>#REF!</v>
      </c>
      <c r="F10" t="e">
        <f>AND(#REF!,"AAAAAHz/3QU=")</f>
        <v>#REF!</v>
      </c>
      <c r="G10" t="e">
        <f>AND(#REF!,"AAAAAHz/3QY=")</f>
        <v>#REF!</v>
      </c>
      <c r="H10" t="e">
        <f>AND(#REF!,"AAAAAHz/3Qc=")</f>
        <v>#REF!</v>
      </c>
      <c r="I10" t="e">
        <f>AND(#REF!,"AAAAAHz/3Qg=")</f>
        <v>#REF!</v>
      </c>
      <c r="J10" t="e">
        <f>IF(#REF!,"AAAAAHz/3Qk=",0)</f>
        <v>#REF!</v>
      </c>
      <c r="K10" t="e">
        <f>AND(#REF!,"AAAAAHz/3Qo=")</f>
        <v>#REF!</v>
      </c>
      <c r="L10" t="e">
        <f>IF(#REF!,"AAAAAHz/3Qs=",0)</f>
        <v>#REF!</v>
      </c>
      <c r="M10" t="e">
        <f>AND(#REF!,"AAAAAHz/3Qw=")</f>
        <v>#REF!</v>
      </c>
      <c r="N10" t="e">
        <f>IF(#REF!,"AAAAAHz/3Q0=",0)</f>
        <v>#REF!</v>
      </c>
      <c r="O10" t="e">
        <f>AND(#REF!,"AAAAAHz/3Q4=")</f>
        <v>#REF!</v>
      </c>
      <c r="P10" t="e">
        <f>IF(#REF!,"AAAAAHz/3Q8=",0)</f>
        <v>#REF!</v>
      </c>
      <c r="Q10" t="e">
        <f>AND(#REF!,"AAAAAHz/3RA=")</f>
        <v>#REF!</v>
      </c>
      <c r="R10" t="e">
        <f>IF(#REF!,"AAAAAHz/3RE=",0)</f>
        <v>#REF!</v>
      </c>
      <c r="S10" t="e">
        <f>AND(#REF!,"AAAAAHz/3RI=")</f>
        <v>#REF!</v>
      </c>
      <c r="T10" t="e">
        <f>IF(#REF!,"AAAAAHz/3RM=",0)</f>
        <v>#REF!</v>
      </c>
      <c r="U10" t="e">
        <f>AND(#REF!,"AAAAAHz/3RQ=")</f>
        <v>#REF!</v>
      </c>
      <c r="V10" t="e">
        <f>IF(#REF!,"AAAAAHz/3RU=",0)</f>
        <v>#REF!</v>
      </c>
      <c r="W10" t="e">
        <f>AND(#REF!,"AAAAAHz/3RY=")</f>
        <v>#REF!</v>
      </c>
      <c r="X10" t="e">
        <f>IF(#REF!,"AAAAAHz/3Rc=",0)</f>
        <v>#REF!</v>
      </c>
      <c r="Y10" t="e">
        <f>AND(#REF!,"AAAAAHz/3Rg=")</f>
        <v>#REF!</v>
      </c>
      <c r="Z10" t="e">
        <f>IF(#REF!,"AAAAAHz/3Rk=",0)</f>
        <v>#REF!</v>
      </c>
      <c r="AA10" t="e">
        <f>AND(#REF!,"AAAAAHz/3Ro=")</f>
        <v>#REF!</v>
      </c>
      <c r="AB10" t="e">
        <f>IF(#REF!,"AAAAAHz/3Rs=",0)</f>
        <v>#REF!</v>
      </c>
      <c r="AC10" t="e">
        <f>AND(#REF!,"AAAAAHz/3Rw=")</f>
        <v>#REF!</v>
      </c>
      <c r="AD10" t="e">
        <f>IF(#REF!,"AAAAAHz/3R0=",0)</f>
        <v>#REF!</v>
      </c>
      <c r="AE10" t="e">
        <f>AND(#REF!,"AAAAAHz/3R4=")</f>
        <v>#REF!</v>
      </c>
      <c r="AF10" t="e">
        <f>IF(#REF!,"AAAAAHz/3R8=",0)</f>
        <v>#REF!</v>
      </c>
      <c r="AG10" t="e">
        <f>AND(#REF!,"AAAAAHz/3SA=")</f>
        <v>#REF!</v>
      </c>
      <c r="AH10" t="e">
        <f>IF(#REF!,"AAAAAHz/3SE=",0)</f>
        <v>#REF!</v>
      </c>
      <c r="AI10" t="e">
        <f>AND(#REF!,"AAAAAHz/3SI=")</f>
        <v>#REF!</v>
      </c>
      <c r="AJ10" t="e">
        <f>IF(#REF!,"AAAAAHz/3SM=",0)</f>
        <v>#REF!</v>
      </c>
      <c r="AK10" t="e">
        <f>AND(#REF!,"AAAAAHz/3SQ=")</f>
        <v>#REF!</v>
      </c>
      <c r="AL10" t="e">
        <f>IF(#REF!,"AAAAAHz/3SU=",0)</f>
        <v>#REF!</v>
      </c>
      <c r="AM10" t="e">
        <f>AND(#REF!,"AAAAAHz/3SY=")</f>
        <v>#REF!</v>
      </c>
      <c r="AN10" t="e">
        <f>IF(#REF!,"AAAAAHz/3Sc=",0)</f>
        <v>#REF!</v>
      </c>
      <c r="AO10" t="e">
        <f>AND(#REF!,"AAAAAHz/3Sg=")</f>
        <v>#REF!</v>
      </c>
      <c r="AP10" t="e">
        <f>IF(#REF!,"AAAAAHz/3Sk=",0)</f>
        <v>#REF!</v>
      </c>
      <c r="AQ10" t="e">
        <f>AND(#REF!,"AAAAAHz/3So=")</f>
        <v>#REF!</v>
      </c>
      <c r="AR10" t="e">
        <f>IF(#REF!,"AAAAAHz/3Ss=",0)</f>
        <v>#REF!</v>
      </c>
      <c r="AS10" t="e">
        <f>AND(#REF!,"AAAAAHz/3Sw=")</f>
        <v>#REF!</v>
      </c>
      <c r="AT10" t="e">
        <f>IF(#REF!,"AAAAAHz/3S0=",0)</f>
        <v>#REF!</v>
      </c>
      <c r="AU10" t="e">
        <f>AND(#REF!,"AAAAAHz/3S4=")</f>
        <v>#REF!</v>
      </c>
      <c r="AV10" t="e">
        <f>IF(#REF!,"AAAAAHz/3S8=",0)</f>
        <v>#REF!</v>
      </c>
      <c r="AW10" t="e">
        <f>AND(#REF!,"AAAAAHz/3TA=")</f>
        <v>#REF!</v>
      </c>
      <c r="AX10" t="e">
        <f>IF(#REF!,"AAAAAHz/3TE=",0)</f>
        <v>#REF!</v>
      </c>
      <c r="AY10" t="e">
        <f>AND(#REF!,"AAAAAHz/3TI=")</f>
        <v>#REF!</v>
      </c>
      <c r="AZ10" t="e">
        <f>IF(#REF!,"AAAAAHz/3TM=",0)</f>
        <v>#REF!</v>
      </c>
      <c r="BA10" t="e">
        <f>AND(#REF!,"AAAAAHz/3TQ=")</f>
        <v>#REF!</v>
      </c>
      <c r="BB10" t="e">
        <f>IF(#REF!,"AAAAAHz/3TU=",0)</f>
        <v>#REF!</v>
      </c>
      <c r="BC10" t="e">
        <f>AND(#REF!,"AAAAAHz/3TY=")</f>
        <v>#REF!</v>
      </c>
      <c r="BD10" t="e">
        <f>IF(#REF!,"AAAAAHz/3Tc=",0)</f>
        <v>#REF!</v>
      </c>
      <c r="BE10" t="e">
        <f>AND(#REF!,"AAAAAHz/3Tg=")</f>
        <v>#REF!</v>
      </c>
      <c r="BF10" t="e">
        <f>IF(#REF!,"AAAAAHz/3Tk=",0)</f>
        <v>#REF!</v>
      </c>
      <c r="BG10" t="e">
        <f>AND(#REF!,"AAAAAHz/3To=")</f>
        <v>#REF!</v>
      </c>
      <c r="BH10" t="e">
        <f>IF(#REF!,"AAAAAHz/3Ts=",0)</f>
        <v>#REF!</v>
      </c>
      <c r="BI10" t="e">
        <f>AND(#REF!,"AAAAAHz/3Tw=")</f>
        <v>#REF!</v>
      </c>
      <c r="BJ10" t="e">
        <f>IF(#REF!,"AAAAAHz/3T0=",0)</f>
        <v>#REF!</v>
      </c>
      <c r="BK10" t="e">
        <f>AND(#REF!,"AAAAAHz/3T4=")</f>
        <v>#REF!</v>
      </c>
      <c r="BL10" t="e">
        <f>IF(#REF!,"AAAAAHz/3T8=",0)</f>
        <v>#REF!</v>
      </c>
      <c r="BM10" t="e">
        <f>AND(#REF!,"AAAAAHz/3UA=")</f>
        <v>#REF!</v>
      </c>
      <c r="BN10" t="e">
        <f>IF(#REF!,"AAAAAHz/3UE=",0)</f>
        <v>#REF!</v>
      </c>
      <c r="BO10" t="e">
        <f>AND(#REF!,"AAAAAHz/3UI=")</f>
        <v>#REF!</v>
      </c>
      <c r="BP10" t="e">
        <f>IF(#REF!,"AAAAAHz/3UM=",0)</f>
        <v>#REF!</v>
      </c>
      <c r="BQ10" t="e">
        <f>AND(#REF!,"AAAAAHz/3UQ=")</f>
        <v>#REF!</v>
      </c>
      <c r="BR10" t="e">
        <f>IF(#REF!,"AAAAAHz/3UU=",0)</f>
        <v>#REF!</v>
      </c>
      <c r="BS10" t="e">
        <f>AND(#REF!,"AAAAAHz/3UY=")</f>
        <v>#REF!</v>
      </c>
      <c r="BT10" t="e">
        <f>IF(#REF!,"AAAAAHz/3Uc=",0)</f>
        <v>#REF!</v>
      </c>
      <c r="BU10" t="e">
        <f>AND(#REF!,"AAAAAHz/3Ug=")</f>
        <v>#REF!</v>
      </c>
      <c r="BV10" t="e">
        <f>IF(#REF!,"AAAAAHz/3Uk=",0)</f>
        <v>#REF!</v>
      </c>
      <c r="BW10" t="e">
        <f>AND(#REF!,"AAAAAHz/3Uo=")</f>
        <v>#REF!</v>
      </c>
      <c r="BX10" t="e">
        <f>IF(#REF!,"AAAAAHz/3Us=",0)</f>
        <v>#REF!</v>
      </c>
      <c r="BY10" t="e">
        <f>IF(#REF!,"AAAAAHz/3Uw=",0)</f>
        <v>#REF!</v>
      </c>
      <c r="BZ10" t="e">
        <f>IF(#REF!,"AAAAAHz/3U0=",0)</f>
        <v>#REF!</v>
      </c>
      <c r="CA10">
        <f>IF('Project- Total grade'!26:26,"AAAAAHz/3U4=",0)</f>
        <v>0</v>
      </c>
      <c r="CB10" t="e">
        <f>AND('Project- Total grade'!#REF!,"AAAAAHz/3U8=")</f>
        <v>#REF!</v>
      </c>
      <c r="CC10">
        <f>IF('Project- Total grade'!38:38,"AAAAAHz/3VA=",0)</f>
        <v>0</v>
      </c>
      <c r="CD10" t="e">
        <f>AND('Project- Total grade'!#REF!,"AAAAAHz/3VE=")</f>
        <v>#REF!</v>
      </c>
      <c r="CE10">
        <f>IF('Project- Total grade'!63:63,"AAAAAHz/3VI=",0)</f>
        <v>0</v>
      </c>
      <c r="CF10" t="e">
        <f>AND('Project- Total grade'!#REF!,"AAAAAHz/3VM=")</f>
        <v>#REF!</v>
      </c>
      <c r="CG10">
        <f>IF('Project- Total grade'!31:31,"AAAAAHz/3VQ=",0)</f>
        <v>0</v>
      </c>
      <c r="CH10" t="e">
        <f>AND('Project- Total grade'!#REF!,"AAAAAHz/3VU=")</f>
        <v>#REF!</v>
      </c>
      <c r="CI10" t="e">
        <f>IF('Project- Total grade'!#REF!,"AAAAAHz/3VY=",0)</f>
        <v>#REF!</v>
      </c>
      <c r="CJ10" t="e">
        <f>AND('Project- Total grade'!#REF!,"AAAAAHz/3Vc=")</f>
        <v>#REF!</v>
      </c>
      <c r="CK10" t="e">
        <f>IF('Project- Total grade'!#REF!,"AAAAAHz/3Vg=",0)</f>
        <v>#REF!</v>
      </c>
      <c r="CL10" t="e">
        <f>AND('Project- Total grade'!#REF!,"AAAAAHz/3Vk=")</f>
        <v>#REF!</v>
      </c>
      <c r="CM10">
        <f>IF('Project- Total grade'!27:27,"AAAAAHz/3Vo=",0)</f>
        <v>0</v>
      </c>
      <c r="CN10" t="e">
        <f>AND('Project- Total grade'!#REF!,"AAAAAHz/3Vs=")</f>
        <v>#REF!</v>
      </c>
      <c r="CO10" t="e">
        <f>IF('Project- Total grade'!#REF!,"AAAAAHz/3Vw=",0)</f>
        <v>#REF!</v>
      </c>
      <c r="CP10" t="e">
        <f>AND('Project- Total grade'!#REF!,"AAAAAHz/3V0=")</f>
        <v>#REF!</v>
      </c>
      <c r="CQ10">
        <f>IF('Project- Total grade'!48:48,"AAAAAHz/3V4=",0)</f>
        <v>0</v>
      </c>
      <c r="CR10" t="e">
        <f>AND('Project- Total grade'!#REF!,"AAAAAHz/3V8=")</f>
        <v>#REF!</v>
      </c>
      <c r="CS10">
        <f>IF('Project- Total grade'!3:3,"AAAAAHz/3WA=",0)</f>
        <v>0</v>
      </c>
      <c r="CT10" t="e">
        <f>AND('Project- Total grade'!#REF!,"AAAAAHz/3WE=")</f>
        <v>#REF!</v>
      </c>
      <c r="CU10">
        <f>IF('Project- Total grade'!60:60,"AAAAAHz/3WI=",0)</f>
        <v>0</v>
      </c>
      <c r="CV10" t="e">
        <f>AND('Project- Total grade'!#REF!,"AAAAAHz/3WM=")</f>
        <v>#REF!</v>
      </c>
      <c r="CW10">
        <f>IF('Project- Total grade'!61:61,"AAAAAHz/3WQ=",0)</f>
        <v>0</v>
      </c>
      <c r="CX10" t="e">
        <f>AND('Project- Total grade'!#REF!,"AAAAAHz/3WU=")</f>
        <v>#REF!</v>
      </c>
      <c r="CY10">
        <f>IF('Project- Total grade'!43:43,"AAAAAHz/3WY=",0)</f>
        <v>0</v>
      </c>
      <c r="CZ10" t="e">
        <f>AND('Project- Total grade'!#REF!,"AAAAAHz/3Wc=")</f>
        <v>#REF!</v>
      </c>
      <c r="DA10">
        <f>IF('Project- Total grade'!62:62,"AAAAAHz/3Wg=",0)</f>
        <v>0</v>
      </c>
      <c r="DB10" t="e">
        <f>AND('Project- Total grade'!#REF!,"AAAAAHz/3Wk=")</f>
        <v>#REF!</v>
      </c>
      <c r="DC10">
        <f>IF('Project- Total grade'!37:37,"AAAAAHz/3Wo=",0)</f>
        <v>0</v>
      </c>
      <c r="DD10" t="e">
        <f>AND('Project- Total grade'!#REF!,"AAAAAHz/3Ws=")</f>
        <v>#REF!</v>
      </c>
      <c r="DE10">
        <f>IF('Project- Total grade'!22:22,"AAAAAHz/3Ww=",0)</f>
        <v>0</v>
      </c>
      <c r="DF10" t="e">
        <f>AND('Project- Total grade'!#REF!,"AAAAAHz/3W0=")</f>
        <v>#REF!</v>
      </c>
      <c r="DG10">
        <f>IF('Project- Total grade'!36:36,"AAAAAHz/3W4=",0)</f>
        <v>0</v>
      </c>
      <c r="DH10" t="e">
        <f>AND('Project- Total grade'!#REF!,"AAAAAHz/3W8=")</f>
        <v>#REF!</v>
      </c>
      <c r="DI10">
        <f>IF('Project- Total grade'!46:46,"AAAAAHz/3XA=",0)</f>
        <v>0</v>
      </c>
      <c r="DJ10" t="e">
        <f>AND('Project- Total grade'!#REF!,"AAAAAHz/3XE=")</f>
        <v>#REF!</v>
      </c>
      <c r="DK10">
        <f>IF('Project- Total grade'!58:58,"AAAAAHz/3XI=",0)</f>
        <v>0</v>
      </c>
      <c r="DL10" t="e">
        <f>AND('Project- Total grade'!#REF!,"AAAAAHz/3XM=")</f>
        <v>#REF!</v>
      </c>
      <c r="DM10">
        <f>IF('Project- Total grade'!28:28,"AAAAAHz/3XQ=",0)</f>
        <v>0</v>
      </c>
      <c r="DN10" t="e">
        <f>AND('Project- Total grade'!#REF!,"AAAAAHz/3XU=")</f>
        <v>#REF!</v>
      </c>
      <c r="DO10">
        <f>IF('Project- Total grade'!29:29,"AAAAAHz/3XY=",0)</f>
        <v>0</v>
      </c>
      <c r="DP10" t="e">
        <f>AND('Project- Total grade'!#REF!,"AAAAAHz/3Xc=")</f>
        <v>#REF!</v>
      </c>
      <c r="DQ10">
        <f>IF('Project- Total grade'!34:34,"AAAAAHz/3Xg=",0)</f>
        <v>0</v>
      </c>
      <c r="DR10" t="e">
        <f>AND('Project- Total grade'!#REF!,"AAAAAHz/3Xk=")</f>
        <v>#REF!</v>
      </c>
      <c r="DS10">
        <f>IF('Project- Total grade'!56:56,"AAAAAHz/3Xo=",0)</f>
        <v>0</v>
      </c>
      <c r="DT10" t="e">
        <f>AND('Project- Total grade'!#REF!,"AAAAAHz/3Xs=")</f>
        <v>#REF!</v>
      </c>
      <c r="DU10">
        <f>IF('Project- Total grade'!47:47,"AAAAAHz/3Xw=",0)</f>
        <v>0</v>
      </c>
      <c r="DV10" t="e">
        <f>AND('Project- Total grade'!#REF!,"AAAAAHz/3X0=")</f>
        <v>#REF!</v>
      </c>
      <c r="DW10">
        <f>IF('Project- Total grade'!23:23,"AAAAAHz/3X4=",0)</f>
        <v>0</v>
      </c>
      <c r="DX10" t="e">
        <f>AND('Project- Total grade'!#REF!,"AAAAAHz/3X8=")</f>
        <v>#REF!</v>
      </c>
      <c r="DY10">
        <f>IF('Project- Total grade'!49:49,"AAAAAHz/3YA=",0)</f>
        <v>0</v>
      </c>
      <c r="DZ10" t="e">
        <f>AND('Project- Total grade'!#REF!,"AAAAAHz/3YE=")</f>
        <v>#REF!</v>
      </c>
      <c r="EA10">
        <f>IF('Project- Total grade'!39:39,"AAAAAHz/3YI=",0)</f>
        <v>0</v>
      </c>
      <c r="EB10" t="e">
        <f>AND('Project- Total grade'!#REF!,"AAAAAHz/3YM=")</f>
        <v>#REF!</v>
      </c>
      <c r="EC10" t="e">
        <f>IF('Project- Total grade'!#REF!,"AAAAAHz/3YQ=",0)</f>
        <v>#REF!</v>
      </c>
      <c r="ED10" t="e">
        <f>AND('Project- Total grade'!#REF!,"AAAAAHz/3YU=")</f>
        <v>#REF!</v>
      </c>
      <c r="EE10">
        <f>IF('Project- Total grade'!69:69,"AAAAAHz/3YY=",0)</f>
        <v>0</v>
      </c>
      <c r="EF10" t="e">
        <f>AND('Project- Total grade'!#REF!,"AAAAAHz/3Yc=")</f>
        <v>#REF!</v>
      </c>
      <c r="EG10">
        <f>IF('Project- Total grade'!51:51,"AAAAAHz/3Yg=",0)</f>
        <v>0</v>
      </c>
      <c r="EH10" t="e">
        <f>AND('Project- Total grade'!#REF!,"AAAAAHz/3Yk=")</f>
        <v>#REF!</v>
      </c>
      <c r="EI10">
        <f>IF('Project- Total grade'!24:24,"AAAAAHz/3Yo=",0)</f>
        <v>0</v>
      </c>
      <c r="EJ10" t="e">
        <f>AND('Project- Total grade'!#REF!,"AAAAAHz/3Ys=")</f>
        <v>#REF!</v>
      </c>
      <c r="EK10">
        <f>IF('Project- Total grade'!44:44,"AAAAAHz/3Yw=",0)</f>
        <v>0</v>
      </c>
      <c r="EL10" t="e">
        <f>AND('Project- Total grade'!#REF!,"AAAAAHz/3Y0=")</f>
        <v>#REF!</v>
      </c>
      <c r="EM10">
        <f>IF('Project- Total grade'!4:4,"AAAAAHz/3Y4=",0)</f>
        <v>0</v>
      </c>
      <c r="EN10" t="e">
        <f>AND('Project- Total grade'!#REF!,"AAAAAHz/3Y8=")</f>
        <v>#REF!</v>
      </c>
    </row>
    <row r="11" spans="1:256" ht="14.25" x14ac:dyDescent="0.2">
      <c r="A11" t="e">
        <f>AND('Project- Total grade'!B26,"AAAAAFr/6wA=")</f>
        <v>#VALUE!</v>
      </c>
      <c r="B11" t="e">
        <f>AND('Project- Total grade'!C26,"AAAAAFr/6wE=")</f>
        <v>#VALUE!</v>
      </c>
      <c r="C11" t="e">
        <f>AND('Project- Total grade'!D26,"AAAAAFr/6wI=")</f>
        <v>#VALUE!</v>
      </c>
      <c r="D11" t="e">
        <f>AND('Project- Total grade'!B38,"AAAAAFr/6wM=")</f>
        <v>#VALUE!</v>
      </c>
      <c r="E11" t="e">
        <f>AND('Project- Total grade'!C38,"AAAAAFr/6wQ=")</f>
        <v>#VALUE!</v>
      </c>
      <c r="F11" t="e">
        <f>AND('Project- Total grade'!D38,"AAAAAFr/6wU=")</f>
        <v>#VALUE!</v>
      </c>
      <c r="G11" t="e">
        <f>AND('Project- Total grade'!B63,"AAAAAFr/6wY=")</f>
        <v>#VALUE!</v>
      </c>
      <c r="H11" t="e">
        <f>AND('Project- Total grade'!C63,"AAAAAFr/6wc=")</f>
        <v>#VALUE!</v>
      </c>
      <c r="I11" t="e">
        <f>AND('Project- Total grade'!D63,"AAAAAFr/6wg=")</f>
        <v>#VALUE!</v>
      </c>
      <c r="J11" t="e">
        <f>AND('Project- Total grade'!B31,"AAAAAFr/6wk=")</f>
        <v>#VALUE!</v>
      </c>
      <c r="K11" t="e">
        <f>AND('Project- Total grade'!C31,"AAAAAFr/6wo=")</f>
        <v>#VALUE!</v>
      </c>
      <c r="L11" t="e">
        <f>AND('Project- Total grade'!D31,"AAAAAFr/6ws=")</f>
        <v>#VALUE!</v>
      </c>
      <c r="M11" t="e">
        <f>AND('Project- Total grade'!B8,"AAAAAFr/6ww=")</f>
        <v>#VALUE!</v>
      </c>
      <c r="N11" t="e">
        <f>AND('Project- Total grade'!C8,"AAAAAFr/6w0=")</f>
        <v>#VALUE!</v>
      </c>
      <c r="O11" t="e">
        <f>AND('Project- Total grade'!D8,"AAAAAFr/6w4=")</f>
        <v>#VALUE!</v>
      </c>
      <c r="P11" t="e">
        <f>AND('Project- Total grade'!B9,"AAAAAFr/6w8=")</f>
        <v>#VALUE!</v>
      </c>
      <c r="Q11" t="e">
        <f>AND('Project- Total grade'!C9,"AAAAAFr/6xA=")</f>
        <v>#VALUE!</v>
      </c>
      <c r="R11" t="e">
        <f>AND('Project- Total grade'!D9,"AAAAAFr/6xE=")</f>
        <v>#VALUE!</v>
      </c>
      <c r="S11" t="e">
        <f>AND('Project- Total grade'!B27,"AAAAAFr/6xI=")</f>
        <v>#VALUE!</v>
      </c>
      <c r="T11" t="e">
        <f>AND('Project- Total grade'!C27,"AAAAAFr/6xM=")</f>
        <v>#VALUE!</v>
      </c>
      <c r="U11" t="e">
        <f>AND('Project- Total grade'!D27,"AAAAAFr/6xQ=")</f>
        <v>#VALUE!</v>
      </c>
      <c r="V11" t="e">
        <f>AND('Project- Total grade'!B20,"AAAAAFr/6xU=")</f>
        <v>#VALUE!</v>
      </c>
      <c r="W11" t="e">
        <f>AND('Project- Total grade'!C20,"AAAAAFr/6xY=")</f>
        <v>#VALUE!</v>
      </c>
      <c r="X11" t="e">
        <f>AND('Project- Total grade'!D20,"AAAAAFr/6xc=")</f>
        <v>#VALUE!</v>
      </c>
      <c r="Y11" t="e">
        <f>AND('Project- Total grade'!B48,"AAAAAFr/6xg=")</f>
        <v>#VALUE!</v>
      </c>
      <c r="Z11" t="e">
        <f>AND('Project- Total grade'!C48,"AAAAAFr/6xk=")</f>
        <v>#VALUE!</v>
      </c>
      <c r="AA11" t="e">
        <f>AND('Project- Total grade'!D48,"AAAAAFr/6xo=")</f>
        <v>#VALUE!</v>
      </c>
      <c r="AB11" t="e">
        <f>AND('Project- Total grade'!B3,"AAAAAFr/6xs=")</f>
        <v>#VALUE!</v>
      </c>
      <c r="AC11" t="e">
        <f>AND('Project- Total grade'!C3,"AAAAAFr/6xw=")</f>
        <v>#VALUE!</v>
      </c>
      <c r="AD11" t="e">
        <f>AND('Project- Total grade'!D3,"AAAAAFr/6x0=")</f>
        <v>#VALUE!</v>
      </c>
      <c r="AE11" t="e">
        <f>AND('Project- Total grade'!B60,"AAAAAFr/6x4=")</f>
        <v>#VALUE!</v>
      </c>
      <c r="AF11" t="e">
        <f>AND('Project- Total grade'!C60,"AAAAAFr/6x8=")</f>
        <v>#VALUE!</v>
      </c>
      <c r="AG11" t="e">
        <f>AND('Project- Total grade'!D60,"AAAAAFr/6yA=")</f>
        <v>#VALUE!</v>
      </c>
      <c r="AH11" t="e">
        <f>AND('Project- Total grade'!B61,"AAAAAFr/6yE=")</f>
        <v>#VALUE!</v>
      </c>
      <c r="AI11" t="e">
        <f>AND('Project- Total grade'!C61,"AAAAAFr/6yI=")</f>
        <v>#VALUE!</v>
      </c>
      <c r="AJ11" t="e">
        <f>AND('Project- Total grade'!D61,"AAAAAFr/6yM=")</f>
        <v>#VALUE!</v>
      </c>
      <c r="AK11" t="e">
        <f>AND('Project- Total grade'!B43,"AAAAAFr/6yQ=")</f>
        <v>#VALUE!</v>
      </c>
      <c r="AL11" t="e">
        <f>AND('Project- Total grade'!C43,"AAAAAFr/6yU=")</f>
        <v>#VALUE!</v>
      </c>
      <c r="AM11" t="e">
        <f>AND('Project- Total grade'!D43,"AAAAAFr/6yY=")</f>
        <v>#VALUE!</v>
      </c>
      <c r="AN11" t="e">
        <f>AND('Project- Total grade'!B62,"AAAAAFr/6yc=")</f>
        <v>#VALUE!</v>
      </c>
      <c r="AO11" t="e">
        <f>AND('Project- Total grade'!C62,"AAAAAFr/6yg=")</f>
        <v>#VALUE!</v>
      </c>
      <c r="AP11" t="e">
        <f>AND('Project- Total grade'!D62,"AAAAAFr/6yk=")</f>
        <v>#VALUE!</v>
      </c>
      <c r="AQ11" t="e">
        <f>AND('Project- Total grade'!B37,"AAAAAFr/6yo=")</f>
        <v>#VALUE!</v>
      </c>
      <c r="AR11" t="e">
        <f>AND('Project- Total grade'!C37,"AAAAAFr/6ys=")</f>
        <v>#VALUE!</v>
      </c>
      <c r="AS11" t="e">
        <f>AND('Project- Total grade'!D37,"AAAAAFr/6yw=")</f>
        <v>#VALUE!</v>
      </c>
      <c r="AT11" t="e">
        <f>AND('Project- Total grade'!B22,"AAAAAFr/6y0=")</f>
        <v>#VALUE!</v>
      </c>
      <c r="AU11" t="e">
        <f>AND('Project- Total grade'!C22,"AAAAAFr/6y4=")</f>
        <v>#VALUE!</v>
      </c>
      <c r="AV11" t="e">
        <f>AND('Project- Total grade'!D22,"AAAAAFr/6y8=")</f>
        <v>#VALUE!</v>
      </c>
      <c r="AW11" t="e">
        <f>AND('Project- Total grade'!B36,"AAAAAFr/6zA=")</f>
        <v>#VALUE!</v>
      </c>
      <c r="AX11" t="e">
        <f>AND('Project- Total grade'!C36,"AAAAAFr/6zE=")</f>
        <v>#VALUE!</v>
      </c>
      <c r="AY11" t="e">
        <f>AND('Project- Total grade'!D36,"AAAAAFr/6zI=")</f>
        <v>#VALUE!</v>
      </c>
      <c r="AZ11" t="e">
        <f>AND('Project- Total grade'!B46,"AAAAAFr/6zM=")</f>
        <v>#VALUE!</v>
      </c>
      <c r="BA11" t="e">
        <f>AND('Project- Total grade'!C46,"AAAAAFr/6zQ=")</f>
        <v>#VALUE!</v>
      </c>
      <c r="BB11" t="e">
        <f>AND('Project- Total grade'!D46,"AAAAAFr/6zU=")</f>
        <v>#VALUE!</v>
      </c>
      <c r="BC11" t="e">
        <f>AND('Project- Total grade'!B58,"AAAAAFr/6zY=")</f>
        <v>#VALUE!</v>
      </c>
      <c r="BD11" t="e">
        <f>AND('Project- Total grade'!C58,"AAAAAFr/6zc=")</f>
        <v>#VALUE!</v>
      </c>
      <c r="BE11" t="e">
        <f>AND('Project- Total grade'!D58,"AAAAAFr/6zg=")</f>
        <v>#VALUE!</v>
      </c>
      <c r="BF11" t="e">
        <f>AND('Project- Total grade'!B28,"AAAAAFr/6zk=")</f>
        <v>#VALUE!</v>
      </c>
      <c r="BG11" t="e">
        <f>AND('Project- Total grade'!C28,"AAAAAFr/6zo=")</f>
        <v>#VALUE!</v>
      </c>
      <c r="BH11" t="e">
        <f>AND('Project- Total grade'!D28,"AAAAAFr/6zs=")</f>
        <v>#VALUE!</v>
      </c>
      <c r="BI11" t="e">
        <f>AND('Project- Total grade'!B29,"AAAAAFr/6zw=")</f>
        <v>#VALUE!</v>
      </c>
      <c r="BJ11" t="e">
        <f>AND('Project- Total grade'!C29,"AAAAAFr/6z0=")</f>
        <v>#VALUE!</v>
      </c>
      <c r="BK11" t="e">
        <f>AND('Project- Total grade'!D29,"AAAAAFr/6z4=")</f>
        <v>#VALUE!</v>
      </c>
      <c r="BL11" t="e">
        <f>AND('Project- Total grade'!B34,"AAAAAFr/6z8=")</f>
        <v>#VALUE!</v>
      </c>
      <c r="BM11" t="e">
        <f>AND('Project- Total grade'!C34,"AAAAAFr/60A=")</f>
        <v>#VALUE!</v>
      </c>
      <c r="BN11" t="e">
        <f>AND('Project- Total grade'!D34,"AAAAAFr/60E=")</f>
        <v>#VALUE!</v>
      </c>
      <c r="BO11" t="e">
        <f>AND('Project- Total grade'!B56,"AAAAAFr/60I=")</f>
        <v>#VALUE!</v>
      </c>
      <c r="BP11" t="e">
        <f>AND('Project- Total grade'!C56,"AAAAAFr/60M=")</f>
        <v>#VALUE!</v>
      </c>
      <c r="BQ11" t="e">
        <f>AND('Project- Total grade'!D56,"AAAAAFr/60Q=")</f>
        <v>#VALUE!</v>
      </c>
      <c r="BR11" t="e">
        <f>AND('Project- Total grade'!B47,"AAAAAFr/60U=")</f>
        <v>#VALUE!</v>
      </c>
      <c r="BS11" t="e">
        <f>AND('Project- Total grade'!C47,"AAAAAFr/60Y=")</f>
        <v>#VALUE!</v>
      </c>
      <c r="BT11" t="e">
        <f>AND('Project- Total grade'!D47,"AAAAAFr/60c=")</f>
        <v>#VALUE!</v>
      </c>
      <c r="BU11" t="e">
        <f>AND('Project- Total grade'!B23,"AAAAAFr/60g=")</f>
        <v>#VALUE!</v>
      </c>
      <c r="BV11" t="e">
        <f>AND('Project- Total grade'!C23,"AAAAAFr/60k=")</f>
        <v>#VALUE!</v>
      </c>
      <c r="BW11" t="e">
        <f>AND('Project- Total grade'!D23,"AAAAAFr/60o=")</f>
        <v>#VALUE!</v>
      </c>
      <c r="BX11" t="e">
        <f>AND('Project- Total grade'!B49,"AAAAAFr/60s=")</f>
        <v>#VALUE!</v>
      </c>
      <c r="BY11" t="e">
        <f>AND('Project- Total grade'!C49,"AAAAAFr/60w=")</f>
        <v>#VALUE!</v>
      </c>
      <c r="BZ11" t="e">
        <f>AND('Project- Total grade'!D49,"AAAAAFr/600=")</f>
        <v>#VALUE!</v>
      </c>
      <c r="CA11" t="e">
        <f>AND('Project- Total grade'!B39,"AAAAAFr/604=")</f>
        <v>#VALUE!</v>
      </c>
      <c r="CB11" t="e">
        <f>AND('Project- Total grade'!C39,"AAAAAFr/608=")</f>
        <v>#VALUE!</v>
      </c>
      <c r="CC11" t="e">
        <f>AND('Project- Total grade'!D39,"AAAAAFr/61A=")</f>
        <v>#VALUE!</v>
      </c>
      <c r="CD11" t="e">
        <f>AND('Project- Total grade'!B17,"AAAAAFr/61E=")</f>
        <v>#VALUE!</v>
      </c>
      <c r="CE11" t="e">
        <f>AND('Project- Total grade'!C17,"AAAAAFr/61I=")</f>
        <v>#VALUE!</v>
      </c>
      <c r="CF11" t="e">
        <f>AND('Project- Total grade'!D17,"AAAAAFr/61M=")</f>
        <v>#VALUE!</v>
      </c>
      <c r="CG11" t="e">
        <f>AND('Project- Total grade'!B18,"AAAAAFr/61Q=")</f>
        <v>#VALUE!</v>
      </c>
      <c r="CH11" t="e">
        <f>AND('Project- Total grade'!C18,"AAAAAFr/61U=")</f>
        <v>#VALUE!</v>
      </c>
      <c r="CI11" t="e">
        <f>AND('Project- Total grade'!D18,"AAAAAFr/61Y=")</f>
        <v>#VALUE!</v>
      </c>
      <c r="CJ11" t="e">
        <f>AND('Project- Total grade'!B51,"AAAAAFr/61c=")</f>
        <v>#VALUE!</v>
      </c>
      <c r="CK11" t="e">
        <f>AND('Project- Total grade'!C51,"AAAAAFr/61g=")</f>
        <v>#VALUE!</v>
      </c>
      <c r="CL11" t="e">
        <f>AND('Project- Total grade'!D51,"AAAAAFr/61k=")</f>
        <v>#VALUE!</v>
      </c>
      <c r="CM11" t="e">
        <f>AND('Project- Total grade'!B24,"AAAAAFr/61o=")</f>
        <v>#VALUE!</v>
      </c>
      <c r="CN11" t="e">
        <f>AND('Project- Total grade'!C24,"AAAAAFr/61s=")</f>
        <v>#VALUE!</v>
      </c>
      <c r="CO11" t="e">
        <f>AND('Project- Total grade'!D24,"AAAAAFr/61w=")</f>
        <v>#VALUE!</v>
      </c>
      <c r="CP11" t="e">
        <f>AND('Project- Total grade'!B44,"AAAAAFr/610=")</f>
        <v>#VALUE!</v>
      </c>
      <c r="CQ11" t="e">
        <f>AND('Project- Total grade'!C44,"AAAAAFr/614=")</f>
        <v>#VALUE!</v>
      </c>
      <c r="CR11" t="e">
        <f>AND('Project- Total grade'!D44,"AAAAAFr/618=")</f>
        <v>#VALUE!</v>
      </c>
      <c r="CS11" t="e">
        <f>AND('Project- Total grade'!B4,"AAAAAFr/62A=")</f>
        <v>#VALUE!</v>
      </c>
      <c r="CT11" t="e">
        <f>AND('Project- Total grade'!C4,"AAAAAFr/62E=")</f>
        <v>#VALUE!</v>
      </c>
      <c r="CU11" t="e">
        <f>AND('Project- Total grade'!D4,"AAAAAFr/62I=")</f>
        <v>#VALUE!</v>
      </c>
    </row>
    <row r="12" spans="1:256" ht="14.25" x14ac:dyDescent="0.2">
      <c r="A12" t="e">
        <f>AND(#REF!,"AAAAAH//3wA=")</f>
        <v>#REF!</v>
      </c>
      <c r="B12" t="e">
        <f>AND(#REF!,"AAAAAH//3wE=")</f>
        <v>#REF!</v>
      </c>
      <c r="C12" t="e">
        <f>AND(#REF!,"AAAAAH//3wI=")</f>
        <v>#REF!</v>
      </c>
      <c r="D12" t="e">
        <f>AND(#REF!,"AAAAAH//3wM=")</f>
        <v>#REF!</v>
      </c>
      <c r="E12" t="e">
        <f>AND(#REF!,"AAAAAH//3wQ=")</f>
        <v>#REF!</v>
      </c>
      <c r="F12" t="e">
        <f>AND(#REF!,"AAAAAH//3wU=")</f>
        <v>#REF!</v>
      </c>
      <c r="G12" t="e">
        <f>AND(#REF!,"AAAAAH//3wY=")</f>
        <v>#REF!</v>
      </c>
      <c r="H12" t="e">
        <f>AND(#REF!,"AAAAAH//3wc=")</f>
        <v>#REF!</v>
      </c>
      <c r="I12" t="e">
        <f>AND(#REF!,"AAAAAH//3wg=")</f>
        <v>#REF!</v>
      </c>
      <c r="J12" t="e">
        <f>AND(#REF!,"AAAAAH//3wk=")</f>
        <v>#REF!</v>
      </c>
      <c r="K12" t="e">
        <f>AND(#REF!,"AAAAAH//3wo=")</f>
        <v>#REF!</v>
      </c>
      <c r="L12" t="e">
        <f>AND(#REF!,"AAAAAH//3ws=")</f>
        <v>#REF!</v>
      </c>
      <c r="M12" t="e">
        <f>AND(#REF!,"AAAAAH//3ww=")</f>
        <v>#REF!</v>
      </c>
      <c r="N12" t="e">
        <f>AND(#REF!,"AAAAAH//3w0=")</f>
        <v>#REF!</v>
      </c>
      <c r="O12" t="e">
        <f>AND(#REF!,"AAAAAH//3w4=")</f>
        <v>#REF!</v>
      </c>
      <c r="P12" t="e">
        <f>AND(#REF!,"AAAAAH//3w8=")</f>
        <v>#REF!</v>
      </c>
      <c r="Q12" t="e">
        <f>AND(#REF!,"AAAAAH//3xA=")</f>
        <v>#REF!</v>
      </c>
      <c r="R12" t="e">
        <f>AND(#REF!,"AAAAAH//3xE=")</f>
        <v>#REF!</v>
      </c>
      <c r="S12" t="e">
        <f>AND(#REF!,"AAAAAH//3xI=")</f>
        <v>#REF!</v>
      </c>
      <c r="T12" t="e">
        <f>AND(#REF!,"AAAAAH//3xM=")</f>
        <v>#REF!</v>
      </c>
      <c r="U12" t="e">
        <f>AND(#REF!,"AAAAAH//3xQ=")</f>
        <v>#REF!</v>
      </c>
      <c r="V12" t="e">
        <f>AND(#REF!,"AAAAAH//3xU=")</f>
        <v>#REF!</v>
      </c>
      <c r="W12" t="e">
        <f>AND(#REF!,"AAAAAH//3xY=")</f>
        <v>#REF!</v>
      </c>
      <c r="X12" t="e">
        <f>AND(#REF!,"AAAAAH//3xc=")</f>
        <v>#REF!</v>
      </c>
      <c r="Y12" t="e">
        <f>AND(#REF!,"AAAAAH//3xg=")</f>
        <v>#REF!</v>
      </c>
      <c r="Z12" t="e">
        <f>AND(#REF!,"AAAAAH//3xk=")</f>
        <v>#REF!</v>
      </c>
      <c r="AA12" t="e">
        <f>AND(#REF!,"AAAAAH//3xo=")</f>
        <v>#REF!</v>
      </c>
      <c r="AB12" t="e">
        <f>AND(#REF!,"AAAAAH//3xs=")</f>
        <v>#REF!</v>
      </c>
      <c r="AC12" t="e">
        <f>AND(#REF!,"AAAAAH//3xw=")</f>
        <v>#REF!</v>
      </c>
      <c r="AD12" t="e">
        <f>AND(#REF!,"AAAAAH//3x0=")</f>
        <v>#REF!</v>
      </c>
      <c r="AE12" t="e">
        <f>AND(#REF!,"AAAAAH//3x4=")</f>
        <v>#REF!</v>
      </c>
      <c r="AF12" t="e">
        <f>AND(#REF!,"AAAAAH//3x8=")</f>
        <v>#REF!</v>
      </c>
      <c r="AG12" t="e">
        <f>AND(#REF!,"AAAAAH//3yA=")</f>
        <v>#REF!</v>
      </c>
      <c r="AH12" t="e">
        <f>AND(#REF!,"AAAAAH//3yE=")</f>
        <v>#REF!</v>
      </c>
      <c r="AI12" t="e">
        <f>AND(#REF!,"AAAAAH//3yI=")</f>
        <v>#REF!</v>
      </c>
      <c r="AJ12" t="e">
        <f>AND(#REF!,"AAAAAH//3yM=")</f>
        <v>#REF!</v>
      </c>
      <c r="AK12" t="e">
        <f>AND(#REF!,"AAAAAH//3yQ=")</f>
        <v>#REF!</v>
      </c>
      <c r="AL12" t="e">
        <f>AND(#REF!,"AAAAAH//3yU=")</f>
        <v>#REF!</v>
      </c>
      <c r="AM12" t="e">
        <f>AND(#REF!,"AAAAAH//3yY=")</f>
        <v>#REF!</v>
      </c>
      <c r="AN12" t="e">
        <f>AND(#REF!,"AAAAAH//3yc=")</f>
        <v>#REF!</v>
      </c>
      <c r="AO12" t="e">
        <f>AND(#REF!,"AAAAAH//3yg=")</f>
        <v>#REF!</v>
      </c>
      <c r="AP12" t="e">
        <f>AND(#REF!,"AAAAAH//3yk=")</f>
        <v>#REF!</v>
      </c>
      <c r="AQ12" t="e">
        <f>AND(#REF!,"AAAAAH//3yo=")</f>
        <v>#REF!</v>
      </c>
      <c r="AR12" t="e">
        <f>AND(#REF!,"AAAAAH//3ys=")</f>
        <v>#REF!</v>
      </c>
      <c r="AS12" t="e">
        <f>AND(#REF!,"AAAAAH//3yw=")</f>
        <v>#REF!</v>
      </c>
      <c r="AT12" t="e">
        <f>AND(#REF!,"AAAAAH//3y0=")</f>
        <v>#REF!</v>
      </c>
      <c r="AU12" t="e">
        <f>AND(#REF!,"AAAAAH//3y4=")</f>
        <v>#REF!</v>
      </c>
      <c r="AV12" t="e">
        <f>AND(#REF!,"AAAAAH//3y8=")</f>
        <v>#REF!</v>
      </c>
      <c r="AW12" t="e">
        <f>AND(#REF!,"AAAAAH//3zA=")</f>
        <v>#REF!</v>
      </c>
      <c r="AX12" t="e">
        <f>AND(#REF!,"AAAAAH//3zE=")</f>
        <v>#REF!</v>
      </c>
      <c r="AY12" t="e">
        <f>AND(#REF!,"AAAAAH//3zI=")</f>
        <v>#REF!</v>
      </c>
      <c r="AZ12" t="e">
        <f>AND(#REF!,"AAAAAH//3zM=")</f>
        <v>#REF!</v>
      </c>
      <c r="BA12" t="e">
        <f>AND(#REF!,"AAAAAH//3zQ=")</f>
        <v>#REF!</v>
      </c>
      <c r="BB12" t="e">
        <f>AND(#REF!,"AAAAAH//3zU=")</f>
        <v>#REF!</v>
      </c>
      <c r="BC12" t="e">
        <f>AND(#REF!,"AAAAAH//3zY=")</f>
        <v>#REF!</v>
      </c>
      <c r="BD12" t="e">
        <f>AND(#REF!,"AAAAAH//3zc=")</f>
        <v>#REF!</v>
      </c>
      <c r="BE12" t="e">
        <f>AND(#REF!,"AAAAAH//3zg=")</f>
        <v>#REF!</v>
      </c>
      <c r="BF12" t="e">
        <f>AND(#REF!,"AAAAAH//3zk=")</f>
        <v>#REF!</v>
      </c>
      <c r="BG12" t="e">
        <f>AND(#REF!,"AAAAAH//3zo=")</f>
        <v>#REF!</v>
      </c>
      <c r="BH12" t="e">
        <f>AND(#REF!,"AAAAAH//3zs=")</f>
        <v>#REF!</v>
      </c>
      <c r="BI12" t="e">
        <f>AND(#REF!,"AAAAAH//3zw=")</f>
        <v>#REF!</v>
      </c>
      <c r="BJ12" t="e">
        <f>AND(#REF!,"AAAAAH//3z0=")</f>
        <v>#REF!</v>
      </c>
      <c r="BK12" t="e">
        <f>AND(#REF!,"AAAAAH//3z4=")</f>
        <v>#REF!</v>
      </c>
      <c r="BL12" t="e">
        <f>AND(#REF!,"AAAAAH//3z8=")</f>
        <v>#REF!</v>
      </c>
      <c r="BM12" t="e">
        <f>AND(#REF!,"AAAAAH//30A=")</f>
        <v>#REF!</v>
      </c>
      <c r="BN12" t="e">
        <f>AND(#REF!,"AAAAAH//30E=")</f>
        <v>#REF!</v>
      </c>
      <c r="BO12" t="e">
        <f>AND(#REF!,"AAAAAH//30I=")</f>
        <v>#REF!</v>
      </c>
      <c r="BP12" t="e">
        <f>AND(#REF!,"AAAAAH//30M=")</f>
        <v>#REF!</v>
      </c>
      <c r="BQ12" t="e">
        <f>AND(#REF!,"AAAAAH//30Q=")</f>
        <v>#REF!</v>
      </c>
      <c r="BR12" t="e">
        <f>AND(#REF!,"AAAAAH//30U=")</f>
        <v>#REF!</v>
      </c>
      <c r="BS12" t="e">
        <f>AND(#REF!,"AAAAAH//30Y=")</f>
        <v>#REF!</v>
      </c>
      <c r="BT12" t="e">
        <f>AND(#REF!,"AAAAAH//30c=")</f>
        <v>#REF!</v>
      </c>
      <c r="BU12" t="e">
        <f>AND(#REF!,"AAAAAH//30g=")</f>
        <v>#REF!</v>
      </c>
      <c r="BV12" t="e">
        <f>AND(#REF!,"AAAAAH//30k=")</f>
        <v>#REF!</v>
      </c>
      <c r="BW12" t="e">
        <f>AND(#REF!,"AAAAAH//30o=")</f>
        <v>#REF!</v>
      </c>
      <c r="BX12" t="e">
        <f>AND(#REF!,"AAAAAH//30s=")</f>
        <v>#REF!</v>
      </c>
      <c r="BY12" t="e">
        <f>AND(#REF!,"AAAAAH//30w=")</f>
        <v>#REF!</v>
      </c>
      <c r="BZ12" t="e">
        <f>AND(#REF!,"AAAAAH//300=")</f>
        <v>#REF!</v>
      </c>
      <c r="CA12" t="e">
        <f>AND(#REF!,"AAAAAH//304=")</f>
        <v>#REF!</v>
      </c>
      <c r="CB12" t="e">
        <f>AND(#REF!,"AAAAAH//308=")</f>
        <v>#REF!</v>
      </c>
      <c r="CC12" t="e">
        <f>AND(#REF!,"AAAAAH//31A=")</f>
        <v>#REF!</v>
      </c>
      <c r="CD12" t="e">
        <f>AND(#REF!,"AAAAAH//31E=")</f>
        <v>#REF!</v>
      </c>
      <c r="CE12" t="e">
        <f>AND(#REF!,"AAAAAH//31I=")</f>
        <v>#REF!</v>
      </c>
      <c r="CF12" t="e">
        <f>AND(#REF!,"AAAAAH//31M=")</f>
        <v>#REF!</v>
      </c>
      <c r="CG12" t="e">
        <f>AND(#REF!,"AAAAAH//31Q=")</f>
        <v>#REF!</v>
      </c>
      <c r="CH12" t="e">
        <f>AND(#REF!,"AAAAAH//31U=")</f>
        <v>#REF!</v>
      </c>
      <c r="CI12" t="e">
        <f>AND(#REF!,"AAAAAH//31Y=")</f>
        <v>#REF!</v>
      </c>
      <c r="CJ12" t="e">
        <f>AND(#REF!,"AAAAAH//31c=")</f>
        <v>#REF!</v>
      </c>
      <c r="CK12" t="e">
        <f>AND(#REF!,"AAAAAH//31g=")</f>
        <v>#REF!</v>
      </c>
      <c r="CL12" t="e">
        <f>AND(#REF!,"AAAAAH//31k=")</f>
        <v>#REF!</v>
      </c>
      <c r="CM12" t="e">
        <f>AND(#REF!,"AAAAAH//31o=")</f>
        <v>#REF!</v>
      </c>
      <c r="CN12" t="e">
        <f>AND(#REF!,"AAAAAH//31s=")</f>
        <v>#REF!</v>
      </c>
      <c r="CO12" t="e">
        <f>AND(#REF!,"AAAAAH//31w=")</f>
        <v>#REF!</v>
      </c>
      <c r="CP12" t="e">
        <f>AND(#REF!,"AAAAAH//310=")</f>
        <v>#REF!</v>
      </c>
      <c r="CQ12" t="e">
        <f>AND(#REF!,"AAAAAH//314=")</f>
        <v>#REF!</v>
      </c>
      <c r="CR12" t="e">
        <f>AND(#REF!,"AAAAAH//318=")</f>
        <v>#REF!</v>
      </c>
      <c r="CS12" t="e">
        <f>AND(#REF!,"AAAAAH//32A=")</f>
        <v>#REF!</v>
      </c>
      <c r="CT12" t="e">
        <f>AND(#REF!,"AAAAAH//32E=")</f>
        <v>#REF!</v>
      </c>
      <c r="CU12" t="e">
        <f>AND(#REF!,"AAAAAH//32I=")</f>
        <v>#REF!</v>
      </c>
      <c r="CV12" t="e">
        <f>AND(#REF!,"AAAAAH//32M=")</f>
        <v>#REF!</v>
      </c>
      <c r="CW12" t="e">
        <f>AND(#REF!,"AAAAAH//32Q=")</f>
        <v>#REF!</v>
      </c>
      <c r="CX12" t="e">
        <f>AND(#REF!,"AAAAAH//32U=")</f>
        <v>#REF!</v>
      </c>
      <c r="CY12" t="e">
        <f>AND(#REF!,"AAAAAH//32Y=")</f>
        <v>#REF!</v>
      </c>
      <c r="CZ12" t="e">
        <f>AND(#REF!,"AAAAAH//32c=")</f>
        <v>#REF!</v>
      </c>
      <c r="DA12" t="e">
        <f>AND(#REF!,"AAAAAH//32g=")</f>
        <v>#REF!</v>
      </c>
      <c r="DB12" t="e">
        <f>AND(#REF!,"AAAAAH//32k=")</f>
        <v>#REF!</v>
      </c>
      <c r="DC12" t="e">
        <f>AND(#REF!,"AAAAAH//32o=")</f>
        <v>#REF!</v>
      </c>
      <c r="DD12" t="e">
        <f>AND(#REF!,"AAAAAH//32s=")</f>
        <v>#REF!</v>
      </c>
      <c r="DE12" t="e">
        <f>AND(#REF!,"AAAAAH//32w=")</f>
        <v>#REF!</v>
      </c>
      <c r="DF12" t="e">
        <f>AND(#REF!,"AAAAAH//320=")</f>
        <v>#REF!</v>
      </c>
      <c r="DG12" t="e">
        <f>AND(#REF!,"AAAAAH//324=")</f>
        <v>#REF!</v>
      </c>
      <c r="DH12" t="e">
        <f>AND(#REF!,"AAAAAH//328=")</f>
        <v>#REF!</v>
      </c>
      <c r="DI12" t="e">
        <f>AND(#REF!,"AAAAAH//33A=")</f>
        <v>#REF!</v>
      </c>
      <c r="DJ12" t="e">
        <f>AND(#REF!,"AAAAAH//33E=")</f>
        <v>#REF!</v>
      </c>
      <c r="DK12" t="e">
        <f>AND(#REF!,"AAAAAH//33I=")</f>
        <v>#REF!</v>
      </c>
      <c r="DL12" t="e">
        <f>AND(#REF!,"AAAAAH//33M=")</f>
        <v>#REF!</v>
      </c>
      <c r="DM12" t="e">
        <f>AND(#REF!,"AAAAAH//33Q=")</f>
        <v>#REF!</v>
      </c>
      <c r="DN12" t="e">
        <f>AND(#REF!,"AAAAAH//33U=")</f>
        <v>#REF!</v>
      </c>
      <c r="DO12" t="e">
        <f>AND(#REF!,"AAAAAH//33Y=")</f>
        <v>#REF!</v>
      </c>
      <c r="DP12" t="e">
        <f>AND(#REF!,"AAAAAH//33c=")</f>
        <v>#REF!</v>
      </c>
      <c r="DQ12" t="e">
        <f>AND(#REF!,"AAAAAH//33g=")</f>
        <v>#REF!</v>
      </c>
      <c r="DR12" t="e">
        <f>AND(#REF!,"AAAAAH//33k=")</f>
        <v>#REF!</v>
      </c>
      <c r="DS12" t="e">
        <f>AND(#REF!,"AAAAAH//33o=")</f>
        <v>#REF!</v>
      </c>
      <c r="DT12" t="e">
        <f>AND(#REF!,"AAAAAH//33s=")</f>
        <v>#REF!</v>
      </c>
      <c r="DU12" t="e">
        <f>AND(#REF!,"AAAAAH//33w=")</f>
        <v>#REF!</v>
      </c>
      <c r="DV12" t="e">
        <f>AND(#REF!,"AAAAAH//330=")</f>
        <v>#REF!</v>
      </c>
      <c r="DW12" t="e">
        <f>AND(#REF!,"AAAAAH//334=")</f>
        <v>#REF!</v>
      </c>
      <c r="DX12" t="e">
        <f>AND(#REF!,"AAAAAH//338=")</f>
        <v>#REF!</v>
      </c>
      <c r="DY12" t="e">
        <f>AND(#REF!,"AAAAAH//34A=")</f>
        <v>#REF!</v>
      </c>
      <c r="DZ12" t="e">
        <f>AND(#REF!,"AAAAAH//34E=")</f>
        <v>#REF!</v>
      </c>
      <c r="EA12" t="e">
        <f>AND(#REF!,"AAAAAH//34I=")</f>
        <v>#REF!</v>
      </c>
      <c r="EB12" t="e">
        <f>AND(#REF!,"AAAAAH//34M=")</f>
        <v>#REF!</v>
      </c>
      <c r="EC12" t="e">
        <f>AND(#REF!,"AAAAAH//34Q=")</f>
        <v>#REF!</v>
      </c>
      <c r="ED12" t="e">
        <f>AND(#REF!,"AAAAAH//34U=")</f>
        <v>#REF!</v>
      </c>
      <c r="EE12" t="e">
        <f>AND(#REF!,"AAAAAH//34Y=")</f>
        <v>#REF!</v>
      </c>
      <c r="EF12" t="e">
        <f>AND(#REF!,"AAAAAH//34c=")</f>
        <v>#REF!</v>
      </c>
      <c r="EG12" t="e">
        <f>AND(#REF!,"AAAAAH//34g=")</f>
        <v>#REF!</v>
      </c>
      <c r="EH12" t="e">
        <f>AND(#REF!,"AAAAAH//34k=")</f>
        <v>#REF!</v>
      </c>
      <c r="EI12" t="e">
        <f>AND(#REF!,"AAAAAH//34o=")</f>
        <v>#REF!</v>
      </c>
      <c r="EJ12" t="e">
        <f>AND(#REF!,"AAAAAH//34s=")</f>
        <v>#REF!</v>
      </c>
      <c r="EK12" t="e">
        <f>AND(#REF!,"AAAAAH//34w=")</f>
        <v>#REF!</v>
      </c>
      <c r="EL12" t="e">
        <f>AND(#REF!,"AAAAAH//340=")</f>
        <v>#REF!</v>
      </c>
      <c r="EM12" t="e">
        <f>AND(#REF!,"AAAAAH//344=")</f>
        <v>#REF!</v>
      </c>
      <c r="EN12" t="e">
        <f>IF(#REF!,"AAAAAH//348=",0)</f>
        <v>#REF!</v>
      </c>
      <c r="EO12" t="e">
        <f>IF(#REF!,"AAAAAH//35A=",0)</f>
        <v>#REF!</v>
      </c>
      <c r="EP12" t="e">
        <f>IF(#REF!,"AAAAAH//35E=",0)</f>
        <v>#REF!</v>
      </c>
      <c r="EQ12" t="e">
        <f>IF(#REF!,"AAAAAH//35I=",0)</f>
        <v>#REF!</v>
      </c>
      <c r="ER12" t="e">
        <f>IF(#REF!,"AAAAAH//35M=",0)</f>
        <v>#REF!</v>
      </c>
      <c r="ES12" t="e">
        <f>IF(#REF!,"AAAAAH//35Q=",0)</f>
        <v>#REF!</v>
      </c>
      <c r="ET12" t="e">
        <f>IF(#REF!,"AAAAAH//35U=",0)</f>
        <v>#REF!</v>
      </c>
      <c r="EU12" t="e">
        <f>IF(#REF!,"AAAAAH//35Y=",0)</f>
        <v>#REF!</v>
      </c>
      <c r="EV12" t="e">
        <f>IF("N",ChatIt,"AAAAAH//35c=")</f>
        <v>#VALUE!</v>
      </c>
    </row>
    <row r="13" spans="1:256" ht="14.25" x14ac:dyDescent="0.2">
      <c r="A13" t="e">
        <f>AND(#REF!,"AAAAAB779QA=")</f>
        <v>#REF!</v>
      </c>
      <c r="B13" t="e">
        <f>AND(#REF!,"AAAAAB779QE=")</f>
        <v>#REF!</v>
      </c>
      <c r="C13" t="e">
        <f>AND(#REF!,"AAAAAB779QI=")</f>
        <v>#REF!</v>
      </c>
      <c r="D13" t="e">
        <f>AND(#REF!,"AAAAAB779QM=")</f>
        <v>#REF!</v>
      </c>
      <c r="E13" t="e">
        <f>AND(#REF!,"AAAAAB779QQ=")</f>
        <v>#REF!</v>
      </c>
      <c r="F13" t="e">
        <f>AND(#REF!,"AAAAAB779QU=")</f>
        <v>#REF!</v>
      </c>
      <c r="G13" t="e">
        <f>AND(#REF!,"AAAAAB779QY=")</f>
        <v>#REF!</v>
      </c>
      <c r="H13" t="e">
        <f>AND(#REF!,"AAAAAB779Qc=")</f>
        <v>#REF!</v>
      </c>
      <c r="I13" t="e">
        <f>AND(#REF!,"AAAAAB779Qg=")</f>
        <v>#REF!</v>
      </c>
      <c r="J13" t="e">
        <f>AND(#REF!,"AAAAAB779Qk=")</f>
        <v>#REF!</v>
      </c>
      <c r="K13" t="e">
        <f>AND(#REF!,"AAAAAB779Qo=")</f>
        <v>#REF!</v>
      </c>
      <c r="L13" t="e">
        <f>AND(#REF!,"AAAAAB779Qs=")</f>
        <v>#REF!</v>
      </c>
      <c r="M13" t="e">
        <f>AND(#REF!,"AAAAAB779Qw=")</f>
        <v>#REF!</v>
      </c>
      <c r="N13" t="e">
        <f>AND(#REF!,"AAAAAB779Q0=")</f>
        <v>#REF!</v>
      </c>
      <c r="O13" t="e">
        <f>AND(#REF!,"AAAAAB779Q4=")</f>
        <v>#REF!</v>
      </c>
      <c r="P13" t="e">
        <f>AND(#REF!,"AAAAAB779Q8=")</f>
        <v>#REF!</v>
      </c>
      <c r="Q13" t="e">
        <f>IF(#REF!,"AAAAAB779RA=",0)</f>
        <v>#REF!</v>
      </c>
      <c r="R13" t="e">
        <f>IF(#REF!,"AAAAAB779RE=",0)</f>
        <v>#REF!</v>
      </c>
    </row>
    <row r="14" spans="1:256" ht="14.25" x14ac:dyDescent="0.2">
      <c r="A14" t="e">
        <f>AND(#REF!,"AAAAAD//8gA=")</f>
        <v>#REF!</v>
      </c>
      <c r="B14" t="e">
        <f>AND(#REF!,"AAAAAD//8gE=")</f>
        <v>#REF!</v>
      </c>
      <c r="C14" t="e">
        <f>AND(#REF!,"AAAAAD//8gI=")</f>
        <v>#REF!</v>
      </c>
      <c r="D14" t="e">
        <f>AND(#REF!,"AAAAAD//8gM=")</f>
        <v>#REF!</v>
      </c>
      <c r="E14" t="e">
        <f>AND(#REF!,"AAAAAD//8gQ=")</f>
        <v>#REF!</v>
      </c>
      <c r="F14" t="e">
        <f>AND(#REF!,"AAAAAD//8gU=")</f>
        <v>#REF!</v>
      </c>
      <c r="G14" t="e">
        <f>IF("N",AHDA_IDs,"AAAAAD//8gY=")</f>
        <v>#VALUE!</v>
      </c>
      <c r="H14" t="e">
        <f>IF("N",BestSeller_IDs,"AAAAAD//8gc=")</f>
        <v>#VALUE!</v>
      </c>
      <c r="I14" t="e">
        <f>IF("N",CarPool_IDs,"AAAAAD//8gg=")</f>
        <v>#VALUE!</v>
      </c>
      <c r="J14" t="e">
        <f>IF("N",ChatIt_IDs,"AAAAAD//8gk=")</f>
        <v>#VALUE!</v>
      </c>
      <c r="K14" t="e">
        <f>IF("N",ChatItIDs,"AAAAAD//8go=")</f>
        <v>#VALUE!</v>
      </c>
      <c r="L14" t="e">
        <f>IF("N",MyFirstMail_IDs,"AAAAAD//8gs=")</f>
        <v>#VALUE!</v>
      </c>
      <c r="M14" t="e">
        <f>IF("N",OnlineExamsInterface_IDs,"AAAAAD//8gw=")</f>
        <v>#VALUE!</v>
      </c>
      <c r="N14" t="e">
        <f>IF("N",SUDAM_IDs,"AAAAAD//8g0=")</f>
        <v>#VALUE!</v>
      </c>
    </row>
    <row r="15" spans="1:256" ht="14.25" x14ac:dyDescent="0.2">
      <c r="A15" t="e">
        <f>AND(#REF!,"AAAAAGvd/wA=")</f>
        <v>#REF!</v>
      </c>
      <c r="B15" t="e">
        <f>AND(#REF!,"AAAAAGvd/wE=")</f>
        <v>#REF!</v>
      </c>
      <c r="C15" t="e">
        <f>AND(#REF!,"AAAAAGvd/wI=")</f>
        <v>#REF!</v>
      </c>
      <c r="D15" t="e">
        <f>AND(#REF!,"AAAAAGvd/wM=")</f>
        <v>#REF!</v>
      </c>
      <c r="E15" t="e">
        <f>AND(#REF!,"AAAAAGvd/wQ=")</f>
        <v>#REF!</v>
      </c>
      <c r="F15" t="e">
        <f>AND(#REF!,"AAAAAGvd/wU=")</f>
        <v>#REF!</v>
      </c>
      <c r="G15" t="e">
        <f>AND(#REF!,"AAAAAGvd/wY=")</f>
        <v>#REF!</v>
      </c>
      <c r="H15" t="e">
        <f>AND(#REF!,"AAAAAGvd/wc=")</f>
        <v>#REF!</v>
      </c>
      <c r="I15" t="e">
        <f>AND(#REF!,"AAAAAGvd/wg=")</f>
        <v>#REF!</v>
      </c>
      <c r="J15" t="e">
        <f>AND(#REF!,"AAAAAGvd/wk=")</f>
        <v>#REF!</v>
      </c>
      <c r="K15" t="e">
        <f>AND(#REF!,"AAAAAGvd/wo=")</f>
        <v>#REF!</v>
      </c>
      <c r="L15" t="e">
        <f>AND(#REF!,"AAAAAGvd/ws=")</f>
        <v>#REF!</v>
      </c>
      <c r="M15" t="e">
        <f>AND(#REF!,"AAAAAGvd/ww=")</f>
        <v>#REF!</v>
      </c>
      <c r="N15" t="e">
        <f>AND(#REF!,"AAAAAGvd/w0=")</f>
        <v>#REF!</v>
      </c>
      <c r="O15" t="e">
        <f>AND(#REF!,"AAAAAGvd/w4=")</f>
        <v>#REF!</v>
      </c>
    </row>
    <row r="16" spans="1:256" ht="14.25" x14ac:dyDescent="0.2">
      <c r="A16" t="e">
        <v>#VALUE!</v>
      </c>
      <c r="B16" t="e">
        <v>#VALUE!</v>
      </c>
      <c r="C16" t="e">
        <v>#VALUE!</v>
      </c>
      <c r="D16" t="e">
        <v>#VALUE!</v>
      </c>
      <c r="E16" t="e">
        <v>#VALUE!</v>
      </c>
      <c r="F16" t="e">
        <v>#VALUE!</v>
      </c>
      <c r="G16" t="e">
        <v>#VALUE!</v>
      </c>
      <c r="H16" t="e">
        <v>#VALUE!</v>
      </c>
      <c r="I16" t="e">
        <v>#VALUE!</v>
      </c>
      <c r="J16" t="e">
        <v>#VALUE!</v>
      </c>
      <c r="K16" t="e">
        <v>#VALUE!</v>
      </c>
      <c r="L16" t="e">
        <v>#VALUE!</v>
      </c>
      <c r="M16" t="e">
        <v>#VALUE!</v>
      </c>
      <c r="N16" t="e">
        <v>#VALUE!</v>
      </c>
      <c r="O16" t="e">
        <v>#VALUE!</v>
      </c>
      <c r="P16" t="e">
        <v>#VALUE!</v>
      </c>
      <c r="Q16" t="e">
        <v>#VALUE!</v>
      </c>
      <c r="R16" t="e">
        <v>#VALUE!</v>
      </c>
      <c r="S16" t="e">
        <v>#VALUE!</v>
      </c>
      <c r="T16" t="e">
        <v>#VALUE!</v>
      </c>
      <c r="U16" t="e">
        <v>#VALUE!</v>
      </c>
      <c r="V16" t="e">
        <v>#VALUE!</v>
      </c>
      <c r="W16" t="e">
        <v>#VALUE!</v>
      </c>
      <c r="X16" t="e">
        <v>#VALUE!</v>
      </c>
      <c r="Y16" t="e">
        <v>#VALUE!</v>
      </c>
      <c r="Z16" t="e">
        <v>#VALUE!</v>
      </c>
      <c r="AA16" t="e">
        <v>#VALUE!</v>
      </c>
      <c r="AB16" t="e">
        <v>#VALUE!</v>
      </c>
      <c r="AC16" t="e">
        <v>#VALUE!</v>
      </c>
      <c r="AD16" t="e">
        <v>#VALUE!</v>
      </c>
      <c r="AE16" t="e">
        <v>#VALUE!</v>
      </c>
      <c r="AF16" t="e">
        <v>#VALUE!</v>
      </c>
      <c r="AG16" t="e">
        <v>#VALUE!</v>
      </c>
      <c r="AH16" t="e">
        <v>#VALUE!</v>
      </c>
      <c r="AI16" t="e">
        <v>#VALUE!</v>
      </c>
      <c r="AJ16" t="e">
        <v>#VALUE!</v>
      </c>
      <c r="AK16" t="e">
        <v>#VALUE!</v>
      </c>
      <c r="AL16" t="e">
        <v>#VALUE!</v>
      </c>
      <c r="AM16" t="e">
        <v>#VALUE!</v>
      </c>
      <c r="AN16" t="e">
        <v>#VALUE!</v>
      </c>
      <c r="AO16" t="e">
        <v>#VALUE!</v>
      </c>
      <c r="AP16" t="e">
        <v>#VALUE!</v>
      </c>
      <c r="AQ16" t="e">
        <v>#VALUE!</v>
      </c>
      <c r="AR16" t="e">
        <v>#VALUE!</v>
      </c>
      <c r="AS16" t="e">
        <v>#VALUE!</v>
      </c>
      <c r="AT16" t="e">
        <v>#VALUE!</v>
      </c>
      <c r="AU16" t="e">
        <v>#VALUE!</v>
      </c>
      <c r="AV16" t="e">
        <v>#VALUE!</v>
      </c>
      <c r="AW16" t="e">
        <v>#VALUE!</v>
      </c>
      <c r="AX16" t="e">
        <v>#VALUE!</v>
      </c>
      <c r="AY16" t="e">
        <v>#VALUE!</v>
      </c>
      <c r="AZ16" t="e">
        <v>#VALUE!</v>
      </c>
      <c r="BA16" t="e">
        <v>#VALUE!</v>
      </c>
      <c r="BB16" t="e">
        <v>#VALUE!</v>
      </c>
      <c r="BC16" t="e">
        <v>#VALUE!</v>
      </c>
      <c r="BD16" t="e">
        <v>#VALUE!</v>
      </c>
      <c r="BE16" t="e">
        <v>#VALUE!</v>
      </c>
      <c r="BF16" t="e">
        <v>#VALUE!</v>
      </c>
      <c r="BG16" t="e">
        <v>#VALUE!</v>
      </c>
      <c r="BH16" t="e">
        <v>#VALUE!</v>
      </c>
      <c r="BI16" t="e">
        <v>#VALUE!</v>
      </c>
      <c r="BJ16" t="e">
        <v>#VALUE!</v>
      </c>
      <c r="BK16" t="e">
        <v>#VALUE!</v>
      </c>
      <c r="BL16" t="e">
        <v>#VALUE!</v>
      </c>
      <c r="BM16" t="e">
        <v>#VALUE!</v>
      </c>
      <c r="BN16" t="e">
        <v>#VALUE!</v>
      </c>
      <c r="BO16" t="e">
        <v>#VALUE!</v>
      </c>
      <c r="BP16" t="e">
        <v>#VALUE!</v>
      </c>
      <c r="BQ16" t="e">
        <v>#VALUE!</v>
      </c>
      <c r="BR16" t="e">
        <v>#VALUE!</v>
      </c>
      <c r="BS16" t="e">
        <v>#VALUE!</v>
      </c>
      <c r="BT16" t="e">
        <v>#VALUE!</v>
      </c>
      <c r="BU16" t="e">
        <v>#VALUE!</v>
      </c>
      <c r="BV16" t="e">
        <v>#VALUE!</v>
      </c>
      <c r="BW16" t="e">
        <v>#VALUE!</v>
      </c>
      <c r="BX16" t="e">
        <v>#VALUE!</v>
      </c>
      <c r="BY16" t="e">
        <v>#VALUE!</v>
      </c>
      <c r="BZ16" t="e">
        <v>#VALUE!</v>
      </c>
      <c r="CA16" t="e">
        <v>#VALUE!</v>
      </c>
      <c r="CB16" t="e">
        <v>#VALUE!</v>
      </c>
      <c r="CC16" t="e">
        <v>#VALUE!</v>
      </c>
      <c r="CD16" t="e">
        <v>#VALUE!</v>
      </c>
      <c r="CE16" t="e">
        <v>#VALUE!</v>
      </c>
      <c r="CF16" t="e">
        <v>#VALUE!</v>
      </c>
      <c r="CG16" t="e">
        <v>#VALUE!</v>
      </c>
      <c r="CH16" t="e">
        <v>#VALUE!</v>
      </c>
      <c r="CI16" t="e">
        <v>#VALUE!</v>
      </c>
      <c r="CJ16" t="e">
        <v>#VALUE!</v>
      </c>
      <c r="CK16" t="e">
        <v>#VALUE!</v>
      </c>
      <c r="CL16" t="e">
        <v>#VALUE!</v>
      </c>
      <c r="CM16" t="e">
        <v>#VALUE!</v>
      </c>
      <c r="CN16" t="e">
        <v>#VALUE!</v>
      </c>
      <c r="CO16" t="e">
        <v>#VALUE!</v>
      </c>
      <c r="CP16" t="e">
        <v>#VALUE!</v>
      </c>
      <c r="CQ16" t="e">
        <v>#VALUE!</v>
      </c>
      <c r="CR16" t="e">
        <v>#VALUE!</v>
      </c>
      <c r="CS16" t="e">
        <v>#VALUE!</v>
      </c>
      <c r="CT16" t="e">
        <v>#VALUE!</v>
      </c>
      <c r="CU16" t="e">
        <v>#VALUE!</v>
      </c>
      <c r="CV16" t="e">
        <v>#VALUE!</v>
      </c>
      <c r="CW16" t="e">
        <v>#VALUE!</v>
      </c>
      <c r="CX16" t="e">
        <v>#VALUE!</v>
      </c>
      <c r="CY16" t="e">
        <v>#VALUE!</v>
      </c>
      <c r="CZ16" t="e">
        <v>#VALUE!</v>
      </c>
      <c r="DA16" t="e">
        <v>#VALUE!</v>
      </c>
      <c r="DB16" t="e">
        <v>#VALUE!</v>
      </c>
      <c r="DC16" t="e">
        <v>#VALUE!</v>
      </c>
      <c r="DD16" t="e">
        <v>#VALUE!</v>
      </c>
      <c r="DE16" t="e">
        <v>#VALUE!</v>
      </c>
      <c r="DF16" t="e">
        <v>#VALUE!</v>
      </c>
      <c r="DG16" t="e">
        <v>#VALUE!</v>
      </c>
      <c r="DH16" t="e">
        <v>#VALUE!</v>
      </c>
      <c r="DI16" t="e">
        <v>#VALUE!</v>
      </c>
      <c r="DJ16" t="e">
        <v>#VALUE!</v>
      </c>
      <c r="DK16" t="e">
        <v>#VALUE!</v>
      </c>
      <c r="DL16" t="e">
        <v>#VALUE!</v>
      </c>
      <c r="DM16" t="e">
        <v>#VALUE!</v>
      </c>
      <c r="DN16" t="e">
        <f>AND(#REF!,"AAAAAGf9+wA=")</f>
        <v>#REF!</v>
      </c>
      <c r="DO16" t="e">
        <f>AND(#REF!,"AAAAAGf9+wE=")</f>
        <v>#REF!</v>
      </c>
      <c r="DP16" t="e">
        <f>AND(#REF!,"AAAAAGf9+wI=")</f>
        <v>#REF!</v>
      </c>
      <c r="DQ16" t="e">
        <f>AND(#REF!,"AAAAAGf9+wM=")</f>
        <v>#REF!</v>
      </c>
      <c r="DR16" t="e">
        <f>AND(#REF!,"AAAAAGf9+wk=")</f>
        <v>#REF!</v>
      </c>
      <c r="DS16" t="e">
        <f>AND(#REF!,"AAAAAGf9+w8=")</f>
        <v>#REF!</v>
      </c>
      <c r="DT16" t="e">
        <f>AND(#REF!,"AAAAAGf9+xU=")</f>
        <v>#REF!</v>
      </c>
      <c r="DU16" t="e">
        <f>AND(#REF!,"AAAAAGf9+xs=")</f>
        <v>#REF!</v>
      </c>
      <c r="DV16" t="e">
        <f>AND(#REF!,"AAAAAGf9+yE=")</f>
        <v>#REF!</v>
      </c>
      <c r="DW16" t="e">
        <f>AND(#REF!,"AAAAAGf9+yc=")</f>
        <v>#REF!</v>
      </c>
      <c r="DX16" t="e">
        <f>AND(#REF!,"AAAAAGf9+y0=")</f>
        <v>#REF!</v>
      </c>
      <c r="DY16" t="e">
        <f>AND(#REF!,"AAAAAGf9+wQ=")</f>
        <v>#REF!</v>
      </c>
      <c r="DZ16" t="e">
        <f>AND(#REF!,"AAAAAGf9+wo=")</f>
        <v>#REF!</v>
      </c>
      <c r="EA16" t="e">
        <f>AND(#REF!,"AAAAAGf9+xA=")</f>
        <v>#REF!</v>
      </c>
      <c r="EB16" t="e">
        <f>AND(#REF!,"AAAAAGf9+xY=")</f>
        <v>#REF!</v>
      </c>
      <c r="EC16" t="e">
        <f>AND(#REF!,"AAAAAGf9+xw=")</f>
        <v>#REF!</v>
      </c>
      <c r="ED16" t="e">
        <f>AND(#REF!,"AAAAAGf9+yI=")</f>
        <v>#REF!</v>
      </c>
      <c r="EE16" t="e">
        <f>AND(#REF!,"AAAAAGf9+yg=")</f>
        <v>#REF!</v>
      </c>
      <c r="EF16" t="e">
        <f>AND(#REF!,"AAAAAGf9+y4=")</f>
        <v>#REF!</v>
      </c>
      <c r="EG16" t="e">
        <f>AND(#REF!,"AAAAAGf9+wU=")</f>
        <v>#REF!</v>
      </c>
      <c r="EH16" t="e">
        <f>AND(#REF!,"AAAAAGf9+ws=")</f>
        <v>#REF!</v>
      </c>
      <c r="EI16" t="e">
        <f>AND(#REF!,"AAAAAGf9+xE=")</f>
        <v>#REF!</v>
      </c>
      <c r="EJ16" t="e">
        <f>AND(#REF!,"AAAAAGf9+xc=")</f>
        <v>#REF!</v>
      </c>
      <c r="EK16" t="e">
        <f>AND(#REF!,"AAAAAGf9+x0=")</f>
        <v>#REF!</v>
      </c>
      <c r="EL16" t="e">
        <f>AND(#REF!,"AAAAAGf9+yM=")</f>
        <v>#REF!</v>
      </c>
      <c r="EM16" t="e">
        <f>AND(#REF!,"AAAAAGf9+yk=")</f>
        <v>#REF!</v>
      </c>
      <c r="EN16" t="e">
        <f>AND(#REF!,"AAAAAGf9+y8=")</f>
        <v>#REF!</v>
      </c>
      <c r="EO16" t="e">
        <f>AND(#REF!,"AAAAAGf9+wY=")</f>
        <v>#REF!</v>
      </c>
      <c r="EP16" t="e">
        <f>AND(#REF!,"AAAAAGf9+ww=")</f>
        <v>#REF!</v>
      </c>
      <c r="EQ16" t="e">
        <f>AND(#REF!,"AAAAAGf9+xI=")</f>
        <v>#REF!</v>
      </c>
      <c r="ER16" t="e">
        <f>AND(#REF!,"AAAAAGf9+xg=")</f>
        <v>#REF!</v>
      </c>
      <c r="ES16" t="e">
        <f>AND(#REF!,"AAAAAGf9+x4=")</f>
        <v>#REF!</v>
      </c>
      <c r="ET16" t="e">
        <f>AND(#REF!,"AAAAAGf9+yQ=")</f>
        <v>#REF!</v>
      </c>
      <c r="EU16" t="e">
        <f>AND(#REF!,"AAAAAGf9+yo=")</f>
        <v>#REF!</v>
      </c>
      <c r="EV16" t="e">
        <f>AND(#REF!,"AAAAAGf9+zA=")</f>
        <v>#REF!</v>
      </c>
      <c r="EW16" t="e">
        <f>AND(#REF!,"AAAAAGf9+wc=")</f>
        <v>#REF!</v>
      </c>
      <c r="EX16" t="e">
        <f>AND(#REF!,"AAAAAGf9+w0=")</f>
        <v>#REF!</v>
      </c>
      <c r="EY16" t="e">
        <f>AND(#REF!,"AAAAAGf9+xM=")</f>
        <v>#REF!</v>
      </c>
      <c r="EZ16" t="e">
        <f>AND(#REF!,"AAAAAGf9+xk=")</f>
        <v>#REF!</v>
      </c>
      <c r="FA16" t="e">
        <f>AND(#REF!,"AAAAAGf9+x8=")</f>
        <v>#REF!</v>
      </c>
      <c r="FB16" t="e">
        <f>AND(#REF!,"AAAAAGf9+yU=")</f>
        <v>#REF!</v>
      </c>
      <c r="FC16" t="e">
        <f>AND(#REF!,"AAAAAGf9+ys=")</f>
        <v>#REF!</v>
      </c>
      <c r="FD16" t="e">
        <f>AND(#REF!,"AAAAAGf9+zE=")</f>
        <v>#REF!</v>
      </c>
      <c r="FE16" t="e">
        <f>AND(#REF!,"AAAAAGf9+wg=")</f>
        <v>#REF!</v>
      </c>
      <c r="FF16" t="e">
        <f>AND(#REF!,"AAAAAGf9+w4=")</f>
        <v>#REF!</v>
      </c>
      <c r="FG16" t="e">
        <f>AND(#REF!,"AAAAAGf9+xQ=")</f>
        <v>#REF!</v>
      </c>
      <c r="FH16" t="e">
        <f>AND(#REF!,"AAAAAGf9+xo=")</f>
        <v>#REF!</v>
      </c>
      <c r="FI16" t="e">
        <f>AND(#REF!,"AAAAAGf9+yA=")</f>
        <v>#REF!</v>
      </c>
      <c r="FJ16" t="e">
        <f>AND(#REF!,"AAAAAGf9+yY=")</f>
        <v>#REF!</v>
      </c>
      <c r="FK16" t="e">
        <f>AND(#REF!,"AAAAAGf9+yw=")</f>
        <v>#REF!</v>
      </c>
      <c r="FL16" t="e">
        <f>AND(#REF!,"AAAAAGf9+zI=")</f>
        <v>#REF!</v>
      </c>
    </row>
    <row r="17" spans="1:147" ht="14.25" x14ac:dyDescent="0.2">
      <c r="A17" t="e">
        <f>AND(#REF!,"AAAAAG7GcwA=")</f>
        <v>#REF!</v>
      </c>
      <c r="B17" t="e">
        <f>AND(#REF!,"AAAAAG7GcwE=")</f>
        <v>#REF!</v>
      </c>
      <c r="C17" t="e">
        <f>AND(#REF!,"AAAAAG7GcwI=")</f>
        <v>#REF!</v>
      </c>
      <c r="D17" t="e">
        <f>IF(#REF!,"AAAAAG7GcwM=",0)</f>
        <v>#REF!</v>
      </c>
      <c r="E17" t="e">
        <f>AND(#REF!,"AAAAAG7GcwQ=")</f>
        <v>#REF!</v>
      </c>
      <c r="F17" t="e">
        <f>AND(#REF!,"AAAAAG7GcwU=")</f>
        <v>#REF!</v>
      </c>
      <c r="G17" t="e">
        <f>AND(#REF!,"AAAAAG7GcwY=")</f>
        <v>#REF!</v>
      </c>
      <c r="H17" t="e">
        <f>AND(#REF!,"AAAAAG7Gcwc=")</f>
        <v>#REF!</v>
      </c>
      <c r="I17" t="e">
        <f>AND(#REF!,"AAAAAG7Gcwg=")</f>
        <v>#REF!</v>
      </c>
      <c r="J17" t="e">
        <f>AND(#REF!,"AAAAAG7Gcwk=")</f>
        <v>#REF!</v>
      </c>
      <c r="K17" t="e">
        <f>AND(#REF!,"AAAAAG7Gcwo=")</f>
        <v>#REF!</v>
      </c>
      <c r="L17" t="e">
        <f>AND(#REF!,"AAAAAG7Gcws=")</f>
        <v>#REF!</v>
      </c>
      <c r="M17" t="e">
        <f>IF(#REF!,"AAAAAG7Gcww=",0)</f>
        <v>#REF!</v>
      </c>
      <c r="N17" t="e">
        <f>AND(#REF!,"AAAAAG7Gcw0=")</f>
        <v>#REF!</v>
      </c>
      <c r="O17" t="e">
        <f>AND(#REF!,"AAAAAG7Gcw4=")</f>
        <v>#REF!</v>
      </c>
      <c r="P17" t="e">
        <f>AND(#REF!,"AAAAAG7Gcw8=")</f>
        <v>#REF!</v>
      </c>
      <c r="Q17" t="e">
        <f>AND(#REF!,"AAAAAG7GcxA=")</f>
        <v>#REF!</v>
      </c>
      <c r="R17" t="e">
        <f>AND(#REF!,"AAAAAG7GcxE=")</f>
        <v>#REF!</v>
      </c>
      <c r="S17" t="e">
        <f>AND(#REF!,"AAAAAG7GcxI=")</f>
        <v>#REF!</v>
      </c>
      <c r="T17" t="e">
        <f>AND(#REF!,"AAAAAG7GcxM=")</f>
        <v>#REF!</v>
      </c>
      <c r="U17" t="e">
        <f>AND(#REF!,"AAAAAG7GcxQ=")</f>
        <v>#REF!</v>
      </c>
      <c r="V17" t="e">
        <f>IF(#REF!,"AAAAAG7GcxU=",0)</f>
        <v>#REF!</v>
      </c>
      <c r="W17" t="e">
        <f>AND(#REF!,"AAAAAG7GcxY=")</f>
        <v>#REF!</v>
      </c>
      <c r="X17" t="e">
        <f>AND(#REF!,"AAAAAG7Gcxc=")</f>
        <v>#REF!</v>
      </c>
      <c r="Y17" t="e">
        <f>AND(#REF!,"AAAAAG7Gcxg=")</f>
        <v>#REF!</v>
      </c>
      <c r="Z17" t="e">
        <f>AND(#REF!,"AAAAAG7Gcxk=")</f>
        <v>#REF!</v>
      </c>
      <c r="AA17" t="e">
        <f>AND(#REF!,"AAAAAG7Gcxo=")</f>
        <v>#REF!</v>
      </c>
      <c r="AB17" t="e">
        <f>AND(#REF!,"AAAAAG7Gcxs=")</f>
        <v>#REF!</v>
      </c>
      <c r="AC17" t="e">
        <f>AND(#REF!,"AAAAAG7Gcxw=")</f>
        <v>#REF!</v>
      </c>
      <c r="AD17" t="e">
        <f>AND(#REF!,"AAAAAG7Gcx0=")</f>
        <v>#REF!</v>
      </c>
      <c r="AE17" t="e">
        <f>IF(#REF!,"AAAAAG7Gcx4=",0)</f>
        <v>#REF!</v>
      </c>
      <c r="AF17" t="e">
        <f>AND(#REF!,"AAAAAG7Gcx8=")</f>
        <v>#REF!</v>
      </c>
      <c r="AG17" t="e">
        <f>AND(#REF!,"AAAAAG7GcyA=")</f>
        <v>#REF!</v>
      </c>
      <c r="AH17" t="e">
        <f>AND(#REF!,"AAAAAG7GcyE=")</f>
        <v>#REF!</v>
      </c>
      <c r="AI17" t="e">
        <f>AND(#REF!,"AAAAAG7GcyI=")</f>
        <v>#REF!</v>
      </c>
      <c r="AJ17" t="e">
        <f>AND(#REF!,"AAAAAG7GcyM=")</f>
        <v>#REF!</v>
      </c>
      <c r="AK17" t="e">
        <f>AND(#REF!,"AAAAAG7GcyQ=")</f>
        <v>#REF!</v>
      </c>
      <c r="AL17" t="e">
        <f>AND(#REF!,"AAAAAG7GcyU=")</f>
        <v>#REF!</v>
      </c>
      <c r="AM17" t="e">
        <f>AND(#REF!,"AAAAAG7GcyY=")</f>
        <v>#REF!</v>
      </c>
      <c r="AN17" t="e">
        <f>IF(#REF!,"AAAAAG7Gcyc=",0)</f>
        <v>#REF!</v>
      </c>
      <c r="AO17" t="e">
        <f>AND(#REF!,"AAAAAG7Gcyg=")</f>
        <v>#REF!</v>
      </c>
      <c r="AP17" t="e">
        <f>AND(#REF!,"AAAAAG7Gcyk=")</f>
        <v>#REF!</v>
      </c>
      <c r="AQ17" t="e">
        <f>AND(#REF!,"AAAAAG7Gcyo=")</f>
        <v>#REF!</v>
      </c>
      <c r="AR17" t="e">
        <f>AND(#REF!,"AAAAAG7Gcys=")</f>
        <v>#REF!</v>
      </c>
      <c r="AS17" t="e">
        <f>AND(#REF!,"AAAAAG7Gcyw=")</f>
        <v>#REF!</v>
      </c>
      <c r="AT17" t="e">
        <f>AND(#REF!,"AAAAAG7Gcy0=")</f>
        <v>#REF!</v>
      </c>
      <c r="AU17" t="e">
        <f>AND(#REF!,"AAAAAG7Gcy4=")</f>
        <v>#REF!</v>
      </c>
      <c r="AV17" t="e">
        <f>AND(#REF!,"AAAAAG7Gcy8=")</f>
        <v>#REF!</v>
      </c>
      <c r="AW17" t="e">
        <f>IF(#REF!,"AAAAAG7GczA=",0)</f>
        <v>#REF!</v>
      </c>
      <c r="AX17" t="e">
        <f>AND(#REF!,"AAAAAG7GczE=")</f>
        <v>#REF!</v>
      </c>
      <c r="AY17" t="e">
        <f>AND(#REF!,"AAAAAG7GczI=")</f>
        <v>#REF!</v>
      </c>
      <c r="AZ17" t="e">
        <f>AND(#REF!,"AAAAAG7GczM=")</f>
        <v>#REF!</v>
      </c>
      <c r="BA17" t="e">
        <f>AND(#REF!,"AAAAAG7GczQ=")</f>
        <v>#REF!</v>
      </c>
      <c r="BB17" t="e">
        <f>AND(#REF!,"AAAAAG7GczU=")</f>
        <v>#REF!</v>
      </c>
      <c r="BC17" t="e">
        <f>AND(#REF!,"AAAAAG7GczY=")</f>
        <v>#REF!</v>
      </c>
      <c r="BD17" t="e">
        <f>AND(#REF!,"AAAAAG7Gczc=")</f>
        <v>#REF!</v>
      </c>
      <c r="BE17" t="e">
        <f>AND(#REF!,"AAAAAG7Gczg=")</f>
        <v>#REF!</v>
      </c>
      <c r="BF17" t="e">
        <f>IF(#REF!,"AAAAAG7Gczk=",0)</f>
        <v>#REF!</v>
      </c>
      <c r="BG17" t="e">
        <f>AND(#REF!,"AAAAAG7Gczo=")</f>
        <v>#REF!</v>
      </c>
      <c r="BH17" t="e">
        <f>AND(#REF!,"AAAAAG7Gczs=")</f>
        <v>#REF!</v>
      </c>
      <c r="BI17" t="e">
        <f>AND(#REF!,"AAAAAG7Gczw=")</f>
        <v>#REF!</v>
      </c>
      <c r="BJ17" t="e">
        <f>AND(#REF!,"AAAAAG7Gcz0=")</f>
        <v>#REF!</v>
      </c>
      <c r="BK17" t="e">
        <f>AND(#REF!,"AAAAAG7Gcz4=")</f>
        <v>#REF!</v>
      </c>
      <c r="BL17" t="e">
        <f>AND(#REF!,"AAAAAG7Gcz8=")</f>
        <v>#REF!</v>
      </c>
      <c r="BM17" t="e">
        <f>AND(#REF!,"AAAAAG7Gc0A=")</f>
        <v>#REF!</v>
      </c>
      <c r="BN17" t="e">
        <f>AND(#REF!,"AAAAAG7Gc0E=")</f>
        <v>#REF!</v>
      </c>
      <c r="BO17" t="e">
        <f>IF(#REF!,"AAAAAG7Gc0I=",0)</f>
        <v>#REF!</v>
      </c>
      <c r="BP17" t="e">
        <f>AND(#REF!,"AAAAAG7Gc0M=")</f>
        <v>#REF!</v>
      </c>
      <c r="BQ17" t="e">
        <f>AND(#REF!,"AAAAAG7Gc0Q=")</f>
        <v>#REF!</v>
      </c>
      <c r="BR17" t="e">
        <f>AND(#REF!,"AAAAAG7Gc0U=")</f>
        <v>#REF!</v>
      </c>
      <c r="BS17" t="e">
        <f>AND(#REF!,"AAAAAG7Gc0Y=")</f>
        <v>#REF!</v>
      </c>
      <c r="BT17" t="e">
        <f>AND(#REF!,"AAAAAG7Gc0c=")</f>
        <v>#REF!</v>
      </c>
      <c r="BU17" t="e">
        <f>AND(#REF!,"AAAAAG7Gc0g=")</f>
        <v>#REF!</v>
      </c>
      <c r="BV17" t="e">
        <f>AND(#REF!,"AAAAAG7Gc0k=")</f>
        <v>#REF!</v>
      </c>
      <c r="BW17" t="e">
        <f>AND(#REF!,"AAAAAG7Gc0o=")</f>
        <v>#REF!</v>
      </c>
      <c r="BX17" t="e">
        <f>IF(#REF!,"AAAAAG7Gc0s=",0)</f>
        <v>#REF!</v>
      </c>
      <c r="BY17" t="e">
        <f>IF(#REF!,"AAAAAG7Gc0w=",0)</f>
        <v>#REF!</v>
      </c>
      <c r="BZ17" t="e">
        <f>IF(#REF!,"AAAAAG7Gc00=",0)</f>
        <v>#REF!</v>
      </c>
      <c r="CA17" t="e">
        <f>AND(#REF!,"AAAAAG7Gc04=")</f>
        <v>#REF!</v>
      </c>
      <c r="CB17" t="e">
        <f>IF(#REF!,"AAAAAG7Gc08=",0)</f>
        <v>#REF!</v>
      </c>
      <c r="CC17" t="e">
        <f>AND(#REF!,"AAAAAG7Gc1A=")</f>
        <v>#REF!</v>
      </c>
      <c r="CD17" t="e">
        <f>IF(#REF!,"AAAAAG7Gc1E=",0)</f>
        <v>#REF!</v>
      </c>
      <c r="CE17" t="e">
        <f>AND(#REF!,"AAAAAG7Gc1I=")</f>
        <v>#REF!</v>
      </c>
      <c r="CF17" t="e">
        <f>IF(#REF!,"AAAAAG7Gc1M=",0)</f>
        <v>#REF!</v>
      </c>
      <c r="CG17" t="e">
        <f>AND(#REF!,"AAAAAG7Gc1Q=")</f>
        <v>#REF!</v>
      </c>
      <c r="CH17" t="e">
        <f>IF(#REF!,"AAAAAG7Gc1U=",0)</f>
        <v>#REF!</v>
      </c>
      <c r="CI17" t="e">
        <f>AND(#REF!,"AAAAAG7Gc1Y=")</f>
        <v>#REF!</v>
      </c>
      <c r="CJ17" t="e">
        <f>IF(#REF!,"AAAAAG7Gc1c=",0)</f>
        <v>#REF!</v>
      </c>
      <c r="CK17" t="e">
        <f>AND(#REF!,"AAAAAG7Gc1g=")</f>
        <v>#REF!</v>
      </c>
      <c r="CL17" t="e">
        <f>IF(#REF!,"AAAAAG7Gc1k=",0)</f>
        <v>#REF!</v>
      </c>
      <c r="CM17" t="e">
        <f>AND(#REF!,"AAAAAG7Gc1o=")</f>
        <v>#REF!</v>
      </c>
      <c r="CN17" t="e">
        <f>IF(#REF!,"AAAAAG7Gc1s=",0)</f>
        <v>#REF!</v>
      </c>
      <c r="CO17" t="e">
        <f>AND(#REF!,"AAAAAG7Gc1w=")</f>
        <v>#REF!</v>
      </c>
      <c r="CP17" t="e">
        <f>IF(#REF!,"AAAAAG7Gc10=",0)</f>
        <v>#REF!</v>
      </c>
      <c r="CQ17" t="e">
        <f>AND(#REF!,"AAAAAG7Gc14=")</f>
        <v>#REF!</v>
      </c>
      <c r="CR17" t="e">
        <f>IF(#REF!,"AAAAAG7Gc18=",0)</f>
        <v>#REF!</v>
      </c>
      <c r="CS17" t="e">
        <f>AND(#REF!,"AAAAAG7Gc2A=")</f>
        <v>#REF!</v>
      </c>
      <c r="CT17" t="e">
        <f>IF(#REF!,"AAAAAG7Gc2E=",0)</f>
        <v>#REF!</v>
      </c>
      <c r="CU17" t="e">
        <f>AND(#REF!,"AAAAAG7Gc2I=")</f>
        <v>#REF!</v>
      </c>
      <c r="CV17" t="e">
        <f>IF(#REF!,"AAAAAG7Gc2M=",0)</f>
        <v>#REF!</v>
      </c>
      <c r="CW17" t="e">
        <f>AND(#REF!,"AAAAAG7Gc2Q=")</f>
        <v>#REF!</v>
      </c>
      <c r="CX17" t="e">
        <f>IF(#REF!,"AAAAAG7Gc2U=",0)</f>
        <v>#REF!</v>
      </c>
      <c r="CY17" t="e">
        <f>AND(#REF!,"AAAAAG7Gc2Y=")</f>
        <v>#REF!</v>
      </c>
      <c r="CZ17" t="e">
        <f>IF(#REF!,"AAAAAG7Gc2c=",0)</f>
        <v>#REF!</v>
      </c>
      <c r="DA17" t="e">
        <f>AND(#REF!,"AAAAAG7Gc2g=")</f>
        <v>#REF!</v>
      </c>
      <c r="DB17" t="e">
        <f>IF(#REF!,"AAAAAG7Gc2k=",0)</f>
        <v>#REF!</v>
      </c>
      <c r="DC17" t="e">
        <f>AND(#REF!,"AAAAAG7Gc2o=")</f>
        <v>#REF!</v>
      </c>
      <c r="DD17" t="e">
        <f>IF(#REF!,"AAAAAG7Gc2s=",0)</f>
        <v>#REF!</v>
      </c>
      <c r="DE17" t="e">
        <f>AND(#REF!,"AAAAAG7Gc2w=")</f>
        <v>#REF!</v>
      </c>
      <c r="DF17" t="e">
        <f>IF(#REF!,"AAAAAG7Gc20=",0)</f>
        <v>#REF!</v>
      </c>
      <c r="DG17" t="e">
        <f>AND(#REF!,"AAAAAG7Gc24=")</f>
        <v>#REF!</v>
      </c>
      <c r="DH17" t="e">
        <f>IF(#REF!,"AAAAAG7Gc28=",0)</f>
        <v>#REF!</v>
      </c>
      <c r="DI17" t="e">
        <f>AND(#REF!,"AAAAAG7Gc3A=")</f>
        <v>#REF!</v>
      </c>
      <c r="DJ17" t="e">
        <f>IF(#REF!,"AAAAAG7Gc3E=",0)</f>
        <v>#REF!</v>
      </c>
      <c r="DK17" t="e">
        <f>AND(#REF!,"AAAAAG7Gc3I=")</f>
        <v>#REF!</v>
      </c>
      <c r="DL17" t="e">
        <f>IF(#REF!,"AAAAAG7Gc3M=",0)</f>
        <v>#REF!</v>
      </c>
      <c r="DM17" t="e">
        <f>AND(#REF!,"AAAAAG7Gc3Q=")</f>
        <v>#REF!</v>
      </c>
      <c r="DN17" t="e">
        <f>IF(#REF!,"AAAAAG7Gc3U=",0)</f>
        <v>#REF!</v>
      </c>
      <c r="DO17" t="e">
        <f>AND(#REF!,"AAAAAG7Gc3Y=")</f>
        <v>#REF!</v>
      </c>
      <c r="DP17" t="e">
        <f>IF(#REF!,"AAAAAG7Gc3c=",0)</f>
        <v>#REF!</v>
      </c>
      <c r="DQ17" t="e">
        <f>AND(#REF!,"AAAAAG7Gc3g=")</f>
        <v>#REF!</v>
      </c>
      <c r="DR17" t="e">
        <f>IF(#REF!,"AAAAAG7Gc3k=",0)</f>
        <v>#REF!</v>
      </c>
      <c r="DS17" t="e">
        <f>AND(#REF!,"AAAAAG7Gc3o=")</f>
        <v>#REF!</v>
      </c>
      <c r="DT17" t="e">
        <f>IF(#REF!,"AAAAAG7Gc3s=",0)</f>
        <v>#REF!</v>
      </c>
      <c r="DU17" t="e">
        <f>AND(#REF!,"AAAAAG7Gc3w=")</f>
        <v>#REF!</v>
      </c>
      <c r="DV17">
        <f>IF('Iter4-Final'!3:3,"AAAAAG7Gc30=",0)</f>
        <v>0</v>
      </c>
      <c r="DW17" t="e">
        <f>AND('Iter4-Final'!A3,"AAAAAG7Gc34=")</f>
        <v>#VALUE!</v>
      </c>
      <c r="DX17">
        <f>IF('Iter4-Final'!4:4,"AAAAAG7Gc38=",0)</f>
        <v>0</v>
      </c>
      <c r="DY17" t="e">
        <f>AND('Iter4-Final'!A4,"AAAAAG7Gc4A=")</f>
        <v>#VALUE!</v>
      </c>
      <c r="DZ17">
        <f>IF('Iter4-Final'!5:5,"AAAAAG7Gc4E=",0)</f>
        <v>0</v>
      </c>
      <c r="EA17" t="e">
        <f>AND('Iter4-Final'!A5,"AAAAAG7Gc4I=")</f>
        <v>#VALUE!</v>
      </c>
      <c r="EB17">
        <f>IF('Iter4-Final'!6:6,"AAAAAG7Gc4M=",0)</f>
        <v>0</v>
      </c>
      <c r="EC17" t="e">
        <f>AND('Iter4-Final'!A6,"AAAAAG7Gc4Q=")</f>
        <v>#VALUE!</v>
      </c>
      <c r="ED17">
        <f>IF('Iter4-Final'!7:7,"AAAAAG7Gc4U=",0)</f>
        <v>0</v>
      </c>
      <c r="EE17" t="e">
        <f>AND('Iter4-Final'!A7,"AAAAAG7Gc4Y=")</f>
        <v>#VALUE!</v>
      </c>
      <c r="EF17">
        <f>IF('Iter4-Final'!8:8,"AAAAAG7Gc4c=",0)</f>
        <v>0</v>
      </c>
      <c r="EG17" t="e">
        <f>AND('Iter4-Final'!A8,"AAAAAG7Gc4g=")</f>
        <v>#VALUE!</v>
      </c>
      <c r="EH17">
        <f>IF('Iter4-Final'!9:9,"AAAAAG7Gc4k=",0)</f>
        <v>0</v>
      </c>
      <c r="EI17" t="e">
        <f>AND('Iter4-Final'!A9,"AAAAAG7Gc4o=")</f>
        <v>#VALUE!</v>
      </c>
    </row>
    <row r="18" spans="1:147" ht="14.25" x14ac:dyDescent="0.2">
      <c r="A18" t="e">
        <f>AND(#REF!,"AAAAAHVXfwA=")</f>
        <v>#REF!</v>
      </c>
      <c r="B18" t="e">
        <f>AND(#REF!,"AAAAAHVXfwE=")</f>
        <v>#REF!</v>
      </c>
      <c r="C18" t="e">
        <f>AND(#REF!,"AAAAAHVXfwI=")</f>
        <v>#REF!</v>
      </c>
      <c r="D18" t="e">
        <f>AND(#REF!,"AAAAAHVXfwM=")</f>
        <v>#REF!</v>
      </c>
      <c r="E18" t="e">
        <f>AND(#REF!,"AAAAAHVXfwQ=")</f>
        <v>#REF!</v>
      </c>
      <c r="F18" t="e">
        <f>AND(#REF!,"AAAAAHVXfwU=")</f>
        <v>#REF!</v>
      </c>
      <c r="G18" t="e">
        <f>AND(#REF!,"AAAAAHVXfwY=")</f>
        <v>#REF!</v>
      </c>
      <c r="H18" t="e">
        <f>AND(#REF!,"AAAAAHVXfwc=")</f>
        <v>#REF!</v>
      </c>
      <c r="I18" t="e">
        <f>AND(#REF!,"AAAAAHVXfwg=")</f>
        <v>#REF!</v>
      </c>
      <c r="J18" t="e">
        <f>AND(#REF!,"AAAAAHVXfwk=")</f>
        <v>#REF!</v>
      </c>
      <c r="K18" t="e">
        <f>AND(#REF!,"AAAAAHVXfwo=")</f>
        <v>#REF!</v>
      </c>
      <c r="L18" t="e">
        <f>AND(#REF!,"AAAAAHVXfws=")</f>
        <v>#REF!</v>
      </c>
      <c r="M18" t="e">
        <f>AND(#REF!,"AAAAAHVXfww=")</f>
        <v>#REF!</v>
      </c>
      <c r="N18" t="e">
        <f>AND(#REF!,"AAAAAHVXfw0=")</f>
        <v>#REF!</v>
      </c>
      <c r="O18" t="e">
        <f>AND(#REF!,"AAAAAHVXfw4=")</f>
        <v>#REF!</v>
      </c>
      <c r="P18" t="e">
        <f>AND(#REF!,"AAAAAHVXfw8=")</f>
        <v>#REF!</v>
      </c>
      <c r="Q18" t="e">
        <f>AND(#REF!,"AAAAAHVXfxA=")</f>
        <v>#REF!</v>
      </c>
      <c r="R18" t="e">
        <f>AND(#REF!,"AAAAAHVXfxE=")</f>
        <v>#REF!</v>
      </c>
    </row>
    <row r="19" spans="1:147" ht="14.25" x14ac:dyDescent="0.2">
      <c r="A19" t="e">
        <f>AND(#REF!,"AAAAAB5v7gA=")</f>
        <v>#REF!</v>
      </c>
      <c r="B19" t="e">
        <f>AND(#REF!,"AAAAAB5v7gE=")</f>
        <v>#REF!</v>
      </c>
      <c r="C19" t="e">
        <f>AND(#REF!,"AAAAAB5v7gI=")</f>
        <v>#REF!</v>
      </c>
      <c r="D19" t="e">
        <f>AND(#REF!,"AAAAAB5v7gM=")</f>
        <v>#REF!</v>
      </c>
      <c r="E19" t="e">
        <f>AND(#REF!,"AAAAAB5v7gQ=")</f>
        <v>#REF!</v>
      </c>
      <c r="F19" t="e">
        <f>AND(#REF!,"AAAAAB5v7gU=")</f>
        <v>#REF!</v>
      </c>
      <c r="G19" t="e">
        <f>AND(#REF!,"AAAAAB5v7gY=")</f>
        <v>#REF!</v>
      </c>
      <c r="H19" t="e">
        <f>AND(#REF!,"AAAAAB5v7gc=")</f>
        <v>#REF!</v>
      </c>
      <c r="I19" t="e">
        <f>AND(#REF!,"AAAAAB5v7gg=")</f>
        <v>#REF!</v>
      </c>
      <c r="J19" t="e">
        <f>AND(#REF!,"AAAAAB5v7gk=")</f>
        <v>#REF!</v>
      </c>
      <c r="K19" t="e">
        <f>AND(#REF!,"AAAAAB5v7go=")</f>
        <v>#REF!</v>
      </c>
      <c r="L19" t="e">
        <f>AND(#REF!,"AAAAAB5v7gs=")</f>
        <v>#REF!</v>
      </c>
      <c r="M19" t="e">
        <f>AND(#REF!,"AAAAAB5v7gw=")</f>
        <v>#REF!</v>
      </c>
      <c r="N19" t="e">
        <f>AND(#REF!,"AAAAAB5v7g0=")</f>
        <v>#REF!</v>
      </c>
      <c r="O19" t="e">
        <f>AND(#REF!,"AAAAAB5v7g4=")</f>
        <v>#REF!</v>
      </c>
      <c r="P19" t="e">
        <f>AND(#REF!,"AAAAAB5v7g8=")</f>
        <v>#REF!</v>
      </c>
      <c r="Q19" t="e">
        <f>AND(#REF!,"AAAAAB5v7hA=")</f>
        <v>#REF!</v>
      </c>
      <c r="R19" t="e">
        <f>AND(#REF!,"AAAAAB5v7hE=")</f>
        <v>#REF!</v>
      </c>
      <c r="S19" t="e">
        <f>AND(#REF!,"AAAAAB5v7hI=")</f>
        <v>#REF!</v>
      </c>
      <c r="T19" t="e">
        <f>AND(#REF!,"AAAAAB5v7hM=")</f>
        <v>#REF!</v>
      </c>
      <c r="U19" t="e">
        <f>AND(#REF!,"AAAAAB5v7hQ=")</f>
        <v>#REF!</v>
      </c>
      <c r="V19" t="e">
        <f>AND(#REF!,"AAAAAB5v7hU=")</f>
        <v>#REF!</v>
      </c>
      <c r="W19" t="e">
        <f>AND(#REF!,"AAAAAB5v7hY=")</f>
        <v>#REF!</v>
      </c>
      <c r="X19" t="e">
        <f>AND(#REF!,"AAAAAB5v7hc=")</f>
        <v>#REF!</v>
      </c>
      <c r="Y19" t="e">
        <f>AND(#REF!,"AAAAAB5v7hg=")</f>
        <v>#REF!</v>
      </c>
    </row>
    <row r="20" spans="1:147" ht="14.25" x14ac:dyDescent="0.2">
      <c r="A20" t="e">
        <f>AND(#REF!,"AAAAAHGzfwA=")</f>
        <v>#REF!</v>
      </c>
      <c r="B20" t="e">
        <f>AND(#REF!,"AAAAAHGzfwE=")</f>
        <v>#REF!</v>
      </c>
      <c r="C20" t="e">
        <f>AND(#REF!,"AAAAAHGzfwI=")</f>
        <v>#REF!</v>
      </c>
      <c r="D20" t="e">
        <f>AND(#REF!,"AAAAAHGzfwM=")</f>
        <v>#REF!</v>
      </c>
      <c r="E20" t="e">
        <v>#VALUE!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 t="e">
        <v>#VALUE!</v>
      </c>
      <c r="L20" t="e">
        <v>#VALUE!</v>
      </c>
      <c r="M20" t="e">
        <v>#VALUE!</v>
      </c>
      <c r="N20" t="e">
        <v>#VALUE!</v>
      </c>
      <c r="O20" t="e">
        <v>#VALUE!</v>
      </c>
      <c r="P20" t="e">
        <v>#VALUE!</v>
      </c>
      <c r="Q20" t="e">
        <v>#VALUE!</v>
      </c>
      <c r="R20" t="e">
        <v>#VALUE!</v>
      </c>
      <c r="S20" t="e">
        <v>#VALUE!</v>
      </c>
      <c r="T20" t="e">
        <v>#VALUE!</v>
      </c>
      <c r="U20" t="e">
        <v>#VALUE!</v>
      </c>
      <c r="V20" t="e">
        <v>#VALUE!</v>
      </c>
      <c r="W20" t="e">
        <v>#VALUE!</v>
      </c>
      <c r="X20" t="e">
        <v>#VALUE!</v>
      </c>
      <c r="Y20" t="e">
        <v>#VALUE!</v>
      </c>
      <c r="Z20" t="e">
        <v>#VALUE!</v>
      </c>
      <c r="AA20" t="e">
        <v>#VALUE!</v>
      </c>
      <c r="AB20" t="e">
        <v>#VALUE!</v>
      </c>
      <c r="AC20" t="e">
        <v>#VALUE!</v>
      </c>
      <c r="AD20" t="e">
        <v>#VALUE!</v>
      </c>
      <c r="AE20" t="e">
        <v>#VALUE!</v>
      </c>
      <c r="AF20" t="e">
        <v>#VALUE!</v>
      </c>
      <c r="AG20" t="e">
        <v>#VALUE!</v>
      </c>
      <c r="AH20" t="e">
        <v>#VALUE!</v>
      </c>
      <c r="AI20" t="e">
        <v>#VALUE!</v>
      </c>
      <c r="AJ20" t="e">
        <v>#VALUE!</v>
      </c>
      <c r="AK20" t="e">
        <v>#VALUE!</v>
      </c>
      <c r="AL20" t="e">
        <v>#VALUE!</v>
      </c>
      <c r="AM20" t="e">
        <v>#VALUE!</v>
      </c>
      <c r="AN20" t="e">
        <v>#VALUE!</v>
      </c>
      <c r="AO20" t="e">
        <v>#VALUE!</v>
      </c>
      <c r="AP20" t="e">
        <v>#VALUE!</v>
      </c>
      <c r="AQ20" t="e">
        <v>#VALUE!</v>
      </c>
      <c r="AR20" t="e">
        <v>#VALUE!</v>
      </c>
      <c r="AS20" t="e">
        <v>#VALUE!</v>
      </c>
      <c r="AT20" t="e">
        <v>#VALUE!</v>
      </c>
      <c r="AU20" t="e">
        <v>#VALUE!</v>
      </c>
      <c r="AV20" t="e">
        <v>#VALUE!</v>
      </c>
      <c r="AW20" t="e">
        <v>#VALUE!</v>
      </c>
      <c r="AX20" t="e">
        <v>#VALUE!</v>
      </c>
      <c r="AY20" t="e">
        <v>#VALUE!</v>
      </c>
      <c r="AZ20" t="e">
        <v>#VALUE!</v>
      </c>
      <c r="BA20" t="e">
        <v>#VALUE!</v>
      </c>
      <c r="BB20" t="e">
        <v>#VALUE!</v>
      </c>
      <c r="BC20" t="e">
        <v>#VALUE!</v>
      </c>
      <c r="BD20" t="e">
        <v>#VALUE!</v>
      </c>
      <c r="BE20" t="e">
        <v>#VALUE!</v>
      </c>
      <c r="BF20" t="e">
        <v>#VALUE!</v>
      </c>
      <c r="BG20" t="e">
        <v>#VALUE!</v>
      </c>
      <c r="BH20" t="e">
        <v>#VALUE!</v>
      </c>
      <c r="BI20" t="e">
        <v>#VALUE!</v>
      </c>
      <c r="BJ20" t="e">
        <v>#VALUE!</v>
      </c>
      <c r="BK20" t="e">
        <v>#VALUE!</v>
      </c>
      <c r="BL20" t="e">
        <v>#VALUE!</v>
      </c>
      <c r="BM20" t="e">
        <v>#VALUE!</v>
      </c>
      <c r="BN20" t="e">
        <v>#VALUE!</v>
      </c>
      <c r="BO20" t="e">
        <v>#VALUE!</v>
      </c>
      <c r="BP20" t="e">
        <v>#VALUE!</v>
      </c>
      <c r="BQ20" t="e">
        <v>#VALUE!</v>
      </c>
      <c r="BR20" t="e">
        <v>#VALUE!</v>
      </c>
      <c r="BS20" t="e">
        <v>#VALUE!</v>
      </c>
      <c r="BT20" t="e">
        <v>#VALUE!</v>
      </c>
      <c r="BU20" t="e">
        <v>#VALUE!</v>
      </c>
      <c r="BV20" t="e">
        <v>#VALUE!</v>
      </c>
      <c r="BW20" t="e">
        <v>#VALUE!</v>
      </c>
      <c r="BX20" t="e">
        <v>#VALUE!</v>
      </c>
      <c r="BY20" t="e">
        <v>#VALUE!</v>
      </c>
      <c r="BZ20" t="e">
        <v>#VALUE!</v>
      </c>
      <c r="CA20" t="e">
        <v>#VALUE!</v>
      </c>
      <c r="CB20" t="e">
        <v>#VALUE!</v>
      </c>
      <c r="CC20" t="e">
        <v>#VALUE!</v>
      </c>
      <c r="CD20" t="e">
        <v>#VALUE!</v>
      </c>
      <c r="CE20" t="e">
        <v>#VALUE!</v>
      </c>
      <c r="CF20" t="e">
        <v>#VALUE!</v>
      </c>
      <c r="CG20" t="e">
        <v>#VALUE!</v>
      </c>
      <c r="CH20" t="e">
        <v>#VALUE!</v>
      </c>
      <c r="CI20" t="e">
        <v>#VALUE!</v>
      </c>
      <c r="CJ20" t="e">
        <v>#VALUE!</v>
      </c>
      <c r="CK20" t="e">
        <v>#VALUE!</v>
      </c>
      <c r="CL20" t="e">
        <v>#VALUE!</v>
      </c>
      <c r="CM20" t="e">
        <v>#VALUE!</v>
      </c>
      <c r="CN20" t="e">
        <v>#VALUE!</v>
      </c>
      <c r="CO20" t="e">
        <v>#VALUE!</v>
      </c>
      <c r="CP20" t="e">
        <v>#VALUE!</v>
      </c>
      <c r="CQ20" t="e">
        <v>#VALUE!</v>
      </c>
      <c r="CR20" t="e">
        <v>#VALUE!</v>
      </c>
      <c r="CS20" t="e">
        <v>#VALUE!</v>
      </c>
      <c r="CT20" t="e">
        <v>#VALUE!</v>
      </c>
      <c r="CU20" t="e">
        <v>#VALUE!</v>
      </c>
      <c r="CV20" t="e">
        <v>#VALUE!</v>
      </c>
      <c r="CW20" t="e">
        <v>#VALUE!</v>
      </c>
      <c r="CX20" t="e">
        <v>#VALUE!</v>
      </c>
      <c r="CY20" t="e">
        <v>#VALUE!</v>
      </c>
      <c r="CZ20" t="e">
        <v>#VALUE!</v>
      </c>
      <c r="DA20" t="e">
        <v>#VALUE!</v>
      </c>
      <c r="DB20" t="e">
        <v>#VALUE!</v>
      </c>
      <c r="DC20" t="e">
        <v>#VALUE!</v>
      </c>
      <c r="DD20" t="e">
        <v>#VALUE!</v>
      </c>
      <c r="DE20" t="e">
        <v>#VALUE!</v>
      </c>
      <c r="DF20" t="e">
        <v>#VALUE!</v>
      </c>
      <c r="DG20" t="e">
        <v>#VALUE!</v>
      </c>
      <c r="DH20" t="e">
        <v>#VALUE!</v>
      </c>
      <c r="DI20" t="e">
        <v>#VALUE!</v>
      </c>
      <c r="DJ20" t="e">
        <v>#VALUE!</v>
      </c>
      <c r="DK20" t="e">
        <v>#VALUE!</v>
      </c>
      <c r="DL20" t="e">
        <v>#VALUE!</v>
      </c>
      <c r="DM20" t="e">
        <v>#VALUE!</v>
      </c>
      <c r="DN20" t="e">
        <v>#VALUE!</v>
      </c>
      <c r="DO20" t="e">
        <v>#VALUE!</v>
      </c>
      <c r="DP20" t="e">
        <v>#VALUE!</v>
      </c>
      <c r="DQ20" t="e">
        <v>#VALUE!</v>
      </c>
    </row>
    <row r="21" spans="1:147" ht="14.25" x14ac:dyDescent="0.2">
      <c r="A21" t="e">
        <v>#VALUE!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 t="e">
        <v>#VALUE!</v>
      </c>
      <c r="L21" t="e">
        <v>#VALUE!</v>
      </c>
      <c r="M21" t="e">
        <v>#VALUE!</v>
      </c>
      <c r="N21" t="e">
        <v>#VALUE!</v>
      </c>
      <c r="O21" t="e">
        <v>#VALUE!</v>
      </c>
      <c r="P21" t="e">
        <v>#VALUE!</v>
      </c>
      <c r="Q21" t="e">
        <v>#VALUE!</v>
      </c>
      <c r="R21" t="e">
        <v>#VALUE!</v>
      </c>
      <c r="S21" t="e">
        <v>#VALUE!</v>
      </c>
      <c r="T21" t="e">
        <v>#VALUE!</v>
      </c>
      <c r="U21" t="e">
        <v>#VALUE!</v>
      </c>
      <c r="V21" t="e">
        <v>#VALUE!</v>
      </c>
      <c r="W21" t="e">
        <v>#VALUE!</v>
      </c>
      <c r="X21" t="e">
        <v>#VALUE!</v>
      </c>
      <c r="Y21" t="e">
        <v>#VALUE!</v>
      </c>
      <c r="Z21" t="e">
        <v>#VALUE!</v>
      </c>
      <c r="AA21" t="e">
        <v>#VALUE!</v>
      </c>
      <c r="AB21" t="e">
        <v>#VALUE!</v>
      </c>
      <c r="AC21" t="e">
        <v>#VALUE!</v>
      </c>
      <c r="AD21" t="e">
        <v>#VALUE!</v>
      </c>
      <c r="AE21" t="e">
        <v>#VALUE!</v>
      </c>
      <c r="AF21" t="e">
        <v>#VALUE!</v>
      </c>
      <c r="AG21" t="e">
        <v>#VALUE!</v>
      </c>
      <c r="AH21" t="e">
        <v>#VALUE!</v>
      </c>
      <c r="AI21" t="e">
        <v>#VALUE!</v>
      </c>
      <c r="AJ21" t="e">
        <v>#VALUE!</v>
      </c>
      <c r="AK21" t="e">
        <v>#VALUE!</v>
      </c>
      <c r="AL21" t="e">
        <v>#VALUE!</v>
      </c>
      <c r="AM21" t="e">
        <v>#VALUE!</v>
      </c>
      <c r="AN21" t="e">
        <v>#VALUE!</v>
      </c>
      <c r="AO21" t="e">
        <v>#VALUE!</v>
      </c>
      <c r="AP21" t="e">
        <v>#VALUE!</v>
      </c>
      <c r="AQ21" t="e">
        <v>#VALUE!</v>
      </c>
      <c r="AR21" t="e">
        <v>#VALUE!</v>
      </c>
      <c r="AS21" t="e">
        <v>#VALUE!</v>
      </c>
      <c r="AT21" t="e">
        <v>#VALUE!</v>
      </c>
      <c r="AU21" t="e">
        <v>#VALUE!</v>
      </c>
      <c r="AV21" t="e">
        <v>#VALUE!</v>
      </c>
      <c r="AW21" t="e">
        <v>#VALUE!</v>
      </c>
      <c r="AX21" t="e">
        <v>#VALUE!</v>
      </c>
      <c r="AY21" t="e">
        <v>#VALUE!</v>
      </c>
      <c r="AZ21" t="e">
        <v>#VALUE!</v>
      </c>
      <c r="BA21" t="e">
        <v>#VALUE!</v>
      </c>
      <c r="BB21" t="e">
        <v>#VALUE!</v>
      </c>
      <c r="BC21" t="e">
        <v>#VALUE!</v>
      </c>
      <c r="BD21" t="e">
        <v>#VALUE!</v>
      </c>
      <c r="BE21" t="e">
        <v>#VALUE!</v>
      </c>
      <c r="BF21" t="e">
        <v>#VALUE!</v>
      </c>
      <c r="BG21" t="e">
        <v>#VALUE!</v>
      </c>
      <c r="BH21" t="e">
        <v>#VALUE!</v>
      </c>
      <c r="BI21" t="e">
        <v>#VALUE!</v>
      </c>
      <c r="BJ21" t="e">
        <v>#VALUE!</v>
      </c>
      <c r="BK21" t="e">
        <v>#VALUE!</v>
      </c>
      <c r="BL21" t="e">
        <v>#VALUE!</v>
      </c>
      <c r="BM21" t="e">
        <v>#VALUE!</v>
      </c>
      <c r="BN21" t="e">
        <v>#VALUE!</v>
      </c>
      <c r="BO21" t="e">
        <v>#VALUE!</v>
      </c>
      <c r="BP21" t="e">
        <v>#VALUE!</v>
      </c>
      <c r="BQ21" t="e">
        <v>#VALUE!</v>
      </c>
      <c r="BR21" t="e">
        <v>#VALUE!</v>
      </c>
      <c r="BS21" t="e">
        <v>#VALUE!</v>
      </c>
      <c r="BT21" t="e">
        <v>#VALUE!</v>
      </c>
      <c r="BU21" t="e">
        <v>#VALUE!</v>
      </c>
      <c r="BV21" t="e">
        <v>#VALUE!</v>
      </c>
      <c r="BW21" t="e">
        <v>#VALUE!</v>
      </c>
      <c r="BX21" t="e">
        <v>#VALUE!</v>
      </c>
      <c r="BY21" t="e">
        <v>#VALUE!</v>
      </c>
      <c r="BZ21" t="e">
        <v>#VALUE!</v>
      </c>
      <c r="CA21" t="e">
        <v>#VALUE!</v>
      </c>
      <c r="CB21" t="e">
        <v>#VALUE!</v>
      </c>
      <c r="CC21" t="e">
        <v>#VALUE!</v>
      </c>
      <c r="CD21" t="e">
        <v>#VALUE!</v>
      </c>
      <c r="CE21" t="e">
        <v>#VALUE!</v>
      </c>
      <c r="CF21" t="e">
        <v>#VALUE!</v>
      </c>
      <c r="CG21" t="e">
        <v>#VALUE!</v>
      </c>
      <c r="CH21" t="e">
        <v>#VALUE!</v>
      </c>
      <c r="CI21" t="e">
        <v>#VALUE!</v>
      </c>
      <c r="CJ21" t="e">
        <v>#VALUE!</v>
      </c>
      <c r="CK21" t="e">
        <v>#VALUE!</v>
      </c>
      <c r="CL21" t="e">
        <v>#VALUE!</v>
      </c>
      <c r="CM21" t="e">
        <v>#VALUE!</v>
      </c>
      <c r="CN21" t="e">
        <v>#VALUE!</v>
      </c>
      <c r="CO21" t="e">
        <v>#VALUE!</v>
      </c>
      <c r="CP21" t="e">
        <v>#VALUE!</v>
      </c>
      <c r="CQ21" t="e">
        <v>#VALUE!</v>
      </c>
      <c r="CR21" t="e">
        <v>#VALUE!</v>
      </c>
      <c r="CS21" t="e">
        <v>#VALUE!</v>
      </c>
      <c r="CT21" t="e">
        <v>#VALUE!</v>
      </c>
      <c r="CU21" t="e">
        <v>#VALUE!</v>
      </c>
      <c r="CV21" t="e">
        <v>#VALUE!</v>
      </c>
      <c r="CW21" t="e">
        <v>#VALUE!</v>
      </c>
      <c r="CX21" t="e">
        <v>#VALUE!</v>
      </c>
      <c r="CY21" t="e">
        <v>#VALUE!</v>
      </c>
      <c r="CZ21" t="e">
        <v>#VALUE!</v>
      </c>
      <c r="DA21" t="e">
        <v>#VALUE!</v>
      </c>
      <c r="DB21" t="e">
        <v>#VALUE!</v>
      </c>
      <c r="DC21" t="e">
        <v>#VALUE!</v>
      </c>
      <c r="DD21" t="e">
        <v>#VALUE!</v>
      </c>
      <c r="DE21" t="e">
        <v>#VALUE!</v>
      </c>
      <c r="DF21" t="e">
        <v>#VALUE!</v>
      </c>
      <c r="DG21" t="e">
        <v>#VALUE!</v>
      </c>
      <c r="DH21" t="e">
        <v>#VALUE!</v>
      </c>
      <c r="DI21" t="e">
        <v>#VALUE!</v>
      </c>
      <c r="DJ21" t="e">
        <v>#VALUE!</v>
      </c>
      <c r="DK21" t="e">
        <v>#VALUE!</v>
      </c>
      <c r="DL21" t="e">
        <v>#VALUE!</v>
      </c>
      <c r="DM21" t="e">
        <v>#VALUE!</v>
      </c>
      <c r="DN21" t="e">
        <f>AND(#REF!,"AAAAAF7ffQA=")</f>
        <v>#REF!</v>
      </c>
    </row>
    <row r="22" spans="1:147" ht="14.25" x14ac:dyDescent="0.2">
      <c r="A22" t="e">
        <v>#VALUE!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 t="e">
        <v>#VALUE!</v>
      </c>
      <c r="L22" t="e">
        <v>#VALUE!</v>
      </c>
      <c r="M22" t="e">
        <v>#VALUE!</v>
      </c>
      <c r="N22" t="e">
        <v>#VALUE!</v>
      </c>
      <c r="O22" t="e">
        <v>#VALUE!</v>
      </c>
      <c r="P22" t="e">
        <v>#VALUE!</v>
      </c>
      <c r="Q22" t="e">
        <v>#VALUE!</v>
      </c>
      <c r="R22" t="e">
        <v>#VALUE!</v>
      </c>
      <c r="S22" t="e">
        <v>#VALUE!</v>
      </c>
      <c r="T22" t="e">
        <v>#VALUE!</v>
      </c>
      <c r="U22" t="e">
        <v>#VALUE!</v>
      </c>
      <c r="V22" t="e">
        <v>#VALUE!</v>
      </c>
      <c r="W22" t="e">
        <v>#VALUE!</v>
      </c>
      <c r="X22" t="e">
        <v>#VALUE!</v>
      </c>
      <c r="Y22" t="e">
        <v>#VALUE!</v>
      </c>
      <c r="Z22" t="e">
        <v>#VALUE!</v>
      </c>
      <c r="AA22" t="e">
        <v>#VALUE!</v>
      </c>
      <c r="AB22" t="e">
        <v>#VALUE!</v>
      </c>
      <c r="AC22" t="e">
        <v>#VALUE!</v>
      </c>
      <c r="AD22" t="e">
        <v>#VALUE!</v>
      </c>
      <c r="AE22" t="e">
        <v>#VALUE!</v>
      </c>
      <c r="AF22" t="e">
        <v>#VALUE!</v>
      </c>
      <c r="AG22" t="e">
        <v>#VALUE!</v>
      </c>
      <c r="AH22" t="e">
        <v>#VALUE!</v>
      </c>
      <c r="AI22" t="e">
        <v>#VALUE!</v>
      </c>
      <c r="AJ22" t="e">
        <v>#VALUE!</v>
      </c>
      <c r="AK22" t="e">
        <v>#VALUE!</v>
      </c>
      <c r="AL22" t="e">
        <v>#VALUE!</v>
      </c>
      <c r="AM22" t="e">
        <v>#VALUE!</v>
      </c>
      <c r="AN22" t="e">
        <v>#VALUE!</v>
      </c>
      <c r="AO22" t="e">
        <v>#VALUE!</v>
      </c>
      <c r="AP22" t="e">
        <v>#VALUE!</v>
      </c>
      <c r="AQ22" t="e">
        <v>#VALUE!</v>
      </c>
      <c r="AR22" t="e">
        <v>#VALUE!</v>
      </c>
      <c r="AS22" t="e">
        <v>#VALUE!</v>
      </c>
      <c r="AT22" t="e">
        <v>#VALUE!</v>
      </c>
      <c r="AU22" t="e">
        <v>#VALUE!</v>
      </c>
      <c r="AV22" t="e">
        <v>#VALUE!</v>
      </c>
      <c r="AW22" t="e">
        <v>#VALUE!</v>
      </c>
      <c r="AX22" t="e">
        <v>#VALUE!</v>
      </c>
      <c r="AY22" t="e">
        <v>#VALUE!</v>
      </c>
      <c r="AZ22" t="e">
        <v>#VALUE!</v>
      </c>
      <c r="BA22" t="e">
        <v>#VALUE!</v>
      </c>
      <c r="BB22" t="e">
        <v>#VALUE!</v>
      </c>
      <c r="BC22" t="e">
        <v>#VALUE!</v>
      </c>
      <c r="BD22" t="e">
        <v>#VALUE!</v>
      </c>
      <c r="BE22" t="e">
        <v>#VALUE!</v>
      </c>
      <c r="BF22" t="e">
        <v>#VALUE!</v>
      </c>
      <c r="BG22" t="e">
        <v>#VALUE!</v>
      </c>
      <c r="BH22" t="e">
        <v>#VALUE!</v>
      </c>
      <c r="BI22" t="e">
        <v>#VALUE!</v>
      </c>
      <c r="BJ22" t="e">
        <v>#VALUE!</v>
      </c>
      <c r="BK22" t="e">
        <v>#VALUE!</v>
      </c>
      <c r="BL22" t="e">
        <v>#VALUE!</v>
      </c>
      <c r="BM22" t="e">
        <v>#VALUE!</v>
      </c>
      <c r="BN22" t="e">
        <v>#VALUE!</v>
      </c>
      <c r="BO22" t="e">
        <v>#VALUE!</v>
      </c>
      <c r="BP22" t="e">
        <v>#VALUE!</v>
      </c>
      <c r="BQ22" t="e">
        <v>#VALUE!</v>
      </c>
      <c r="BR22" t="e">
        <v>#VALUE!</v>
      </c>
      <c r="BS22" t="e">
        <v>#VALUE!</v>
      </c>
      <c r="BT22" t="e">
        <v>#VALUE!</v>
      </c>
      <c r="BU22" t="e">
        <v>#VALUE!</v>
      </c>
      <c r="BV22" t="e">
        <v>#VALUE!</v>
      </c>
      <c r="BW22" t="e">
        <v>#VALUE!</v>
      </c>
      <c r="BX22" t="e">
        <v>#VALUE!</v>
      </c>
      <c r="BY22" t="e">
        <v>#VALUE!</v>
      </c>
      <c r="BZ22" t="e">
        <v>#VALUE!</v>
      </c>
      <c r="CA22" t="e">
        <v>#VALUE!</v>
      </c>
      <c r="CB22" t="e">
        <v>#VALUE!</v>
      </c>
      <c r="CC22" t="e">
        <v>#VALUE!</v>
      </c>
      <c r="CD22" t="e">
        <v>#VALUE!</v>
      </c>
      <c r="CE22" t="e">
        <v>#VALUE!</v>
      </c>
      <c r="CF22" t="e">
        <v>#VALUE!</v>
      </c>
      <c r="CG22" t="e">
        <v>#VALUE!</v>
      </c>
      <c r="CH22" t="e">
        <v>#VALUE!</v>
      </c>
      <c r="CI22" t="e">
        <v>#VALUE!</v>
      </c>
      <c r="CJ22" t="e">
        <v>#VALUE!</v>
      </c>
      <c r="CK22" t="e">
        <v>#VALUE!</v>
      </c>
      <c r="CL22" t="e">
        <v>#VALUE!</v>
      </c>
      <c r="CM22" t="e">
        <v>#VALUE!</v>
      </c>
      <c r="CN22" t="e">
        <v>#VALUE!</v>
      </c>
      <c r="CO22" t="e">
        <v>#VALUE!</v>
      </c>
      <c r="CP22" t="e">
        <v>#VALUE!</v>
      </c>
      <c r="CQ22" t="e">
        <v>#VALUE!</v>
      </c>
      <c r="CR22" t="e">
        <v>#VALUE!</v>
      </c>
      <c r="CS22" t="e">
        <v>#VALUE!</v>
      </c>
      <c r="CT22" t="e">
        <v>#VALUE!</v>
      </c>
      <c r="CU22" t="e">
        <v>#VALUE!</v>
      </c>
      <c r="CV22" t="e">
        <v>#VALUE!</v>
      </c>
      <c r="CW22" t="e">
        <v>#VALUE!</v>
      </c>
      <c r="CX22" t="e">
        <v>#VALUE!</v>
      </c>
      <c r="CY22" t="e">
        <v>#VALUE!</v>
      </c>
      <c r="CZ22" t="e">
        <v>#VALUE!</v>
      </c>
      <c r="DA22" t="e">
        <v>#VALUE!</v>
      </c>
      <c r="DB22" t="e">
        <v>#VALUE!</v>
      </c>
      <c r="DC22" t="e">
        <v>#VALUE!</v>
      </c>
      <c r="DD22" t="e">
        <v>#VALUE!</v>
      </c>
      <c r="DE22" t="e">
        <v>#VALUE!</v>
      </c>
      <c r="DF22" t="e">
        <v>#VALUE!</v>
      </c>
      <c r="DG22" t="e">
        <v>#VALUE!</v>
      </c>
      <c r="DH22" t="e">
        <v>#VALUE!</v>
      </c>
      <c r="DI22" t="e">
        <v>#VALUE!</v>
      </c>
      <c r="DJ22" t="e">
        <v>#VALUE!</v>
      </c>
      <c r="DK22" t="e">
        <v>#VALUE!</v>
      </c>
      <c r="DL22" t="e">
        <v>#VALUE!</v>
      </c>
      <c r="DM22" t="e">
        <v>#VALUE!</v>
      </c>
    </row>
    <row r="23" spans="1:147" x14ac:dyDescent="0.25">
      <c r="A23" t="e">
        <f>IF(#REF!,"AAAAAF6tuwA=",0)</f>
        <v>#REF!</v>
      </c>
      <c r="B23" t="e">
        <f>AND(#REF!,"AAAAAF6tuwE=")</f>
        <v>#REF!</v>
      </c>
    </row>
    <row r="24" spans="1:147" x14ac:dyDescent="0.25">
      <c r="A24" t="e">
        <f>AND(#REF!,"AAAAAHfv8wA=")</f>
        <v>#REF!</v>
      </c>
      <c r="B24" t="e">
        <f>AND(#REF!,"AAAAAHfv8wE=")</f>
        <v>#REF!</v>
      </c>
      <c r="C24" t="e">
        <f>AND(#REF!,"AAAAAHfv8wI=")</f>
        <v>#REF!</v>
      </c>
      <c r="D24" t="e">
        <f>AND(#REF!,"AAAAAHfv8wM=")</f>
        <v>#REF!</v>
      </c>
      <c r="E24" t="e">
        <f>AND(#REF!,"AAAAAHfv8wQ=")</f>
        <v>#REF!</v>
      </c>
      <c r="F24" t="e">
        <f>AND(#REF!,"AAAAAHfv8wU=")</f>
        <v>#REF!</v>
      </c>
      <c r="G24" t="e">
        <f>AND(#REF!,"AAAAAHfv8wY=")</f>
        <v>#REF!</v>
      </c>
      <c r="H24" t="e">
        <f>AND(#REF!,"AAAAAHfv8wc=")</f>
        <v>#REF!</v>
      </c>
      <c r="I24" t="e">
        <f>AND(#REF!,"AAAAAHfv8wg=")</f>
        <v>#REF!</v>
      </c>
      <c r="J24" t="e">
        <f>AND(#REF!,"AAAAAHfv8wk=")</f>
        <v>#REF!</v>
      </c>
      <c r="K24" t="e">
        <f>AND(#REF!,"AAAAAHfv8wo=")</f>
        <v>#REF!</v>
      </c>
      <c r="L24" t="e">
        <f>AND(#REF!,"AAAAAHfv8ws=")</f>
        <v>#REF!</v>
      </c>
      <c r="M24" t="e">
        <f>AND(#REF!,"AAAAAHfv8ww=")</f>
        <v>#REF!</v>
      </c>
      <c r="N24" t="e">
        <f>AND(#REF!,"AAAAAHfv8w0=")</f>
        <v>#REF!</v>
      </c>
      <c r="O24" t="e">
        <f>AND(#REF!,"AAAAAHfv8w4=")</f>
        <v>#REF!</v>
      </c>
      <c r="P24" t="e">
        <f>AND(#REF!,"AAAAAHfv8w8=")</f>
        <v>#REF!</v>
      </c>
      <c r="Q24" t="e">
        <f>AND(#REF!,"AAAAAHfv8xA=")</f>
        <v>#REF!</v>
      </c>
      <c r="R24" t="e">
        <f>AND(#REF!,"AAAAAHfv8xE=")</f>
        <v>#REF!</v>
      </c>
      <c r="S24" t="e">
        <f>AND(#REF!,"AAAAAHfv8xI=")</f>
        <v>#REF!</v>
      </c>
      <c r="T24" t="e">
        <f>AND(#REF!,"AAAAAHfv8xM=")</f>
        <v>#REF!</v>
      </c>
      <c r="U24" t="e">
        <f>AND(#REF!,"AAAAAHfv8xQ=")</f>
        <v>#REF!</v>
      </c>
      <c r="V24" t="e">
        <f>AND(#REF!,"AAAAAHfv8xU=")</f>
        <v>#REF!</v>
      </c>
      <c r="W24" t="e">
        <f>AND(#REF!,"AAAAAHfv8xY=")</f>
        <v>#REF!</v>
      </c>
      <c r="X24" t="e">
        <f>AND(#REF!,"AAAAAHfv8xc=")</f>
        <v>#REF!</v>
      </c>
      <c r="Y24" t="e">
        <f>AND(#REF!,"AAAAAHfv8xg=")</f>
        <v>#REF!</v>
      </c>
      <c r="Z24" t="e">
        <f>AND(#REF!,"AAAAAHfv8xk=")</f>
        <v>#REF!</v>
      </c>
      <c r="AA24" t="e">
        <f>AND(#REF!,"AAAAAHfv8xo=")</f>
        <v>#REF!</v>
      </c>
      <c r="AB24" t="e">
        <f>AND(#REF!,"AAAAAHfv8xs=")</f>
        <v>#REF!</v>
      </c>
      <c r="AC24" t="e">
        <f>AND(#REF!,"AAAAAHfv8xw=")</f>
        <v>#REF!</v>
      </c>
      <c r="AD24" t="e">
        <f>AND(#REF!,"AAAAAHfv8x0=")</f>
        <v>#REF!</v>
      </c>
      <c r="AE24" t="e">
        <f>AND(#REF!,"AAAAAHfv8x4=")</f>
        <v>#REF!</v>
      </c>
      <c r="AF24" t="e">
        <f>AND(#REF!,"AAAAAHfv8x8=")</f>
        <v>#REF!</v>
      </c>
    </row>
    <row r="25" spans="1:147" x14ac:dyDescent="0.25">
      <c r="A25" t="e">
        <f>AND(#REF!,"AAAAAFr5/QA=")</f>
        <v>#REF!</v>
      </c>
      <c r="B25" t="e">
        <f>AND(#REF!,"AAAAAFr5/QE=")</f>
        <v>#REF!</v>
      </c>
      <c r="C25" t="e">
        <f>AND(#REF!,"AAAAAFr5/QI=")</f>
        <v>#REF!</v>
      </c>
      <c r="D25" t="e">
        <f>AND(#REF!,"AAAAAFr5/QM=")</f>
        <v>#REF!</v>
      </c>
      <c r="E25" t="e">
        <f>AND(#REF!,"AAAAAFr5/QQ=")</f>
        <v>#REF!</v>
      </c>
      <c r="F25" t="e">
        <f>AND(#REF!,"AAAAAFr5/QU=")</f>
        <v>#REF!</v>
      </c>
      <c r="G25" t="e">
        <f>AND(#REF!,"AAAAAFr5/QY=")</f>
        <v>#REF!</v>
      </c>
      <c r="H25" t="e">
        <f>AND(#REF!,"AAAAAFr5/Qc=")</f>
        <v>#REF!</v>
      </c>
      <c r="I25" t="e">
        <f>AND(#REF!,"AAAAAFr5/Qg=")</f>
        <v>#REF!</v>
      </c>
      <c r="J25" t="e">
        <f>AND(#REF!,"AAAAAFr5/Qk=")</f>
        <v>#REF!</v>
      </c>
      <c r="K25" t="e">
        <f>AND(#REF!,"AAAAAFr5/Qo=")</f>
        <v>#REF!</v>
      </c>
      <c r="L25" t="e">
        <f>AND(#REF!,"AAAAAFr5/Qs=")</f>
        <v>#REF!</v>
      </c>
      <c r="M25" t="e">
        <f>AND(#REF!,"AAAAAFr5/Qw=")</f>
        <v>#REF!</v>
      </c>
      <c r="N25" t="e">
        <f>AND(#REF!,"AAAAAFr5/Q0=")</f>
        <v>#REF!</v>
      </c>
      <c r="O25" t="e">
        <f>AND(#REF!,"AAAAAFr5/Q4=")</f>
        <v>#REF!</v>
      </c>
      <c r="P25" t="e">
        <f>AND(#REF!,"AAAAAFr5/Q8=")</f>
        <v>#REF!</v>
      </c>
      <c r="Q25" t="e">
        <f>AND(#REF!,"AAAAAFr5/RA=")</f>
        <v>#REF!</v>
      </c>
      <c r="R25" t="e">
        <f>AND(#REF!,"AAAAAFr5/RE=")</f>
        <v>#REF!</v>
      </c>
      <c r="S25" t="e">
        <f>AND(#REF!,"AAAAAFr5/RI=")</f>
        <v>#REF!</v>
      </c>
      <c r="T25" t="e">
        <f>AND(#REF!,"AAAAAFr5/RM=")</f>
        <v>#REF!</v>
      </c>
      <c r="U25" t="e">
        <f>AND(#REF!,"AAAAAFr5/RQ=")</f>
        <v>#REF!</v>
      </c>
      <c r="V25" t="e">
        <f>AND(#REF!,"AAAAAFr5/RU=")</f>
        <v>#REF!</v>
      </c>
      <c r="W25" t="e">
        <f>AND(#REF!,"AAAAAFr5/RY=")</f>
        <v>#REF!</v>
      </c>
      <c r="X25" t="e">
        <f>AND(#REF!,"AAAAAFr5/Rc=")</f>
        <v>#REF!</v>
      </c>
      <c r="Y25" t="e">
        <f>AND(#REF!,"AAAAAFr5/Rg=")</f>
        <v>#REF!</v>
      </c>
      <c r="Z25" t="e">
        <f>AND(#REF!,"AAAAAFr5/Rk=")</f>
        <v>#REF!</v>
      </c>
      <c r="AA25" t="e">
        <f>AND(#REF!,"AAAAAFr5/Ro=")</f>
        <v>#REF!</v>
      </c>
      <c r="AB25" t="e">
        <f>AND(#REF!,"AAAAAFr5/Rs=")</f>
        <v>#REF!</v>
      </c>
      <c r="AC25" t="e">
        <f>AND(#REF!,"AAAAAFr5/Rw=")</f>
        <v>#REF!</v>
      </c>
      <c r="AD25" t="e">
        <f>AND(#REF!,"AAAAAFr5/R0=")</f>
        <v>#REF!</v>
      </c>
      <c r="AE25" t="e">
        <f>AND(#REF!,"AAAAAFr5/R4=")</f>
        <v>#REF!</v>
      </c>
      <c r="AF25" t="e">
        <f>AND(#REF!,"AAAAAFr5/R8=")</f>
        <v>#REF!</v>
      </c>
      <c r="AG25" t="e">
        <f>AND(#REF!,"AAAAAFr5/SA=")</f>
        <v>#REF!</v>
      </c>
      <c r="AH25" t="e">
        <f>AND(#REF!,"AAAAAFr5/SE=")</f>
        <v>#REF!</v>
      </c>
      <c r="AI25" t="e">
        <f>AND(#REF!,"AAAAAFr5/SI=")</f>
        <v>#REF!</v>
      </c>
      <c r="AJ25" t="e">
        <f>AND(#REF!,"AAAAAFr5/SM=")</f>
        <v>#REF!</v>
      </c>
      <c r="AK25" t="e">
        <f>AND(#REF!,"AAAAAFr5/SQ=")</f>
        <v>#REF!</v>
      </c>
      <c r="AL25" t="e">
        <f>AND(#REF!,"AAAAAFr5/SU=")</f>
        <v>#REF!</v>
      </c>
      <c r="AM25" t="e">
        <f>AND(#REF!,"AAAAAFr5/SY=")</f>
        <v>#REF!</v>
      </c>
      <c r="AN25" t="e">
        <f>AND(#REF!,"AAAAAFr5/Sc=")</f>
        <v>#REF!</v>
      </c>
      <c r="AO25" t="e">
        <f>AND(#REF!,"AAAAAFr5/Sg=")</f>
        <v>#REF!</v>
      </c>
      <c r="AP25" t="e">
        <f>AND(#REF!,"AAAAAFr5/Sk=")</f>
        <v>#REF!</v>
      </c>
      <c r="AQ25" t="e">
        <f>AND(#REF!,"AAAAAFr5/So=")</f>
        <v>#REF!</v>
      </c>
      <c r="AR25" t="e">
        <f>AND(#REF!,"AAAAAFr5/Ss=")</f>
        <v>#REF!</v>
      </c>
      <c r="AS25" t="e">
        <f>AND(#REF!,"AAAAAFr5/Sw=")</f>
        <v>#REF!</v>
      </c>
      <c r="AT25" t="e">
        <f>AND(#REF!,"AAAAAFr5/S0=")</f>
        <v>#REF!</v>
      </c>
      <c r="AU25" t="e">
        <f>AND(#REF!,"AAAAAFr5/S4=")</f>
        <v>#REF!</v>
      </c>
      <c r="AV25" t="e">
        <f>AND(#REF!,"AAAAAFr5/S8=")</f>
        <v>#REF!</v>
      </c>
      <c r="AW25" t="e">
        <f>AND(#REF!,"AAAAAFr5/TA=")</f>
        <v>#REF!</v>
      </c>
      <c r="AX25" t="e">
        <f>AND(#REF!,"AAAAAFr5/TE=")</f>
        <v>#REF!</v>
      </c>
      <c r="AY25" t="e">
        <f>AND(#REF!,"AAAAAFr5/TI=")</f>
        <v>#REF!</v>
      </c>
      <c r="AZ25" t="e">
        <f>AND(#REF!,"AAAAAFr5/TM=")</f>
        <v>#REF!</v>
      </c>
      <c r="BA25" t="e">
        <f>AND(#REF!,"AAAAAFr5/TQ=")</f>
        <v>#REF!</v>
      </c>
      <c r="BB25" t="e">
        <f>AND(#REF!,"AAAAAFr5/TU=")</f>
        <v>#REF!</v>
      </c>
      <c r="BC25" t="e">
        <f>AND(#REF!,"AAAAAFr5/TY=")</f>
        <v>#REF!</v>
      </c>
      <c r="BD25" t="e">
        <f>AND(#REF!,"AAAAAFr5/Tc=")</f>
        <v>#REF!</v>
      </c>
      <c r="BE25" t="e">
        <f>AND(#REF!,"AAAAAFr5/Tg=")</f>
        <v>#REF!</v>
      </c>
      <c r="BF25" t="e">
        <f>AND(#REF!,"AAAAAFr5/Tk=")</f>
        <v>#REF!</v>
      </c>
      <c r="BG25" t="e">
        <f>AND(#REF!,"AAAAAFr5/To=")</f>
        <v>#REF!</v>
      </c>
      <c r="BH25" t="e">
        <f>AND(#REF!,"AAAAAFr5/Ts=")</f>
        <v>#REF!</v>
      </c>
      <c r="BI25" t="e">
        <f>AND(#REF!,"AAAAAFr5/Tw=")</f>
        <v>#REF!</v>
      </c>
      <c r="BJ25" t="e">
        <f>AND(#REF!,"AAAAAFr5/T0=")</f>
        <v>#REF!</v>
      </c>
      <c r="BK25" t="e">
        <f>AND(#REF!,"AAAAAFr5/T4=")</f>
        <v>#REF!</v>
      </c>
      <c r="BL25" t="e">
        <f>AND(#REF!,"AAAAAFr5/T8=")</f>
        <v>#REF!</v>
      </c>
      <c r="BM25" t="e">
        <f>AND(#REF!,"AAAAAFr5/UA=")</f>
        <v>#REF!</v>
      </c>
      <c r="BN25" t="e">
        <f>AND(#REF!,"AAAAAFr5/UE=")</f>
        <v>#REF!</v>
      </c>
      <c r="BO25" t="e">
        <f>AND(#REF!,"AAAAAFr5/UI=")</f>
        <v>#REF!</v>
      </c>
      <c r="BP25" t="e">
        <f>AND(#REF!,"AAAAAFr5/UM=")</f>
        <v>#REF!</v>
      </c>
      <c r="BQ25" t="e">
        <f>AND(#REF!,"AAAAAFr5/UQ=")</f>
        <v>#REF!</v>
      </c>
      <c r="BR25" t="e">
        <f>AND(#REF!,"AAAAAFr5/UU=")</f>
        <v>#REF!</v>
      </c>
    </row>
    <row r="26" spans="1:147" x14ac:dyDescent="0.25">
      <c r="A26" t="e">
        <f>AND('Iter4-Final'!B3,"AAAAAB7bfgA=")</f>
        <v>#VALUE!</v>
      </c>
      <c r="B26" t="e">
        <f>AND('Iter4-Final'!C3,"AAAAAB7bfgE=")</f>
        <v>#VALUE!</v>
      </c>
      <c r="C26" t="e">
        <f>AND('Iter4-Final'!D3,"AAAAAB7bfgI=")</f>
        <v>#VALUE!</v>
      </c>
      <c r="D26" t="e">
        <f>AND('Iter4-Final'!#REF!,"AAAAAB7bfgM=")</f>
        <v>#REF!</v>
      </c>
      <c r="E26" t="e">
        <f>AND('Iter4-Final'!E3,"AAAAAB7bfgQ=")</f>
        <v>#VALUE!</v>
      </c>
      <c r="F26" t="e">
        <f>AND('Iter4-Final'!F3,"AAAAAB7bfgU=")</f>
        <v>#VALUE!</v>
      </c>
      <c r="G26" t="e">
        <f>AND('Iter4-Final'!I3,"AAAAAB7bfgY=")</f>
        <v>#VALUE!</v>
      </c>
      <c r="H26" t="e">
        <f>AND('Iter4-Final'!H3,"AAAAAB7bfgc=")</f>
        <v>#VALUE!</v>
      </c>
      <c r="I26" t="e">
        <f>AND('Iter4-Final'!B4,"AAAAAB7bfgg=")</f>
        <v>#VALUE!</v>
      </c>
      <c r="J26" t="e">
        <f>AND('Iter4-Final'!C4,"AAAAAB7bfgk=")</f>
        <v>#VALUE!</v>
      </c>
      <c r="K26" t="e">
        <f>AND('Iter4-Final'!D4,"AAAAAB7bfgo=")</f>
        <v>#VALUE!</v>
      </c>
      <c r="L26" t="e">
        <f>AND('Iter4-Final'!#REF!,"AAAAAB7bfgs=")</f>
        <v>#REF!</v>
      </c>
      <c r="M26" t="e">
        <f>AND('Iter4-Final'!E4,"AAAAAB7bfgw=")</f>
        <v>#VALUE!</v>
      </c>
      <c r="N26" t="e">
        <f>AND('Iter4-Final'!F4,"AAAAAB7bfg0=")</f>
        <v>#VALUE!</v>
      </c>
      <c r="O26" t="e">
        <f>AND('Iter4-Final'!I4,"AAAAAB7bfg4=")</f>
        <v>#VALUE!</v>
      </c>
      <c r="P26" t="e">
        <f>AND('Iter4-Final'!H4,"AAAAAB7bfg8=")</f>
        <v>#VALUE!</v>
      </c>
      <c r="Q26" t="e">
        <f>AND('Iter4-Final'!B5,"AAAAAB7bfhA=")</f>
        <v>#VALUE!</v>
      </c>
      <c r="R26" t="e">
        <f>AND('Iter4-Final'!C5,"AAAAAB7bfhE=")</f>
        <v>#VALUE!</v>
      </c>
      <c r="S26" t="e">
        <f>AND('Iter4-Final'!D5,"AAAAAB7bfhI=")</f>
        <v>#VALUE!</v>
      </c>
      <c r="T26" t="e">
        <f>AND('Iter4-Final'!#REF!,"AAAAAB7bfhM=")</f>
        <v>#REF!</v>
      </c>
      <c r="U26" t="e">
        <f>AND('Iter4-Final'!E5,"AAAAAB7bfhQ=")</f>
        <v>#VALUE!</v>
      </c>
      <c r="V26" t="e">
        <f>AND('Iter4-Final'!F5,"AAAAAB7bfhU=")</f>
        <v>#VALUE!</v>
      </c>
      <c r="W26" t="e">
        <f>AND('Iter4-Final'!I5,"AAAAAB7bfhY=")</f>
        <v>#VALUE!</v>
      </c>
      <c r="X26" t="e">
        <f>AND('Iter4-Final'!H5,"AAAAAB7bfhc=")</f>
        <v>#VALUE!</v>
      </c>
      <c r="Y26" t="e">
        <f>AND('Iter4-Final'!B6,"AAAAAB7bfhg=")</f>
        <v>#VALUE!</v>
      </c>
      <c r="Z26" t="e">
        <f>AND('Iter4-Final'!C6,"AAAAAB7bfhk=")</f>
        <v>#VALUE!</v>
      </c>
      <c r="AA26" t="e">
        <f>AND('Iter4-Final'!D2,"AAAAAB7bfho=")</f>
        <v>#VALUE!</v>
      </c>
      <c r="AB26" t="e">
        <f>AND('Iter4-Final'!#REF!,"AAAAAB7bfhs=")</f>
        <v>#REF!</v>
      </c>
      <c r="AC26" t="e">
        <f>AND('Iter4-Final'!E2,"AAAAAB7bfhw=")</f>
        <v>#VALUE!</v>
      </c>
      <c r="AD26" t="e">
        <f>AND('Iter4-Final'!F2,"AAAAAB7bfh0=")</f>
        <v>#VALUE!</v>
      </c>
      <c r="AE26" t="e">
        <f>AND('Iter4-Final'!I6,"AAAAAB7bfh4=")</f>
        <v>#VALUE!</v>
      </c>
      <c r="AF26" t="e">
        <f>AND('Iter4-Final'!H6,"AAAAAB7bfh8=")</f>
        <v>#VALUE!</v>
      </c>
      <c r="AG26" t="e">
        <f>AND('Iter4-Final'!B7,"AAAAAB7bfiA=")</f>
        <v>#VALUE!</v>
      </c>
      <c r="AH26" t="e">
        <f>AND('Iter4-Final'!C7,"AAAAAB7bfiE=")</f>
        <v>#VALUE!</v>
      </c>
      <c r="AI26" t="e">
        <f>AND('Iter4-Final'!D7,"AAAAAB7bfiI=")</f>
        <v>#VALUE!</v>
      </c>
      <c r="AJ26" t="e">
        <f>AND('Iter4-Final'!#REF!,"AAAAAB7bfiM=")</f>
        <v>#REF!</v>
      </c>
      <c r="AK26" t="e">
        <f>AND('Iter4-Final'!E7,"AAAAAB7bfiQ=")</f>
        <v>#VALUE!</v>
      </c>
      <c r="AL26" t="e">
        <f>AND('Iter4-Final'!F7,"AAAAAB7bfiU=")</f>
        <v>#VALUE!</v>
      </c>
      <c r="AM26" t="e">
        <f>AND('Iter4-Final'!I7,"AAAAAB7bfiY=")</f>
        <v>#VALUE!</v>
      </c>
      <c r="AN26" t="e">
        <f>AND('Iter4-Final'!H7,"AAAAAB7bfic=")</f>
        <v>#VALUE!</v>
      </c>
      <c r="AO26" t="e">
        <f>AND('Iter4-Final'!B8,"AAAAAB7bfig=")</f>
        <v>#VALUE!</v>
      </c>
      <c r="AP26" t="e">
        <f>AND('Iter4-Final'!C8,"AAAAAB7bfik=")</f>
        <v>#VALUE!</v>
      </c>
      <c r="AQ26" t="e">
        <f>AND('Iter4-Final'!D8,"AAAAAB7bfio=")</f>
        <v>#VALUE!</v>
      </c>
      <c r="AR26" t="e">
        <f>AND('Iter4-Final'!#REF!,"AAAAAB7bfis=")</f>
        <v>#REF!</v>
      </c>
      <c r="AS26" t="e">
        <f>AND('Iter4-Final'!E8,"AAAAAB7bfiw=")</f>
        <v>#VALUE!</v>
      </c>
      <c r="AT26" t="e">
        <f>AND('Iter4-Final'!F8,"AAAAAB7bfi0=")</f>
        <v>#VALUE!</v>
      </c>
      <c r="AU26" t="e">
        <f>AND('Iter4-Final'!I8,"AAAAAB7bfi4=")</f>
        <v>#VALUE!</v>
      </c>
      <c r="AV26" t="e">
        <f>AND('Iter4-Final'!H8,"AAAAAB7bfi8=")</f>
        <v>#VALUE!</v>
      </c>
      <c r="AW26" t="e">
        <f>AND('Iter4-Final'!B9,"AAAAAB7bfjA=")</f>
        <v>#VALUE!</v>
      </c>
      <c r="AX26" t="e">
        <f>AND('Iter4-Final'!C9,"AAAAAB7bfjE=")</f>
        <v>#VALUE!</v>
      </c>
      <c r="AY26" t="e">
        <f>AND('Iter4-Final'!D9,"AAAAAB7bfjI=")</f>
        <v>#VALUE!</v>
      </c>
      <c r="AZ26" t="e">
        <f>AND('Iter4-Final'!#REF!,"AAAAAB7bfjM=")</f>
        <v>#REF!</v>
      </c>
      <c r="BA26" t="e">
        <f>AND('Iter4-Final'!E9,"AAAAAB7bfjQ=")</f>
        <v>#VALUE!</v>
      </c>
      <c r="BB26" t="e">
        <f>AND('Iter4-Final'!F9,"AAAAAB7bfjU=")</f>
        <v>#VALUE!</v>
      </c>
      <c r="BC26" t="e">
        <f>AND('Iter4-Final'!I9,"AAAAAB7bfjY=")</f>
        <v>#VALUE!</v>
      </c>
      <c r="BD26" t="e">
        <f>AND('Iter4-Final'!H9,"AAAAAB7bfjc=")</f>
        <v>#VALUE!</v>
      </c>
    </row>
    <row r="27" spans="1:147" x14ac:dyDescent="0.25">
      <c r="A27" t="e">
        <f>AND(#REF!,"AAAAAA/ZvQA=")</f>
        <v>#REF!</v>
      </c>
      <c r="B27" t="e">
        <f>AND(#REF!,"AAAAAA/ZvQE=")</f>
        <v>#REF!</v>
      </c>
      <c r="C27" t="e">
        <f>AND(#REF!,"AAAAAA/ZvQI=")</f>
        <v>#REF!</v>
      </c>
      <c r="D27" t="e">
        <f>AND(#REF!,"AAAAAA/ZvQM=")</f>
        <v>#REF!</v>
      </c>
      <c r="E27" t="e">
        <f>AND(#REF!,"AAAAAA/ZvQQ=")</f>
        <v>#REF!</v>
      </c>
      <c r="F27" t="e">
        <f>AND(#REF!,"AAAAAA/ZvQU=")</f>
        <v>#REF!</v>
      </c>
      <c r="G27" t="e">
        <f>AND(#REF!,"AAAAAA/ZvQY=")</f>
        <v>#REF!</v>
      </c>
      <c r="H27" t="e">
        <f>AND(#REF!,"AAAAAA/ZvQc=")</f>
        <v>#REF!</v>
      </c>
      <c r="I27" t="e">
        <f>AND(#REF!,"AAAAAA/ZvQg=")</f>
        <v>#REF!</v>
      </c>
      <c r="J27" t="e">
        <f>AND(#REF!,"AAAAAA/ZvQk=")</f>
        <v>#REF!</v>
      </c>
      <c r="K27" t="e">
        <f>AND(#REF!,"AAAAAA/ZvQo=")</f>
        <v>#REF!</v>
      </c>
      <c r="L27" t="e">
        <f>IF(#REF!,"AAAAAA/ZvQs=",0)</f>
        <v>#REF!</v>
      </c>
    </row>
    <row r="28" spans="1:147" x14ac:dyDescent="0.25">
      <c r="A28" t="e">
        <f>IF(#REF!,"AAAAAHyvwwA=",0)</f>
        <v>#REF!</v>
      </c>
      <c r="B28" t="e">
        <f>AND(#REF!,"AAAAAHyvwwE=")</f>
        <v>#REF!</v>
      </c>
      <c r="C28" t="e">
        <f>AND(#REF!,"AAAAAHyvwwI=")</f>
        <v>#REF!</v>
      </c>
      <c r="D28" t="e">
        <f>IF(#REF!,"AAAAAHyvwwM=",0)</f>
        <v>#REF!</v>
      </c>
      <c r="E28" t="e">
        <f>AND(#REF!,"AAAAAHyvwwQ=")</f>
        <v>#REF!</v>
      </c>
      <c r="F28" t="e">
        <f>AND(#REF!,"AAAAAHyvwwU=")</f>
        <v>#REF!</v>
      </c>
      <c r="G28" t="e">
        <f>IF(#REF!,"AAAAAHyvwwY=",0)</f>
        <v>#REF!</v>
      </c>
      <c r="H28" t="e">
        <f>AND(#REF!,"AAAAAHyvwwc=")</f>
        <v>#REF!</v>
      </c>
      <c r="I28" t="e">
        <f>AND(#REF!,"AAAAAHyvwwg=")</f>
        <v>#REF!</v>
      </c>
      <c r="J28" t="e">
        <f>IF(#REF!,"AAAAAHyvwwk=",0)</f>
        <v>#REF!</v>
      </c>
      <c r="K28" t="e">
        <f>AND(#REF!,"AAAAAHyvwwo=")</f>
        <v>#REF!</v>
      </c>
      <c r="L28" t="e">
        <f>AND(#REF!,"AAAAAHyvwws=")</f>
        <v>#REF!</v>
      </c>
      <c r="M28" t="e">
        <f>IF(#REF!,"AAAAAHyvwww=",0)</f>
        <v>#REF!</v>
      </c>
      <c r="N28" t="e">
        <f>AND(#REF!,"AAAAAHyvww0=")</f>
        <v>#REF!</v>
      </c>
      <c r="O28" t="e">
        <f>AND(#REF!,"AAAAAHyvww4=")</f>
        <v>#REF!</v>
      </c>
      <c r="P28" t="e">
        <f>IF(#REF!,"AAAAAHyvww8=",0)</f>
        <v>#REF!</v>
      </c>
      <c r="Q28" t="e">
        <f>AND(#REF!,"AAAAAHyvwxA=")</f>
        <v>#REF!</v>
      </c>
      <c r="R28" t="e">
        <f>AND(#REF!,"AAAAAHyvwxE=")</f>
        <v>#REF!</v>
      </c>
      <c r="S28" t="e">
        <f>AND(#REF!,"AAAAAHyvwxI=")</f>
        <v>#REF!</v>
      </c>
      <c r="T28" t="e">
        <f>AND(#REF!,"AAAAAHyvwxM=")</f>
        <v>#REF!</v>
      </c>
      <c r="U28" t="e">
        <f>AND(#REF!,"AAAAAHyvwxQ=")</f>
        <v>#REF!</v>
      </c>
      <c r="V28" t="e">
        <f>AND(#REF!,"AAAAAHyvwxU=")</f>
        <v>#REF!</v>
      </c>
      <c r="W28" t="e">
        <f>AND(#REF!,"AAAAAHyvwxY=")</f>
        <v>#REF!</v>
      </c>
      <c r="X28" t="e">
        <f>AND(#REF!,"AAAAAHyvwxc=")</f>
        <v>#REF!</v>
      </c>
      <c r="Y28" t="e">
        <f>AND(#REF!,"AAAAAHyvwxg=")</f>
        <v>#REF!</v>
      </c>
      <c r="Z28" t="e">
        <f>AND(#REF!,"AAAAAHyvwxk=")</f>
        <v>#REF!</v>
      </c>
      <c r="AA28" t="e">
        <f>AND(#REF!,"AAAAAHyvwxo=")</f>
        <v>#REF!</v>
      </c>
      <c r="AB28" t="e">
        <f>AND(#REF!,"AAAAAHyvwxs=")</f>
        <v>#REF!</v>
      </c>
      <c r="AC28" t="e">
        <f>AND(#REF!,"AAAAAHyvwxw=")</f>
        <v>#REF!</v>
      </c>
      <c r="AD28" t="e">
        <f>AND(#REF!,"AAAAAHyvwx0=")</f>
        <v>#REF!</v>
      </c>
      <c r="AE28" t="e">
        <f>IF("N",'DV-IDENTITY-0'!AHDA_IDs,"AAAAAHyvwx4=")</f>
        <v>#VALUE!</v>
      </c>
      <c r="AF28" t="e">
        <v>#VALUE!</v>
      </c>
      <c r="AG28" t="e">
        <f>IF("N",'DV-IDENTITY-0'!AHDA_IDs,"AAAAAHyvwyA=")</f>
        <v>#VALUE!</v>
      </c>
      <c r="AH28" t="e">
        <f>IF("N",'DV-IDENTITY-0'!AHDA_IDs,"AAAAAHyvwyE=")</f>
        <v>#VALUE!</v>
      </c>
      <c r="AI28" t="e">
        <f>IF("N",'DV-IDENTITY-0'!AHDA_IDs,"AAAAAHyvwyI=")</f>
        <v>#VALUE!</v>
      </c>
      <c r="AJ28" t="e">
        <f>IF("N",'DV-IDENTITY-0'!AHDA_IDs,"AAAAAHyvwyM=")</f>
        <v>#VALUE!</v>
      </c>
      <c r="AK28" t="e">
        <f>IF("N",'DV-IDENTITY-0'!AHDA_IDs,"AAAAAHyvwyQ=")</f>
        <v>#VALUE!</v>
      </c>
      <c r="AL28" t="e">
        <f>IF("N",'DV-IDENTITY-0'!AHDA_IDs,"AAAAAHyvwyU=")</f>
        <v>#VALUE!</v>
      </c>
      <c r="AM28" t="e">
        <f>IF("N",'DV-IDENTITY-0'!AHDA_IDs,"AAAAAHyvwyY=")</f>
        <v>#VALUE!</v>
      </c>
      <c r="AN28" t="e">
        <f>IF("N",'DV-IDENTITY-0'!AHDA_IDs,"AAAAAHyvwyc=")</f>
        <v>#VALUE!</v>
      </c>
      <c r="AO28" t="e">
        <f>IF("N",'DV-IDENTITY-0'!AHDA_IDs,"AAAAAHyvwyg=")</f>
        <v>#VALUE!</v>
      </c>
      <c r="AP28" t="e">
        <f>IF("N",'DV-IDENTITY-0'!AHDA_IDs,"AAAAAHyvwyk=")</f>
        <v>#VALUE!</v>
      </c>
      <c r="AQ28" t="e">
        <f>IF("N",'DV-IDENTITY-0'!AHDA_IDs,"AAAAAHyvwyo=")</f>
        <v>#VALUE!</v>
      </c>
      <c r="AR28" t="e">
        <f>IF("N",'DV-IDENTITY-0'!BestSeller_IDs,"AAAAAHyvwys=")</f>
        <v>#VALUE!</v>
      </c>
      <c r="AS28" t="e">
        <v>#VALUE!</v>
      </c>
      <c r="AT28" t="e">
        <f>IF("N",'DV-IDENTITY-0'!BestSeller_IDs,"AAAAAHyvwy0=")</f>
        <v>#VALUE!</v>
      </c>
      <c r="AU28" t="e">
        <f>IF("N",'DV-IDENTITY-0'!BestSeller_IDs,"AAAAAHyvwy4=")</f>
        <v>#VALUE!</v>
      </c>
      <c r="AV28" t="e">
        <f>IF("N",'DV-IDENTITY-0'!BestSeller_IDs,"AAAAAHyvwy8=")</f>
        <v>#VALUE!</v>
      </c>
      <c r="AW28" t="e">
        <f>IF("N",'DV-IDENTITY-0'!BestSeller_IDs,"AAAAAHyvwzA=")</f>
        <v>#VALUE!</v>
      </c>
      <c r="AX28" t="e">
        <f>IF("N",'DV-IDENTITY-0'!BestSeller_IDs,"AAAAAHyvwzE=")</f>
        <v>#VALUE!</v>
      </c>
      <c r="AY28" t="e">
        <f>IF("N",'DV-IDENTITY-0'!BestSeller_IDs,"AAAAAHyvwzI=")</f>
        <v>#VALUE!</v>
      </c>
      <c r="AZ28" t="e">
        <f>IF("N",'DV-IDENTITY-0'!BestSeller_IDs,"AAAAAHyvwzM=")</f>
        <v>#VALUE!</v>
      </c>
      <c r="BA28" t="e">
        <f>IF("N",'DV-IDENTITY-0'!BestSeller_IDs,"AAAAAHyvwzQ=")</f>
        <v>#VALUE!</v>
      </c>
      <c r="BB28" t="e">
        <f>IF("N",'DV-IDENTITY-0'!BestSeller_IDs,"AAAAAHyvwzU=")</f>
        <v>#VALUE!</v>
      </c>
      <c r="BC28" t="e">
        <f>IF("N",'DV-IDENTITY-0'!BestSeller_IDs,"AAAAAHyvwzY=")</f>
        <v>#VALUE!</v>
      </c>
      <c r="BD28" t="e">
        <f>IF("N",'DV-IDENTITY-0'!BestSeller_IDs,"AAAAAHyvwzc=")</f>
        <v>#VALUE!</v>
      </c>
      <c r="BE28" t="e">
        <v>#VALUE!</v>
      </c>
      <c r="BF28" t="e">
        <v>#VALUE!</v>
      </c>
      <c r="BG28" t="e">
        <v>#VALUE!</v>
      </c>
      <c r="BH28" t="e">
        <v>#VALUE!</v>
      </c>
      <c r="BI28" t="e">
        <v>#VALUE!</v>
      </c>
      <c r="BJ28" t="e">
        <v>#VALUE!</v>
      </c>
      <c r="BK28" t="e">
        <v>#VALUE!</v>
      </c>
      <c r="BL28" t="e">
        <v>#VALUE!</v>
      </c>
      <c r="BM28" t="e">
        <v>#VALUE!</v>
      </c>
      <c r="BN28" t="e">
        <v>#VALUE!</v>
      </c>
      <c r="BO28" t="e">
        <v>#VALUE!</v>
      </c>
      <c r="BP28" t="e">
        <v>#VALUE!</v>
      </c>
      <c r="BQ28" t="e">
        <v>#VALUE!</v>
      </c>
      <c r="BR28" t="e">
        <f>IF("N",'DV-IDENTITY-0'!ChatIt,"AAAAAHyvw0U=")</f>
        <v>#VALUE!</v>
      </c>
      <c r="BS28" t="e">
        <v>#VALUE!</v>
      </c>
      <c r="BT28" t="e">
        <f>IF("N",'DV-IDENTITY-0'!ChatIt,"AAAAAHyvw0c=")</f>
        <v>#VALUE!</v>
      </c>
      <c r="BU28" t="e">
        <f>IF("N",'DV-IDENTITY-0'!ChatIt,"AAAAAHyvw0g=")</f>
        <v>#VALUE!</v>
      </c>
      <c r="BV28" t="e">
        <f>IF("N",'DV-IDENTITY-0'!ChatIt,"AAAAAHyvw0k=")</f>
        <v>#VALUE!</v>
      </c>
      <c r="BW28" t="e">
        <f>IF("N",'DV-IDENTITY-0'!ChatIt,"AAAAAHyvw0o=")</f>
        <v>#VALUE!</v>
      </c>
      <c r="BX28" t="e">
        <f>IF("N",'DV-IDENTITY-0'!ChatIt,"AAAAAHyvw0s=")</f>
        <v>#VALUE!</v>
      </c>
      <c r="BY28" t="e">
        <f>IF("N",'DV-IDENTITY-0'!ChatIt,"AAAAAHyvw0w=")</f>
        <v>#VALUE!</v>
      </c>
      <c r="BZ28" t="e">
        <f>IF("N",'DV-IDENTITY-0'!ChatIt,"AAAAAHyvw00=")</f>
        <v>#VALUE!</v>
      </c>
      <c r="CA28" t="e">
        <f>IF("N",'DV-IDENTITY-0'!ChatIt,"AAAAAHyvw04=")</f>
        <v>#VALUE!</v>
      </c>
      <c r="CB28" t="e">
        <f>IF("N",'DV-IDENTITY-0'!ChatIt,"AAAAAHyvw08=")</f>
        <v>#VALUE!</v>
      </c>
      <c r="CC28" t="e">
        <f>IF("N",'DV-IDENTITY-0'!ChatIt,"AAAAAHyvw1A=")</f>
        <v>#VALUE!</v>
      </c>
      <c r="CD28" t="e">
        <f>IF("N",'DV-IDENTITY-0'!ChatIt,"AAAAAHyvw1E=")</f>
        <v>#VALUE!</v>
      </c>
      <c r="CE28" t="e">
        <f>IF("N",'DV-IDENTITY-0'!ChatIt_IDs,"AAAAAHyvw1I=")</f>
        <v>#VALUE!</v>
      </c>
      <c r="CF28" t="e">
        <v>#VALUE!</v>
      </c>
      <c r="CG28" t="e">
        <f>IF("N",'DV-IDENTITY-0'!ChatIt_IDs,"AAAAAHyvw1Q=")</f>
        <v>#VALUE!</v>
      </c>
      <c r="CH28" t="e">
        <f>IF("N",'DV-IDENTITY-0'!ChatIt_IDs,"AAAAAHyvw1U=")</f>
        <v>#VALUE!</v>
      </c>
      <c r="CI28" t="e">
        <f>IF("N",'DV-IDENTITY-0'!ChatIt_IDs,"AAAAAHyvw1Y=")</f>
        <v>#VALUE!</v>
      </c>
      <c r="CJ28" t="e">
        <f>IF("N",'DV-IDENTITY-0'!ChatIt_IDs,"AAAAAHyvw1c=")</f>
        <v>#VALUE!</v>
      </c>
      <c r="CK28" t="e">
        <f>IF("N",'DV-IDENTITY-0'!ChatIt_IDs,"AAAAAHyvw1g=")</f>
        <v>#VALUE!</v>
      </c>
      <c r="CL28" t="e">
        <f>IF("N",'DV-IDENTITY-0'!ChatIt_IDs,"AAAAAHyvw1k=")</f>
        <v>#VALUE!</v>
      </c>
      <c r="CM28" t="e">
        <f>IF("N",'DV-IDENTITY-0'!ChatIt_IDs,"AAAAAHyvw1o=")</f>
        <v>#VALUE!</v>
      </c>
      <c r="CN28" t="e">
        <f>IF("N",'DV-IDENTITY-0'!ChatIt_IDs,"AAAAAHyvw1s=")</f>
        <v>#VALUE!</v>
      </c>
      <c r="CO28" t="e">
        <f>IF("N",'DV-IDENTITY-0'!ChatIt_IDs,"AAAAAHyvw1w=")</f>
        <v>#VALUE!</v>
      </c>
      <c r="CP28" t="e">
        <f>IF("N",'DV-IDENTITY-0'!ChatIt_IDs,"AAAAAHyvw10=")</f>
        <v>#VALUE!</v>
      </c>
      <c r="CQ28" t="e">
        <f>IF("N",'DV-IDENTITY-0'!ChatIt_IDs,"AAAAAHyvw14=")</f>
        <v>#VALUE!</v>
      </c>
      <c r="CR28" t="e">
        <f>IF("N",'DV-IDENTITY-0'!ChatItIDs,"AAAAAHyvw18=")</f>
        <v>#VALUE!</v>
      </c>
      <c r="CS28" t="e">
        <v>#VALUE!</v>
      </c>
      <c r="CT28" t="e">
        <f>IF("N",'DV-IDENTITY-0'!ChatItIDs,"AAAAAHyvw2E=")</f>
        <v>#VALUE!</v>
      </c>
      <c r="CU28" t="e">
        <f>IF("N",'DV-IDENTITY-0'!ChatItIDs,"AAAAAHyvw2I=")</f>
        <v>#VALUE!</v>
      </c>
      <c r="CV28" t="e">
        <f>IF("N",'DV-IDENTITY-0'!ChatItIDs,"AAAAAHyvw2M=")</f>
        <v>#VALUE!</v>
      </c>
      <c r="CW28" t="e">
        <f>IF("N",'DV-IDENTITY-0'!ChatItIDs,"AAAAAHyvw2Q=")</f>
        <v>#VALUE!</v>
      </c>
      <c r="CX28" t="e">
        <f>IF("N",'DV-IDENTITY-0'!ChatItIDs,"AAAAAHyvw2U=")</f>
        <v>#VALUE!</v>
      </c>
      <c r="CY28" t="e">
        <f>IF("N",'DV-IDENTITY-0'!ChatItIDs,"AAAAAHyvw2Y=")</f>
        <v>#VALUE!</v>
      </c>
      <c r="CZ28" t="e">
        <f>IF("N",'DV-IDENTITY-0'!ChatItIDs,"AAAAAHyvw2c=")</f>
        <v>#VALUE!</v>
      </c>
      <c r="DA28" t="e">
        <f>IF("N",'DV-IDENTITY-0'!ChatItIDs,"AAAAAHyvw2g=")</f>
        <v>#VALUE!</v>
      </c>
      <c r="DB28" t="e">
        <f>IF("N",'DV-IDENTITY-0'!ChatItIDs,"AAAAAHyvw2k=")</f>
        <v>#VALUE!</v>
      </c>
      <c r="DC28" t="e">
        <f>IF("N",'DV-IDENTITY-0'!ChatItIDs,"AAAAAHyvw2o=")</f>
        <v>#VALUE!</v>
      </c>
      <c r="DD28" t="e">
        <f>IF("N",'DV-IDENTITY-0'!ChatItIDs,"AAAAAHyvw2s=")</f>
        <v>#VALUE!</v>
      </c>
      <c r="DE28" t="e">
        <f>IF("N",'DV-IDENTITY-0'!MyFirstMail_IDs,"AAAAAHyvw2w=")</f>
        <v>#VALUE!</v>
      </c>
      <c r="DF28" t="e">
        <v>#VALUE!</v>
      </c>
      <c r="DG28" t="e">
        <f>IF("N",'DV-IDENTITY-0'!MyFirstMail_IDs,"AAAAAHyvw24=")</f>
        <v>#VALUE!</v>
      </c>
      <c r="DH28" t="e">
        <f>IF("N",'DV-IDENTITY-0'!MyFirstMail_IDs,"AAAAAHyvw28=")</f>
        <v>#VALUE!</v>
      </c>
      <c r="DI28" t="e">
        <f>IF("N",'DV-IDENTITY-0'!MyFirstMail_IDs,"AAAAAHyvw3A=")</f>
        <v>#VALUE!</v>
      </c>
      <c r="DJ28" t="e">
        <f>IF("N",'DV-IDENTITY-0'!MyFirstMail_IDs,"AAAAAHyvw3E=")</f>
        <v>#VALUE!</v>
      </c>
      <c r="DK28" t="e">
        <f>IF("N",'DV-IDENTITY-0'!MyFirstMail_IDs,"AAAAAHyvw3I=")</f>
        <v>#VALUE!</v>
      </c>
      <c r="DL28" t="e">
        <f>IF("N",'DV-IDENTITY-0'!MyFirstMail_IDs,"AAAAAHyvw3M=")</f>
        <v>#VALUE!</v>
      </c>
      <c r="DM28" t="e">
        <f>IF("N",'DV-IDENTITY-0'!MyFirstMail_IDs,"AAAAAHyvw3Q=")</f>
        <v>#VALUE!</v>
      </c>
      <c r="DN28" t="e">
        <f>IF("N",'DV-IDENTITY-0'!MyFirstMail_IDs,"AAAAAHyvw3U=")</f>
        <v>#VALUE!</v>
      </c>
      <c r="DO28" t="e">
        <f>IF("N",'DV-IDENTITY-0'!MyFirstMail_IDs,"AAAAAHyvw3Y=")</f>
        <v>#VALUE!</v>
      </c>
      <c r="DP28" t="e">
        <f>IF("N",'DV-IDENTITY-0'!MyFirstMail_IDs,"AAAAAHyvw3c=")</f>
        <v>#VALUE!</v>
      </c>
      <c r="DQ28" t="e">
        <f>IF("N",'DV-IDENTITY-0'!MyFirstMail_IDs,"AAAAAHyvw3g=")</f>
        <v>#VALUE!</v>
      </c>
      <c r="DR28" t="e">
        <f>IF("N",'DV-IDENTITY-0'!OnlineExamsInterface_IDs,"AAAAAHyvw3k=")</f>
        <v>#VALUE!</v>
      </c>
      <c r="DS28" t="e">
        <v>#VALUE!</v>
      </c>
      <c r="DT28" t="e">
        <f>IF("N",'DV-IDENTITY-0'!OnlineExamsInterface_IDs,"AAAAAHyvw3s=")</f>
        <v>#VALUE!</v>
      </c>
      <c r="DU28" t="e">
        <f>IF("N",'DV-IDENTITY-0'!OnlineExamsInterface_IDs,"AAAAAHyvw3w=")</f>
        <v>#VALUE!</v>
      </c>
      <c r="DV28" t="e">
        <f>IF("N",'DV-IDENTITY-0'!OnlineExamsInterface_IDs,"AAAAAHyvw30=")</f>
        <v>#VALUE!</v>
      </c>
      <c r="DW28" t="e">
        <f>IF("N",'DV-IDENTITY-0'!OnlineExamsInterface_IDs,"AAAAAHyvw34=")</f>
        <v>#VALUE!</v>
      </c>
      <c r="DX28" t="e">
        <f>IF("N",'DV-IDENTITY-0'!OnlineExamsInterface_IDs,"AAAAAHyvw38=")</f>
        <v>#VALUE!</v>
      </c>
      <c r="DY28" t="e">
        <f>IF("N",'DV-IDENTITY-0'!OnlineExamsInterface_IDs,"AAAAAHyvw4A=")</f>
        <v>#VALUE!</v>
      </c>
      <c r="DZ28" t="e">
        <f>IF("N",'DV-IDENTITY-0'!OnlineExamsInterface_IDs,"AAAAAHyvw4E=")</f>
        <v>#VALUE!</v>
      </c>
      <c r="EA28" t="e">
        <f>IF("N",'DV-IDENTITY-0'!OnlineExamsInterface_IDs,"AAAAAHyvw4I=")</f>
        <v>#VALUE!</v>
      </c>
      <c r="EB28" t="e">
        <f>IF("N",'DV-IDENTITY-0'!OnlineExamsInterface_IDs,"AAAAAHyvw4M=")</f>
        <v>#VALUE!</v>
      </c>
      <c r="EC28" t="e">
        <f>IF("N",'DV-IDENTITY-0'!OnlineExamsInterface_IDs,"AAAAAHyvw4Q=")</f>
        <v>#VALUE!</v>
      </c>
      <c r="ED28" t="e">
        <f>IF("N",'DV-IDENTITY-0'!OnlineExamsInterface_IDs,"AAAAAHyvw4U=")</f>
        <v>#VALUE!</v>
      </c>
      <c r="EE28" t="e">
        <f>IF("N",'DV-IDENTITY-0'!SUDAM_IDs,"AAAAAHyvw4Y=")</f>
        <v>#VALUE!</v>
      </c>
      <c r="EF28" t="e">
        <v>#VALUE!</v>
      </c>
      <c r="EG28" t="e">
        <f>IF("N",'DV-IDENTITY-0'!SUDAM_IDs,"AAAAAHyvw4g=")</f>
        <v>#VALUE!</v>
      </c>
      <c r="EH28" t="e">
        <f>IF("N",'DV-IDENTITY-0'!SUDAM_IDs,"AAAAAHyvw4k=")</f>
        <v>#VALUE!</v>
      </c>
      <c r="EI28" t="e">
        <f>IF("N",'DV-IDENTITY-0'!SUDAM_IDs,"AAAAAHyvw4o=")</f>
        <v>#VALUE!</v>
      </c>
      <c r="EJ28" t="e">
        <f>IF("N",'DV-IDENTITY-0'!SUDAM_IDs,"AAAAAHyvw4s=")</f>
        <v>#VALUE!</v>
      </c>
      <c r="EK28" t="e">
        <f>IF("N",'DV-IDENTITY-0'!SUDAM_IDs,"AAAAAHyvw4w=")</f>
        <v>#VALUE!</v>
      </c>
      <c r="EL28" t="e">
        <f>IF("N",'DV-IDENTITY-0'!SUDAM_IDs,"AAAAAHyvw40=")</f>
        <v>#VALUE!</v>
      </c>
      <c r="EM28" t="e">
        <f>IF("N",'DV-IDENTITY-0'!SUDAM_IDs,"AAAAAHyvw44=")</f>
        <v>#VALUE!</v>
      </c>
      <c r="EN28" t="e">
        <f>IF("N",'DV-IDENTITY-0'!SUDAM_IDs,"AAAAAHyvw48=")</f>
        <v>#VALUE!</v>
      </c>
      <c r="EO28" t="e">
        <f>IF("N",'DV-IDENTITY-0'!SUDAM_IDs,"AAAAAHyvw5A=")</f>
        <v>#VALUE!</v>
      </c>
      <c r="EP28" t="e">
        <f>IF("N",'DV-IDENTITY-0'!SUDAM_IDs,"AAAAAHyvw5E=")</f>
        <v>#VALUE!</v>
      </c>
      <c r="EQ28" t="e">
        <f>IF("N",'DV-IDENTITY-0'!SUDAM_IDs,"AAAAAHyvw5I=")</f>
        <v>#VALUE!</v>
      </c>
    </row>
    <row r="29" spans="1:147" x14ac:dyDescent="0.25">
      <c r="A29" t="e">
        <f>AND(#REF!,"AAAAAHq//QA=")</f>
        <v>#REF!</v>
      </c>
      <c r="B29" t="e">
        <f>AND(#REF!,"AAAAAHq//QE=")</f>
        <v>#REF!</v>
      </c>
      <c r="C29" t="e">
        <f>AND(#REF!,"AAAAAHq//QI=")</f>
        <v>#REF!</v>
      </c>
      <c r="D29" t="e">
        <f>AND(#REF!,"AAAAAHq//QM=")</f>
        <v>#REF!</v>
      </c>
      <c r="E29" t="e">
        <f>AND(#REF!,"AAAAAHq//QQ=")</f>
        <v>#REF!</v>
      </c>
      <c r="F29" t="e">
        <f>AND(#REF!,"AAAAAHq//QU=")</f>
        <v>#REF!</v>
      </c>
      <c r="G29" t="e">
        <f>AND(#REF!,"AAAAAHq//QY=")</f>
        <v>#REF!</v>
      </c>
      <c r="H29" t="e">
        <f>AND(#REF!,"AAAAAHq//Qc=")</f>
        <v>#REF!</v>
      </c>
      <c r="I29" t="e">
        <f>AND(#REF!,"AAAAAHq//Qg=")</f>
        <v>#REF!</v>
      </c>
      <c r="J29" t="e">
        <f>AND(#REF!,"AAAAAHq//Qk=")</f>
        <v>#REF!</v>
      </c>
      <c r="K29" t="e">
        <f>AND(#REF!,"AAAAAHq//Qo=")</f>
        <v>#REF!</v>
      </c>
      <c r="L29" t="e">
        <f>AND(#REF!,"AAAAAHq//Qs=")</f>
        <v>#REF!</v>
      </c>
      <c r="M29" t="e">
        <f>AND(#REF!,"AAAAAHq//Qw=")</f>
        <v>#REF!</v>
      </c>
      <c r="N29" t="e">
        <f>AND(#REF!,"AAAAAHq//Q0=")</f>
        <v>#REF!</v>
      </c>
      <c r="O29" t="e">
        <f>AND(#REF!,"AAAAAHq//Q4=")</f>
        <v>#REF!</v>
      </c>
      <c r="P29" t="e">
        <f>IF(#REF!,"AAAAAHq//Q8=",0)</f>
        <v>#REF!</v>
      </c>
      <c r="Q29" t="e">
        <f>IF(#REF!,"AAAAAHq//RA=",0)</f>
        <v>#REF!</v>
      </c>
    </row>
    <row r="30" spans="1:147" x14ac:dyDescent="0.25">
      <c r="A30" t="e">
        <f>AND(#REF!,"AAAAAHdd/wA=")</f>
        <v>#REF!</v>
      </c>
      <c r="B30" t="e">
        <f>AND(#REF!,"AAAAAHdd/wE=")</f>
        <v>#REF!</v>
      </c>
      <c r="C30" t="e">
        <f>AND(#REF!,"AAAAAHdd/wI=")</f>
        <v>#REF!</v>
      </c>
      <c r="D30" t="e">
        <f>AND(#REF!,"AAAAAHdd/wM=")</f>
        <v>#REF!</v>
      </c>
      <c r="E30" t="e">
        <f>AND(#REF!,"AAAAAHdd/wQ=")</f>
        <v>#REF!</v>
      </c>
      <c r="F30" t="e">
        <f>AND(#REF!,"AAAAAHdd/wU=")</f>
        <v>#REF!</v>
      </c>
      <c r="G30" t="e">
        <f>AND(#REF!,"AAAAAHdd/wY=")</f>
        <v>#REF!</v>
      </c>
      <c r="H30" t="e">
        <f>AND(#REF!,"AAAAAHdd/wc=")</f>
        <v>#REF!</v>
      </c>
      <c r="I30" t="e">
        <f>AND(#REF!,"AAAAAHdd/wg=")</f>
        <v>#REF!</v>
      </c>
      <c r="J30" t="e">
        <f>AND(#REF!,"AAAAAHdd/wk=")</f>
        <v>#REF!</v>
      </c>
      <c r="K30" t="e">
        <f>AND(#REF!,"AAAAAHdd/wo=")</f>
        <v>#REF!</v>
      </c>
      <c r="L30" t="e">
        <f>AND(#REF!,"AAAAAHdd/ws=")</f>
        <v>#REF!</v>
      </c>
      <c r="M30" t="e">
        <f>AND(#REF!,"AAAAAHdd/ww=")</f>
        <v>#REF!</v>
      </c>
      <c r="N30" t="e">
        <f>AND(#REF!,"AAAAAHdd/w0=")</f>
        <v>#REF!</v>
      </c>
      <c r="O30" t="e">
        <f>AND(#REF!,"AAAAAHdd/w4=")</f>
        <v>#REF!</v>
      </c>
      <c r="P30" t="e">
        <f>AND(#REF!,"AAAAAHdd/w8=")</f>
        <v>#REF!</v>
      </c>
      <c r="Q30" t="e">
        <f>AND(#REF!,"AAAAAHdd/xA=")</f>
        <v>#REF!</v>
      </c>
      <c r="R30" t="e">
        <f>AND(#REF!,"AAAAAHdd/xE=")</f>
        <v>#REF!</v>
      </c>
      <c r="S30" t="e">
        <f>AND(#REF!,"AAAAAHdd/xI=")</f>
        <v>#REF!</v>
      </c>
      <c r="T30" t="e">
        <f>AND(#REF!,"AAAAAHdd/xM=")</f>
        <v>#REF!</v>
      </c>
      <c r="U30" t="e">
        <f>AND(#REF!,"AAAAAHdd/xQ=")</f>
        <v>#REF!</v>
      </c>
      <c r="V30" t="e">
        <f>AND(#REF!,"AAAAAHdd/xU=")</f>
        <v>#REF!</v>
      </c>
      <c r="W30" t="e">
        <f>AND(#REF!,"AAAAAHdd/xY=")</f>
        <v>#REF!</v>
      </c>
      <c r="X30" t="e">
        <f>IF(#REF!,"AAAAAHdd/xc=",0)</f>
        <v>#REF!</v>
      </c>
    </row>
    <row r="31" spans="1:147" x14ac:dyDescent="0.25">
      <c r="A31" t="e">
        <f>AND(#REF!,"AAAAAHx93wA=")</f>
        <v>#REF!</v>
      </c>
      <c r="B31" t="e">
        <f>AND(#REF!,"AAAAAHx93wE=")</f>
        <v>#REF!</v>
      </c>
      <c r="C31" t="e">
        <f>AND(#REF!,"AAAAAHx93wI=")</f>
        <v>#REF!</v>
      </c>
      <c r="D31" t="e">
        <f>AND(#REF!,"AAAAAHx93wM=")</f>
        <v>#REF!</v>
      </c>
      <c r="E31" t="e">
        <f>AND(#REF!,"AAAAAHx93wQ=")</f>
        <v>#REF!</v>
      </c>
      <c r="F31" t="e">
        <f>AND(#REF!,"AAAAAHx93wU=")</f>
        <v>#REF!</v>
      </c>
    </row>
    <row r="32" spans="1:147" x14ac:dyDescent="0.25">
      <c r="A32" t="e">
        <f>IF("N",'DV-IDENTITY-0'!AHDA_IDs,"AAAAAH//6QA=")</f>
        <v>#VALUE!</v>
      </c>
      <c r="B32" t="e">
        <v>#VALUE!</v>
      </c>
      <c r="C32" t="e">
        <f>IF("N",'DV-IDENTITY-0'!AHDA_IDs,"AAAAAH//6QI=")</f>
        <v>#VALUE!</v>
      </c>
      <c r="D32" t="e">
        <f>IF("N",'DV-IDENTITY-0'!AHDA_IDs,"AAAAAH//6QM=")</f>
        <v>#VALUE!</v>
      </c>
      <c r="E32" t="e">
        <f>IF("N",'DV-IDENTITY-0'!AHDA_IDs,"AAAAAH//6QQ=")</f>
        <v>#VALUE!</v>
      </c>
      <c r="F32" t="e">
        <f>IF("N",'DV-IDENTITY-0'!AHDA_IDs,"AAAAAH//6QU=")</f>
        <v>#VALUE!</v>
      </c>
      <c r="G32" t="e">
        <f>IF("N",'DV-IDENTITY-0'!AHDA_IDs,"AAAAAH//6QY=")</f>
        <v>#VALUE!</v>
      </c>
      <c r="H32" t="e">
        <f>IF("N",'DV-IDENTITY-0'!AHDA_IDs,"AAAAAH//6Qc=")</f>
        <v>#VALUE!</v>
      </c>
      <c r="I32" t="e">
        <f>IF("N",'DV-IDENTITY-0'!AHDA_IDs,"AAAAAH//6Qg=")</f>
        <v>#VALUE!</v>
      </c>
      <c r="J32" t="e">
        <f>IF("N",'DV-IDENTITY-0'!AHDA_IDs,"AAAAAH//6Qk=")</f>
        <v>#VALUE!</v>
      </c>
      <c r="K32" t="e">
        <f>IF("N",'DV-IDENTITY-0'!AHDA_IDs,"AAAAAH//6Qo=")</f>
        <v>#VALUE!</v>
      </c>
      <c r="L32" t="e">
        <f>IF("N",'DV-IDENTITY-0'!AHDA_IDs,"AAAAAH//6Qs=")</f>
        <v>#VALUE!</v>
      </c>
      <c r="M32" t="e">
        <f>IF("N",'DV-IDENTITY-0'!AHDA_IDs,"AAAAAH//6Qw=")</f>
        <v>#VALUE!</v>
      </c>
      <c r="N32" t="e">
        <f>IF("N",'DV-IDENTITY-0'!BestSeller_IDs,"AAAAAH//6Q0=")</f>
        <v>#VALUE!</v>
      </c>
      <c r="O32" t="e">
        <v>#VALUE!</v>
      </c>
      <c r="P32" t="e">
        <f>IF("N",'DV-IDENTITY-0'!BestSeller_IDs,"AAAAAH//6Q8=")</f>
        <v>#VALUE!</v>
      </c>
      <c r="Q32" t="e">
        <f>IF("N",'DV-IDENTITY-0'!BestSeller_IDs,"AAAAAH//6RA=")</f>
        <v>#VALUE!</v>
      </c>
      <c r="R32" t="e">
        <f>IF("N",'DV-IDENTITY-0'!BestSeller_IDs,"AAAAAH//6RE=")</f>
        <v>#VALUE!</v>
      </c>
      <c r="S32" t="e">
        <f>IF("N",'DV-IDENTITY-0'!BestSeller_IDs,"AAAAAH//6RI=")</f>
        <v>#VALUE!</v>
      </c>
      <c r="T32" t="e">
        <f>IF("N",'DV-IDENTITY-0'!BestSeller_IDs,"AAAAAH//6RM=")</f>
        <v>#VALUE!</v>
      </c>
      <c r="U32" t="e">
        <f>IF("N",'DV-IDENTITY-0'!BestSeller_IDs,"AAAAAH//6RQ=")</f>
        <v>#VALUE!</v>
      </c>
      <c r="V32" t="e">
        <f>IF("N",'DV-IDENTITY-0'!BestSeller_IDs,"AAAAAH//6RU=")</f>
        <v>#VALUE!</v>
      </c>
      <c r="W32" t="e">
        <f>IF("N",'DV-IDENTITY-0'!BestSeller_IDs,"AAAAAH//6RY=")</f>
        <v>#VALUE!</v>
      </c>
      <c r="X32" t="e">
        <f>IF("N",'DV-IDENTITY-0'!BestSeller_IDs,"AAAAAH//6Rc=")</f>
        <v>#VALUE!</v>
      </c>
      <c r="Y32" t="e">
        <f>IF("N",'DV-IDENTITY-0'!BestSeller_IDs,"AAAAAH//6Rg=")</f>
        <v>#VALUE!</v>
      </c>
      <c r="Z32" t="e">
        <f>IF("N",'DV-IDENTITY-0'!BestSeller_IDs,"AAAAAH//6Rk=")</f>
        <v>#VALUE!</v>
      </c>
      <c r="AA32" t="e">
        <v>#VALUE!</v>
      </c>
      <c r="AB32" t="e">
        <v>#VALUE!</v>
      </c>
      <c r="AC32" t="e">
        <v>#VALUE!</v>
      </c>
      <c r="AD32" t="e">
        <v>#VALUE!</v>
      </c>
      <c r="AE32" t="e">
        <v>#VALUE!</v>
      </c>
      <c r="AF32" t="e">
        <v>#VALUE!</v>
      </c>
      <c r="AG32" t="e">
        <v>#VALUE!</v>
      </c>
      <c r="AH32" t="e">
        <v>#VALUE!</v>
      </c>
      <c r="AI32" t="e">
        <v>#VALUE!</v>
      </c>
      <c r="AJ32" t="e">
        <v>#VALUE!</v>
      </c>
      <c r="AK32" t="e">
        <v>#VALUE!</v>
      </c>
      <c r="AL32" t="e">
        <v>#VALUE!</v>
      </c>
      <c r="AM32" t="e">
        <v>#VALUE!</v>
      </c>
      <c r="AN32" t="e">
        <f>IF("N",'DV-IDENTITY-0'!ChatIt,"AAAAAH//6Sc=")</f>
        <v>#VALUE!</v>
      </c>
      <c r="AO32" t="e">
        <v>#VALUE!</v>
      </c>
      <c r="AP32" t="e">
        <f>IF("N",'DV-IDENTITY-0'!ChatIt,"AAAAAH//6Sk=")</f>
        <v>#VALUE!</v>
      </c>
      <c r="AQ32" t="e">
        <f>IF("N",'DV-IDENTITY-0'!ChatIt,"AAAAAH//6So=")</f>
        <v>#VALUE!</v>
      </c>
      <c r="AR32" t="e">
        <f>IF("N",'DV-IDENTITY-0'!ChatIt,"AAAAAH//6Ss=")</f>
        <v>#VALUE!</v>
      </c>
      <c r="AS32" t="e">
        <f>IF("N",'DV-IDENTITY-0'!ChatIt,"AAAAAH//6Sw=")</f>
        <v>#VALUE!</v>
      </c>
      <c r="AT32" t="e">
        <f>IF("N",'DV-IDENTITY-0'!ChatIt,"AAAAAH//6S0=")</f>
        <v>#VALUE!</v>
      </c>
      <c r="AU32" t="e">
        <f>IF("N",'DV-IDENTITY-0'!ChatIt,"AAAAAH//6S4=")</f>
        <v>#VALUE!</v>
      </c>
      <c r="AV32" t="e">
        <f>IF("N",'DV-IDENTITY-0'!ChatIt,"AAAAAH//6S8=")</f>
        <v>#VALUE!</v>
      </c>
      <c r="AW32" t="e">
        <f>IF("N",'DV-IDENTITY-0'!ChatIt,"AAAAAH//6TA=")</f>
        <v>#VALUE!</v>
      </c>
      <c r="AX32" t="e">
        <f>IF("N",'DV-IDENTITY-0'!ChatIt,"AAAAAH//6TE=")</f>
        <v>#VALUE!</v>
      </c>
      <c r="AY32" t="e">
        <f>IF("N",'DV-IDENTITY-0'!ChatIt,"AAAAAH//6TI=")</f>
        <v>#VALUE!</v>
      </c>
      <c r="AZ32" t="e">
        <f>IF("N",'DV-IDENTITY-0'!ChatIt,"AAAAAH//6TM=")</f>
        <v>#VALUE!</v>
      </c>
      <c r="BA32" t="e">
        <f>IF("N",'DV-IDENTITY-0'!ChatIt_IDs,"AAAAAH//6TQ=")</f>
        <v>#VALUE!</v>
      </c>
      <c r="BB32" t="e">
        <v>#VALUE!</v>
      </c>
      <c r="BC32" t="e">
        <f>IF("N",'DV-IDENTITY-0'!ChatIt_IDs,"AAAAAH//6TY=")</f>
        <v>#VALUE!</v>
      </c>
      <c r="BD32" t="e">
        <f>IF("N",'DV-IDENTITY-0'!ChatIt_IDs,"AAAAAH//6Tc=")</f>
        <v>#VALUE!</v>
      </c>
      <c r="BE32" t="e">
        <f>IF("N",'DV-IDENTITY-0'!ChatIt_IDs,"AAAAAH//6Tg=")</f>
        <v>#VALUE!</v>
      </c>
      <c r="BF32" t="e">
        <f>IF("N",'DV-IDENTITY-0'!ChatIt_IDs,"AAAAAH//6Tk=")</f>
        <v>#VALUE!</v>
      </c>
      <c r="BG32" t="e">
        <f>IF("N",'DV-IDENTITY-0'!ChatIt_IDs,"AAAAAH//6To=")</f>
        <v>#VALUE!</v>
      </c>
      <c r="BH32" t="e">
        <f>IF("N",'DV-IDENTITY-0'!ChatIt_IDs,"AAAAAH//6Ts=")</f>
        <v>#VALUE!</v>
      </c>
      <c r="BI32" t="e">
        <f>IF("N",'DV-IDENTITY-0'!ChatIt_IDs,"AAAAAH//6Tw=")</f>
        <v>#VALUE!</v>
      </c>
      <c r="BJ32" t="e">
        <f>IF("N",'DV-IDENTITY-0'!ChatIt_IDs,"AAAAAH//6T0=")</f>
        <v>#VALUE!</v>
      </c>
      <c r="BK32" t="e">
        <f>IF("N",'DV-IDENTITY-0'!ChatIt_IDs,"AAAAAH//6T4=")</f>
        <v>#VALUE!</v>
      </c>
      <c r="BL32" t="e">
        <f>IF("N",'DV-IDENTITY-0'!ChatIt_IDs,"AAAAAH//6T8=")</f>
        <v>#VALUE!</v>
      </c>
      <c r="BM32" t="e">
        <f>IF("N",'DV-IDENTITY-0'!ChatIt_IDs,"AAAAAH//6UA=")</f>
        <v>#VALUE!</v>
      </c>
      <c r="BN32" t="e">
        <f>IF("N",'DV-IDENTITY-0'!ChatItIDs,"AAAAAH//6UE=")</f>
        <v>#VALUE!</v>
      </c>
      <c r="BO32" t="e">
        <v>#VALUE!</v>
      </c>
      <c r="BP32" t="e">
        <f>IF("N",'DV-IDENTITY-0'!ChatItIDs,"AAAAAH//6UM=")</f>
        <v>#VALUE!</v>
      </c>
      <c r="BQ32" t="e">
        <f>IF("N",'DV-IDENTITY-0'!ChatItIDs,"AAAAAH//6UQ=")</f>
        <v>#VALUE!</v>
      </c>
      <c r="BR32" t="e">
        <f>IF("N",'DV-IDENTITY-0'!ChatItIDs,"AAAAAH//6UU=")</f>
        <v>#VALUE!</v>
      </c>
      <c r="BS32" t="e">
        <f>IF("N",'DV-IDENTITY-0'!ChatItIDs,"AAAAAH//6UY=")</f>
        <v>#VALUE!</v>
      </c>
      <c r="BT32" t="e">
        <f>IF("N",'DV-IDENTITY-0'!ChatItIDs,"AAAAAH//6Uc=")</f>
        <v>#VALUE!</v>
      </c>
      <c r="BU32" t="e">
        <f>IF("N",'DV-IDENTITY-0'!ChatItIDs,"AAAAAH//6Ug=")</f>
        <v>#VALUE!</v>
      </c>
      <c r="BV32" t="e">
        <f>IF("N",'DV-IDENTITY-0'!ChatItIDs,"AAAAAH//6Uk=")</f>
        <v>#VALUE!</v>
      </c>
      <c r="BW32" t="e">
        <f>IF("N",'DV-IDENTITY-0'!ChatItIDs,"AAAAAH//6Uo=")</f>
        <v>#VALUE!</v>
      </c>
      <c r="BX32" t="e">
        <f>IF("N",'DV-IDENTITY-0'!ChatItIDs,"AAAAAH//6Us=")</f>
        <v>#VALUE!</v>
      </c>
      <c r="BY32" t="e">
        <f>IF("N",'DV-IDENTITY-0'!ChatItIDs,"AAAAAH//6Uw=")</f>
        <v>#VALUE!</v>
      </c>
      <c r="BZ32" t="e">
        <f>IF("N",'DV-IDENTITY-0'!ChatItIDs,"AAAAAH//6U0=")</f>
        <v>#VALUE!</v>
      </c>
      <c r="CA32" t="e">
        <f>IF("N",'DV-IDENTITY-0'!MyFirstMail_IDs,"AAAAAH//6U4=")</f>
        <v>#VALUE!</v>
      </c>
      <c r="CB32" t="e">
        <v>#VALUE!</v>
      </c>
      <c r="CC32" t="e">
        <f>IF("N",'DV-IDENTITY-0'!MyFirstMail_IDs,"AAAAAH//6VA=")</f>
        <v>#VALUE!</v>
      </c>
      <c r="CD32" t="e">
        <f>IF("N",'DV-IDENTITY-0'!MyFirstMail_IDs,"AAAAAH//6VE=")</f>
        <v>#VALUE!</v>
      </c>
      <c r="CE32" t="e">
        <f>IF("N",'DV-IDENTITY-0'!MyFirstMail_IDs,"AAAAAH//6VI=")</f>
        <v>#VALUE!</v>
      </c>
      <c r="CF32" t="e">
        <f>IF("N",'DV-IDENTITY-0'!MyFirstMail_IDs,"AAAAAH//6VM=")</f>
        <v>#VALUE!</v>
      </c>
      <c r="CG32" t="e">
        <f>IF("N",'DV-IDENTITY-0'!MyFirstMail_IDs,"AAAAAH//6VQ=")</f>
        <v>#VALUE!</v>
      </c>
      <c r="CH32" t="e">
        <f>IF("N",'DV-IDENTITY-0'!MyFirstMail_IDs,"AAAAAH//6VU=")</f>
        <v>#VALUE!</v>
      </c>
      <c r="CI32" t="e">
        <f>IF("N",'DV-IDENTITY-0'!MyFirstMail_IDs,"AAAAAH//6VY=")</f>
        <v>#VALUE!</v>
      </c>
      <c r="CJ32" t="e">
        <f>IF("N",'DV-IDENTITY-0'!MyFirstMail_IDs,"AAAAAH//6Vc=")</f>
        <v>#VALUE!</v>
      </c>
      <c r="CK32" t="e">
        <f>IF("N",'DV-IDENTITY-0'!MyFirstMail_IDs,"AAAAAH//6Vg=")</f>
        <v>#VALUE!</v>
      </c>
      <c r="CL32" t="e">
        <f>IF("N",'DV-IDENTITY-0'!MyFirstMail_IDs,"AAAAAH//6Vk=")</f>
        <v>#VALUE!</v>
      </c>
      <c r="CM32" t="e">
        <f>IF("N",'DV-IDENTITY-0'!MyFirstMail_IDs,"AAAAAH//6Vo=")</f>
        <v>#VALUE!</v>
      </c>
      <c r="CN32" t="e">
        <f>IF("N",'DV-IDENTITY-0'!OnlineExamsInterface_IDs,"AAAAAH//6Vs=")</f>
        <v>#VALUE!</v>
      </c>
      <c r="CO32" t="e">
        <v>#VALUE!</v>
      </c>
      <c r="CP32" t="e">
        <f>IF("N",'DV-IDENTITY-0'!OnlineExamsInterface_IDs,"AAAAAH//6V0=")</f>
        <v>#VALUE!</v>
      </c>
      <c r="CQ32" t="e">
        <f>IF("N",'DV-IDENTITY-0'!OnlineExamsInterface_IDs,"AAAAAH//6V4=")</f>
        <v>#VALUE!</v>
      </c>
      <c r="CR32" t="e">
        <f>IF("N",'DV-IDENTITY-0'!OnlineExamsInterface_IDs,"AAAAAH//6V8=")</f>
        <v>#VALUE!</v>
      </c>
      <c r="CS32" t="e">
        <f>IF("N",'DV-IDENTITY-0'!OnlineExamsInterface_IDs,"AAAAAH//6WA=")</f>
        <v>#VALUE!</v>
      </c>
      <c r="CT32" t="e">
        <f>IF("N",'DV-IDENTITY-0'!OnlineExamsInterface_IDs,"AAAAAH//6WE=")</f>
        <v>#VALUE!</v>
      </c>
      <c r="CU32" t="e">
        <f>IF("N",'DV-IDENTITY-0'!OnlineExamsInterface_IDs,"AAAAAH//6WI=")</f>
        <v>#VALUE!</v>
      </c>
      <c r="CV32" t="e">
        <f>IF("N",'DV-IDENTITY-0'!OnlineExamsInterface_IDs,"AAAAAH//6WM=")</f>
        <v>#VALUE!</v>
      </c>
      <c r="CW32" t="e">
        <f>IF("N",'DV-IDENTITY-0'!OnlineExamsInterface_IDs,"AAAAAH//6WQ=")</f>
        <v>#VALUE!</v>
      </c>
      <c r="CX32" t="e">
        <f>IF("N",'DV-IDENTITY-0'!OnlineExamsInterface_IDs,"AAAAAH//6WU=")</f>
        <v>#VALUE!</v>
      </c>
      <c r="CY32" t="e">
        <f>IF("N",'DV-IDENTITY-0'!OnlineExamsInterface_IDs,"AAAAAH//6WY=")</f>
        <v>#VALUE!</v>
      </c>
      <c r="CZ32" t="e">
        <f>IF("N",'DV-IDENTITY-0'!OnlineExamsInterface_IDs,"AAAAAH//6Wc=")</f>
        <v>#VALUE!</v>
      </c>
      <c r="DA32" t="e">
        <f>IF("N",'DV-IDENTITY-0'!SUDAM_IDs,"AAAAAH//6Wg=")</f>
        <v>#VALUE!</v>
      </c>
      <c r="DB32" t="e">
        <v>#VALUE!</v>
      </c>
      <c r="DC32" t="e">
        <f>IF("N",'DV-IDENTITY-0'!SUDAM_IDs,"AAAAAH//6Wo=")</f>
        <v>#VALUE!</v>
      </c>
      <c r="DD32" t="e">
        <f>IF("N",'DV-IDENTITY-0'!SUDAM_IDs,"AAAAAH//6Ws=")</f>
        <v>#VALUE!</v>
      </c>
      <c r="DE32" t="e">
        <f>IF("N",'DV-IDENTITY-0'!SUDAM_IDs,"AAAAAH//6Ww=")</f>
        <v>#VALUE!</v>
      </c>
      <c r="DF32" t="e">
        <f>IF("N",'DV-IDENTITY-0'!SUDAM_IDs,"AAAAAH//6W0=")</f>
        <v>#VALUE!</v>
      </c>
      <c r="DG32" t="e">
        <f>IF("N",'DV-IDENTITY-0'!SUDAM_IDs,"AAAAAH//6W4=")</f>
        <v>#VALUE!</v>
      </c>
      <c r="DH32" t="e">
        <f>IF("N",'DV-IDENTITY-0'!SUDAM_IDs,"AAAAAH//6W8=")</f>
        <v>#VALUE!</v>
      </c>
      <c r="DI32" t="e">
        <f>IF("N",'DV-IDENTITY-0'!SUDAM_IDs,"AAAAAH//6XA=")</f>
        <v>#VALUE!</v>
      </c>
      <c r="DJ32" t="e">
        <f>IF("N",'DV-IDENTITY-0'!SUDAM_IDs,"AAAAAH//6XE=")</f>
        <v>#VALUE!</v>
      </c>
      <c r="DK32" t="e">
        <f>IF("N",'DV-IDENTITY-0'!SUDAM_IDs,"AAAAAH//6XI=")</f>
        <v>#VALUE!</v>
      </c>
      <c r="DL32" t="e">
        <f>IF("N",'DV-IDENTITY-0'!SUDAM_IDs,"AAAAAH//6XM=")</f>
        <v>#VALUE!</v>
      </c>
      <c r="DM32" t="e">
        <f>IF("N",'DV-IDENTITY-0'!SUDAM_IDs,"AAAAAH//6XQ=")</f>
        <v>#VALUE!</v>
      </c>
      <c r="DN32" t="e">
        <f>AND(#REF!,"AAAAAHI/cgA=")</f>
        <v>#REF!</v>
      </c>
      <c r="DO32" t="e">
        <f>AND(#REF!,"AAAAAHI/cgI=")</f>
        <v>#REF!</v>
      </c>
      <c r="DP32" t="e">
        <f>AND(#REF!,"AAAAAHI/cgQ=")</f>
        <v>#REF!</v>
      </c>
      <c r="DQ32" t="e">
        <f>AND(#REF!,"AAAAAHI/cgY=")</f>
        <v>#REF!</v>
      </c>
      <c r="DR32" t="e">
        <f>AND(#REF!,"AAAAAHI/cgg=")</f>
        <v>#REF!</v>
      </c>
      <c r="DS32" t="e">
        <f>AND(#REF!,"AAAAAHI/cgo=")</f>
        <v>#REF!</v>
      </c>
      <c r="DT32" t="e">
        <f>AND(#REF!,"AAAAAHI/cgE=")</f>
        <v>#REF!</v>
      </c>
      <c r="DU32" t="e">
        <f>AND(#REF!,"AAAAAHI/cgM=")</f>
        <v>#REF!</v>
      </c>
      <c r="DV32" t="e">
        <f>AND(#REF!,"AAAAAHI/cgU=")</f>
        <v>#REF!</v>
      </c>
      <c r="DW32" t="e">
        <f>AND(#REF!,"AAAAAHI/cgc=")</f>
        <v>#REF!</v>
      </c>
      <c r="DX32" t="e">
        <f>AND(#REF!,"AAAAAHI/cgk=")</f>
        <v>#REF!</v>
      </c>
      <c r="DY32" t="e">
        <f>AND(#REF!,"AAAAAHI/cgs=")</f>
        <v>#REF!</v>
      </c>
      <c r="DZ32" t="e">
        <f>AND(#REF!,"AAAAAHI/cg0=")</f>
        <v>#REF!</v>
      </c>
      <c r="EA32" t="e">
        <f>AND(#REF!,"AAAAAHI/cgw=")</f>
        <v>#REF!</v>
      </c>
    </row>
    <row r="33" spans="1:120" x14ac:dyDescent="0.25">
      <c r="A33" t="e">
        <f>AND(#REF!,"AAAAAD/z9wA=")</f>
        <v>#REF!</v>
      </c>
      <c r="B33" t="e">
        <f>AND(#REF!,"AAAAAD/z9wE=")</f>
        <v>#REF!</v>
      </c>
      <c r="C33" t="e">
        <f>AND(#REF!,"AAAAAD/z9wI=")</f>
        <v>#REF!</v>
      </c>
      <c r="D33" t="e">
        <f>AND(#REF!,"AAAAAD/z9wM=")</f>
        <v>#REF!</v>
      </c>
      <c r="E33" t="e">
        <f>AND(#REF!,"AAAAAD/z9wQ=")</f>
        <v>#REF!</v>
      </c>
      <c r="F33" t="e">
        <f>AND(#REF!,"AAAAAD/z9wU=")</f>
        <v>#REF!</v>
      </c>
      <c r="G33" t="e">
        <f>AND(#REF!,"AAAAAD/z9wY=")</f>
        <v>#REF!</v>
      </c>
      <c r="H33" t="e">
        <f>AND(#REF!,"AAAAAD/z9wc=")</f>
        <v>#REF!</v>
      </c>
      <c r="I33" t="e">
        <f>AND(#REF!,"AAAAAD/z9wg=")</f>
        <v>#REF!</v>
      </c>
      <c r="J33" t="e">
        <f>IF(#REF!,"AAAAAD/z9wk=",0)</f>
        <v>#REF!</v>
      </c>
    </row>
    <row r="34" spans="1:120" x14ac:dyDescent="0.25">
      <c r="A34" t="e">
        <f>IF("N",'DV-IDENTITY-0'!AHDA_IDs,"AAAAAFe/fgA=")</f>
        <v>#VALUE!</v>
      </c>
      <c r="B34" t="e">
        <f>IF("N",'DV-IDENTITY-0'!AHDA_IDs,"AAAAAFe/fgE=")</f>
        <v>#VALUE!</v>
      </c>
      <c r="C34" t="e">
        <f>IF("N",'Iter4-Final'!AHDA_IDs,"AAAAAFe/fgI=")</f>
        <v>#VALUE!</v>
      </c>
      <c r="D34" t="e">
        <f>IF("N",'DV-IDENTITY-0'!AHDA_IDs,"AAAAAFe/fgM=")</f>
        <v>#VALUE!</v>
      </c>
      <c r="E34" t="e">
        <f>IF("N",'DV-IDENTITY-0'!AHDA_IDs,"AAAAAFe/fgQ=")</f>
        <v>#VALUE!</v>
      </c>
      <c r="F34" t="e">
        <f>IF("N",'DV-IDENTITY-0'!AHDA_IDs,"AAAAAFe/fgU=")</f>
        <v>#VALUE!</v>
      </c>
      <c r="G34" t="e">
        <f>IF("N",'DV-IDENTITY-0'!AHDA_IDs,"AAAAAFe/fgY=")</f>
        <v>#VALUE!</v>
      </c>
      <c r="H34" t="e">
        <f>IF("N",'DV-IDENTITY-0'!AHDA_IDs,"AAAAAFe/fgc=")</f>
        <v>#VALUE!</v>
      </c>
      <c r="I34" t="e">
        <f>IF("N",'DV-IDENTITY-0'!AHDA_IDs,"AAAAAFe/fgg=")</f>
        <v>#VALUE!</v>
      </c>
      <c r="J34" t="e">
        <f>IF("N",'DV-IDENTITY-0'!AHDA_IDs,"AAAAAFe/fgk=")</f>
        <v>#VALUE!</v>
      </c>
      <c r="K34" t="e">
        <f>IF("N",'Project- Total grade'!AHDA_IDs,"AAAAAFe/fgo=")</f>
        <v>#VALUE!</v>
      </c>
      <c r="L34" t="e">
        <f>IF("N",'DV-IDENTITY-0'!AHDA_IDs,"AAAAAFe/fgs=")</f>
        <v>#VALUE!</v>
      </c>
      <c r="M34" t="e">
        <f>IF("N",'DV-IDENTITY-0'!AHDA_IDs,"AAAAAFe/fgw=")</f>
        <v>#VALUE!</v>
      </c>
      <c r="N34" t="e">
        <f>IF("N",'DV-IDENTITY-0'!BestSeller_IDs,"AAAAAFe/fg0=")</f>
        <v>#VALUE!</v>
      </c>
      <c r="O34" t="e">
        <f>IF("N",'DV-IDENTITY-0'!BestSeller_IDs,"AAAAAFe/fg4=")</f>
        <v>#VALUE!</v>
      </c>
      <c r="P34" t="e">
        <f>IF("N",'Iter4-Final'!BestSeller_IDs,"AAAAAFe/fg8=")</f>
        <v>#VALUE!</v>
      </c>
      <c r="Q34" t="e">
        <f>IF("N",'DV-IDENTITY-0'!BestSeller_IDs,"AAAAAFe/fhA=")</f>
        <v>#VALUE!</v>
      </c>
      <c r="R34" t="e">
        <f>IF("N",'DV-IDENTITY-0'!BestSeller_IDs,"AAAAAFe/fhE=")</f>
        <v>#VALUE!</v>
      </c>
      <c r="S34" t="e">
        <f>IF("N",'DV-IDENTITY-0'!BestSeller_IDs,"AAAAAFe/fhI=")</f>
        <v>#VALUE!</v>
      </c>
      <c r="T34" t="e">
        <f>IF("N",'DV-IDENTITY-0'!BestSeller_IDs,"AAAAAFe/fhM=")</f>
        <v>#VALUE!</v>
      </c>
      <c r="U34" t="e">
        <f>IF("N",'DV-IDENTITY-0'!BestSeller_IDs,"AAAAAFe/fhQ=")</f>
        <v>#VALUE!</v>
      </c>
      <c r="V34" t="e">
        <f>IF("N",'DV-IDENTITY-0'!BestSeller_IDs,"AAAAAFe/fhU=")</f>
        <v>#VALUE!</v>
      </c>
      <c r="W34" t="e">
        <f>IF("N",'DV-IDENTITY-0'!BestSeller_IDs,"AAAAAFe/fhY=")</f>
        <v>#VALUE!</v>
      </c>
      <c r="X34" t="e">
        <f>IF("N",'Project- Total grade'!BestSeller_IDs,"AAAAAFe/fhc=")</f>
        <v>#VALUE!</v>
      </c>
      <c r="Y34" t="e">
        <f>IF("N",'DV-IDENTITY-0'!BestSeller_IDs,"AAAAAFe/fhg=")</f>
        <v>#VALUE!</v>
      </c>
      <c r="Z34" t="e">
        <f>IF("N",'DV-IDENTITY-0'!BestSeller_IDs,"AAAAAFe/fhk=")</f>
        <v>#VALUE!</v>
      </c>
      <c r="AA34" t="e">
        <f>IF("N",'DV-IDENTITY-0'!CarPool_IDs,"AAAAAFe/fho=")</f>
        <v>#VALUE!</v>
      </c>
      <c r="AB34" t="e">
        <f>IF("N",'DV-IDENTITY-0'!CarPool_IDs,"AAAAAFe/fhs=")</f>
        <v>#VALUE!</v>
      </c>
      <c r="AC34" t="e">
        <f>IF("N",'Iter4-Final'!CarPool_IDs,"AAAAAFe/fhw=")</f>
        <v>#VALUE!</v>
      </c>
      <c r="AD34" t="e">
        <f>IF("N",'DV-IDENTITY-0'!CarPool_IDs,"AAAAAFe/fh0=")</f>
        <v>#VALUE!</v>
      </c>
      <c r="AE34" t="e">
        <f>IF("N",'DV-IDENTITY-0'!CarPool_IDs,"AAAAAFe/fh4=")</f>
        <v>#VALUE!</v>
      </c>
      <c r="AF34" t="e">
        <f>IF("N",'DV-IDENTITY-0'!CarPool_IDs,"AAAAAFe/fh8=")</f>
        <v>#VALUE!</v>
      </c>
      <c r="AG34" t="e">
        <f>IF("N",'DV-IDENTITY-0'!CarPool_IDs,"AAAAAFe/fiA=")</f>
        <v>#VALUE!</v>
      </c>
      <c r="AH34" t="e">
        <f>IF("N",'DV-IDENTITY-0'!CarPool_IDs,"AAAAAFe/fiE=")</f>
        <v>#VALUE!</v>
      </c>
      <c r="AI34" t="e">
        <f>IF("N",'DV-IDENTITY-0'!CarPool_IDs,"AAAAAFe/fiI=")</f>
        <v>#VALUE!</v>
      </c>
      <c r="AJ34" t="e">
        <f>IF("N",'DV-IDENTITY-0'!CarPool_IDs,"AAAAAFe/fiM=")</f>
        <v>#VALUE!</v>
      </c>
      <c r="AK34" t="e">
        <f>IF("N",'Project- Total grade'!CarPool_IDs,"AAAAAFe/fiQ=")</f>
        <v>#VALUE!</v>
      </c>
      <c r="AL34" t="e">
        <f>IF("N",'DV-IDENTITY-0'!CarPool_IDs,"AAAAAFe/fiU=")</f>
        <v>#VALUE!</v>
      </c>
      <c r="AM34" t="e">
        <f>IF("N",'DV-IDENTITY-0'!CarPool_IDs,"AAAAAFe/fiY=")</f>
        <v>#VALUE!</v>
      </c>
      <c r="AN34" t="e">
        <f>IF("N",'DV-IDENTITY-0'!ChatIt,"AAAAAFe/fic=")</f>
        <v>#VALUE!</v>
      </c>
      <c r="AO34" t="e">
        <f>IF("N",'DV-IDENTITY-0'!ChatIt,"AAAAAFe/fig=")</f>
        <v>#VALUE!</v>
      </c>
      <c r="AP34" t="e">
        <f>IF("N",'Iter4-Final'!ChatIt,"AAAAAFe/fik=")</f>
        <v>#VALUE!</v>
      </c>
      <c r="AQ34" t="e">
        <f>IF("N",'DV-IDENTITY-0'!ChatIt,"AAAAAFe/fio=")</f>
        <v>#VALUE!</v>
      </c>
      <c r="AR34" t="e">
        <f>IF("N",'DV-IDENTITY-0'!ChatIt,"AAAAAFe/fis=")</f>
        <v>#VALUE!</v>
      </c>
      <c r="AS34" t="e">
        <f>IF("N",'DV-IDENTITY-0'!ChatIt,"AAAAAFe/fiw=")</f>
        <v>#VALUE!</v>
      </c>
      <c r="AT34" t="e">
        <f>IF("N",'DV-IDENTITY-0'!ChatIt,"AAAAAFe/fi0=")</f>
        <v>#VALUE!</v>
      </c>
      <c r="AU34" t="e">
        <f>IF("N",'DV-IDENTITY-0'!ChatIt,"AAAAAFe/fi4=")</f>
        <v>#VALUE!</v>
      </c>
      <c r="AV34" t="e">
        <f>IF("N",'DV-IDENTITY-0'!ChatIt,"AAAAAFe/fi8=")</f>
        <v>#VALUE!</v>
      </c>
      <c r="AW34" t="e">
        <f>IF("N",'DV-IDENTITY-0'!ChatIt,"AAAAAFe/fjA=")</f>
        <v>#VALUE!</v>
      </c>
      <c r="AX34" t="e">
        <f>IF("N",'Project- Total grade'!ChatIt,"AAAAAFe/fjE=")</f>
        <v>#VALUE!</v>
      </c>
      <c r="AY34" t="e">
        <f>IF("N",'DV-IDENTITY-0'!ChatIt,"AAAAAFe/fjI=")</f>
        <v>#VALUE!</v>
      </c>
      <c r="AZ34" t="e">
        <f>IF("N",'DV-IDENTITY-0'!ChatIt,"AAAAAFe/fjM=")</f>
        <v>#VALUE!</v>
      </c>
      <c r="BA34" t="e">
        <f>IF("N",'DV-IDENTITY-0'!ChatIt_IDs,"AAAAAFe/fjQ=")</f>
        <v>#VALUE!</v>
      </c>
      <c r="BB34" t="e">
        <f>IF("N",'DV-IDENTITY-0'!ChatIt_IDs,"AAAAAFe/fjU=")</f>
        <v>#VALUE!</v>
      </c>
      <c r="BC34" t="e">
        <f>IF("N",'Iter4-Final'!ChatIt_IDs,"AAAAAFe/fjY=")</f>
        <v>#VALUE!</v>
      </c>
      <c r="BD34" t="e">
        <f>IF("N",'DV-IDENTITY-0'!ChatIt_IDs,"AAAAAFe/fjc=")</f>
        <v>#VALUE!</v>
      </c>
      <c r="BE34" t="e">
        <f>IF("N",'DV-IDENTITY-0'!ChatIt_IDs,"AAAAAFe/fjg=")</f>
        <v>#VALUE!</v>
      </c>
      <c r="BF34" t="e">
        <f>IF("N",'DV-IDENTITY-0'!ChatIt_IDs,"AAAAAFe/fjk=")</f>
        <v>#VALUE!</v>
      </c>
      <c r="BG34" t="e">
        <f>IF("N",'DV-IDENTITY-0'!ChatIt_IDs,"AAAAAFe/fjo=")</f>
        <v>#VALUE!</v>
      </c>
      <c r="BH34" t="e">
        <f>IF("N",'DV-IDENTITY-0'!ChatIt_IDs,"AAAAAFe/fjs=")</f>
        <v>#VALUE!</v>
      </c>
      <c r="BI34" t="e">
        <f>IF("N",'DV-IDENTITY-0'!ChatIt_IDs,"AAAAAFe/fjw=")</f>
        <v>#VALUE!</v>
      </c>
      <c r="BJ34" t="e">
        <f>IF("N",'DV-IDENTITY-0'!ChatIt_IDs,"AAAAAFe/fj0=")</f>
        <v>#VALUE!</v>
      </c>
      <c r="BK34" t="e">
        <f>IF("N",'Project- Total grade'!ChatIt_IDs,"AAAAAFe/fj4=")</f>
        <v>#VALUE!</v>
      </c>
      <c r="BL34" t="e">
        <f>IF("N",'DV-IDENTITY-0'!ChatIt_IDs,"AAAAAFe/fj8=")</f>
        <v>#VALUE!</v>
      </c>
      <c r="BM34" t="e">
        <f>IF("N",'DV-IDENTITY-0'!ChatIt_IDs,"AAAAAFe/fkA=")</f>
        <v>#VALUE!</v>
      </c>
      <c r="BN34" t="e">
        <f>IF("N",'DV-IDENTITY-0'!ChatItIDs,"AAAAAFe/fkE=")</f>
        <v>#VALUE!</v>
      </c>
      <c r="BO34" t="e">
        <f>IF("N",'DV-IDENTITY-0'!ChatItIDs,"AAAAAFe/fkI=")</f>
        <v>#VALUE!</v>
      </c>
      <c r="BP34" t="e">
        <f>IF("N",'Iter4-Final'!ChatItIDs,"AAAAAFe/fkM=")</f>
        <v>#VALUE!</v>
      </c>
      <c r="BQ34" t="e">
        <f>IF("N",'DV-IDENTITY-0'!ChatItIDs,"AAAAAFe/fkQ=")</f>
        <v>#VALUE!</v>
      </c>
      <c r="BR34" t="e">
        <f>IF("N",'DV-IDENTITY-0'!ChatItIDs,"AAAAAFe/fkU=")</f>
        <v>#VALUE!</v>
      </c>
      <c r="BS34" t="e">
        <f>IF("N",'DV-IDENTITY-0'!ChatItIDs,"AAAAAFe/fkY=")</f>
        <v>#VALUE!</v>
      </c>
      <c r="BT34" t="e">
        <f>IF("N",'DV-IDENTITY-0'!ChatItIDs,"AAAAAFe/fkc=")</f>
        <v>#VALUE!</v>
      </c>
      <c r="BU34" t="e">
        <f>IF("N",'DV-IDENTITY-0'!ChatItIDs,"AAAAAFe/fkg=")</f>
        <v>#VALUE!</v>
      </c>
      <c r="BV34" t="e">
        <f>IF("N",'DV-IDENTITY-0'!ChatItIDs,"AAAAAFe/fkk=")</f>
        <v>#VALUE!</v>
      </c>
      <c r="BW34" t="e">
        <f>IF("N",'DV-IDENTITY-0'!ChatItIDs,"AAAAAFe/fko=")</f>
        <v>#VALUE!</v>
      </c>
      <c r="BX34" t="e">
        <f>IF("N",'Project- Total grade'!ChatItIDs,"AAAAAFe/fks=")</f>
        <v>#VALUE!</v>
      </c>
      <c r="BY34" t="e">
        <f>IF("N",'DV-IDENTITY-0'!ChatItIDs,"AAAAAFe/fkw=")</f>
        <v>#VALUE!</v>
      </c>
      <c r="BZ34" t="e">
        <f>IF("N",'DV-IDENTITY-0'!ChatItIDs,"AAAAAFe/fk0=")</f>
        <v>#VALUE!</v>
      </c>
      <c r="CA34" t="e">
        <f>IF("N",'DV-IDENTITY-0'!MyFirstMail_IDs,"AAAAAFe/fk4=")</f>
        <v>#VALUE!</v>
      </c>
      <c r="CB34" t="e">
        <f>IF("N",'DV-IDENTITY-0'!MyFirstMail_IDs,"AAAAAFe/fk8=")</f>
        <v>#VALUE!</v>
      </c>
      <c r="CC34" t="e">
        <f>IF("N",'Iter4-Final'!MyFirstMail_IDs,"AAAAAFe/flA=")</f>
        <v>#VALUE!</v>
      </c>
      <c r="CD34" t="e">
        <f>IF("N",'DV-IDENTITY-0'!MyFirstMail_IDs,"AAAAAFe/flE=")</f>
        <v>#VALUE!</v>
      </c>
      <c r="CE34" t="e">
        <f>IF("N",'DV-IDENTITY-0'!MyFirstMail_IDs,"AAAAAFe/flI=")</f>
        <v>#VALUE!</v>
      </c>
      <c r="CF34" t="e">
        <f>IF("N",'DV-IDENTITY-0'!MyFirstMail_IDs,"AAAAAFe/flM=")</f>
        <v>#VALUE!</v>
      </c>
      <c r="CG34" t="e">
        <f>IF("N",'DV-IDENTITY-0'!MyFirstMail_IDs,"AAAAAFe/flQ=")</f>
        <v>#VALUE!</v>
      </c>
      <c r="CH34" t="e">
        <f>IF("N",'DV-IDENTITY-0'!MyFirstMail_IDs,"AAAAAFe/flU=")</f>
        <v>#VALUE!</v>
      </c>
      <c r="CI34" t="e">
        <f>IF("N",'DV-IDENTITY-0'!MyFirstMail_IDs,"AAAAAFe/flY=")</f>
        <v>#VALUE!</v>
      </c>
      <c r="CJ34" t="e">
        <f>IF("N",'DV-IDENTITY-0'!MyFirstMail_IDs,"AAAAAFe/flc=")</f>
        <v>#VALUE!</v>
      </c>
      <c r="CK34" t="e">
        <f>IF("N",'Project- Total grade'!MyFirstMail_IDs,"AAAAAFe/flg=")</f>
        <v>#VALUE!</v>
      </c>
      <c r="CL34" t="e">
        <f>IF("N",'DV-IDENTITY-0'!MyFirstMail_IDs,"AAAAAFe/flk=")</f>
        <v>#VALUE!</v>
      </c>
      <c r="CM34" t="e">
        <f>IF("N",'DV-IDENTITY-0'!MyFirstMail_IDs,"AAAAAFe/flo=")</f>
        <v>#VALUE!</v>
      </c>
      <c r="CN34" t="e">
        <f>IF("N",'DV-IDENTITY-0'!OnlineExamsInterface_IDs,"AAAAAFe/fls=")</f>
        <v>#VALUE!</v>
      </c>
      <c r="CO34" t="e">
        <f>IF("N",'DV-IDENTITY-0'!OnlineExamsInterface_IDs,"AAAAAFe/flw=")</f>
        <v>#VALUE!</v>
      </c>
      <c r="CP34" t="e">
        <f>IF("N",'Iter4-Final'!OnlineExamsInterface_IDs,"AAAAAFe/fl0=")</f>
        <v>#VALUE!</v>
      </c>
      <c r="CQ34" t="e">
        <f>IF("N",'DV-IDENTITY-0'!OnlineExamsInterface_IDs,"AAAAAFe/fl4=")</f>
        <v>#VALUE!</v>
      </c>
      <c r="CR34" t="e">
        <f>IF("N",'DV-IDENTITY-0'!OnlineExamsInterface_IDs,"AAAAAFe/fl8=")</f>
        <v>#VALUE!</v>
      </c>
      <c r="CS34" t="e">
        <f>IF("N",'DV-IDENTITY-0'!OnlineExamsInterface_IDs,"AAAAAFe/fmA=")</f>
        <v>#VALUE!</v>
      </c>
      <c r="CT34" t="e">
        <f>IF("N",'DV-IDENTITY-0'!OnlineExamsInterface_IDs,"AAAAAFe/fmE=")</f>
        <v>#VALUE!</v>
      </c>
      <c r="CU34" t="e">
        <f>IF("N",'DV-IDENTITY-0'!OnlineExamsInterface_IDs,"AAAAAFe/fmI=")</f>
        <v>#VALUE!</v>
      </c>
      <c r="CV34" t="e">
        <f>IF("N",'DV-IDENTITY-0'!OnlineExamsInterface_IDs,"AAAAAFe/fmM=")</f>
        <v>#VALUE!</v>
      </c>
      <c r="CW34" t="e">
        <f>IF("N",'DV-IDENTITY-0'!OnlineExamsInterface_IDs,"AAAAAFe/fmQ=")</f>
        <v>#VALUE!</v>
      </c>
      <c r="CX34" t="e">
        <f>IF("N",'Project- Total grade'!OnlineExamsInterface_IDs,"AAAAAFe/fmU=")</f>
        <v>#VALUE!</v>
      </c>
      <c r="CY34" t="e">
        <f>IF("N",'DV-IDENTITY-0'!OnlineExamsInterface_IDs,"AAAAAFe/fmY=")</f>
        <v>#VALUE!</v>
      </c>
      <c r="CZ34" t="e">
        <f>IF("N",'DV-IDENTITY-0'!OnlineExamsInterface_IDs,"AAAAAFe/fmc=")</f>
        <v>#VALUE!</v>
      </c>
      <c r="DA34" t="e">
        <f>IF("N",'DV-IDENTITY-0'!SUDAM_IDs,"AAAAAFe/fmg=")</f>
        <v>#VALUE!</v>
      </c>
      <c r="DB34" t="e">
        <f>IF("N",'DV-IDENTITY-0'!SUDAM_IDs,"AAAAAFe/fmk=")</f>
        <v>#VALUE!</v>
      </c>
      <c r="DC34" t="e">
        <f>IF("N",'Iter4-Final'!SUDAM_IDs,"AAAAAFe/fmo=")</f>
        <v>#VALUE!</v>
      </c>
      <c r="DD34" t="e">
        <f>IF("N",'DV-IDENTITY-0'!SUDAM_IDs,"AAAAAFe/fms=")</f>
        <v>#VALUE!</v>
      </c>
      <c r="DE34" t="e">
        <f>IF("N",'DV-IDENTITY-0'!SUDAM_IDs,"AAAAAFe/fmw=")</f>
        <v>#VALUE!</v>
      </c>
      <c r="DF34" t="e">
        <f>IF("N",'DV-IDENTITY-0'!SUDAM_IDs,"AAAAAFe/fm0=")</f>
        <v>#VALUE!</v>
      </c>
      <c r="DG34" t="e">
        <f>IF("N",'DV-IDENTITY-0'!SUDAM_IDs,"AAAAAFe/fm4=")</f>
        <v>#VALUE!</v>
      </c>
      <c r="DH34" t="e">
        <f>IF("N",'DV-IDENTITY-0'!SUDAM_IDs,"AAAAAFe/fm8=")</f>
        <v>#VALUE!</v>
      </c>
      <c r="DI34" t="e">
        <f>IF("N",'DV-IDENTITY-0'!SUDAM_IDs,"AAAAAFe/fnA=")</f>
        <v>#VALUE!</v>
      </c>
      <c r="DJ34" t="e">
        <f>IF("N",'DV-IDENTITY-0'!SUDAM_IDs,"AAAAAFe/fnE=")</f>
        <v>#VALUE!</v>
      </c>
      <c r="DK34" t="e">
        <f>IF("N",'Project- Total grade'!SUDAM_IDs,"AAAAAFe/fnI=")</f>
        <v>#VALUE!</v>
      </c>
      <c r="DL34" t="e">
        <f>IF("N",'DV-IDENTITY-0'!SUDAM_IDs,"AAAAAFe/fnM=")</f>
        <v>#VALUE!</v>
      </c>
      <c r="DM34" t="e">
        <f>IF("N",'DV-IDENTITY-0'!SUDAM_IDs,"AAAAAFe/fnQ=")</f>
        <v>#VALUE!</v>
      </c>
    </row>
    <row r="35" spans="1:120" x14ac:dyDescent="0.25">
      <c r="A35" t="e">
        <f>AND('Project- Total grade'!E1,"AAAAADvnfgA=")</f>
        <v>#VALUE!</v>
      </c>
      <c r="B35" t="e">
        <f>AND('Project- Total grade'!F1,"AAAAADvnfgE=")</f>
        <v>#VALUE!</v>
      </c>
      <c r="C35" t="e">
        <f>AND('Project- Total grade'!E42,"AAAAADvnfgI=")</f>
        <v>#VALUE!</v>
      </c>
      <c r="D35" t="e">
        <f>AND('Project- Total grade'!F42,"AAAAADvnfgM=")</f>
        <v>#VALUE!</v>
      </c>
      <c r="E35" t="e">
        <f>AND('Project- Total grade'!E26,"AAAAADvnfgQ=")</f>
        <v>#VALUE!</v>
      </c>
      <c r="F35" t="e">
        <f>AND('Project- Total grade'!F26,"AAAAADvnfgU=")</f>
        <v>#VALUE!</v>
      </c>
      <c r="G35" t="e">
        <f>AND('Project- Total grade'!E38,"AAAAADvnfgY=")</f>
        <v>#VALUE!</v>
      </c>
      <c r="H35" t="e">
        <f>AND('Project- Total grade'!F38,"AAAAADvnfgc=")</f>
        <v>#VALUE!</v>
      </c>
      <c r="I35" t="e">
        <f>AND('Project- Total grade'!E63,"AAAAADvnfgg=")</f>
        <v>#VALUE!</v>
      </c>
      <c r="J35" t="e">
        <f>AND('Project- Total grade'!F63,"AAAAADvnfgk=")</f>
        <v>#VALUE!</v>
      </c>
      <c r="K35" t="e">
        <f>AND('Project- Total grade'!E31,"AAAAADvnfgo=")</f>
        <v>#VALUE!</v>
      </c>
      <c r="L35" t="e">
        <f>AND('Project- Total grade'!F31,"AAAAADvnfgs=")</f>
        <v>#VALUE!</v>
      </c>
      <c r="M35" t="e">
        <f>AND('Project- Total grade'!E8,"AAAAADvnfgw=")</f>
        <v>#VALUE!</v>
      </c>
      <c r="N35" t="e">
        <f>AND('Project- Total grade'!F8,"AAAAADvnfg0=")</f>
        <v>#VALUE!</v>
      </c>
      <c r="O35" t="e">
        <f>AND('Project- Total grade'!E9,"AAAAADvnfg4=")</f>
        <v>#VALUE!</v>
      </c>
      <c r="P35" t="e">
        <f>AND('Project- Total grade'!F9,"AAAAADvnfg8=")</f>
        <v>#VALUE!</v>
      </c>
      <c r="Q35" t="e">
        <f>AND('Project- Total grade'!E27,"AAAAADvnfhA=")</f>
        <v>#VALUE!</v>
      </c>
      <c r="R35" t="e">
        <f>AND('Project- Total grade'!F27,"AAAAADvnfhE=")</f>
        <v>#VALUE!</v>
      </c>
      <c r="S35" t="e">
        <f>AND('Project- Total grade'!E20,"AAAAADvnfhI=")</f>
        <v>#VALUE!</v>
      </c>
      <c r="T35" t="e">
        <f>AND('Project- Total grade'!F20,"AAAAADvnfhM=")</f>
        <v>#VALUE!</v>
      </c>
      <c r="U35" t="e">
        <f>AND('Project- Total grade'!E48,"AAAAADvnfhQ=")</f>
        <v>#VALUE!</v>
      </c>
      <c r="V35" t="e">
        <f>AND('Project- Total grade'!F48,"AAAAADvnfhU=")</f>
        <v>#VALUE!</v>
      </c>
      <c r="W35" t="e">
        <f>AND('Project- Total grade'!E3,"AAAAADvnfhY=")</f>
        <v>#VALUE!</v>
      </c>
      <c r="X35" t="e">
        <f>AND('Project- Total grade'!F3,"AAAAADvnfhc=")</f>
        <v>#VALUE!</v>
      </c>
      <c r="Y35" t="e">
        <f>AND('Project- Total grade'!E60,"AAAAADvnfhg=")</f>
        <v>#VALUE!</v>
      </c>
      <c r="Z35" t="e">
        <f>AND('Project- Total grade'!F60,"AAAAADvnfhk=")</f>
        <v>#VALUE!</v>
      </c>
      <c r="AA35" t="e">
        <f>AND('Project- Total grade'!E61,"AAAAADvnfho=")</f>
        <v>#VALUE!</v>
      </c>
      <c r="AB35" t="e">
        <f>AND('Project- Total grade'!F61,"AAAAADvnfhs=")</f>
        <v>#VALUE!</v>
      </c>
      <c r="AC35" t="e">
        <f>AND('Project- Total grade'!E43,"AAAAADvnfhw=")</f>
        <v>#VALUE!</v>
      </c>
      <c r="AD35" t="e">
        <f>AND('Project- Total grade'!F43,"AAAAADvnfh0=")</f>
        <v>#VALUE!</v>
      </c>
      <c r="AE35" t="e">
        <f>AND('Project- Total grade'!E62,"AAAAADvnfh4=")</f>
        <v>#VALUE!</v>
      </c>
      <c r="AF35" t="e">
        <f>AND('Project- Total grade'!F62,"AAAAADvnfh8=")</f>
        <v>#VALUE!</v>
      </c>
      <c r="AG35" t="e">
        <f>AND('Project- Total grade'!E37,"AAAAADvnfiA=")</f>
        <v>#VALUE!</v>
      </c>
      <c r="AH35" t="e">
        <f>AND('Project- Total grade'!F37,"AAAAADvnfiE=")</f>
        <v>#VALUE!</v>
      </c>
      <c r="AI35" t="e">
        <f>AND('Project- Total grade'!E22,"AAAAADvnfiI=")</f>
        <v>#VALUE!</v>
      </c>
      <c r="AJ35" t="e">
        <f>AND('Project- Total grade'!F22,"AAAAADvnfiM=")</f>
        <v>#VALUE!</v>
      </c>
      <c r="AK35" t="e">
        <f>AND('Project- Total grade'!E36,"AAAAADvnfiQ=")</f>
        <v>#VALUE!</v>
      </c>
      <c r="AL35" t="e">
        <f>AND('Project- Total grade'!F36,"AAAAADvnfiU=")</f>
        <v>#VALUE!</v>
      </c>
      <c r="AM35" t="e">
        <f>AND('Project- Total grade'!E46,"AAAAADvnfiY=")</f>
        <v>#VALUE!</v>
      </c>
      <c r="AN35" t="e">
        <f>AND('Project- Total grade'!F46,"AAAAADvnfic=")</f>
        <v>#VALUE!</v>
      </c>
      <c r="AO35" t="e">
        <f>AND('Project- Total grade'!E58,"AAAAADvnfig=")</f>
        <v>#VALUE!</v>
      </c>
      <c r="AP35" t="e">
        <f>AND('Project- Total grade'!F58,"AAAAADvnfik=")</f>
        <v>#VALUE!</v>
      </c>
      <c r="AQ35" t="e">
        <f>AND('Project- Total grade'!E28,"AAAAADvnfio=")</f>
        <v>#VALUE!</v>
      </c>
      <c r="AR35" t="e">
        <f>AND('Project- Total grade'!F28,"AAAAADvnfis=")</f>
        <v>#VALUE!</v>
      </c>
      <c r="AS35" t="e">
        <f>AND('Project- Total grade'!E29,"AAAAADvnfiw=")</f>
        <v>#VALUE!</v>
      </c>
      <c r="AT35" t="e">
        <f>AND('Project- Total grade'!F29,"AAAAADvnfi0=")</f>
        <v>#VALUE!</v>
      </c>
      <c r="AU35" t="e">
        <f>AND('Project- Total grade'!E34,"AAAAADvnfi4=")</f>
        <v>#VALUE!</v>
      </c>
      <c r="AV35" t="e">
        <f>AND('Project- Total grade'!F34,"AAAAADvnfi8=")</f>
        <v>#VALUE!</v>
      </c>
      <c r="AW35" t="e">
        <f>AND('Project- Total grade'!E56,"AAAAADvnfjA=")</f>
        <v>#VALUE!</v>
      </c>
      <c r="AX35" t="e">
        <f>AND('Project- Total grade'!F56,"AAAAADvnfjE=")</f>
        <v>#VALUE!</v>
      </c>
      <c r="AY35" t="e">
        <f>AND('Project- Total grade'!E47,"AAAAADvnfjI=")</f>
        <v>#VALUE!</v>
      </c>
      <c r="AZ35" t="e">
        <f>AND('Project- Total grade'!F47,"AAAAADvnfjM=")</f>
        <v>#VALUE!</v>
      </c>
      <c r="BA35" t="e">
        <f>AND('Project- Total grade'!E23,"AAAAADvnfjQ=")</f>
        <v>#VALUE!</v>
      </c>
      <c r="BB35" t="e">
        <f>AND('Project- Total grade'!F23,"AAAAADvnfjU=")</f>
        <v>#VALUE!</v>
      </c>
      <c r="BC35" t="e">
        <f>AND('Project- Total grade'!E49,"AAAAADvnfjY=")</f>
        <v>#VALUE!</v>
      </c>
      <c r="BD35" t="e">
        <f>AND('Project- Total grade'!F49,"AAAAADvnfjc=")</f>
        <v>#VALUE!</v>
      </c>
      <c r="BE35" t="e">
        <f>AND('Project- Total grade'!E39,"AAAAADvnfjg=")</f>
        <v>#VALUE!</v>
      </c>
      <c r="BF35" t="e">
        <f>AND('Project- Total grade'!F39,"AAAAADvnfjk=")</f>
        <v>#VALUE!</v>
      </c>
      <c r="BG35" t="e">
        <f>AND('Project- Total grade'!E17,"AAAAADvnfjo=")</f>
        <v>#VALUE!</v>
      </c>
      <c r="BH35" t="e">
        <f>AND('Project- Total grade'!F17,"AAAAADvnfjs=")</f>
        <v>#VALUE!</v>
      </c>
      <c r="BI35" t="e">
        <f>AND('Project- Total grade'!E18,"AAAAADvnfjw=")</f>
        <v>#VALUE!</v>
      </c>
      <c r="BJ35" t="e">
        <f>AND('Project- Total grade'!F18,"AAAAADvnfj0=")</f>
        <v>#VALUE!</v>
      </c>
      <c r="BK35" t="e">
        <f>AND('Project- Total grade'!E51,"AAAAADvnfj4=")</f>
        <v>#VALUE!</v>
      </c>
      <c r="BL35" t="e">
        <f>AND('Project- Total grade'!F51,"AAAAADvnfj8=")</f>
        <v>#VALUE!</v>
      </c>
      <c r="BM35" t="e">
        <f>AND('Project- Total grade'!E24,"AAAAADvnfkA=")</f>
        <v>#VALUE!</v>
      </c>
      <c r="BN35" t="e">
        <f>AND('Project- Total grade'!F24,"AAAAADvnfkE=")</f>
        <v>#VALUE!</v>
      </c>
      <c r="BO35" t="e">
        <f>AND('Project- Total grade'!E44,"AAAAADvnfkI=")</f>
        <v>#VALUE!</v>
      </c>
      <c r="BP35" t="e">
        <f>AND('Project- Total grade'!F44,"AAAAADvnfkM=")</f>
        <v>#VALUE!</v>
      </c>
      <c r="BQ35" t="e">
        <f>AND('Project- Total grade'!E4,"AAAAADvnfkQ=")</f>
        <v>#VALUE!</v>
      </c>
      <c r="BR35" t="e">
        <f>AND('Project- Total grade'!F4,"AAAAADvnfkU=")</f>
        <v>#VALUE!</v>
      </c>
      <c r="BS35">
        <f>IF('Project- Total grade'!52:52,"AAAAADvnfkY=",0)</f>
        <v>0</v>
      </c>
      <c r="BT35">
        <f>IF('Project- Total grade'!12:12,"AAAAADvnfkc=",0)</f>
        <v>0</v>
      </c>
      <c r="BU35">
        <f>IF('Project- Total grade'!53:53,"AAAAADvnfkg=",0)</f>
        <v>0</v>
      </c>
      <c r="BV35" t="e">
        <f>IF('Project- Total grade'!#REF!,"AAAAADvnfkk=",0)</f>
        <v>#REF!</v>
      </c>
      <c r="BW35" t="e">
        <f>IF('Project- Total grade'!#REF!,"AAAAADvnfko=",0)</f>
        <v>#REF!</v>
      </c>
      <c r="BX35">
        <f>IF('Project- Total grade'!57:57,"AAAAADvnfks=",0)</f>
        <v>0</v>
      </c>
      <c r="BY35">
        <f>IF('Project- Total grade'!40:40,"AAAAADvnfkw=",0)</f>
        <v>0</v>
      </c>
      <c r="BZ35" t="e">
        <f>IF('Project- Total grade'!#REF!,"AAAAADvnfk0=",0)</f>
        <v>#REF!</v>
      </c>
      <c r="CA35">
        <f>IF('Project- Total grade'!13:13,"AAAAADvnfk4=",0)</f>
        <v>0</v>
      </c>
      <c r="CB35">
        <f>IF('Project- Total grade'!14:14,"AAAAADvnfk8=",0)</f>
        <v>0</v>
      </c>
      <c r="CC35">
        <f>IF('Project- Total grade'!54:54,"AAAAADvnflA=",0)</f>
        <v>0</v>
      </c>
      <c r="CD35" t="e">
        <f>IF('Project- Total grade'!#REF!,"AAAAADvnflE=",0)</f>
        <v>#REF!</v>
      </c>
      <c r="CE35">
        <f>IF('Project- Total grade'!32:32,"AAAAADvnflI=",0)</f>
        <v>0</v>
      </c>
      <c r="CF35">
        <f>IF('Project- Total grade'!33:33,"AAAAADvnflM=",0)</f>
        <v>0</v>
      </c>
      <c r="CG35">
        <f>IF('Project- Total grade'!5:5,"AAAAADvnflQ=",0)</f>
        <v>0</v>
      </c>
      <c r="CH35" t="e">
        <f>IF('Project- Total grade'!#REF!,"AAAAADvnflU=",0)</f>
        <v>#REF!</v>
      </c>
      <c r="CI35" t="e">
        <f>IF('Project- Total grade'!#REF!,"AAAAADvnflY=",0)</f>
        <v>#REF!</v>
      </c>
      <c r="CJ35">
        <f>IF('Project- Total grade'!2:2,"AAAAADvnflc=",0)</f>
        <v>0</v>
      </c>
      <c r="CK35">
        <f>IF('Project- Total grade'!7:7,"AAAAADvnflg=",0)</f>
        <v>0</v>
      </c>
      <c r="CL35">
        <f>IF('Project- Total grade'!8:8,"AAAAADvnflk=",0)</f>
        <v>0</v>
      </c>
      <c r="CM35">
        <f>IF('Project- Total grade'!9:9,"AAAAADvnflo=",0)</f>
        <v>0</v>
      </c>
      <c r="CN35">
        <f>IF('Project- Total grade'!10:10,"AAAAADvnfls=",0)</f>
        <v>0</v>
      </c>
      <c r="CO35" t="e">
        <f>IF('Project- Total grade'!#REF!,"AAAAADvnflw=",0)</f>
        <v>#REF!</v>
      </c>
      <c r="CP35">
        <f>IF('Project- Total grade'!15:15,"AAAAADvnfl0=",0)</f>
        <v>0</v>
      </c>
      <c r="CQ35">
        <f>IF('Project- Total grade'!16:16,"AAAAADvnfl4=",0)</f>
        <v>0</v>
      </c>
      <c r="CR35">
        <f>IF('Project- Total grade'!17:17,"AAAAADvnfl8=",0)</f>
        <v>0</v>
      </c>
      <c r="CS35">
        <f>IF('Project- Total grade'!18:18,"AAAAADvnfmA=",0)</f>
        <v>0</v>
      </c>
      <c r="CT35">
        <f>IF('Project- Total grade'!19:19,"AAAAADvnfmE=",0)</f>
        <v>0</v>
      </c>
      <c r="CU35">
        <f>IF('Project- Total grade'!20:20,"AAAAADvnfmI=",0)</f>
        <v>0</v>
      </c>
      <c r="CV35">
        <f>IF('Project- Total grade'!45:45,"AAAAADvnfmM=",0)</f>
        <v>0</v>
      </c>
      <c r="CW35" t="e">
        <f>IF('Project- Total grade'!#REF!,"AAAAADvnfmQ=",0)</f>
        <v>#REF!</v>
      </c>
      <c r="CX35" t="e">
        <f>IF('Project- Total grade'!#REF!,"AAAAADvnfmU=",0)</f>
        <v>#REF!</v>
      </c>
      <c r="CY35" t="e">
        <f>IF('Project- Total grade'!#REF!,"AAAAADvnfmY=",0)</f>
        <v>#REF!</v>
      </c>
      <c r="CZ35" t="e">
        <f>IF('Project- Total grade'!#REF!,"AAAAADvnfmc=",0)</f>
        <v>#REF!</v>
      </c>
      <c r="DA35">
        <f>IF('Project- Total grade'!71:71,"AAAAADvnfmg=",0)</f>
        <v>0</v>
      </c>
      <c r="DB35" t="e">
        <f>IF('Project- Total grade'!#REF!,"AAAAADvnfmk=",0)</f>
        <v>#REF!</v>
      </c>
      <c r="DC35" t="e">
        <f>IF('Project- Total grade'!#REF!,"AAAAADvnfmo=",0)</f>
        <v>#REF!</v>
      </c>
      <c r="DD35" t="e">
        <f>IF('Project- Total grade'!#REF!,"AAAAADvnfms=",0)</f>
        <v>#REF!</v>
      </c>
      <c r="DE35">
        <f>IF('Project- Total grade'!72:72,"AAAAADvnfmw=",0)</f>
        <v>0</v>
      </c>
      <c r="DF35">
        <f>IF('Project- Total grade'!73:73,"AAAAADvnfm0=",0)</f>
        <v>0</v>
      </c>
      <c r="DG35">
        <f>IF('Project- Total grade'!74:74,"AAAAADvnfm4=",0)</f>
        <v>0</v>
      </c>
      <c r="DH35">
        <f>IF('Project- Total grade'!75:75,"AAAAADvnfm8=",0)</f>
        <v>0</v>
      </c>
      <c r="DI35">
        <f>IF('Project- Total grade'!76:76,"AAAAADvnfnA=",0)</f>
        <v>0</v>
      </c>
      <c r="DJ35">
        <f>IF('Project- Total grade'!77:77,"AAAAADvnfnE=",0)</f>
        <v>0</v>
      </c>
      <c r="DK35">
        <f>IF('Project- Total grade'!78:78,"AAAAADvnfnI=",0)</f>
        <v>0</v>
      </c>
      <c r="DL35">
        <f>IF('Project- Total grade'!79:79,"AAAAADvnfnM=",0)</f>
        <v>0</v>
      </c>
      <c r="DM35">
        <f>IF('Project- Total grade'!80:80,"AAAAADvnfnQ=",0)</f>
        <v>0</v>
      </c>
      <c r="DN35">
        <f>IF('Project- Total grade'!81:81,"AAAAADvnfnU=",0)</f>
        <v>0</v>
      </c>
      <c r="DO35">
        <f>IF('Project- Total grade'!E:E,"AAAAADvnfnY=",0)</f>
        <v>0</v>
      </c>
      <c r="DP35">
        <f>IF('Project- Total grade'!F:F,"AAAAADvnfnc=",0)</f>
        <v>0</v>
      </c>
    </row>
  </sheetData>
  <pageMargins left="0.7" right="0.7" top="0.75" bottom="0.75" header="0.3" footer="0.3"/>
  <customProperties>
    <customPr name="DVSECTION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B1" workbookViewId="0">
      <selection activeCell="B2" sqref="B2"/>
    </sheetView>
  </sheetViews>
  <sheetFormatPr defaultRowHeight="13.8" x14ac:dyDescent="0.25"/>
  <cols>
    <col min="1" max="1" width="10.8984375" bestFit="1" customWidth="1"/>
    <col min="2" max="2" width="16.3984375" bestFit="1" customWidth="1"/>
    <col min="3" max="3" width="18.09765625" customWidth="1"/>
    <col min="4" max="4" width="8.8984375" customWidth="1"/>
    <col min="5" max="5" width="16.3984375" customWidth="1"/>
    <col min="7" max="7" width="10.8984375" bestFit="1" customWidth="1"/>
    <col min="9" max="9" width="16.5" bestFit="1" customWidth="1"/>
    <col min="10" max="10" width="10.8984375" bestFit="1" customWidth="1"/>
    <col min="11" max="11" width="13.19921875" bestFit="1" customWidth="1"/>
  </cols>
  <sheetData>
    <row r="1" spans="1:8" ht="14.4" thickBot="1" x14ac:dyDescent="0.3">
      <c r="A1" s="20" t="s">
        <v>104</v>
      </c>
      <c r="B1" s="4" t="s">
        <v>8</v>
      </c>
      <c r="C1" s="4" t="s">
        <v>71</v>
      </c>
      <c r="D1" s="18" t="s">
        <v>49</v>
      </c>
      <c r="E1" s="19"/>
      <c r="F1" s="19" t="s">
        <v>50</v>
      </c>
      <c r="G1" s="19" t="s">
        <v>101</v>
      </c>
      <c r="H1" s="19"/>
    </row>
    <row r="2" spans="1:8" ht="14.4" thickBot="1" x14ac:dyDescent="0.3">
      <c r="A2" s="3">
        <v>39991708</v>
      </c>
      <c r="B2" s="8"/>
      <c r="C2" t="e">
        <f>Personal!E2*5%+VLOOKUP(VLOOKUP(A2,Groups!A$2:B$20,2,FALSE),Proposal!A$2:G$10,7,FALSE)*10%+VLOOKUP(VLOOKUP(A2,Groups!A$2:C$20,3,FALSE),'Project- Total grade'!A$2:B$7,2,FALSE)*85%</f>
        <v>#N/A</v>
      </c>
      <c r="D2">
        <v>100</v>
      </c>
      <c r="F2" t="e">
        <f>IF(D2="","",IF(D2&lt;55,D2,ROUND(C2*65%+MIN(D2,100)*35%,0)))</f>
        <v>#N/A</v>
      </c>
    </row>
    <row r="3" spans="1:8" ht="14.4" thickBot="1" x14ac:dyDescent="0.3">
      <c r="A3" s="3"/>
      <c r="B3" s="8"/>
      <c r="C3" t="e">
        <f>Personal!E3*5%+VLOOKUP(VLOOKUP(A3,Groups!A$2:B$20,2,FALSE),Proposal!A$2:G$10,7,FALSE)*10%+VLOOKUP(VLOOKUP(A3,Groups!A$2:C$20,3,FALSE),'Project- Total grade'!A$2:B$7,2,FALSE)*85%</f>
        <v>#N/A</v>
      </c>
      <c r="D3">
        <v>100</v>
      </c>
      <c r="F3" t="e">
        <f t="shared" ref="F3:F20" si="0">IF(D3="","",IF(D3&lt;55,D3,ROUND(C3*65%+MIN(D3,100)*35%,0)))</f>
        <v>#N/A</v>
      </c>
    </row>
    <row r="4" spans="1:8" ht="14.4" thickBot="1" x14ac:dyDescent="0.3">
      <c r="A4" s="3"/>
      <c r="B4" s="8"/>
      <c r="C4" t="e">
        <f>Personal!E4*5%+VLOOKUP(VLOOKUP(A4,Groups!A$2:B$20,2,FALSE),Proposal!A$2:G$10,7,FALSE)*10%+VLOOKUP(VLOOKUP(A4,Groups!A$2:C$20,3,FALSE),'Project- Total grade'!A$2:B$7,2,FALSE)*85%</f>
        <v>#N/A</v>
      </c>
      <c r="D4">
        <v>100</v>
      </c>
      <c r="F4" t="e">
        <f t="shared" si="0"/>
        <v>#N/A</v>
      </c>
    </row>
    <row r="5" spans="1:8" ht="14.4" thickBot="1" x14ac:dyDescent="0.3">
      <c r="A5" s="3"/>
      <c r="B5" s="8"/>
      <c r="C5" t="e">
        <f>Personal!E5*5%+VLOOKUP(VLOOKUP(A5,Groups!A$2:B$20,2,FALSE),Proposal!A$2:G$10,7,FALSE)*10%+VLOOKUP(VLOOKUP(A5,Groups!A$2:C$20,3,FALSE),'Project- Total grade'!A$2:B$7,2,FALSE)*85%</f>
        <v>#N/A</v>
      </c>
      <c r="D5">
        <v>100</v>
      </c>
      <c r="F5" t="e">
        <f t="shared" si="0"/>
        <v>#N/A</v>
      </c>
    </row>
    <row r="6" spans="1:8" ht="14.4" thickBot="1" x14ac:dyDescent="0.3">
      <c r="A6" s="3"/>
      <c r="B6" s="8"/>
      <c r="C6" t="e">
        <f>Personal!E6*5%+VLOOKUP(VLOOKUP(A6,Groups!A$2:B$20,2,FALSE),Proposal!A$2:G$10,7,FALSE)*10%+VLOOKUP(VLOOKUP(A6,Groups!A$2:C$20,3,FALSE),'Project- Total grade'!A$2:B$7,2,FALSE)*85%</f>
        <v>#N/A</v>
      </c>
      <c r="D6">
        <v>100</v>
      </c>
      <c r="F6" t="e">
        <f t="shared" si="0"/>
        <v>#N/A</v>
      </c>
    </row>
    <row r="7" spans="1:8" ht="14.4" thickBot="1" x14ac:dyDescent="0.3">
      <c r="A7" s="3"/>
      <c r="B7" s="8"/>
      <c r="C7" t="e">
        <f>Personal!E7*5%+VLOOKUP(VLOOKUP(A7,Groups!A$2:B$20,2,FALSE),Proposal!A$2:G$10,7,FALSE)*10%+VLOOKUP(VLOOKUP(A7,Groups!A$2:C$20,3,FALSE),'Project- Total grade'!A$2:B$7,2,FALSE)*85%</f>
        <v>#N/A</v>
      </c>
      <c r="D7">
        <v>100</v>
      </c>
      <c r="F7" t="e">
        <f t="shared" si="0"/>
        <v>#N/A</v>
      </c>
    </row>
    <row r="8" spans="1:8" ht="14.4" thickBot="1" x14ac:dyDescent="0.3">
      <c r="A8" s="3"/>
      <c r="B8" s="8"/>
      <c r="C8" t="e">
        <f>Personal!E8*5%+VLOOKUP(VLOOKUP(A8,Groups!A$2:B$20,2,FALSE),Proposal!A$2:G$10,7,FALSE)*10%+VLOOKUP(VLOOKUP(A8,Groups!A$2:C$20,3,FALSE),'Project- Total grade'!A$2:B$7,2,FALSE)*85%</f>
        <v>#N/A</v>
      </c>
      <c r="D8">
        <v>100</v>
      </c>
      <c r="F8" t="e">
        <f t="shared" si="0"/>
        <v>#N/A</v>
      </c>
    </row>
    <row r="9" spans="1:8" ht="14.4" thickBot="1" x14ac:dyDescent="0.3">
      <c r="A9" s="3"/>
      <c r="B9" s="8"/>
      <c r="C9" t="e">
        <f>Personal!E9*5%+VLOOKUP(VLOOKUP(A9,Groups!A$2:B$20,2,FALSE),Proposal!A$2:G$10,7,FALSE)*10%+VLOOKUP(VLOOKUP(A9,Groups!A$2:C$20,3,FALSE),'Project- Total grade'!A$2:B$7,2,FALSE)*85%</f>
        <v>#N/A</v>
      </c>
      <c r="D9">
        <v>100</v>
      </c>
      <c r="F9" t="e">
        <f t="shared" si="0"/>
        <v>#N/A</v>
      </c>
    </row>
    <row r="10" spans="1:8" ht="14.4" thickBot="1" x14ac:dyDescent="0.3">
      <c r="A10" s="3"/>
      <c r="B10" s="8"/>
      <c r="C10" t="e">
        <f>Personal!E10*5%+VLOOKUP(VLOOKUP(A10,Groups!A$2:B$20,2,FALSE),Proposal!A$2:G$10,7,FALSE)*10%+VLOOKUP(VLOOKUP(A10,Groups!A$2:C$20,3,FALSE),'Project- Total grade'!A$2:B$7,2,FALSE)*85%</f>
        <v>#N/A</v>
      </c>
      <c r="D10">
        <v>100</v>
      </c>
      <c r="F10" t="e">
        <f t="shared" si="0"/>
        <v>#N/A</v>
      </c>
    </row>
    <row r="11" spans="1:8" ht="14.4" thickBot="1" x14ac:dyDescent="0.3">
      <c r="A11" s="3"/>
      <c r="B11" s="8"/>
      <c r="C11" t="e">
        <f>Personal!E11*5%+VLOOKUP(VLOOKUP(A11,Groups!A$2:B$20,2,FALSE),Proposal!A$2:G$10,7,FALSE)*10%+VLOOKUP(VLOOKUP(A11,Groups!A$2:C$20,3,FALSE),'Project- Total grade'!A$2:B$7,2,FALSE)*85%</f>
        <v>#N/A</v>
      </c>
      <c r="D11">
        <v>100</v>
      </c>
      <c r="F11" t="e">
        <f t="shared" si="0"/>
        <v>#N/A</v>
      </c>
    </row>
    <row r="12" spans="1:8" ht="14.4" thickBot="1" x14ac:dyDescent="0.3">
      <c r="A12" s="60"/>
      <c r="B12" s="8"/>
      <c r="C12" t="e">
        <f>Personal!E11*5%+VLOOKUP(VLOOKUP(A12,Groups!A$2:B$20,2,FALSE),Proposal!A$2:G$10,7,FALSE)*10%+VLOOKUP(VLOOKUP(A12,Groups!A$2:C$20,3,FALSE),'Project- Total grade'!A$2:B$7,2,FALSE)*85%</f>
        <v>#N/A</v>
      </c>
      <c r="D12">
        <v>100</v>
      </c>
      <c r="F12" t="e">
        <f t="shared" si="0"/>
        <v>#N/A</v>
      </c>
    </row>
    <row r="13" spans="1:8" ht="14.4" thickBot="1" x14ac:dyDescent="0.3">
      <c r="A13" s="3"/>
      <c r="B13" s="8"/>
      <c r="C13" t="e">
        <f>Personal!E12*5%+VLOOKUP(VLOOKUP(A13,Groups!A$2:B$20,2,FALSE),Proposal!A$2:G$10,7,FALSE)*10%+VLOOKUP(VLOOKUP(A13,Groups!A$2:C$20,3,FALSE),'Project- Total grade'!A$2:B$7,2,FALSE)*85%</f>
        <v>#N/A</v>
      </c>
      <c r="D13">
        <v>100</v>
      </c>
      <c r="F13" t="e">
        <f t="shared" si="0"/>
        <v>#N/A</v>
      </c>
    </row>
    <row r="14" spans="1:8" ht="14.4" thickBot="1" x14ac:dyDescent="0.3">
      <c r="A14" s="3"/>
      <c r="B14" s="8"/>
      <c r="C14" t="e">
        <f>Personal!E13*5%+VLOOKUP(VLOOKUP(A14,Groups!A$2:B$20,2,FALSE),Proposal!A$2:G$10,7,FALSE)*10%+VLOOKUP(VLOOKUP(A14,Groups!A$2:C$20,3,FALSE),'Project- Total grade'!A$2:B$7,2,FALSE)*85%</f>
        <v>#N/A</v>
      </c>
      <c r="D14">
        <v>100</v>
      </c>
      <c r="F14" t="e">
        <f t="shared" si="0"/>
        <v>#N/A</v>
      </c>
    </row>
    <row r="15" spans="1:8" ht="14.4" thickBot="1" x14ac:dyDescent="0.3">
      <c r="A15" s="3"/>
      <c r="B15" s="8"/>
      <c r="C15" t="e">
        <f>Personal!E14*5%+VLOOKUP(VLOOKUP(A15,Groups!A$2:B$20,2,FALSE),Proposal!A$2:G$10,7,FALSE)*10%+VLOOKUP(VLOOKUP(A15,Groups!A$2:C$20,3,FALSE),'Project- Total grade'!A$2:B$7,2,FALSE)*85%</f>
        <v>#N/A</v>
      </c>
      <c r="D15">
        <v>100</v>
      </c>
      <c r="F15" t="e">
        <f t="shared" si="0"/>
        <v>#N/A</v>
      </c>
    </row>
    <row r="16" spans="1:8" ht="14.4" thickBot="1" x14ac:dyDescent="0.3">
      <c r="B16" s="8"/>
      <c r="C16" t="e">
        <f>Personal!E19*5%+VLOOKUP(VLOOKUP(A16,Groups!A$2:B$20,2,FALSE),Proposal!A$2:G$10,7,FALSE)*10%+VLOOKUP(VLOOKUP(A16,Groups!A$2:C$20,3,FALSE),'Project- Total grade'!A$2:B$7,2,FALSE)*85%</f>
        <v>#N/A</v>
      </c>
      <c r="D16">
        <v>100</v>
      </c>
      <c r="F16" t="e">
        <f t="shared" si="0"/>
        <v>#N/A</v>
      </c>
    </row>
    <row r="17" spans="1:8" ht="14.4" thickBot="1" x14ac:dyDescent="0.3">
      <c r="A17" s="3"/>
      <c r="B17" s="8"/>
      <c r="C17" t="e">
        <f>Personal!E15*5%+VLOOKUP(VLOOKUP(A17,Groups!A$2:B$20,2,FALSE),Proposal!A$2:G$10,7,FALSE)*10%+VLOOKUP(VLOOKUP(A17,Groups!A$2:C$20,3,FALSE),'Project- Total grade'!A$2:B$7,2,FALSE)*85%</f>
        <v>#N/A</v>
      </c>
      <c r="D17">
        <v>100</v>
      </c>
      <c r="F17" t="e">
        <f t="shared" si="0"/>
        <v>#N/A</v>
      </c>
    </row>
    <row r="18" spans="1:8" ht="14.4" thickBot="1" x14ac:dyDescent="0.3">
      <c r="A18" s="3"/>
      <c r="B18" s="8"/>
      <c r="C18" t="e">
        <f>Personal!E16*5%+VLOOKUP(VLOOKUP(A18,Groups!A$2:B$20,2,FALSE),Proposal!A$2:G$10,7,FALSE)*10%+VLOOKUP(VLOOKUP(A18,Groups!A$2:C$20,3,FALSE),'Project- Total grade'!A$2:B$7,2,FALSE)*85%</f>
        <v>#N/A</v>
      </c>
      <c r="D18">
        <v>100</v>
      </c>
      <c r="F18" t="e">
        <f t="shared" si="0"/>
        <v>#N/A</v>
      </c>
    </row>
    <row r="19" spans="1:8" ht="14.4" thickBot="1" x14ac:dyDescent="0.3">
      <c r="A19" s="3"/>
      <c r="B19" s="8"/>
      <c r="C19" t="e">
        <f>Personal!E17*5%+VLOOKUP(VLOOKUP(A19,Groups!A$2:B$20,2,FALSE),Proposal!A$2:G$10,7,FALSE)*10%+VLOOKUP(VLOOKUP(A19,Groups!A$2:C$20,3,FALSE),'Project- Total grade'!A$2:B$7,2,FALSE)*85%</f>
        <v>#N/A</v>
      </c>
      <c r="D19">
        <v>100</v>
      </c>
      <c r="F19" t="e">
        <f t="shared" si="0"/>
        <v>#N/A</v>
      </c>
    </row>
    <row r="20" spans="1:8" ht="14.4" thickBot="1" x14ac:dyDescent="0.3">
      <c r="A20" s="3"/>
      <c r="B20" s="8"/>
      <c r="C20" t="e">
        <f>Personal!E18*5%+VLOOKUP(VLOOKUP(A20,Groups!A$2:B$20,2,FALSE),Proposal!A$2:G$10,7,FALSE)*10%+VLOOKUP(VLOOKUP(A20,Groups!A$2:C$20,3,FALSE),'Project- Total grade'!A$2:B$7,2,FALSE)*85%</f>
        <v>#N/A</v>
      </c>
      <c r="D20">
        <v>100</v>
      </c>
      <c r="F20" t="e">
        <f t="shared" si="0"/>
        <v>#N/A</v>
      </c>
    </row>
    <row r="21" spans="1:8" ht="14.4" thickBot="1" x14ac:dyDescent="0.3">
      <c r="A21" s="8"/>
      <c r="B21" s="8"/>
    </row>
    <row r="22" spans="1:8" ht="14.4" thickBot="1" x14ac:dyDescent="0.3">
      <c r="A22" s="8"/>
      <c r="B22" s="8"/>
    </row>
    <row r="23" spans="1:8" ht="14.4" thickBot="1" x14ac:dyDescent="0.3">
      <c r="A23" s="8"/>
      <c r="B23" s="8"/>
    </row>
    <row r="24" spans="1:8" ht="14.4" thickBot="1" x14ac:dyDescent="0.3">
      <c r="A24" s="8"/>
      <c r="B24" s="8"/>
    </row>
    <row r="25" spans="1:8" ht="14.4" thickBot="1" x14ac:dyDescent="0.3">
      <c r="A25" s="8"/>
      <c r="B25" s="8"/>
    </row>
    <row r="26" spans="1:8" ht="14.4" thickBot="1" x14ac:dyDescent="0.3">
      <c r="A26" s="8"/>
      <c r="B26" s="8"/>
    </row>
    <row r="27" spans="1:8" ht="14.4" thickBot="1" x14ac:dyDescent="0.3">
      <c r="A27" s="8"/>
      <c r="B27" s="8"/>
    </row>
    <row r="28" spans="1:8" ht="14.4" thickBot="1" x14ac:dyDescent="0.3">
      <c r="A28" s="8"/>
      <c r="B28" s="8"/>
    </row>
    <row r="29" spans="1:8" ht="14.4" thickBot="1" x14ac:dyDescent="0.3">
      <c r="A29" s="8"/>
      <c r="B29" s="48"/>
      <c r="H29" s="29"/>
    </row>
    <row r="30" spans="1:8" ht="14.4" thickBot="1" x14ac:dyDescent="0.3">
      <c r="A30" s="8"/>
      <c r="B30" s="8"/>
    </row>
    <row r="31" spans="1:8" ht="14.4" thickBot="1" x14ac:dyDescent="0.3">
      <c r="A31" s="8"/>
      <c r="B31" s="8"/>
    </row>
    <row r="32" spans="1:8" ht="14.4" thickBot="1" x14ac:dyDescent="0.3">
      <c r="A32" s="8"/>
      <c r="B32" s="8"/>
    </row>
    <row r="33" spans="1:2" ht="14.4" thickBot="1" x14ac:dyDescent="0.3">
      <c r="A33" s="8"/>
      <c r="B33" s="8"/>
    </row>
    <row r="34" spans="1:2" ht="14.4" thickBot="1" x14ac:dyDescent="0.3">
      <c r="A34" s="8"/>
      <c r="B34" s="8"/>
    </row>
    <row r="35" spans="1:2" ht="14.4" thickBot="1" x14ac:dyDescent="0.3">
      <c r="A35" s="8"/>
      <c r="B35" s="8"/>
    </row>
    <row r="36" spans="1:2" ht="14.4" thickBot="1" x14ac:dyDescent="0.3">
      <c r="A36" s="8"/>
      <c r="B36" s="8"/>
    </row>
    <row r="37" spans="1:2" ht="14.4" thickBot="1" x14ac:dyDescent="0.3">
      <c r="A37" s="8"/>
      <c r="B37" s="8"/>
    </row>
    <row r="38" spans="1:2" ht="14.4" thickBot="1" x14ac:dyDescent="0.3">
      <c r="A38" s="8"/>
      <c r="B38" s="8"/>
    </row>
    <row r="39" spans="1:2" ht="14.4" thickBot="1" x14ac:dyDescent="0.3">
      <c r="A39" s="8"/>
      <c r="B39" s="8"/>
    </row>
    <row r="40" spans="1:2" ht="14.4" thickBot="1" x14ac:dyDescent="0.3">
      <c r="A40" s="8"/>
      <c r="B40" s="8"/>
    </row>
    <row r="41" spans="1:2" ht="14.4" thickBot="1" x14ac:dyDescent="0.3">
      <c r="A41" s="8"/>
      <c r="B41" s="8"/>
    </row>
    <row r="42" spans="1:2" ht="14.4" thickBot="1" x14ac:dyDescent="0.3">
      <c r="A42" s="8"/>
      <c r="B42" s="8"/>
    </row>
    <row r="43" spans="1:2" ht="14.4" thickBot="1" x14ac:dyDescent="0.3">
      <c r="A43" s="8"/>
      <c r="B43" s="8"/>
    </row>
    <row r="44" spans="1:2" ht="14.4" thickBot="1" x14ac:dyDescent="0.3">
      <c r="A44" s="8"/>
      <c r="B44" s="8"/>
    </row>
    <row r="45" spans="1:2" ht="14.4" thickBot="1" x14ac:dyDescent="0.3">
      <c r="A45" s="8"/>
      <c r="B45" s="8"/>
    </row>
    <row r="46" spans="1:2" ht="14.4" thickBot="1" x14ac:dyDescent="0.3">
      <c r="A46" s="8"/>
      <c r="B46" s="8"/>
    </row>
    <row r="47" spans="1:2" ht="14.4" thickBot="1" x14ac:dyDescent="0.3">
      <c r="A47" s="8"/>
      <c r="B47" s="8"/>
    </row>
    <row r="48" spans="1:2" ht="14.4" thickBot="1" x14ac:dyDescent="0.3">
      <c r="A48" s="8"/>
      <c r="B48" s="8"/>
    </row>
    <row r="49" spans="1:4" ht="14.4" thickBot="1" x14ac:dyDescent="0.3">
      <c r="A49" s="8"/>
      <c r="B49" s="8"/>
    </row>
    <row r="50" spans="1:4" ht="14.4" thickBot="1" x14ac:dyDescent="0.3">
      <c r="A50" s="8"/>
      <c r="B50" s="8"/>
    </row>
    <row r="51" spans="1:4" ht="14.4" thickBot="1" x14ac:dyDescent="0.3">
      <c r="A51" s="8"/>
      <c r="B51" s="8"/>
    </row>
    <row r="52" spans="1:4" ht="14.4" thickBot="1" x14ac:dyDescent="0.3">
      <c r="A52" s="8"/>
      <c r="B52" s="8"/>
    </row>
    <row r="53" spans="1:4" x14ac:dyDescent="0.25">
      <c r="C53" t="s">
        <v>52</v>
      </c>
      <c r="D53">
        <f>COUNT(D2:D52)</f>
        <v>19</v>
      </c>
    </row>
    <row r="54" spans="1:4" x14ac:dyDescent="0.25">
      <c r="C54" t="s">
        <v>53</v>
      </c>
      <c r="D54">
        <f>AVERAGEIF(D2:D52, "&lt;&gt;""")</f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__12"/>
  <dimension ref="A1:F81"/>
  <sheetViews>
    <sheetView zoomScaleNormal="100" workbookViewId="0">
      <selection activeCell="A2" sqref="A2:A8"/>
    </sheetView>
  </sheetViews>
  <sheetFormatPr defaultColWidth="9.09765625" defaultRowHeight="13.8" x14ac:dyDescent="0.25"/>
  <cols>
    <col min="1" max="1" width="17.8984375" bestFit="1" customWidth="1"/>
    <col min="2" max="2" width="14.09765625" bestFit="1" customWidth="1"/>
    <col min="5" max="5" width="10.3984375" customWidth="1"/>
    <col min="6" max="6" width="15.3984375" customWidth="1"/>
  </cols>
  <sheetData>
    <row r="1" spans="1:6" ht="15.75" thickBot="1" x14ac:dyDescent="0.3">
      <c r="A1" s="4" t="s">
        <v>102</v>
      </c>
      <c r="B1" s="4" t="s">
        <v>69</v>
      </c>
      <c r="C1" s="4"/>
      <c r="D1" s="4"/>
      <c r="E1" s="4"/>
      <c r="F1" s="4"/>
    </row>
    <row r="2" spans="1:6" ht="15" thickBot="1" x14ac:dyDescent="0.25">
      <c r="B2" s="3">
        <f>SUM(Inception!I6, SRS!H6, SDS!I6, 'Iter0 - ZFR'!I6, 'Iter1 - MVP'!G6, 'Iter2 - TDD'!H6, 'Iter3-Refactoring'!H6, 'Iter4-Final'!H6)/8</f>
        <v>0</v>
      </c>
      <c r="C2" s="3"/>
      <c r="D2" s="3"/>
      <c r="E2" s="3"/>
      <c r="F2" s="3"/>
    </row>
    <row r="3" spans="1:6" ht="15" thickBot="1" x14ac:dyDescent="0.25">
      <c r="B3" s="3">
        <f>SUM(Inception!I2, SRS!H2, SDS!I2, 'Iter0 - ZFR'!I2, 'Iter1 - MVP'!G2, 'Iter2 - TDD'!H2, 'Iter3-Refactoring'!H2, 'Iter4-Final'!H2)/8</f>
        <v>0</v>
      </c>
      <c r="C3" s="3"/>
      <c r="D3" s="3"/>
      <c r="E3" s="3"/>
      <c r="F3" s="3"/>
    </row>
    <row r="4" spans="1:6" ht="15" thickBot="1" x14ac:dyDescent="0.25">
      <c r="A4" s="8"/>
      <c r="B4" s="3">
        <f>SUM(Inception!I3, SRS!H3, SDS!I3, 'Iter0 - ZFR'!I3, 'Iter1 - MVP'!G3, 'Iter2 - TDD'!H3, 'Iter3-Refactoring'!H3, 'Iter4-Final'!H3)/8</f>
        <v>0</v>
      </c>
      <c r="C4" s="3"/>
      <c r="D4" s="3"/>
      <c r="E4" s="3"/>
      <c r="F4" s="3"/>
    </row>
    <row r="5" spans="1:6" ht="15" thickBot="1" x14ac:dyDescent="0.25">
      <c r="A5" s="3"/>
      <c r="B5" s="3">
        <f>SUM(Inception!I4, SRS!H4, SDS!I4, 'Iter0 - ZFR'!I4, 'Iter1 - MVP'!G4, 'Iter2 - TDD'!H4, 'Iter3-Refactoring'!H4, 'Iter4-Final'!H4)/8</f>
        <v>0</v>
      </c>
      <c r="C5" s="3"/>
      <c r="D5" s="3"/>
      <c r="E5" s="3"/>
      <c r="F5" s="3"/>
    </row>
    <row r="6" spans="1:6" ht="15" thickBot="1" x14ac:dyDescent="0.25">
      <c r="B6" s="3">
        <f>SUM(Inception!I5, SRS!H5, SDS!I5, 'Iter0 - ZFR'!I5, 'Iter1 - MVP'!G5, 'Iter2 - TDD'!H5, 'Iter3-Refactoring'!H5, 'Iter4-Final'!H5)/8</f>
        <v>0</v>
      </c>
      <c r="C6" s="3"/>
    </row>
    <row r="7" spans="1:6" ht="15" thickBot="1" x14ac:dyDescent="0.25">
      <c r="A7" s="3"/>
      <c r="B7" s="3">
        <v>0</v>
      </c>
      <c r="C7" s="3"/>
      <c r="D7" s="3"/>
      <c r="E7" s="3"/>
      <c r="F7" s="3"/>
    </row>
    <row r="8" spans="1:6" ht="15" thickBot="1" x14ac:dyDescent="0.25">
      <c r="A8" s="3"/>
      <c r="B8" s="3"/>
      <c r="C8" s="3"/>
      <c r="D8" s="3"/>
      <c r="E8" s="3"/>
      <c r="F8" s="3"/>
    </row>
    <row r="9" spans="1:6" ht="15" thickBot="1" x14ac:dyDescent="0.25">
      <c r="A9" s="3"/>
      <c r="B9" s="3"/>
      <c r="C9" s="3"/>
      <c r="D9" s="3"/>
      <c r="E9" s="3"/>
      <c r="F9" s="3"/>
    </row>
    <row r="10" spans="1:6" ht="15" thickBot="1" x14ac:dyDescent="0.25">
      <c r="A10" s="3"/>
      <c r="B10" s="3"/>
      <c r="C10" s="3"/>
      <c r="D10" s="3"/>
      <c r="E10" s="3"/>
      <c r="F10" s="3"/>
    </row>
    <row r="11" spans="1:6" ht="15" thickBot="1" x14ac:dyDescent="0.25">
      <c r="C11" s="3"/>
    </row>
    <row r="12" spans="1:6" ht="15" thickBot="1" x14ac:dyDescent="0.25">
      <c r="A12" s="3"/>
      <c r="B12" s="3"/>
      <c r="C12" s="3"/>
      <c r="D12" s="3"/>
      <c r="E12" s="3"/>
      <c r="F12" s="3"/>
    </row>
    <row r="13" spans="1:6" ht="15" thickBot="1" x14ac:dyDescent="0.25">
      <c r="A13" s="3"/>
      <c r="B13" s="3"/>
      <c r="C13" s="3"/>
      <c r="D13" s="3"/>
      <c r="E13" s="3"/>
      <c r="F13" s="3"/>
    </row>
    <row r="14" spans="1:6" ht="15" thickBot="1" x14ac:dyDescent="0.25">
      <c r="A14" s="3"/>
      <c r="B14" s="3"/>
      <c r="C14" s="3"/>
      <c r="D14" s="3"/>
      <c r="E14" s="3"/>
      <c r="F14" s="3"/>
    </row>
    <row r="15" spans="1:6" ht="15" thickBot="1" x14ac:dyDescent="0.25">
      <c r="C15" s="3"/>
    </row>
    <row r="16" spans="1:6" ht="15" thickBot="1" x14ac:dyDescent="0.25">
      <c r="A16" s="3"/>
      <c r="B16" s="3"/>
      <c r="C16" s="3"/>
      <c r="D16" s="3"/>
      <c r="E16" s="3"/>
      <c r="F16" s="3"/>
    </row>
    <row r="17" spans="1:6" ht="15" thickBot="1" x14ac:dyDescent="0.25">
      <c r="A17" s="3"/>
      <c r="B17" s="3"/>
      <c r="C17" s="3"/>
      <c r="D17" s="3"/>
      <c r="E17" s="3"/>
      <c r="F17" s="3"/>
    </row>
    <row r="18" spans="1:6" ht="15" thickBot="1" x14ac:dyDescent="0.25">
      <c r="A18" s="3"/>
      <c r="B18" s="3"/>
      <c r="C18" s="3"/>
      <c r="D18" s="3"/>
      <c r="E18" s="3"/>
      <c r="F18" s="3"/>
    </row>
    <row r="19" spans="1:6" ht="15" thickBot="1" x14ac:dyDescent="0.25">
      <c r="A19" s="3"/>
      <c r="B19" s="3"/>
      <c r="C19" s="3"/>
      <c r="D19" s="3"/>
      <c r="E19" s="3"/>
      <c r="F19" s="3"/>
    </row>
    <row r="20" spans="1:6" ht="15" thickBot="1" x14ac:dyDescent="0.25">
      <c r="A20" s="3"/>
      <c r="B20" s="3"/>
      <c r="C20" s="3"/>
      <c r="D20" s="3"/>
      <c r="E20" s="3"/>
      <c r="F20" s="3"/>
    </row>
    <row r="21" spans="1:6" ht="15" thickBot="1" x14ac:dyDescent="0.25">
      <c r="C21" s="3"/>
    </row>
    <row r="22" spans="1:6" ht="14.4" thickBot="1" x14ac:dyDescent="0.3">
      <c r="A22" s="3"/>
      <c r="B22" s="3"/>
      <c r="C22" s="3"/>
      <c r="D22" s="3"/>
      <c r="E22" s="3"/>
      <c r="F22" s="3"/>
    </row>
    <row r="23" spans="1:6" ht="14.4" thickBot="1" x14ac:dyDescent="0.3">
      <c r="A23" s="3"/>
      <c r="B23" s="3"/>
      <c r="C23" s="3"/>
      <c r="D23" s="3"/>
      <c r="E23" s="3"/>
      <c r="F23" s="3"/>
    </row>
    <row r="24" spans="1:6" ht="14.4" thickBot="1" x14ac:dyDescent="0.3">
      <c r="A24" s="3"/>
      <c r="B24" s="3"/>
      <c r="C24" s="3"/>
      <c r="D24" s="3"/>
      <c r="E24" s="3"/>
      <c r="F24" s="3"/>
    </row>
    <row r="25" spans="1:6" ht="14.4" thickBot="1" x14ac:dyDescent="0.3">
      <c r="C25" s="3"/>
    </row>
    <row r="26" spans="1:6" ht="14.4" thickBot="1" x14ac:dyDescent="0.3">
      <c r="A26" s="3"/>
      <c r="B26" s="3"/>
      <c r="C26" s="3"/>
      <c r="D26" s="3"/>
      <c r="E26" s="3"/>
      <c r="F26" s="3"/>
    </row>
    <row r="27" spans="1:6" ht="14.4" thickBot="1" x14ac:dyDescent="0.3">
      <c r="A27" s="3"/>
      <c r="B27" s="3"/>
      <c r="C27" s="3"/>
      <c r="D27" s="3"/>
      <c r="E27" s="3"/>
      <c r="F27" s="3"/>
    </row>
    <row r="28" spans="1:6" ht="14.4" thickBot="1" x14ac:dyDescent="0.3">
      <c r="A28" s="3"/>
      <c r="B28" s="3"/>
      <c r="C28" s="3"/>
      <c r="D28" s="3"/>
      <c r="E28" s="3"/>
      <c r="F28" s="3"/>
    </row>
    <row r="29" spans="1:6" ht="14.4" thickBot="1" x14ac:dyDescent="0.3">
      <c r="A29" s="3"/>
      <c r="B29" s="3"/>
      <c r="C29" s="3"/>
      <c r="D29" s="3"/>
      <c r="E29" s="3"/>
      <c r="F29" s="3"/>
    </row>
    <row r="30" spans="1:6" ht="14.4" thickBot="1" x14ac:dyDescent="0.3">
      <c r="C30" s="3"/>
    </row>
    <row r="31" spans="1:6" ht="14.4" thickBot="1" x14ac:dyDescent="0.3">
      <c r="A31" s="3"/>
      <c r="B31" s="3"/>
      <c r="C31" s="3"/>
      <c r="D31" s="3"/>
      <c r="E31" s="3"/>
      <c r="F31" s="3"/>
    </row>
    <row r="32" spans="1:6" ht="14.4" thickBot="1" x14ac:dyDescent="0.3">
      <c r="A32" s="3"/>
      <c r="B32" s="3"/>
      <c r="C32" s="3"/>
      <c r="D32" s="3"/>
      <c r="E32" s="3"/>
      <c r="F32" s="3"/>
    </row>
    <row r="33" spans="1:6" ht="14.4" thickBot="1" x14ac:dyDescent="0.3">
      <c r="A33" s="3"/>
      <c r="B33" s="3"/>
      <c r="C33" s="3"/>
      <c r="D33" s="3"/>
      <c r="E33" s="3"/>
      <c r="F33" s="3"/>
    </row>
    <row r="34" spans="1:6" ht="14.4" thickBot="1" x14ac:dyDescent="0.3">
      <c r="A34" s="3"/>
      <c r="B34" s="3"/>
      <c r="C34" s="3"/>
      <c r="D34" s="3"/>
      <c r="E34" s="3"/>
      <c r="F34" s="3"/>
    </row>
    <row r="35" spans="1:6" ht="14.4" thickBot="1" x14ac:dyDescent="0.3">
      <c r="C35" s="3"/>
    </row>
    <row r="36" spans="1:6" ht="14.4" thickBot="1" x14ac:dyDescent="0.3">
      <c r="A36" s="3"/>
      <c r="B36" s="3"/>
      <c r="C36" s="3"/>
      <c r="D36" s="3"/>
      <c r="E36" s="3"/>
      <c r="F36" s="3"/>
    </row>
    <row r="37" spans="1:6" ht="14.4" thickBot="1" x14ac:dyDescent="0.3">
      <c r="A37" s="3"/>
      <c r="B37" s="3"/>
      <c r="C37" s="3"/>
      <c r="D37" s="3"/>
      <c r="E37" s="3"/>
      <c r="F37" s="3"/>
    </row>
    <row r="38" spans="1:6" ht="14.4" thickBot="1" x14ac:dyDescent="0.3">
      <c r="A38" s="3"/>
      <c r="B38" s="3"/>
      <c r="C38" s="3"/>
      <c r="D38" s="3"/>
      <c r="E38" s="3"/>
      <c r="F38" s="3"/>
    </row>
    <row r="39" spans="1:6" ht="14.4" thickBot="1" x14ac:dyDescent="0.3">
      <c r="A39" s="3"/>
      <c r="B39" s="3"/>
      <c r="C39" s="3"/>
      <c r="D39" s="3"/>
      <c r="E39" s="3"/>
      <c r="F39" s="3"/>
    </row>
    <row r="40" spans="1:6" ht="14.4" thickBot="1" x14ac:dyDescent="0.3">
      <c r="A40" s="3"/>
      <c r="B40" s="3"/>
      <c r="C40" s="3"/>
      <c r="D40" s="3"/>
      <c r="E40" s="3"/>
      <c r="F40" s="3"/>
    </row>
    <row r="41" spans="1:6" ht="14.4" thickBot="1" x14ac:dyDescent="0.3">
      <c r="C41" s="3"/>
    </row>
    <row r="42" spans="1:6" ht="14.4" thickBot="1" x14ac:dyDescent="0.3">
      <c r="A42" s="3"/>
      <c r="B42" s="3"/>
      <c r="C42" s="3"/>
      <c r="D42" s="3"/>
      <c r="E42" s="3"/>
      <c r="F42" s="3"/>
    </row>
    <row r="43" spans="1:6" ht="14.4" thickBot="1" x14ac:dyDescent="0.3">
      <c r="A43" s="3"/>
      <c r="B43" s="3"/>
      <c r="C43" s="3"/>
      <c r="D43" s="3"/>
      <c r="E43" s="3"/>
      <c r="F43" s="3"/>
    </row>
    <row r="44" spans="1:6" ht="14.4" thickBot="1" x14ac:dyDescent="0.3">
      <c r="A44" s="3"/>
      <c r="B44" s="3"/>
      <c r="C44" s="3"/>
      <c r="D44" s="3"/>
      <c r="E44" s="3"/>
      <c r="F44" s="3"/>
    </row>
    <row r="45" spans="1:6" ht="14.4" thickBot="1" x14ac:dyDescent="0.3">
      <c r="C45" s="3"/>
    </row>
    <row r="46" spans="1:6" ht="14.4" thickBot="1" x14ac:dyDescent="0.3">
      <c r="A46" s="3"/>
      <c r="B46" s="3"/>
      <c r="C46" s="3"/>
      <c r="D46" s="3"/>
      <c r="E46" s="3"/>
      <c r="F46" s="3"/>
    </row>
    <row r="47" spans="1:6" ht="14.4" thickBot="1" x14ac:dyDescent="0.3">
      <c r="A47" s="3"/>
      <c r="B47" s="3"/>
      <c r="C47" s="3"/>
      <c r="D47" s="3"/>
      <c r="E47" s="3"/>
      <c r="F47" s="3"/>
    </row>
    <row r="48" spans="1:6" ht="14.4" thickBot="1" x14ac:dyDescent="0.3">
      <c r="A48" s="3"/>
      <c r="B48" s="3"/>
      <c r="C48" s="3"/>
      <c r="D48" s="3"/>
      <c r="E48" s="3"/>
      <c r="F48" s="3"/>
    </row>
    <row r="49" spans="1:6" ht="14.4" thickBot="1" x14ac:dyDescent="0.3">
      <c r="A49" s="3"/>
      <c r="B49" s="3"/>
      <c r="C49" s="3"/>
      <c r="D49" s="3"/>
      <c r="E49" s="3"/>
      <c r="F49" s="3"/>
    </row>
    <row r="50" spans="1:6" ht="14.4" thickBot="1" x14ac:dyDescent="0.3">
      <c r="C50" s="3"/>
    </row>
    <row r="51" spans="1:6" ht="14.4" thickBot="1" x14ac:dyDescent="0.3">
      <c r="A51" s="3"/>
      <c r="B51" s="3"/>
      <c r="C51" s="3"/>
      <c r="D51" s="3"/>
      <c r="E51" s="3"/>
      <c r="F51" s="3"/>
    </row>
    <row r="52" spans="1:6" ht="14.4" thickBot="1" x14ac:dyDescent="0.3">
      <c r="A52" s="3"/>
      <c r="B52" s="3"/>
      <c r="C52" s="3"/>
      <c r="D52" s="3"/>
      <c r="E52" s="3"/>
      <c r="F52" s="3"/>
    </row>
    <row r="53" spans="1:6" ht="14.4" thickBot="1" x14ac:dyDescent="0.3">
      <c r="A53" s="3"/>
      <c r="B53" s="3"/>
      <c r="C53" s="3"/>
      <c r="D53" s="3"/>
      <c r="E53" s="3"/>
      <c r="F53" s="3"/>
    </row>
    <row r="54" spans="1:6" ht="14.4" thickBot="1" x14ac:dyDescent="0.3">
      <c r="A54" s="3"/>
      <c r="B54" s="3"/>
      <c r="C54" s="3"/>
      <c r="D54" s="3"/>
      <c r="E54" s="3"/>
      <c r="F54" s="3"/>
    </row>
    <row r="55" spans="1:6" ht="14.4" thickBot="1" x14ac:dyDescent="0.3">
      <c r="C55" s="3"/>
    </row>
    <row r="56" spans="1:6" ht="14.4" thickBot="1" x14ac:dyDescent="0.3">
      <c r="A56" s="3"/>
      <c r="B56" s="3"/>
      <c r="C56" s="3"/>
      <c r="D56" s="3"/>
      <c r="E56" s="3"/>
      <c r="F56" s="3"/>
    </row>
    <row r="57" spans="1:6" ht="14.4" thickBot="1" x14ac:dyDescent="0.3">
      <c r="A57" s="3"/>
      <c r="B57" s="3"/>
      <c r="C57" s="3"/>
      <c r="D57" s="3"/>
      <c r="E57" s="3"/>
      <c r="F57" s="3"/>
    </row>
    <row r="58" spans="1:6" ht="14.4" thickBot="1" x14ac:dyDescent="0.3">
      <c r="A58" s="3"/>
      <c r="B58" s="3"/>
      <c r="C58" s="3"/>
      <c r="D58" s="3"/>
      <c r="E58" s="3"/>
      <c r="F58" s="3"/>
    </row>
    <row r="59" spans="1:6" ht="14.4" thickBot="1" x14ac:dyDescent="0.3">
      <c r="C59" s="3"/>
    </row>
    <row r="60" spans="1:6" ht="14.4" thickBot="1" x14ac:dyDescent="0.3">
      <c r="A60" s="3"/>
      <c r="B60" s="3"/>
      <c r="C60" s="3"/>
      <c r="D60" s="3"/>
      <c r="E60" s="3"/>
      <c r="F60" s="3"/>
    </row>
    <row r="61" spans="1:6" ht="14.4" thickBot="1" x14ac:dyDescent="0.3">
      <c r="A61" s="3"/>
      <c r="B61" s="3"/>
      <c r="C61" s="3"/>
      <c r="D61" s="3"/>
      <c r="E61" s="3"/>
      <c r="F61" s="3"/>
    </row>
    <row r="62" spans="1:6" ht="14.4" thickBot="1" x14ac:dyDescent="0.3">
      <c r="A62" s="3"/>
      <c r="B62" s="3"/>
      <c r="C62" s="3"/>
      <c r="D62" s="3"/>
      <c r="E62" s="3"/>
      <c r="F62" s="3"/>
    </row>
    <row r="63" spans="1:6" ht="14.4" thickBot="1" x14ac:dyDescent="0.3">
      <c r="A63" s="3"/>
      <c r="B63" s="3"/>
      <c r="C63" s="3"/>
      <c r="D63" s="3"/>
      <c r="E63" s="3"/>
      <c r="F63" s="3"/>
    </row>
    <row r="81" spans="5:5" x14ac:dyDescent="0.25">
      <c r="E81" s="2"/>
    </row>
  </sheetData>
  <pageMargins left="0.7" right="0.7" top="0.75" bottom="0.75" header="0.3" footer="0.3"/>
  <pageSetup paperSize="9" orientation="portrait" r:id="rId1"/>
  <customProperties>
    <customPr name="DVSECTION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workbookViewId="0">
      <selection activeCell="A2" sqref="A2:A21"/>
    </sheetView>
  </sheetViews>
  <sheetFormatPr defaultRowHeight="13.8" x14ac:dyDescent="0.25"/>
  <cols>
    <col min="1" max="2" width="12.3984375" style="25" customWidth="1"/>
    <col min="3" max="3" width="22.69921875" style="25" customWidth="1"/>
    <col min="4" max="4" width="32.59765625" style="25" customWidth="1"/>
    <col min="5" max="6" width="9" style="16"/>
    <col min="7" max="7" width="58" style="16" customWidth="1"/>
    <col min="8" max="18" width="9" style="16"/>
  </cols>
  <sheetData>
    <row r="1" spans="1:14" ht="14.4" thickBot="1" x14ac:dyDescent="0.3">
      <c r="A1" s="26" t="s">
        <v>8</v>
      </c>
      <c r="B1" s="62"/>
      <c r="C1" s="63"/>
      <c r="D1" s="64"/>
      <c r="E1" s="58" t="s">
        <v>9</v>
      </c>
    </row>
    <row r="2" spans="1:14" ht="14.4" thickBot="1" x14ac:dyDescent="0.3">
      <c r="A2" s="59"/>
      <c r="B2" s="68"/>
      <c r="C2" s="68"/>
      <c r="D2" s="68"/>
      <c r="E2" s="71">
        <f>ROUNDUP((SUM(B2:D2)/3),0)</f>
        <v>0</v>
      </c>
      <c r="F2" s="68"/>
    </row>
    <row r="3" spans="1:14" ht="14.4" thickBot="1" x14ac:dyDescent="0.3">
      <c r="A3" s="59"/>
      <c r="B3" s="68"/>
      <c r="C3" s="68"/>
      <c r="D3" s="68"/>
      <c r="E3" s="71">
        <f t="shared" ref="E3:E20" si="0">ROUNDUP((SUM(B3:D3)/3),0)</f>
        <v>0</v>
      </c>
      <c r="F3" s="68"/>
    </row>
    <row r="4" spans="1:14" ht="14.4" thickBot="1" x14ac:dyDescent="0.3">
      <c r="A4" s="59"/>
      <c r="B4" s="68"/>
      <c r="C4" s="68"/>
      <c r="D4" s="68"/>
      <c r="E4" s="71">
        <f t="shared" si="0"/>
        <v>0</v>
      </c>
      <c r="F4" s="68"/>
    </row>
    <row r="5" spans="1:14" ht="14.4" thickBot="1" x14ac:dyDescent="0.3">
      <c r="A5" s="59"/>
      <c r="B5" s="68"/>
      <c r="C5" s="68"/>
      <c r="D5" s="68"/>
      <c r="E5" s="71">
        <f t="shared" si="0"/>
        <v>0</v>
      </c>
      <c r="F5" s="68"/>
    </row>
    <row r="6" spans="1:14" ht="14.4" thickBot="1" x14ac:dyDescent="0.3">
      <c r="A6" s="59"/>
      <c r="B6" s="68"/>
      <c r="C6" s="68"/>
      <c r="D6" s="68"/>
      <c r="E6" s="71">
        <f t="shared" si="0"/>
        <v>0</v>
      </c>
      <c r="F6" s="68"/>
    </row>
    <row r="7" spans="1:14" ht="14.4" thickBot="1" x14ac:dyDescent="0.3">
      <c r="A7" s="59"/>
      <c r="B7" s="68"/>
      <c r="C7" s="68"/>
      <c r="D7" s="68"/>
      <c r="E7" s="71">
        <f t="shared" si="0"/>
        <v>0</v>
      </c>
      <c r="F7" s="68"/>
    </row>
    <row r="8" spans="1:14" ht="14.4" thickBot="1" x14ac:dyDescent="0.3">
      <c r="A8" s="59"/>
      <c r="B8" s="68"/>
      <c r="C8" s="68"/>
      <c r="D8" s="68"/>
      <c r="E8" s="71">
        <f t="shared" si="0"/>
        <v>0</v>
      </c>
      <c r="F8" s="68"/>
    </row>
    <row r="9" spans="1:14" ht="14.4" thickBot="1" x14ac:dyDescent="0.3">
      <c r="A9" s="59"/>
      <c r="B9" s="68"/>
      <c r="C9" s="68"/>
      <c r="D9" s="68"/>
      <c r="E9" s="71">
        <f t="shared" si="0"/>
        <v>0</v>
      </c>
      <c r="F9" s="68"/>
    </row>
    <row r="10" spans="1:14" ht="14.4" thickBot="1" x14ac:dyDescent="0.3">
      <c r="A10" s="59"/>
      <c r="B10" s="68"/>
      <c r="C10" s="68"/>
      <c r="D10" s="68"/>
      <c r="E10" s="71">
        <f t="shared" si="0"/>
        <v>0</v>
      </c>
      <c r="F10" s="68"/>
    </row>
    <row r="11" spans="1:14" ht="14.4" thickBot="1" x14ac:dyDescent="0.3">
      <c r="A11" s="59"/>
      <c r="B11" s="68"/>
      <c r="C11" s="68"/>
      <c r="D11" s="68"/>
      <c r="E11" s="71">
        <f t="shared" si="0"/>
        <v>0</v>
      </c>
      <c r="F11" s="68"/>
    </row>
    <row r="12" spans="1:14" ht="14.4" thickBot="1" x14ac:dyDescent="0.3">
      <c r="A12" s="60"/>
      <c r="B12" s="68"/>
      <c r="C12" s="68"/>
      <c r="D12" s="68"/>
      <c r="E12" s="71">
        <f t="shared" si="0"/>
        <v>0</v>
      </c>
      <c r="F12" s="68"/>
    </row>
    <row r="13" spans="1:14" ht="14.4" thickBot="1" x14ac:dyDescent="0.3">
      <c r="A13" s="59"/>
      <c r="B13" s="68"/>
      <c r="C13" s="68"/>
      <c r="D13" s="68"/>
      <c r="E13" s="71">
        <f t="shared" si="0"/>
        <v>0</v>
      </c>
      <c r="F13" s="68"/>
      <c r="N13" s="24"/>
    </row>
    <row r="14" spans="1:14" ht="14.4" thickBot="1" x14ac:dyDescent="0.3">
      <c r="A14" s="59"/>
      <c r="B14" s="68"/>
      <c r="C14" s="68"/>
      <c r="D14" s="68"/>
      <c r="E14" s="71">
        <f t="shared" si="0"/>
        <v>0</v>
      </c>
      <c r="F14" s="68"/>
    </row>
    <row r="15" spans="1:14" ht="14.4" thickBot="1" x14ac:dyDescent="0.3">
      <c r="A15" s="59"/>
      <c r="B15" s="68"/>
      <c r="C15" s="68"/>
      <c r="D15" s="68"/>
      <c r="E15" s="71">
        <f t="shared" si="0"/>
        <v>0</v>
      </c>
      <c r="F15" s="68"/>
    </row>
    <row r="16" spans="1:14" ht="14.4" thickBot="1" x14ac:dyDescent="0.3">
      <c r="A16" s="60"/>
      <c r="B16" s="68"/>
      <c r="C16" s="68"/>
      <c r="D16" s="68"/>
      <c r="E16" s="71">
        <f t="shared" si="0"/>
        <v>0</v>
      </c>
      <c r="F16" s="68"/>
    </row>
    <row r="17" spans="1:6" ht="14.4" thickBot="1" x14ac:dyDescent="0.3">
      <c r="A17" s="59"/>
      <c r="B17" s="68"/>
      <c r="C17" s="68"/>
      <c r="D17" s="68"/>
      <c r="E17" s="71">
        <f t="shared" si="0"/>
        <v>0</v>
      </c>
      <c r="F17" s="68"/>
    </row>
    <row r="18" spans="1:6" ht="14.4" thickBot="1" x14ac:dyDescent="0.3">
      <c r="A18" s="59"/>
      <c r="B18" s="68"/>
      <c r="C18" s="68"/>
      <c r="D18" s="68"/>
      <c r="E18" s="71">
        <f t="shared" si="0"/>
        <v>0</v>
      </c>
      <c r="F18" s="68"/>
    </row>
    <row r="19" spans="1:6" ht="14.4" thickBot="1" x14ac:dyDescent="0.3">
      <c r="A19" s="59"/>
      <c r="B19" s="68"/>
      <c r="C19" s="68"/>
      <c r="D19" s="68"/>
      <c r="E19" s="71">
        <f t="shared" si="0"/>
        <v>0</v>
      </c>
      <c r="F19" s="68"/>
    </row>
    <row r="20" spans="1:6" ht="14.4" thickBot="1" x14ac:dyDescent="0.3">
      <c r="A20" s="59"/>
      <c r="B20" s="68"/>
      <c r="C20" s="68"/>
      <c r="D20" s="68"/>
      <c r="E20" s="71">
        <f t="shared" si="0"/>
        <v>0</v>
      </c>
      <c r="F20" s="68"/>
    </row>
    <row r="21" spans="1:6" ht="14.4" thickBot="1" x14ac:dyDescent="0.3">
      <c r="A21" s="61"/>
      <c r="B21" s="27"/>
      <c r="C21" s="27"/>
      <c r="D21" s="27"/>
      <c r="E21" s="71"/>
      <c r="F21" s="68"/>
    </row>
    <row r="22" spans="1:6" ht="14.4" thickBot="1" x14ac:dyDescent="0.3">
      <c r="A22" s="61"/>
      <c r="B22" s="27"/>
      <c r="C22" s="27"/>
      <c r="D22" s="27"/>
      <c r="E22" s="71"/>
      <c r="F22" s="68"/>
    </row>
    <row r="23" spans="1:6" ht="14.4" thickBot="1" x14ac:dyDescent="0.3">
      <c r="A23" s="61"/>
      <c r="B23" s="27"/>
      <c r="C23" s="27"/>
      <c r="D23" s="27"/>
      <c r="E23" s="71"/>
      <c r="F23" s="68"/>
    </row>
    <row r="24" spans="1:6" ht="14.4" thickBot="1" x14ac:dyDescent="0.3">
      <c r="A24" s="61"/>
      <c r="B24" s="27"/>
      <c r="C24" s="27"/>
      <c r="D24" s="27"/>
      <c r="E24" s="71"/>
      <c r="F24" s="68"/>
    </row>
    <row r="25" spans="1:6" ht="14.4" thickBot="1" x14ac:dyDescent="0.3">
      <c r="A25" s="61"/>
      <c r="B25" s="27"/>
      <c r="C25" s="27"/>
      <c r="D25" s="27"/>
      <c r="E25" s="68"/>
      <c r="F25" s="68"/>
    </row>
    <row r="26" spans="1:6" ht="14.4" thickBot="1" x14ac:dyDescent="0.3">
      <c r="A26" s="61"/>
      <c r="B26" s="27"/>
      <c r="C26" s="27"/>
      <c r="D26" s="27"/>
      <c r="E26" s="68"/>
      <c r="F26" s="68"/>
    </row>
    <row r="27" spans="1:6" ht="14.4" thickBot="1" x14ac:dyDescent="0.3">
      <c r="A27" s="61"/>
      <c r="B27" s="27"/>
      <c r="C27" s="27"/>
      <c r="D27" s="27"/>
      <c r="E27" s="68"/>
      <c r="F27" s="68"/>
    </row>
    <row r="28" spans="1:6" ht="14.4" thickBot="1" x14ac:dyDescent="0.3">
      <c r="A28" s="61"/>
      <c r="B28" s="27"/>
      <c r="C28" s="27"/>
      <c r="D28" s="27"/>
      <c r="E28" s="68"/>
      <c r="F28" s="68"/>
    </row>
    <row r="29" spans="1:6" ht="14.4" thickBot="1" x14ac:dyDescent="0.3">
      <c r="A29" s="61"/>
      <c r="B29" s="27"/>
      <c r="C29" s="27"/>
      <c r="D29" s="27"/>
      <c r="E29" s="68"/>
      <c r="F29" s="68"/>
    </row>
    <row r="30" spans="1:6" ht="14.4" thickBot="1" x14ac:dyDescent="0.3">
      <c r="A30" s="61"/>
      <c r="B30" s="27"/>
      <c r="C30" s="27"/>
      <c r="D30" s="27"/>
      <c r="E30" s="68"/>
      <c r="F30" s="68"/>
    </row>
    <row r="31" spans="1:6" ht="14.4" thickBot="1" x14ac:dyDescent="0.3">
      <c r="A31" s="61"/>
      <c r="B31" s="27"/>
      <c r="C31" s="27"/>
      <c r="D31" s="27"/>
      <c r="E31" s="68"/>
      <c r="F31" s="68"/>
    </row>
    <row r="32" spans="1:6" ht="14.4" thickBot="1" x14ac:dyDescent="0.3">
      <c r="A32" s="61"/>
      <c r="B32" s="27"/>
      <c r="C32" s="27"/>
      <c r="D32" s="27"/>
      <c r="E32" s="68"/>
      <c r="F32" s="68"/>
    </row>
    <row r="33" spans="1:4" ht="14.4" thickBot="1" x14ac:dyDescent="0.3">
      <c r="A33" s="22"/>
      <c r="B33" s="65"/>
      <c r="C33" s="66"/>
      <c r="D33" s="67"/>
    </row>
    <row r="34" spans="1:4" ht="14.4" thickBot="1" x14ac:dyDescent="0.3">
      <c r="A34" s="22"/>
      <c r="B34" s="27"/>
      <c r="C34" s="27"/>
      <c r="D34" s="57"/>
    </row>
    <row r="35" spans="1:4" ht="14.4" thickBot="1" x14ac:dyDescent="0.3">
      <c r="A35" s="22"/>
      <c r="B35" s="27"/>
      <c r="C35" s="27"/>
      <c r="D35" s="57"/>
    </row>
    <row r="36" spans="1:4" ht="14.4" thickBot="1" x14ac:dyDescent="0.3">
      <c r="A36" s="22"/>
      <c r="B36" s="27"/>
      <c r="C36" s="27"/>
      <c r="D36" s="57"/>
    </row>
    <row r="37" spans="1:4" ht="14.4" thickBot="1" x14ac:dyDescent="0.3">
      <c r="A37" s="22"/>
      <c r="B37" s="27"/>
      <c r="C37" s="27"/>
      <c r="D37" s="57"/>
    </row>
    <row r="38" spans="1:4" ht="14.4" thickBot="1" x14ac:dyDescent="0.3">
      <c r="A38" s="22"/>
      <c r="B38" s="27"/>
      <c r="C38" s="27"/>
      <c r="D38" s="57"/>
    </row>
    <row r="39" spans="1:4" ht="14.4" thickBot="1" x14ac:dyDescent="0.3">
      <c r="A39" s="22"/>
      <c r="B39" s="27"/>
      <c r="C39" s="27"/>
      <c r="D39" s="57"/>
    </row>
    <row r="40" spans="1:4" ht="14.4" thickBot="1" x14ac:dyDescent="0.3">
      <c r="A40" s="22"/>
      <c r="B40" s="27"/>
      <c r="C40" s="27"/>
      <c r="D40" s="57"/>
    </row>
    <row r="41" spans="1:4" ht="14.4" thickBot="1" x14ac:dyDescent="0.3">
      <c r="A41" s="22"/>
      <c r="B41" s="27"/>
      <c r="C41" s="27"/>
      <c r="D41" s="57"/>
    </row>
    <row r="42" spans="1:4" ht="14.4" thickBot="1" x14ac:dyDescent="0.3">
      <c r="A42" s="22"/>
      <c r="B42" s="27"/>
      <c r="C42" s="27"/>
      <c r="D42" s="57"/>
    </row>
    <row r="43" spans="1:4" ht="14.4" thickBot="1" x14ac:dyDescent="0.3">
      <c r="A43" s="22"/>
      <c r="B43" s="27"/>
      <c r="C43" s="27"/>
      <c r="D43" s="57"/>
    </row>
    <row r="44" spans="1:4" ht="14.4" thickBot="1" x14ac:dyDescent="0.3">
      <c r="A44" s="22"/>
      <c r="B44" s="27"/>
      <c r="C44" s="27"/>
      <c r="D44" s="57"/>
    </row>
    <row r="45" spans="1:4" ht="14.4" thickBot="1" x14ac:dyDescent="0.3">
      <c r="A45" s="22"/>
      <c r="B45" s="27"/>
      <c r="C45" s="27"/>
      <c r="D45" s="57"/>
    </row>
    <row r="46" spans="1:4" ht="14.4" thickBot="1" x14ac:dyDescent="0.3">
      <c r="A46" s="22"/>
      <c r="B46" s="27"/>
      <c r="C46" s="27"/>
      <c r="D46" s="57"/>
    </row>
    <row r="47" spans="1:4" ht="14.4" thickBot="1" x14ac:dyDescent="0.3">
      <c r="A47" s="22"/>
      <c r="B47" s="27"/>
      <c r="C47" s="27"/>
      <c r="D47" s="57"/>
    </row>
    <row r="48" spans="1:4" ht="14.4" thickBot="1" x14ac:dyDescent="0.3">
      <c r="A48" s="22"/>
      <c r="B48" s="27"/>
      <c r="C48" s="27"/>
      <c r="D48" s="57"/>
    </row>
    <row r="49" spans="1:4" ht="14.4" thickBot="1" x14ac:dyDescent="0.3">
      <c r="A49" s="28"/>
      <c r="B49" s="27"/>
      <c r="C49" s="27"/>
      <c r="D49" s="57"/>
    </row>
    <row r="50" spans="1:4" ht="14.4" thickBot="1" x14ac:dyDescent="0.3">
      <c r="A50" s="28"/>
      <c r="B50" s="27"/>
      <c r="C50" s="27"/>
      <c r="D50" s="57"/>
    </row>
  </sheetData>
  <sortState ref="A1:Q51">
    <sortCondition ref="A1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" sqref="A2:A12"/>
    </sheetView>
  </sheetViews>
  <sheetFormatPr defaultColWidth="9.09765625" defaultRowHeight="13.8" x14ac:dyDescent="0.25"/>
  <cols>
    <col min="1" max="1" width="19.8984375" customWidth="1"/>
    <col min="2" max="2" width="18.59765625" bestFit="1" customWidth="1"/>
    <col min="3" max="3" width="10.8984375" bestFit="1" customWidth="1"/>
    <col min="4" max="4" width="18.19921875" bestFit="1" customWidth="1"/>
    <col min="5" max="5" width="18" bestFit="1" customWidth="1"/>
    <col min="6" max="6" width="18.69921875" bestFit="1" customWidth="1"/>
    <col min="7" max="7" width="11.19921875" bestFit="1" customWidth="1"/>
    <col min="8" max="8" width="77.8984375" bestFit="1" customWidth="1"/>
    <col min="9" max="9" width="53.09765625" bestFit="1" customWidth="1"/>
  </cols>
  <sheetData>
    <row r="1" spans="1:9" ht="14.4" thickBot="1" x14ac:dyDescent="0.3">
      <c r="A1" s="4" t="s">
        <v>102</v>
      </c>
      <c r="B1" s="4" t="s">
        <v>41</v>
      </c>
      <c r="C1" s="4" t="s">
        <v>42</v>
      </c>
      <c r="D1" s="4" t="s">
        <v>43</v>
      </c>
      <c r="E1" s="4" t="s">
        <v>44</v>
      </c>
      <c r="F1" s="4" t="s">
        <v>45</v>
      </c>
      <c r="G1" s="4" t="s">
        <v>11</v>
      </c>
      <c r="H1" s="4" t="s">
        <v>46</v>
      </c>
      <c r="I1" s="4" t="s">
        <v>47</v>
      </c>
    </row>
    <row r="2" spans="1:9" ht="14.4" thickBot="1" x14ac:dyDescent="0.3">
      <c r="A2" s="3"/>
      <c r="B2" s="3"/>
      <c r="C2" s="3"/>
      <c r="D2" s="3"/>
      <c r="E2" s="3"/>
      <c r="F2" s="3"/>
      <c r="G2" s="72">
        <f t="shared" ref="G2:G9" si="0">(1*F2+2*E2+1*D2+2*C2+4*B2)/10</f>
        <v>0</v>
      </c>
      <c r="H2" s="23"/>
      <c r="I2" t="s">
        <v>62</v>
      </c>
    </row>
    <row r="3" spans="1:9" ht="14.4" thickBot="1" x14ac:dyDescent="0.3">
      <c r="A3" s="3"/>
      <c r="B3" s="3"/>
      <c r="C3" s="3"/>
      <c r="D3" s="3"/>
      <c r="E3" s="3"/>
      <c r="F3" s="3"/>
      <c r="G3" s="72">
        <f t="shared" si="0"/>
        <v>0</v>
      </c>
      <c r="H3" s="23"/>
      <c r="I3" t="s">
        <v>67</v>
      </c>
    </row>
    <row r="4" spans="1:9" ht="14.4" thickBot="1" x14ac:dyDescent="0.3">
      <c r="B4" s="3"/>
      <c r="C4" s="3"/>
      <c r="D4" s="3"/>
      <c r="E4" s="3"/>
      <c r="F4" s="3"/>
      <c r="G4" s="72">
        <f>(1*F4+2*E4+1*D4+2*C4+4*B4)/10</f>
        <v>0</v>
      </c>
      <c r="H4" s="23"/>
      <c r="I4" s="29" t="s">
        <v>68</v>
      </c>
    </row>
    <row r="5" spans="1:9" ht="14.4" thickBot="1" x14ac:dyDescent="0.3">
      <c r="A5" s="3"/>
      <c r="B5" s="3"/>
      <c r="C5" s="3"/>
      <c r="D5" s="3"/>
      <c r="E5" s="3"/>
      <c r="F5" s="3"/>
      <c r="G5" s="72">
        <f>(1*F5+2*E5+1*D5+2*C5+4*B5)/10</f>
        <v>0</v>
      </c>
      <c r="H5" s="23"/>
      <c r="I5" t="s">
        <v>66</v>
      </c>
    </row>
    <row r="6" spans="1:9" ht="14.4" thickBot="1" x14ac:dyDescent="0.3">
      <c r="A6" s="3"/>
      <c r="B6" s="3"/>
      <c r="C6" s="3"/>
      <c r="D6" s="3"/>
      <c r="E6" s="3"/>
      <c r="F6" s="3"/>
      <c r="G6" s="72">
        <f t="shared" si="0"/>
        <v>0</v>
      </c>
      <c r="H6" s="23"/>
      <c r="I6" t="s">
        <v>65</v>
      </c>
    </row>
    <row r="7" spans="1:9" ht="14.4" thickBot="1" x14ac:dyDescent="0.3">
      <c r="A7" s="3"/>
      <c r="B7" s="3"/>
      <c r="C7" s="3"/>
      <c r="D7" s="3"/>
      <c r="E7" s="3"/>
      <c r="F7" s="3"/>
      <c r="G7" s="72">
        <f t="shared" si="0"/>
        <v>0</v>
      </c>
      <c r="H7" s="23"/>
      <c r="I7" s="3" t="s">
        <v>61</v>
      </c>
    </row>
    <row r="8" spans="1:9" ht="14.4" thickBot="1" x14ac:dyDescent="0.3">
      <c r="A8" s="3"/>
      <c r="B8" s="3"/>
      <c r="C8" s="3"/>
      <c r="D8" s="3"/>
      <c r="E8" s="3"/>
      <c r="F8" s="3"/>
      <c r="G8" s="72">
        <f t="shared" si="0"/>
        <v>0</v>
      </c>
      <c r="H8" s="23"/>
      <c r="I8" t="s">
        <v>63</v>
      </c>
    </row>
    <row r="9" spans="1:9" ht="14.4" thickBot="1" x14ac:dyDescent="0.3">
      <c r="A9" s="3"/>
      <c r="B9" s="3"/>
      <c r="C9" s="3"/>
      <c r="D9" s="3"/>
      <c r="E9" s="3"/>
      <c r="F9" s="3"/>
      <c r="G9" s="72">
        <f t="shared" si="0"/>
        <v>0</v>
      </c>
      <c r="H9" s="23"/>
      <c r="I9" t="s">
        <v>64</v>
      </c>
    </row>
    <row r="10" spans="1:9" ht="15" thickBot="1" x14ac:dyDescent="0.25">
      <c r="A10" s="3"/>
      <c r="B10" s="3"/>
      <c r="C10" s="3"/>
      <c r="D10" s="3"/>
      <c r="E10" s="3"/>
      <c r="F10" s="3"/>
      <c r="G10" s="3"/>
      <c r="H10" s="23"/>
      <c r="I10" s="3"/>
    </row>
    <row r="11" spans="1:9" ht="15" thickBot="1" x14ac:dyDescent="0.25">
      <c r="A11" s="3"/>
      <c r="B11" s="3"/>
      <c r="C11" s="3"/>
      <c r="D11" s="3"/>
      <c r="E11" s="3"/>
      <c r="F11" s="3"/>
      <c r="G11" s="3"/>
      <c r="H11" s="23"/>
      <c r="I11" s="3"/>
    </row>
    <row r="12" spans="1:9" ht="15" thickBot="1" x14ac:dyDescent="0.25">
      <c r="A12" s="3"/>
      <c r="B12" s="3"/>
      <c r="C12" s="3"/>
      <c r="D12" s="3"/>
      <c r="E12" s="3"/>
      <c r="F12" s="3"/>
      <c r="G12" s="3"/>
      <c r="H12" s="23"/>
      <c r="I12" s="3"/>
    </row>
    <row r="13" spans="1:9" ht="15" thickBot="1" x14ac:dyDescent="0.25">
      <c r="A13" s="3"/>
      <c r="B13" s="3"/>
      <c r="C13" s="3"/>
      <c r="D13" s="3"/>
      <c r="E13" s="3"/>
      <c r="F13" s="3"/>
      <c r="G13" s="3"/>
      <c r="H13" s="23"/>
      <c r="I13" s="3"/>
    </row>
    <row r="14" spans="1:9" ht="15" thickBot="1" x14ac:dyDescent="0.25">
      <c r="A14" s="3"/>
      <c r="B14" s="3"/>
      <c r="C14" s="3"/>
      <c r="D14" s="3"/>
      <c r="E14" s="3"/>
      <c r="F14" s="3"/>
      <c r="G14" s="3"/>
      <c r="H14" s="23"/>
      <c r="I14" s="3"/>
    </row>
    <row r="15" spans="1:9" ht="15" thickBot="1" x14ac:dyDescent="0.25">
      <c r="A15" s="3"/>
      <c r="B15" s="3"/>
      <c r="C15" s="3"/>
      <c r="D15" s="3"/>
      <c r="E15" s="3"/>
      <c r="F15" s="3"/>
      <c r="G15" s="3"/>
      <c r="H15" s="23"/>
      <c r="I15" s="3"/>
    </row>
    <row r="16" spans="1:9" ht="15" thickBot="1" x14ac:dyDescent="0.25">
      <c r="A16" s="3"/>
      <c r="B16" s="3"/>
      <c r="C16" s="3"/>
      <c r="D16" s="3"/>
      <c r="E16" s="3"/>
      <c r="F16" s="3"/>
      <c r="G16" s="3"/>
      <c r="H16" s="23"/>
      <c r="I16" s="3"/>
    </row>
    <row r="17" spans="1:9" ht="15" thickBot="1" x14ac:dyDescent="0.25">
      <c r="A17" s="48"/>
      <c r="B17" s="3"/>
      <c r="C17" s="3"/>
      <c r="D17" s="3"/>
      <c r="E17" s="3"/>
      <c r="F17" s="3"/>
      <c r="G17" s="3"/>
      <c r="H17" s="23"/>
      <c r="I17" s="3"/>
    </row>
    <row r="18" spans="1:9" ht="15" thickBot="1" x14ac:dyDescent="0.25">
      <c r="A18" s="48"/>
      <c r="B18" s="3"/>
      <c r="C18" s="3"/>
      <c r="D18" s="3"/>
      <c r="E18" s="3"/>
      <c r="F18" s="3"/>
      <c r="G18" s="3"/>
      <c r="H18" s="23"/>
      <c r="I18" s="3"/>
    </row>
    <row r="19" spans="1:9" ht="15" thickBot="1" x14ac:dyDescent="0.25">
      <c r="B19" s="3"/>
      <c r="C19" s="3"/>
      <c r="D19" s="3"/>
      <c r="E19" s="3"/>
      <c r="F19" s="3"/>
      <c r="G19" s="3"/>
      <c r="H19" s="23"/>
      <c r="I19" s="3"/>
    </row>
    <row r="20" spans="1:9" ht="15" thickBot="1" x14ac:dyDescent="0.25">
      <c r="A20" s="48"/>
      <c r="B20" s="7"/>
      <c r="C20" s="7"/>
      <c r="D20" s="7"/>
      <c r="F20" s="7"/>
      <c r="G20" s="3"/>
      <c r="H20" s="7"/>
    </row>
    <row r="21" spans="1:9" ht="15" thickBot="1" x14ac:dyDescent="0.25">
      <c r="A21" s="3"/>
      <c r="B21" s="3"/>
      <c r="C21" s="3"/>
      <c r="D21" s="3"/>
      <c r="E21" s="3"/>
      <c r="F21" s="3"/>
      <c r="G21" s="3"/>
      <c r="H21" s="7"/>
      <c r="I21" s="3"/>
    </row>
    <row r="22" spans="1:9" ht="14.4" thickBot="1" x14ac:dyDescent="0.3">
      <c r="A22" s="3"/>
      <c r="B22" s="3"/>
      <c r="C22" s="3"/>
      <c r="D22" s="3"/>
      <c r="E22" s="3"/>
      <c r="F22" s="3"/>
      <c r="G22" s="3"/>
      <c r="I22" s="3"/>
    </row>
    <row r="23" spans="1:9" ht="14.4" thickBot="1" x14ac:dyDescent="0.3">
      <c r="A23" s="3"/>
      <c r="B23" s="3"/>
      <c r="C23" s="3"/>
      <c r="D23" s="3"/>
      <c r="E23" s="3"/>
      <c r="F23" s="3"/>
      <c r="G23" s="3"/>
    </row>
  </sheetData>
  <sortState ref="A17:A20">
    <sortCondition ref="A17"/>
  </sortState>
  <pageMargins left="0.7" right="0.7" top="0.75" bottom="0.75" header="0.3" footer="0.3"/>
  <pageSetup paperSize="9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2" sqref="I2:I6"/>
    </sheetView>
  </sheetViews>
  <sheetFormatPr defaultColWidth="9.09765625" defaultRowHeight="13.8" x14ac:dyDescent="0.25"/>
  <cols>
    <col min="1" max="1" width="17.8984375" bestFit="1" customWidth="1"/>
    <col min="2" max="2" width="19" customWidth="1"/>
    <col min="3" max="3" width="18.19921875" bestFit="1" customWidth="1"/>
    <col min="4" max="4" width="11.69921875" bestFit="1" customWidth="1"/>
    <col min="5" max="5" width="19.3984375" bestFit="1" customWidth="1"/>
    <col min="6" max="6" width="22.19921875" bestFit="1" customWidth="1"/>
    <col min="7" max="7" width="9.09765625" bestFit="1" customWidth="1"/>
    <col min="8" max="8" width="12" bestFit="1" customWidth="1"/>
    <col min="9" max="9" width="11.09765625" bestFit="1" customWidth="1"/>
    <col min="10" max="10" width="67.8984375" bestFit="1" customWidth="1"/>
    <col min="11" max="11" width="95.3984375" customWidth="1"/>
  </cols>
  <sheetData>
    <row r="1" spans="1:10" ht="41.4" customHeight="1" thickBot="1" x14ac:dyDescent="0.3">
      <c r="A1" s="4" t="s">
        <v>13</v>
      </c>
      <c r="B1" s="70" t="s">
        <v>74</v>
      </c>
      <c r="C1" s="4" t="s">
        <v>15</v>
      </c>
      <c r="D1" s="4" t="s">
        <v>20</v>
      </c>
      <c r="E1" s="4" t="s">
        <v>18</v>
      </c>
      <c r="F1" s="4" t="s">
        <v>16</v>
      </c>
      <c r="G1" s="4" t="s">
        <v>17</v>
      </c>
      <c r="H1" s="4" t="s">
        <v>19</v>
      </c>
      <c r="I1" s="4" t="s">
        <v>11</v>
      </c>
      <c r="J1" s="4" t="s">
        <v>10</v>
      </c>
    </row>
    <row r="2" spans="1:10" ht="14.4" thickBot="1" x14ac:dyDescent="0.3">
      <c r="A2" s="3"/>
      <c r="B2" s="3"/>
      <c r="C2" s="3"/>
      <c r="D2" s="3"/>
      <c r="E2" s="3"/>
      <c r="F2" s="3"/>
      <c r="G2" s="3"/>
      <c r="H2" s="3"/>
      <c r="I2" s="72">
        <f>(1*B2+2*C2+2*D2+1*F2+2*G2+2*H2)/10</f>
        <v>0</v>
      </c>
      <c r="J2" s="3"/>
    </row>
    <row r="3" spans="1:10" ht="14.4" thickBot="1" x14ac:dyDescent="0.3">
      <c r="A3" s="8"/>
      <c r="B3" s="3"/>
      <c r="C3" s="3"/>
      <c r="D3" s="3"/>
      <c r="E3" s="3"/>
      <c r="F3" s="3"/>
      <c r="G3" s="3"/>
      <c r="H3" s="3"/>
      <c r="I3" s="72">
        <f t="shared" ref="I3:I6" si="0">(1*B3+2*C3+2*D3+1*F3+2*G3+2*H3)/10</f>
        <v>0</v>
      </c>
      <c r="J3" s="5"/>
    </row>
    <row r="4" spans="1:10" ht="14.4" thickBot="1" x14ac:dyDescent="0.3">
      <c r="A4" s="3"/>
      <c r="B4" s="3"/>
      <c r="C4" s="3"/>
      <c r="D4" s="3"/>
      <c r="E4" s="3"/>
      <c r="F4" s="3"/>
      <c r="G4" s="3"/>
      <c r="H4" s="3"/>
      <c r="I4" s="72">
        <f t="shared" si="0"/>
        <v>0</v>
      </c>
      <c r="J4" s="5"/>
    </row>
    <row r="5" spans="1:10" ht="14.4" thickBot="1" x14ac:dyDescent="0.3">
      <c r="A5" s="3"/>
      <c r="B5" s="3"/>
      <c r="C5" s="3"/>
      <c r="D5" s="3"/>
      <c r="E5" s="3"/>
      <c r="F5" s="3"/>
      <c r="G5" s="3"/>
      <c r="H5" s="3"/>
      <c r="I5" s="72">
        <f t="shared" si="0"/>
        <v>0</v>
      </c>
      <c r="J5" s="5"/>
    </row>
    <row r="6" spans="1:10" ht="14.4" thickBot="1" x14ac:dyDescent="0.3">
      <c r="A6" s="3"/>
      <c r="B6" s="3"/>
      <c r="C6" s="3"/>
      <c r="D6" s="3"/>
      <c r="E6" s="3"/>
      <c r="F6" s="3"/>
      <c r="G6" s="3"/>
      <c r="H6" s="3"/>
      <c r="I6" s="72">
        <f t="shared" si="0"/>
        <v>0</v>
      </c>
      <c r="J6" s="5"/>
    </row>
    <row r="7" spans="1:10" ht="1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thickBot="1" x14ac:dyDescent="0.2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thickBot="1" x14ac:dyDescent="0.2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thickBot="1" x14ac:dyDescent="0.25">
      <c r="A10" s="7"/>
      <c r="B10" s="7"/>
      <c r="C10" s="7"/>
      <c r="D10" s="7"/>
      <c r="E10" s="7"/>
      <c r="F10" s="7"/>
      <c r="G10" s="7"/>
      <c r="H10" s="7"/>
      <c r="I10" s="3"/>
      <c r="J10" s="1"/>
    </row>
    <row r="11" spans="1:10" ht="15" thickBot="1" x14ac:dyDescent="0.25">
      <c r="A11" s="3"/>
      <c r="B11" s="3"/>
      <c r="C11" s="3"/>
      <c r="D11" s="3"/>
      <c r="E11" s="3"/>
      <c r="F11" s="3"/>
      <c r="G11" s="3"/>
      <c r="H11" s="3"/>
      <c r="I11" s="3"/>
      <c r="J11" s="5"/>
    </row>
    <row r="12" spans="1:10" ht="15" thickBot="1" x14ac:dyDescent="0.25">
      <c r="A12" s="3"/>
      <c r="B12" s="3"/>
      <c r="C12" s="3"/>
      <c r="D12" s="3"/>
      <c r="E12" s="3"/>
      <c r="F12" s="3"/>
      <c r="G12" s="3"/>
      <c r="H12" s="3"/>
      <c r="I12" s="3"/>
      <c r="J12" s="5"/>
    </row>
    <row r="13" spans="1:10" ht="15" thickBot="1" x14ac:dyDescent="0.25">
      <c r="A13" s="3"/>
      <c r="B13" s="3"/>
      <c r="C13" s="3"/>
      <c r="D13" s="3"/>
      <c r="E13" s="3"/>
      <c r="F13" s="3"/>
      <c r="G13" s="3"/>
      <c r="H13" s="3"/>
      <c r="I13" s="3"/>
      <c r="J13" s="5"/>
    </row>
    <row r="14" spans="1:10" ht="15" thickBot="1" x14ac:dyDescent="0.25">
      <c r="A14" s="3"/>
      <c r="B14" s="3"/>
      <c r="C14" s="3"/>
      <c r="D14" s="3"/>
      <c r="E14" s="3"/>
      <c r="F14" s="3"/>
      <c r="G14" s="3"/>
      <c r="H14" s="3"/>
      <c r="I14" s="3"/>
      <c r="J14" s="5"/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Normal="100" workbookViewId="0">
      <pane ySplit="1" topLeftCell="A2" activePane="bottomLeft" state="frozen"/>
      <selection activeCell="M18" sqref="M18"/>
      <selection pane="bottomLeft" activeCell="A2" sqref="A2:A9"/>
    </sheetView>
  </sheetViews>
  <sheetFormatPr defaultColWidth="9.09765625" defaultRowHeight="13.8" x14ac:dyDescent="0.25"/>
  <cols>
    <col min="1" max="1" width="17.8984375" bestFit="1" customWidth="1"/>
    <col min="2" max="2" width="15.8984375" bestFit="1" customWidth="1"/>
    <col min="3" max="3" width="23.69921875" bestFit="1" customWidth="1"/>
    <col min="4" max="4" width="11.59765625" bestFit="1" customWidth="1"/>
    <col min="5" max="5" width="11.19921875" bestFit="1" customWidth="1"/>
    <col min="6" max="6" width="14.8984375" bestFit="1" customWidth="1"/>
    <col min="7" max="7" width="16.69921875" bestFit="1" customWidth="1"/>
    <col min="8" max="8" width="11.19921875" bestFit="1" customWidth="1"/>
    <col min="9" max="9" width="53.09765625" bestFit="1" customWidth="1"/>
  </cols>
  <sheetData>
    <row r="1" spans="1:9" ht="14.4" thickBot="1" x14ac:dyDescent="0.3">
      <c r="A1" s="4" t="s">
        <v>13</v>
      </c>
      <c r="B1" s="4" t="s">
        <v>22</v>
      </c>
      <c r="C1" s="4" t="s">
        <v>23</v>
      </c>
      <c r="D1" s="4" t="s">
        <v>24</v>
      </c>
      <c r="E1" s="4" t="s">
        <v>2</v>
      </c>
      <c r="F1" s="4" t="s">
        <v>25</v>
      </c>
      <c r="G1" s="4" t="s">
        <v>26</v>
      </c>
      <c r="H1" s="4" t="s">
        <v>11</v>
      </c>
      <c r="I1" s="4" t="s">
        <v>12</v>
      </c>
    </row>
    <row r="2" spans="1:9" ht="14.4" thickBot="1" x14ac:dyDescent="0.3">
      <c r="A2" s="3"/>
      <c r="B2" s="10"/>
      <c r="C2" s="10"/>
      <c r="D2" s="10"/>
      <c r="E2" s="10"/>
      <c r="F2" s="10"/>
      <c r="G2" s="10"/>
      <c r="H2" s="73">
        <f>(1*B2+0.5*C2+0.1*D2+1.4*E2+6*F2+1*G2)/10</f>
        <v>0</v>
      </c>
      <c r="I2" s="5"/>
    </row>
    <row r="3" spans="1:9" ht="14.4" thickBot="1" x14ac:dyDescent="0.3">
      <c r="A3" s="8"/>
      <c r="B3" s="10"/>
      <c r="C3" s="10"/>
      <c r="D3" s="10"/>
      <c r="E3" s="10"/>
      <c r="F3" s="10"/>
      <c r="G3" s="10"/>
      <c r="H3" s="73">
        <f t="shared" ref="H3:H6" si="0">(1*B3+0.5*C3+0.1*D3+1.4*E3+6*F3+1*G3)/10</f>
        <v>0</v>
      </c>
      <c r="I3" s="5"/>
    </row>
    <row r="4" spans="1:9" ht="14.4" thickBot="1" x14ac:dyDescent="0.3">
      <c r="A4" s="3"/>
      <c r="B4" s="10"/>
      <c r="C4" s="10"/>
      <c r="D4" s="10"/>
      <c r="E4" s="10"/>
      <c r="F4" s="10"/>
      <c r="G4" s="10"/>
      <c r="H4" s="73">
        <f t="shared" si="0"/>
        <v>0</v>
      </c>
      <c r="I4" s="5"/>
    </row>
    <row r="5" spans="1:9" ht="14.4" thickBot="1" x14ac:dyDescent="0.3">
      <c r="A5" s="3"/>
      <c r="B5" s="10"/>
      <c r="C5" s="10"/>
      <c r="D5" s="10"/>
      <c r="E5" s="10"/>
      <c r="F5" s="10"/>
      <c r="G5" s="10"/>
      <c r="H5" s="73">
        <f t="shared" si="0"/>
        <v>0</v>
      </c>
      <c r="I5" s="5"/>
    </row>
    <row r="6" spans="1:9" ht="14.4" thickBot="1" x14ac:dyDescent="0.3">
      <c r="A6" s="3"/>
      <c r="B6" s="10"/>
      <c r="C6" s="10"/>
      <c r="D6" s="10"/>
      <c r="E6" s="10"/>
      <c r="F6" s="10"/>
      <c r="G6" s="10"/>
      <c r="H6" s="73">
        <f t="shared" si="0"/>
        <v>0</v>
      </c>
      <c r="I6" s="9"/>
    </row>
    <row r="7" spans="1:9" ht="14.4" thickBot="1" x14ac:dyDescent="0.3">
      <c r="A7" s="10"/>
      <c r="B7" s="10"/>
      <c r="C7" s="10"/>
      <c r="D7" s="10"/>
      <c r="E7" s="10"/>
      <c r="F7" s="10"/>
      <c r="G7" s="10"/>
      <c r="H7" s="10"/>
      <c r="I7" s="5"/>
    </row>
    <row r="8" spans="1:9" ht="14.4" thickBot="1" x14ac:dyDescent="0.3">
      <c r="A8" s="11"/>
      <c r="B8" s="10"/>
      <c r="C8" s="10"/>
      <c r="D8" s="10"/>
      <c r="E8" s="10"/>
      <c r="F8" s="10"/>
      <c r="G8" s="10"/>
      <c r="H8" s="10"/>
      <c r="I8" s="5"/>
    </row>
    <row r="9" spans="1:9" ht="14.4" thickBot="1" x14ac:dyDescent="0.3">
      <c r="A9" s="10"/>
      <c r="B9" s="10"/>
      <c r="C9" s="10"/>
      <c r="D9" s="10"/>
      <c r="E9" s="10"/>
      <c r="F9" s="10"/>
      <c r="G9" s="10"/>
      <c r="H9" s="10"/>
      <c r="I9" s="5"/>
    </row>
    <row r="10" spans="1:9" ht="14.4" thickBot="1" x14ac:dyDescent="0.3">
      <c r="A10" s="10"/>
      <c r="B10" s="10"/>
      <c r="C10" s="10"/>
      <c r="D10" s="10"/>
      <c r="E10" s="10"/>
      <c r="F10" s="10"/>
      <c r="G10" s="10"/>
      <c r="H10" s="10"/>
      <c r="I10" s="5"/>
    </row>
    <row r="11" spans="1:9" ht="14.4" thickBot="1" x14ac:dyDescent="0.3">
      <c r="A11" s="10"/>
      <c r="B11" s="10"/>
      <c r="C11" s="10"/>
      <c r="D11" s="10"/>
      <c r="E11" s="10"/>
      <c r="F11" s="10"/>
      <c r="G11" s="10"/>
      <c r="H11" s="10"/>
      <c r="I11" s="5"/>
    </row>
    <row r="12" spans="1:9" ht="14.4" thickBot="1" x14ac:dyDescent="0.3">
      <c r="A12" s="10"/>
      <c r="B12" s="10"/>
      <c r="C12" s="10"/>
      <c r="D12" s="10"/>
      <c r="E12" s="10"/>
      <c r="F12" s="10"/>
      <c r="G12" s="10"/>
      <c r="H12" s="10"/>
      <c r="I12" s="5"/>
    </row>
    <row r="13" spans="1:9" ht="14.4" thickBot="1" x14ac:dyDescent="0.3">
      <c r="A13" s="10"/>
      <c r="B13" s="10"/>
      <c r="C13" s="10"/>
      <c r="D13" s="10"/>
      <c r="E13" s="10"/>
      <c r="F13" s="10"/>
      <c r="G13" s="10"/>
      <c r="H13" s="10"/>
      <c r="I13" s="5"/>
    </row>
    <row r="14" spans="1:9" ht="14.4" thickBot="1" x14ac:dyDescent="0.3">
      <c r="A14" s="10"/>
      <c r="B14" s="10"/>
      <c r="C14" s="10"/>
      <c r="D14" s="10"/>
      <c r="E14" s="10"/>
      <c r="F14" s="10"/>
      <c r="G14" s="10"/>
      <c r="H14" s="10"/>
      <c r="I14" s="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D1" workbookViewId="0">
      <selection activeCell="I2" sqref="I2:I14"/>
    </sheetView>
  </sheetViews>
  <sheetFormatPr defaultColWidth="9.09765625" defaultRowHeight="13.8" x14ac:dyDescent="0.25"/>
  <cols>
    <col min="1" max="1" width="17.8984375" bestFit="1" customWidth="1"/>
    <col min="2" max="2" width="26.69921875" bestFit="1" customWidth="1"/>
    <col min="3" max="3" width="10.69921875" bestFit="1" customWidth="1"/>
    <col min="4" max="4" width="27" bestFit="1" customWidth="1"/>
    <col min="5" max="5" width="17" bestFit="1" customWidth="1"/>
    <col min="6" max="6" width="18" bestFit="1" customWidth="1"/>
    <col min="7" max="7" width="20.3984375" bestFit="1" customWidth="1"/>
    <col min="8" max="8" width="17.69921875" bestFit="1" customWidth="1"/>
    <col min="9" max="9" width="11.19921875" bestFit="1" customWidth="1"/>
    <col min="10" max="14" width="77.59765625" customWidth="1"/>
  </cols>
  <sheetData>
    <row r="1" spans="1:10" x14ac:dyDescent="0.25">
      <c r="A1" s="30" t="s">
        <v>13</v>
      </c>
      <c r="B1" s="30" t="s">
        <v>21</v>
      </c>
      <c r="C1" s="30" t="s">
        <v>27</v>
      </c>
      <c r="D1" s="30" t="s">
        <v>28</v>
      </c>
      <c r="E1" s="30" t="s">
        <v>3</v>
      </c>
      <c r="F1" s="30" t="s">
        <v>29</v>
      </c>
      <c r="G1" s="30" t="s">
        <v>30</v>
      </c>
      <c r="H1" s="30" t="s">
        <v>31</v>
      </c>
      <c r="I1" s="30" t="s">
        <v>11</v>
      </c>
      <c r="J1" s="30" t="s">
        <v>10</v>
      </c>
    </row>
    <row r="2" spans="1:10" s="31" customFormat="1" x14ac:dyDescent="0.25">
      <c r="A2" s="31" t="s">
        <v>72</v>
      </c>
      <c r="B2" s="32"/>
      <c r="C2" s="32"/>
      <c r="D2" s="32"/>
      <c r="E2" s="32"/>
      <c r="F2" s="32"/>
      <c r="G2" s="32"/>
      <c r="H2" s="32"/>
      <c r="I2" s="34">
        <f>( 7.8*C2 + 0.7*D2+ 1.5*E2 + 0.3*F2 + 0.1*G2 + 0.3*H2)/10</f>
        <v>0</v>
      </c>
      <c r="J2" s="35"/>
    </row>
    <row r="3" spans="1:10" s="31" customFormat="1" x14ac:dyDescent="0.25">
      <c r="A3" s="33" t="s">
        <v>56</v>
      </c>
      <c r="B3" s="32"/>
      <c r="C3" s="32"/>
      <c r="D3" s="32"/>
      <c r="E3" s="32"/>
      <c r="F3" s="32"/>
      <c r="G3" s="32"/>
      <c r="H3" s="32"/>
      <c r="I3" s="34">
        <f t="shared" ref="I3:I5" si="0">( 7.8*C3 + 0.7*D3+ 1.5*E3 + 0.3*F3 + 0.1*G3 + 0.3*H3)/10</f>
        <v>0</v>
      </c>
      <c r="J3" s="35"/>
    </row>
    <row r="4" spans="1:10" s="31" customFormat="1" x14ac:dyDescent="0.25">
      <c r="A4" s="31" t="s">
        <v>73</v>
      </c>
      <c r="B4" s="32"/>
      <c r="C4" s="32"/>
      <c r="D4" s="32"/>
      <c r="E4" s="32"/>
      <c r="F4" s="32"/>
      <c r="G4" s="32"/>
      <c r="H4" s="32"/>
      <c r="I4" s="34">
        <f t="shared" si="0"/>
        <v>0</v>
      </c>
      <c r="J4" s="36"/>
    </row>
    <row r="5" spans="1:10" s="31" customFormat="1" x14ac:dyDescent="0.25">
      <c r="A5" s="31" t="s">
        <v>75</v>
      </c>
      <c r="B5" s="32"/>
      <c r="C5" s="32"/>
      <c r="D5" s="32"/>
      <c r="E5" s="32"/>
      <c r="F5" s="32"/>
      <c r="G5" s="32"/>
      <c r="H5" s="32"/>
      <c r="I5" s="34">
        <f t="shared" si="0"/>
        <v>0</v>
      </c>
      <c r="J5" s="37"/>
    </row>
    <row r="6" spans="1:10" s="31" customFormat="1" x14ac:dyDescent="0.25">
      <c r="A6" s="31" t="s">
        <v>76</v>
      </c>
      <c r="B6" s="32"/>
      <c r="C6" s="32"/>
      <c r="D6" s="32"/>
      <c r="E6" s="32"/>
      <c r="F6" s="32"/>
      <c r="G6" s="32"/>
      <c r="H6" s="32"/>
      <c r="I6" s="34">
        <f>( 7.8*C6 + 0.7*D6+ 1.5*E6 + 0.3*F6 + 0.1*G6 + 0.3*H6)/10</f>
        <v>0</v>
      </c>
      <c r="J6" s="35"/>
    </row>
    <row r="7" spans="1:10" s="31" customFormat="1" x14ac:dyDescent="0.25">
      <c r="B7" s="38"/>
      <c r="C7" s="38"/>
      <c r="D7" s="38"/>
      <c r="E7" s="38"/>
      <c r="F7" s="38"/>
      <c r="G7" s="38"/>
      <c r="H7" s="38"/>
      <c r="I7" s="34"/>
      <c r="J7" s="35"/>
    </row>
    <row r="8" spans="1:10" s="31" customFormat="1" x14ac:dyDescent="0.25">
      <c r="B8" s="38"/>
      <c r="C8" s="38"/>
      <c r="D8" s="38"/>
      <c r="E8" s="38"/>
      <c r="F8" s="38"/>
      <c r="G8" s="38"/>
      <c r="H8" s="38"/>
      <c r="I8" s="34"/>
      <c r="J8" s="35"/>
    </row>
    <row r="9" spans="1:10" s="31" customFormat="1" x14ac:dyDescent="0.25">
      <c r="B9" s="38"/>
      <c r="C9" s="38"/>
      <c r="D9" s="38"/>
      <c r="E9" s="38"/>
      <c r="F9" s="38"/>
      <c r="G9" s="38"/>
      <c r="H9" s="38"/>
      <c r="I9" s="34"/>
      <c r="J9" s="35"/>
    </row>
    <row r="10" spans="1:10" s="31" customFormat="1" x14ac:dyDescent="0.25">
      <c r="A10" s="39"/>
      <c r="B10" s="40"/>
      <c r="C10" s="38"/>
      <c r="D10" s="38"/>
      <c r="E10" s="38"/>
      <c r="F10" s="38"/>
      <c r="G10" s="38"/>
      <c r="H10" s="38"/>
      <c r="I10" s="34"/>
      <c r="J10" s="35"/>
    </row>
    <row r="11" spans="1:10" s="31" customFormat="1" x14ac:dyDescent="0.25">
      <c r="B11" s="38"/>
      <c r="C11" s="38"/>
      <c r="D11" s="38"/>
      <c r="E11" s="38"/>
      <c r="F11" s="38"/>
      <c r="G11" s="38"/>
      <c r="H11" s="38"/>
      <c r="I11" s="34"/>
    </row>
    <row r="12" spans="1:10" s="31" customFormat="1" x14ac:dyDescent="0.25">
      <c r="B12" s="38"/>
      <c r="C12" s="38"/>
      <c r="D12" s="38"/>
      <c r="E12" s="38"/>
      <c r="F12" s="38"/>
      <c r="G12" s="38"/>
      <c r="H12" s="38"/>
      <c r="I12" s="34"/>
      <c r="J12" s="35"/>
    </row>
    <row r="13" spans="1:10" s="31" customFormat="1" x14ac:dyDescent="0.25">
      <c r="B13" s="38"/>
      <c r="C13" s="38"/>
      <c r="D13" s="38"/>
      <c r="E13" s="38"/>
      <c r="F13" s="38"/>
      <c r="G13" s="38"/>
      <c r="H13" s="38"/>
      <c r="I13" s="34"/>
      <c r="J13" s="35"/>
    </row>
    <row r="14" spans="1:10" s="31" customFormat="1" x14ac:dyDescent="0.25">
      <c r="B14" s="38"/>
      <c r="C14" s="38"/>
      <c r="D14" s="38"/>
      <c r="E14" s="38"/>
      <c r="F14" s="38"/>
      <c r="G14" s="38"/>
      <c r="H14" s="38"/>
      <c r="I14" s="34"/>
      <c r="J14" s="35"/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2" sqref="A2:A8"/>
    </sheetView>
  </sheetViews>
  <sheetFormatPr defaultColWidth="9.09765625" defaultRowHeight="13.8" x14ac:dyDescent="0.25"/>
  <cols>
    <col min="1" max="1" width="12.69921875" bestFit="1" customWidth="1"/>
    <col min="2" max="2" width="18.8984375" bestFit="1" customWidth="1"/>
    <col min="3" max="3" width="20.19921875" bestFit="1" customWidth="1"/>
    <col min="4" max="4" width="18.5" bestFit="1" customWidth="1"/>
    <col min="5" max="5" width="19.19921875" bestFit="1" customWidth="1"/>
    <col min="6" max="6" width="19.69921875" bestFit="1" customWidth="1"/>
    <col min="7" max="7" width="13.69921875" bestFit="1" customWidth="1"/>
    <col min="8" max="8" width="10.09765625" bestFit="1" customWidth="1"/>
    <col min="9" max="9" width="11" bestFit="1" customWidth="1"/>
    <col min="10" max="10" width="10.5" bestFit="1" customWidth="1"/>
  </cols>
  <sheetData>
    <row r="1" spans="1:10" ht="14.4" thickBot="1" x14ac:dyDescent="0.3">
      <c r="A1" s="4" t="s">
        <v>13</v>
      </c>
      <c r="B1" s="4" t="s">
        <v>34</v>
      </c>
      <c r="C1" s="4" t="s">
        <v>78</v>
      </c>
      <c r="D1" s="4" t="s">
        <v>77</v>
      </c>
      <c r="E1" s="4" t="s">
        <v>6</v>
      </c>
      <c r="F1" s="4" t="s">
        <v>32</v>
      </c>
      <c r="G1" s="4" t="s">
        <v>4</v>
      </c>
      <c r="H1" s="4" t="s">
        <v>33</v>
      </c>
      <c r="I1" s="4" t="s">
        <v>11</v>
      </c>
      <c r="J1" s="4" t="s">
        <v>10</v>
      </c>
    </row>
    <row r="2" spans="1:10" ht="15" thickBot="1" x14ac:dyDescent="0.25">
      <c r="A2" s="31"/>
      <c r="B2" s="42"/>
      <c r="C2" s="42"/>
      <c r="D2" s="42"/>
      <c r="E2" s="42"/>
      <c r="F2" s="42"/>
      <c r="G2" s="42"/>
      <c r="H2" s="42"/>
      <c r="I2" s="74">
        <f>(1*B2+1*C2 +4*D2+0.5*E2+1*F2+1*G2+1.5*H2)/10</f>
        <v>0</v>
      </c>
      <c r="J2" s="3"/>
    </row>
    <row r="3" spans="1:10" ht="14.4" thickBot="1" x14ac:dyDescent="0.3">
      <c r="A3" s="33"/>
      <c r="B3" s="42"/>
      <c r="C3" s="42"/>
      <c r="D3" s="42"/>
      <c r="E3" s="42"/>
      <c r="F3" s="42"/>
      <c r="G3" s="42"/>
      <c r="H3" s="42"/>
      <c r="I3" s="74">
        <f t="shared" ref="I3:I6" si="0">(1*B3+1*C3 +4*D3+0.5*E3+1*F3+1*G3+1.5*H3)/10</f>
        <v>0</v>
      </c>
      <c r="J3" s="41"/>
    </row>
    <row r="4" spans="1:10" ht="14.4" thickBot="1" x14ac:dyDescent="0.3">
      <c r="A4" s="31"/>
      <c r="B4" s="42"/>
      <c r="C4" s="42"/>
      <c r="D4" s="42"/>
      <c r="E4" s="42"/>
      <c r="F4" s="42"/>
      <c r="G4" s="42"/>
      <c r="H4" s="42"/>
      <c r="I4" s="74">
        <f t="shared" si="0"/>
        <v>0</v>
      </c>
      <c r="J4" s="5"/>
    </row>
    <row r="5" spans="1:10" ht="14.4" thickBot="1" x14ac:dyDescent="0.3">
      <c r="A5" s="31"/>
      <c r="B5" s="42"/>
      <c r="C5" s="42"/>
      <c r="D5" s="42"/>
      <c r="E5" s="42"/>
      <c r="F5" s="42"/>
      <c r="G5" s="42"/>
      <c r="H5" s="42"/>
      <c r="I5" s="74">
        <f t="shared" si="0"/>
        <v>0</v>
      </c>
      <c r="J5" s="5"/>
    </row>
    <row r="6" spans="1:10" ht="14.4" thickBot="1" x14ac:dyDescent="0.3">
      <c r="A6" s="31"/>
      <c r="B6" s="42"/>
      <c r="C6" s="42"/>
      <c r="D6" s="42"/>
      <c r="E6" s="42"/>
      <c r="F6" s="42"/>
      <c r="G6" s="42"/>
      <c r="H6" s="42"/>
      <c r="I6" s="74">
        <f t="shared" si="0"/>
        <v>0</v>
      </c>
      <c r="J6" s="5"/>
    </row>
    <row r="7" spans="1:10" ht="14.4" thickBot="1" x14ac:dyDescent="0.3">
      <c r="A7" s="3"/>
      <c r="B7" s="3"/>
      <c r="C7" s="3"/>
      <c r="D7" s="3"/>
      <c r="E7" s="3"/>
      <c r="F7" s="3"/>
      <c r="G7" s="3"/>
      <c r="H7" s="3"/>
      <c r="I7" s="72"/>
      <c r="J7" s="5"/>
    </row>
    <row r="8" spans="1:10" ht="15" thickBot="1" x14ac:dyDescent="0.2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thickBot="1" x14ac:dyDescent="0.2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4.4" thickBot="1" x14ac:dyDescent="0.3">
      <c r="A10" s="7"/>
      <c r="B10" s="7"/>
      <c r="C10" s="7"/>
      <c r="D10" s="3"/>
      <c r="E10" s="3"/>
      <c r="F10" s="3"/>
      <c r="G10" s="3"/>
      <c r="H10" s="3"/>
      <c r="I10" s="3"/>
      <c r="J10" s="3"/>
    </row>
    <row r="11" spans="1:10" ht="14.4" thickBot="1" x14ac:dyDescent="0.3">
      <c r="A11" s="3"/>
      <c r="B11" s="3"/>
      <c r="C11" s="3"/>
      <c r="D11" s="3"/>
      <c r="E11" s="3"/>
      <c r="F11" s="3"/>
      <c r="G11" s="3"/>
      <c r="H11" s="3"/>
      <c r="I11" s="3"/>
      <c r="J11" s="5"/>
    </row>
    <row r="12" spans="1:10" ht="14.4" thickBot="1" x14ac:dyDescent="0.3">
      <c r="A12" s="3"/>
      <c r="B12" s="3"/>
      <c r="C12" s="3"/>
      <c r="D12" s="3"/>
      <c r="E12" s="3"/>
      <c r="F12" s="3"/>
      <c r="G12" s="3"/>
      <c r="H12" s="3"/>
      <c r="I12" s="3"/>
      <c r="J12" s="5"/>
    </row>
    <row r="13" spans="1:10" ht="14.4" thickBo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14.4" thickBot="1" x14ac:dyDescent="0.3">
      <c r="A14" s="3"/>
      <c r="B14" s="3"/>
      <c r="C14" s="3"/>
      <c r="D14" s="3"/>
      <c r="E14" s="3"/>
      <c r="F14" s="3"/>
      <c r="G14" s="3"/>
      <c r="H14" s="3"/>
      <c r="I14" s="3"/>
      <c r="J1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Groups</vt:lpstr>
      <vt:lpstr>Total</vt:lpstr>
      <vt:lpstr>Project- Total grade</vt:lpstr>
      <vt:lpstr>Personal</vt:lpstr>
      <vt:lpstr>Proposal</vt:lpstr>
      <vt:lpstr>Inception</vt:lpstr>
      <vt:lpstr>SRS</vt:lpstr>
      <vt:lpstr>SDS</vt:lpstr>
      <vt:lpstr>Iter0 - ZFR</vt:lpstr>
      <vt:lpstr>Iter1 - MVP</vt:lpstr>
      <vt:lpstr>Iter2 - TDD</vt:lpstr>
      <vt:lpstr>Iter3-Refactoring</vt:lpstr>
      <vt:lpstr>Iter4-Final</vt:lpstr>
      <vt:lpstr>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2006-09-13T11:28:12Z</dcterms:created>
  <dcterms:modified xsi:type="dcterms:W3CDTF">2014-02-21T07:20:30Z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false</vt:lpwstr>
  </property>
  <property fmtid="{D5CDD505-2E9C-101B-9397-08002B2CF9AE}" pid="3" name="Google.Documents.DocumentId">
    <vt:lpwstr>1Ncma3lA_9fFo1QcAvnpUmmsfiy9N6q6-pPmUyvjBZYE</vt:lpwstr>
  </property>
  <property fmtid="{D5CDD505-2E9C-101B-9397-08002B2CF9AE}" pid="4" name="Google.Documents.RevisionId">
    <vt:lpwstr>11144800511718443243</vt:lpwstr>
  </property>
  <property fmtid="{D5CDD505-2E9C-101B-9397-08002B2CF9AE}" pid="5" name="Google.Documents.PreviousRevisionId">
    <vt:lpwstr>10003924046033726430</vt:lpwstr>
  </property>
  <property fmtid="{D5CDD505-2E9C-101B-9397-08002B2CF9AE}" pid="6" name="Google.Documents.PluginVersion">
    <vt:lpwstr>2.0.2154.5604</vt:lpwstr>
  </property>
  <property fmtid="{D5CDD505-2E9C-101B-9397-08002B2CF9AE}" pid="7" name="Google.Documents.MergeIncapabilityFlags">
    <vt:i4>0</vt:i4>
  </property>
</Properties>
</file>