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ection\Desktop\Projeto\"/>
    </mc:Choice>
  </mc:AlternateContent>
  <bookViews>
    <workbookView xWindow="0" yWindow="0" windowWidth="20355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8" i="1" l="1"/>
  <c r="X37" i="1"/>
  <c r="X36" i="1"/>
  <c r="X35" i="1"/>
  <c r="X34" i="1"/>
  <c r="L22" i="1"/>
  <c r="L21" i="1"/>
  <c r="L20" i="1"/>
  <c r="F30" i="1"/>
  <c r="S36" i="1"/>
  <c r="T36" i="1" s="1"/>
  <c r="V37" i="1"/>
  <c r="V35" i="1"/>
  <c r="V34" i="1"/>
  <c r="U35" i="1"/>
  <c r="U37" i="1"/>
  <c r="U34" i="1"/>
  <c r="T35" i="1"/>
  <c r="T37" i="1"/>
  <c r="T34" i="1"/>
  <c r="S37" i="1"/>
  <c r="S34" i="1"/>
  <c r="R35" i="1"/>
  <c r="R36" i="1"/>
  <c r="U36" i="1" s="1"/>
  <c r="V36" i="1" s="1"/>
  <c r="R37" i="1"/>
  <c r="R34" i="1"/>
  <c r="L18" i="1"/>
  <c r="L17" i="1"/>
  <c r="L13" i="1" l="1"/>
  <c r="C27" i="1"/>
  <c r="H26" i="1"/>
  <c r="H25" i="1"/>
  <c r="H22" i="1"/>
  <c r="H23" i="1"/>
  <c r="H21" i="1"/>
  <c r="H14" i="1"/>
  <c r="H15" i="1"/>
  <c r="H16" i="1"/>
  <c r="H17" i="1"/>
  <c r="H18" i="1"/>
  <c r="H19" i="1"/>
  <c r="H13" i="1"/>
  <c r="H9" i="1"/>
  <c r="H10" i="1"/>
  <c r="H11" i="1"/>
  <c r="H8" i="1"/>
  <c r="H5" i="1"/>
  <c r="H6" i="1"/>
  <c r="H4" i="1"/>
  <c r="D27" i="1" l="1" a="1"/>
  <c r="D27" i="1" s="1"/>
  <c r="D24" i="1" a="1"/>
  <c r="D24" i="1" s="1"/>
  <c r="D20" i="1" a="1"/>
  <c r="D20" i="1" s="1"/>
  <c r="D12" i="1" a="1"/>
  <c r="D12" i="1" s="1"/>
  <c r="D7" i="1" a="1"/>
  <c r="D7" i="1" s="1"/>
  <c r="C12" i="1"/>
  <c r="C20" i="1"/>
  <c r="C24" i="1"/>
  <c r="C7" i="1"/>
  <c r="E27" i="1"/>
  <c r="E24" i="1"/>
  <c r="E20" i="1"/>
  <c r="E12" i="1"/>
  <c r="E7" i="1"/>
  <c r="E28" i="1" l="1"/>
  <c r="K4" i="1" s="1"/>
  <c r="C28" i="1"/>
  <c r="D28" i="1"/>
  <c r="K9" i="1" s="1"/>
  <c r="M9" i="1" s="1"/>
  <c r="G11" i="1"/>
  <c r="G8" i="1"/>
  <c r="G4" i="1"/>
  <c r="K12" i="1" l="1"/>
  <c r="M12" i="1" s="1"/>
  <c r="K10" i="1"/>
  <c r="M10" i="1" s="1"/>
  <c r="M4" i="1"/>
  <c r="K8" i="1"/>
  <c r="K11" i="1"/>
  <c r="M11" i="1" s="1"/>
  <c r="H27" i="1"/>
  <c r="F5" i="1"/>
  <c r="G6" i="1" s="1"/>
  <c r="H24" i="1"/>
  <c r="H20" i="1"/>
  <c r="H12" i="1"/>
  <c r="H7" i="1"/>
  <c r="F9" i="1"/>
  <c r="M8" i="1" l="1"/>
  <c r="K13" i="1"/>
  <c r="M13" i="1"/>
  <c r="H28" i="1"/>
  <c r="G5" i="1"/>
  <c r="G9" i="1"/>
  <c r="F10" i="1" s="1"/>
  <c r="F13" i="1"/>
  <c r="G10" i="1" l="1"/>
  <c r="F12" i="1" s="1"/>
  <c r="G7" i="1"/>
  <c r="F7" i="1"/>
  <c r="G13" i="1"/>
  <c r="F14" i="1" s="1"/>
  <c r="G12" i="1" l="1"/>
  <c r="G14" i="1"/>
  <c r="F15" i="1" s="1"/>
  <c r="G15" i="1" s="1"/>
  <c r="F16" i="1" s="1"/>
  <c r="G16" i="1" s="1"/>
  <c r="F17" i="1" s="1"/>
  <c r="G17" i="1" l="1"/>
  <c r="F18" i="1" l="1"/>
  <c r="G18" i="1" s="1"/>
  <c r="F19" i="1" l="1"/>
  <c r="G19" i="1" s="1"/>
  <c r="F21" i="1" s="1"/>
  <c r="G21" i="1" l="1"/>
  <c r="F22" i="1" s="1"/>
  <c r="G22" i="1" s="1"/>
  <c r="F23" i="1" s="1"/>
  <c r="G23" i="1" s="1"/>
  <c r="F25" i="1" s="1"/>
  <c r="F20" i="1"/>
  <c r="G20" i="1"/>
  <c r="F24" i="1" l="1"/>
  <c r="G24" i="1"/>
  <c r="G25" i="1"/>
  <c r="F26" i="1" s="1"/>
  <c r="G26" i="1" s="1"/>
  <c r="F27" i="1" l="1"/>
  <c r="F28" i="1" s="1"/>
  <c r="G27" i="1"/>
  <c r="G28" i="1" s="1"/>
  <c r="L25" i="1"/>
</calcChain>
</file>

<file path=xl/sharedStrings.xml><?xml version="1.0" encoding="utf-8"?>
<sst xmlns="http://schemas.openxmlformats.org/spreadsheetml/2006/main" count="306" uniqueCount="152">
  <si>
    <t>TOTAL</t>
  </si>
  <si>
    <t>RESPONSÁVEL</t>
  </si>
  <si>
    <t>HORAS</t>
  </si>
  <si>
    <t>INÍCIO</t>
  </si>
  <si>
    <t>FIM</t>
  </si>
  <si>
    <t>VALOR</t>
  </si>
  <si>
    <t>OP.</t>
  </si>
  <si>
    <t>T.</t>
  </si>
  <si>
    <t>TABELA DE CUSTO - COWORKING</t>
  </si>
  <si>
    <t>VALOR P/ HORA</t>
  </si>
  <si>
    <t>QUANTIDADE DE HORAS</t>
  </si>
  <si>
    <t>TABELA DE CUSTO - POR RESPONSÁVEL</t>
  </si>
  <si>
    <t>VALOR HORA</t>
  </si>
  <si>
    <t>NOME</t>
  </si>
  <si>
    <t>FUNÇÃO NO PROJETO</t>
  </si>
  <si>
    <t>PLANEJAMENTO</t>
  </si>
  <si>
    <t>GESTÃO</t>
  </si>
  <si>
    <t>ESCOPO</t>
  </si>
  <si>
    <t>EXECUÇÃO</t>
  </si>
  <si>
    <t>VALIDAÇÃO</t>
  </si>
  <si>
    <t>GERENTE</t>
  </si>
  <si>
    <t>RONALDO NAZÁRIO</t>
  </si>
  <si>
    <t>ANALISTA</t>
  </si>
  <si>
    <t>TESTER</t>
  </si>
  <si>
    <t>DESIGNER</t>
  </si>
  <si>
    <t>PROGRAMADOR</t>
  </si>
  <si>
    <t>JOSUÉ DA SILVA</t>
  </si>
  <si>
    <t>WASHINGTON MACHADO</t>
  </si>
  <si>
    <t>WENCESLAW MINEIRO</t>
  </si>
  <si>
    <t>PARTICIPA</t>
  </si>
  <si>
    <t>APROVA</t>
  </si>
  <si>
    <t>INFORMADO</t>
  </si>
  <si>
    <t>CONSULTADO</t>
  </si>
  <si>
    <t>SUPORTE</t>
  </si>
  <si>
    <t>TAREFA</t>
  </si>
  <si>
    <t>EQUIPE</t>
  </si>
  <si>
    <t>CUSTOS</t>
  </si>
  <si>
    <t>ENTREVISTA</t>
  </si>
  <si>
    <t>REUNIÃO</t>
  </si>
  <si>
    <t>PROTÓTIPO</t>
  </si>
  <si>
    <t>DIAGRAMA DE CLASSES</t>
  </si>
  <si>
    <t>DIAGRAMA DE SEQUÊNCIA</t>
  </si>
  <si>
    <t>DIAGRAMA DE COMPONENTES</t>
  </si>
  <si>
    <t>DIAGRAMA DE IMPLEMENT.</t>
  </si>
  <si>
    <t>DIAGRAMA DE CASOS DE USO</t>
  </si>
  <si>
    <t>FRONTEND</t>
  </si>
  <si>
    <t>BACKEND</t>
  </si>
  <si>
    <t>TESTES</t>
  </si>
  <si>
    <t>CONFIGURAÇÃO</t>
  </si>
  <si>
    <t>TREINAMENTO</t>
  </si>
  <si>
    <t>HOMOLOGAÇÃO</t>
  </si>
  <si>
    <t>REUNIÃO FINAL</t>
  </si>
  <si>
    <t>DOCUMENTAÇÃO PROJETO</t>
  </si>
  <si>
    <t>GERENCIAMENTO</t>
  </si>
  <si>
    <t>DEFINIÇÃO</t>
  </si>
  <si>
    <t>DESENVOLVIMENTO</t>
  </si>
  <si>
    <t>OPERAÇÃO</t>
  </si>
  <si>
    <t>CONCLUSÃO</t>
  </si>
  <si>
    <t>CHICO GUNHA DE SOUZA</t>
  </si>
  <si>
    <t>TABELA DE CUSTO - TOTAL</t>
  </si>
  <si>
    <t>ITEM</t>
  </si>
  <si>
    <t>COWORKING</t>
  </si>
  <si>
    <t>MÃO DE OBRA</t>
  </si>
  <si>
    <t>TABELA DE ATIVIDADES - OBJETIVOS E METAS X CUSTO</t>
  </si>
  <si>
    <t>ATIVIDADES</t>
  </si>
  <si>
    <t>DIAGRAMA DE CASO DE USO (UML)</t>
  </si>
  <si>
    <t>DIAGRAMA DE IMPLANTAÇÃO</t>
  </si>
  <si>
    <t>CODIFICAÇÃO FRONT-END</t>
  </si>
  <si>
    <t>CODIFICAÇÃO BACK-END</t>
  </si>
  <si>
    <t>DOCUMENTAÇÃO DO PROJETO</t>
  </si>
  <si>
    <t>MATRIZ DE RESPONSABILIDADE - POR FUNÇÃO</t>
  </si>
  <si>
    <t>MATRIZ DE RESPONSABILIDADE - POR ATIVIDADE</t>
  </si>
  <si>
    <t>DEPRECIAÇÃO</t>
  </si>
  <si>
    <t>MATERIAL DE ESCRITÓRIO</t>
  </si>
  <si>
    <t>ALMOÇO</t>
  </si>
  <si>
    <t>TABELA DE DEPRECIAÇÃO</t>
  </si>
  <si>
    <t>ACQUISIÇÃO (POR ITEM)</t>
  </si>
  <si>
    <t>TAXA ANUAL</t>
  </si>
  <si>
    <t>TAXA MENSAL</t>
  </si>
  <si>
    <t>ANOS</t>
  </si>
  <si>
    <t>MESES</t>
  </si>
  <si>
    <t>VALOR MENSAL DE DEPRECIAÇÃO</t>
  </si>
  <si>
    <t>VALOR DEPRECIÁVEL</t>
  </si>
  <si>
    <t>ITEM (QUANTIDADE)</t>
  </si>
  <si>
    <t>CLOUD AMAZON - FREE</t>
  </si>
  <si>
    <t>SMATPHONE (3)</t>
  </si>
  <si>
    <t>IMPRESSORA (1)</t>
  </si>
  <si>
    <t>NOTBOOK (5)</t>
  </si>
  <si>
    <t>MONITOR (2)</t>
  </si>
  <si>
    <t>TOTAL DEPRECIÁVEL (TODOS ITENS)</t>
  </si>
  <si>
    <t>TRANSPORTE</t>
  </si>
  <si>
    <t>SERVIÇO DE BACKUP - FREE</t>
  </si>
  <si>
    <t>IMPACTO</t>
  </si>
  <si>
    <t>ALTO</t>
  </si>
  <si>
    <t>MÉDIO</t>
  </si>
  <si>
    <t>BAIXO</t>
  </si>
  <si>
    <t>4,5,6,7,14</t>
  </si>
  <si>
    <t>PROBABILIDADE</t>
  </si>
  <si>
    <t xml:space="preserve">Ausência/abandono de profissionais </t>
  </si>
  <si>
    <t>Risco baixo</t>
  </si>
  <si>
    <t>Profissional com desconhecimento técnico</t>
  </si>
  <si>
    <t>Profissional não corporativo</t>
  </si>
  <si>
    <t>Risco médio</t>
  </si>
  <si>
    <t>Falha de energia constante</t>
  </si>
  <si>
    <t>Falha de internet constante</t>
  </si>
  <si>
    <t>Tecnologia escolhida não está adequada ao projeto</t>
  </si>
  <si>
    <t>Perda de informação e dados</t>
  </si>
  <si>
    <t>Mudança no escopo</t>
  </si>
  <si>
    <t>Vírus nos computadores</t>
  </si>
  <si>
    <t>Problemas técnicos (hardware)</t>
  </si>
  <si>
    <t>Indisponibilidade do local do projeto</t>
  </si>
  <si>
    <t>Desentendimento na equipe</t>
  </si>
  <si>
    <t>Assalto/Roubo de equipamentos</t>
  </si>
  <si>
    <t>Ataques cibernéticos</t>
  </si>
  <si>
    <t>Risco Alto</t>
  </si>
  <si>
    <t>RISCO</t>
  </si>
  <si>
    <t>DESCRIÇÃO DO RISCO</t>
  </si>
  <si>
    <t>CLASSIFICAÇÃO</t>
  </si>
  <si>
    <t>ESTRATÉGIA/AÇÃO A SER TOMADA</t>
  </si>
  <si>
    <t>MANTER PROGRAMA DE REMUNERAÇÃO E BENEFÍCIOS ATRATIVOS;</t>
  </si>
  <si>
    <t>BOM AMBIENTE DE TRABALHO;</t>
  </si>
  <si>
    <t>BOM INTER-RELACIONAMENTO;</t>
  </si>
  <si>
    <t>MANTER POLÍTICA EFICIENTE DE BACKUP;</t>
  </si>
  <si>
    <t>DOCUMENTAÇÃO DETALHADA;</t>
  </si>
  <si>
    <t>MANTER REUNIÕES PERIÓDICAS DE ALINHAMENTO</t>
  </si>
  <si>
    <t>CONTRATAR PROFISSIONAIS DE CONSULTORIAS;</t>
  </si>
  <si>
    <t>EXIGIR REQUISITOS E PORTIFÓLIO PROFISSIONAL;</t>
  </si>
  <si>
    <t>ADVERTÊNCIA AO PROFISSIONAL;</t>
  </si>
  <si>
    <t>SUBSTITUIÇÃO EM CASO DE PERSISTÊNCIA;</t>
  </si>
  <si>
    <t>TROCA DE LOCAL (COWORK);</t>
  </si>
  <si>
    <t>MANTER PLANO DE INTERNET PARA GESTORES;</t>
  </si>
  <si>
    <t>IDENTIFICAR ALTERNATIVA, AVALIAR IMPACTOS DA TROCA DA TECNOLOGIA;</t>
  </si>
  <si>
    <t>IDENTIFICAR RECURSOS CAPACITADOS</t>
  </si>
  <si>
    <t>USO DE DADOS EM NUVEM;</t>
  </si>
  <si>
    <t>ANÁLISE DA REAL NECESSIDADE DAS MUDANÇAS;</t>
  </si>
  <si>
    <t>ANÁLISE DE CUSTOS E TEMPO;</t>
  </si>
  <si>
    <t>USO DE ANTIVÍRUS ATUALIZADOS;</t>
  </si>
  <si>
    <t>DESENVOLVIMENTO EM NUVEM</t>
  </si>
  <si>
    <t>ACIONAMENTO DE GARANTIA;</t>
  </si>
  <si>
    <t>MANUTENÇÃO PREVENTIVA PERIÓDICA;</t>
  </si>
  <si>
    <t>TRABALHO HOME OFFICE;</t>
  </si>
  <si>
    <t>CONVERSA INDIVIDUAL;</t>
  </si>
  <si>
    <t>REUNIÕES PARA APROXIMAÇÃO DE EQUIPE;</t>
  </si>
  <si>
    <t>MANTER PROGRAMA DE INTEGRAÇÃO;</t>
  </si>
  <si>
    <t>BACKUP ATUALIZADO DOS DADOS EM NUVEM</t>
  </si>
  <si>
    <t>ACIONAR A SEGURADORA DO PRÉDIO;</t>
  </si>
  <si>
    <t>AVALIAR PERDAS E ACIONAR RESPONSÁVEIS</t>
  </si>
  <si>
    <t>FAZER REGISTRO POLICIAL</t>
  </si>
  <si>
    <t>MANTER POLÍTICA DE SENHAS E ACESSOS;</t>
  </si>
  <si>
    <t>MANTER EQUIPAMENTOS ATUALIZADOS;</t>
  </si>
  <si>
    <t>CONFIGURAR SERVIÇOS PARA PREVENÇÃO DE ATAQUES;</t>
  </si>
  <si>
    <t>MAPA ESTRATÉGICO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</si>
</sst>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#,###\ &quot;hrs&quot;"/>
    <numFmt numFmtId="165" formatCode="#,###\ &quot;Atividades&quot;"/>
    <numFmt numFmtId="166" formatCode="#,###\ &quot;Responsáveis&quot;"/>
    <numFmt numFmtId="167" formatCode="#,###\ &quot;Responsável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95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14B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rgb="FF00314B"/>
      </left>
      <right/>
      <top style="thin">
        <color indexed="64"/>
      </top>
      <bottom style="thick">
        <color rgb="FF0095FF"/>
      </bottom>
      <diagonal/>
    </border>
    <border>
      <left/>
      <right/>
      <top style="thin">
        <color indexed="64"/>
      </top>
      <bottom style="thick">
        <color rgb="FF0095FF"/>
      </bottom>
      <diagonal/>
    </border>
    <border>
      <left/>
      <right style="thin">
        <color rgb="FF00314B"/>
      </right>
      <top style="thin">
        <color indexed="64"/>
      </top>
      <bottom style="thick">
        <color rgb="FF0095FF"/>
      </bottom>
      <diagonal/>
    </border>
    <border>
      <left style="hair">
        <color theme="4" tint="-0.499984740745262"/>
      </left>
      <right style="hair">
        <color theme="4" tint="-0.499984740745262"/>
      </right>
      <top style="thick">
        <color rgb="FF0095FF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  <border>
      <left style="hair">
        <color rgb="FF00314B"/>
      </left>
      <right style="hair">
        <color rgb="FF00314B"/>
      </right>
      <top style="hair">
        <color rgb="FF00314B"/>
      </top>
      <bottom style="thick">
        <color rgb="FF0095FF"/>
      </bottom>
      <diagonal/>
    </border>
    <border>
      <left style="hair">
        <color theme="3" tint="-0.499984740745262"/>
      </left>
      <right style="hair">
        <color theme="3" tint="-0.499984740745262"/>
      </right>
      <top style="thick">
        <color rgb="FF0095FF"/>
      </top>
      <bottom style="hair">
        <color theme="3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/>
      <right/>
      <top style="hair">
        <color theme="3" tint="-0.499984740745262"/>
      </top>
      <bottom/>
      <diagonal/>
    </border>
    <border>
      <left style="hair">
        <color theme="4" tint="-0.499984740745262"/>
      </left>
      <right style="hair">
        <color theme="4" tint="-0.499984740745262"/>
      </right>
      <top/>
      <bottom/>
      <diagonal/>
    </border>
    <border>
      <left/>
      <right/>
      <top/>
      <bottom style="thick">
        <color rgb="FF0095FF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 style="thick">
        <color rgb="FF0095FF"/>
      </top>
      <bottom/>
      <diagonal/>
    </border>
    <border>
      <left style="hair">
        <color theme="3" tint="-0.499984740745262"/>
      </left>
      <right style="hair">
        <color theme="3" tint="-0.499984740745262"/>
      </right>
      <top/>
      <bottom style="hair">
        <color theme="3" tint="-0.499984740745262"/>
      </bottom>
      <diagonal/>
    </border>
    <border>
      <left style="hair">
        <color theme="3" tint="-0.499984740745262"/>
      </left>
      <right style="hair">
        <color theme="4" tint="-0.499984740745262"/>
      </right>
      <top style="thick">
        <color rgb="FF0095FF"/>
      </top>
      <bottom style="hair">
        <color theme="3" tint="-0.499984740745262"/>
      </bottom>
      <diagonal/>
    </border>
    <border>
      <left style="hair">
        <color theme="3" tint="-0.499984740745262"/>
      </left>
      <right style="hair">
        <color theme="4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3" tint="-0.499984740745262"/>
      </top>
      <bottom style="hair">
        <color theme="4" tint="-0.499984740745262"/>
      </bottom>
      <diagonal/>
    </border>
    <border>
      <left/>
      <right/>
      <top/>
      <bottom style="hair">
        <color theme="3" tint="-0.499984740745262"/>
      </bottom>
      <diagonal/>
    </border>
    <border>
      <left/>
      <right style="hair">
        <color theme="3" tint="-0.499984740745262"/>
      </right>
      <top/>
      <bottom style="hair">
        <color theme="3" tint="-0.499984740745262"/>
      </bottom>
      <diagonal/>
    </border>
    <border>
      <left/>
      <right style="hair">
        <color theme="3" tint="-0.499984740745262"/>
      </right>
      <top style="hair">
        <color theme="3" tint="-0.499984740745262"/>
      </top>
      <bottom/>
      <diagonal/>
    </border>
    <border>
      <left style="hair">
        <color theme="3" tint="-0.499984740745262"/>
      </left>
      <right style="hair">
        <color theme="3" tint="-0.499984740745262"/>
      </right>
      <top style="hair">
        <color theme="3" tint="-0.499984740745262"/>
      </top>
      <bottom/>
      <diagonal/>
    </border>
    <border>
      <left style="hair">
        <color theme="3" tint="-0.499984740745262"/>
      </left>
      <right style="hair">
        <color theme="3" tint="-0.499984740745262"/>
      </right>
      <top/>
      <bottom/>
      <diagonal/>
    </border>
    <border>
      <left/>
      <right style="hair">
        <color theme="3" tint="-0.49998474074526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22" fontId="2" fillId="0" borderId="5" xfId="0" applyNumberFormat="1" applyFont="1" applyBorder="1" applyAlignment="1">
      <alignment horizontal="center" vertical="center"/>
    </xf>
    <xf numFmtId="44" fontId="2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44" fontId="2" fillId="0" borderId="6" xfId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6" fontId="5" fillId="0" borderId="11" xfId="0" applyNumberFormat="1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2" fontId="5" fillId="0" borderId="11" xfId="0" applyNumberFormat="1" applyFont="1" applyFill="1" applyBorder="1" applyAlignment="1">
      <alignment horizontal="center" vertical="center"/>
    </xf>
    <xf numFmtId="44" fontId="5" fillId="0" borderId="11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/>
    <xf numFmtId="0" fontId="4" fillId="0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44" fontId="0" fillId="0" borderId="21" xfId="1" applyFont="1" applyBorder="1" applyAlignment="1">
      <alignment horizontal="center" vertical="center"/>
    </xf>
    <xf numFmtId="44" fontId="0" fillId="0" borderId="0" xfId="0" applyNumberFormat="1"/>
    <xf numFmtId="9" fontId="0" fillId="0" borderId="22" xfId="2" applyFont="1" applyBorder="1" applyAlignment="1">
      <alignment horizontal="center" vertical="center"/>
    </xf>
    <xf numFmtId="10" fontId="0" fillId="0" borderId="22" xfId="2" applyNumberFormat="1" applyFont="1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4" fontId="0" fillId="0" borderId="22" xfId="0" applyNumberFormat="1" applyBorder="1" applyAlignment="1">
      <alignment horizontal="center" vertical="center"/>
    </xf>
    <xf numFmtId="44" fontId="6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4" fontId="0" fillId="0" borderId="10" xfId="0" applyNumberFormat="1" applyBorder="1" applyAlignment="1">
      <alignment horizontal="center" vertical="center"/>
    </xf>
    <xf numFmtId="44" fontId="0" fillId="0" borderId="1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4" fontId="2" fillId="0" borderId="5" xfId="0" applyNumberFormat="1" applyFon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Border="1"/>
    <xf numFmtId="0" fontId="0" fillId="0" borderId="2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42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100853</xdr:colOff>
      <xdr:row>2</xdr:row>
      <xdr:rowOff>33618</xdr:rowOff>
    </xdr:from>
    <xdr:to>
      <xdr:col>9</xdr:col>
      <xdr:colOff>1520266</xdr:colOff>
      <xdr:row>3</xdr:row>
      <xdr:rowOff>324971</xdr:rowOff>
    </xdr:to>
    <xdr:pic>
      <xdr:nvPicPr>
        <xdr:cNvPr id="2" name="Imagem 1" descr="http://www.viladenegocios.com.br/media/images/template/vila-de-negocio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9529" y="560294"/>
          <a:ext cx="1419413" cy="58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4"/>
  <sheetViews>
    <sheetView showGridLines="0" tabSelected="1" topLeftCell="AB34" zoomScale="85" zoomScaleNormal="85" workbookViewId="0">
      <selection activeCell="AH34" sqref="AH1:AH1048576"/>
    </sheetView>
  </sheetViews>
  <sheetFormatPr defaultRowHeight="15" x14ac:dyDescent="0.25"/>
  <cols>
    <col min="1" max="1" width="2.85546875" customWidth="1"/>
    <col min="2" max="2" width="5" style="1" customWidth="1"/>
    <col min="3" max="3" width="28.5703125" style="1" customWidth="1"/>
    <col min="4" max="4" width="21.42578125" style="1" customWidth="1"/>
    <col min="5" max="5" width="11.28515625" style="2" customWidth="1"/>
    <col min="6" max="8" width="20" style="1" customWidth="1"/>
    <col min="9" max="9" width="4.42578125" customWidth="1"/>
    <col min="10" max="10" width="23.7109375" customWidth="1"/>
    <col min="11" max="11" width="24" customWidth="1"/>
    <col min="12" max="12" width="22.7109375" bestFit="1" customWidth="1"/>
    <col min="13" max="13" width="14.42578125" bestFit="1" customWidth="1"/>
    <col min="15" max="15" width="32.42578125" bestFit="1" customWidth="1"/>
    <col min="16" max="16" width="23.140625" bestFit="1" customWidth="1"/>
    <col min="17" max="17" width="15.5703125" bestFit="1" customWidth="1"/>
    <col min="18" max="18" width="13.7109375" bestFit="1" customWidth="1"/>
    <col min="19" max="19" width="22.28515625" customWidth="1"/>
    <col min="20" max="20" width="15.42578125" customWidth="1"/>
    <col min="21" max="21" width="31.140625" bestFit="1" customWidth="1"/>
    <col min="22" max="22" width="28.7109375" customWidth="1"/>
    <col min="23" max="23" width="7.28515625" customWidth="1"/>
    <col min="24" max="24" width="10.7109375" bestFit="1" customWidth="1"/>
    <col min="25" max="27" width="14.42578125" customWidth="1"/>
    <col min="30" max="30" width="9.140625" style="89"/>
    <col min="31" max="31" width="50.7109375" bestFit="1" customWidth="1"/>
    <col min="32" max="32" width="14.85546875" bestFit="1" customWidth="1"/>
    <col min="33" max="33" width="72.7109375" bestFit="1" customWidth="1"/>
  </cols>
  <sheetData>
    <row r="2" spans="2:33" ht="26.25" customHeight="1" thickBot="1" x14ac:dyDescent="0.3">
      <c r="B2" s="58" t="s">
        <v>63</v>
      </c>
      <c r="C2" s="59"/>
      <c r="D2" s="59"/>
      <c r="E2" s="59"/>
      <c r="F2" s="59"/>
      <c r="G2" s="59"/>
      <c r="H2" s="60"/>
      <c r="J2" s="56" t="s">
        <v>8</v>
      </c>
      <c r="K2" s="56"/>
      <c r="L2" s="56"/>
      <c r="M2" s="56"/>
      <c r="N2" s="32" t="s">
        <v>1</v>
      </c>
      <c r="O2" s="59" t="s">
        <v>70</v>
      </c>
      <c r="P2" s="59"/>
      <c r="Q2" s="59"/>
      <c r="R2" s="59"/>
      <c r="S2" s="59"/>
      <c r="T2" s="59"/>
      <c r="U2" s="59"/>
      <c r="X2" s="76"/>
      <c r="Y2" s="72" t="s">
        <v>97</v>
      </c>
      <c r="Z2" s="72"/>
      <c r="AA2" s="72"/>
      <c r="AD2" s="56" t="s">
        <v>151</v>
      </c>
      <c r="AE2" s="56"/>
      <c r="AF2" s="56"/>
      <c r="AG2" s="56"/>
    </row>
    <row r="3" spans="2:33" ht="23.25" customHeight="1" thickTop="1" x14ac:dyDescent="0.25">
      <c r="B3" s="3" t="s">
        <v>6</v>
      </c>
      <c r="C3" s="3" t="s">
        <v>34</v>
      </c>
      <c r="D3" s="3" t="s">
        <v>1</v>
      </c>
      <c r="E3" s="4" t="s">
        <v>2</v>
      </c>
      <c r="F3" s="3" t="s">
        <v>3</v>
      </c>
      <c r="G3" s="3" t="s">
        <v>4</v>
      </c>
      <c r="H3" s="3" t="s">
        <v>5</v>
      </c>
      <c r="J3" s="67"/>
      <c r="K3" s="34" t="s">
        <v>10</v>
      </c>
      <c r="L3" s="34" t="s">
        <v>9</v>
      </c>
      <c r="M3" s="35" t="s">
        <v>0</v>
      </c>
      <c r="N3" s="33" t="s">
        <v>32</v>
      </c>
      <c r="O3" s="30" t="s">
        <v>13</v>
      </c>
      <c r="P3" s="30" t="s">
        <v>14</v>
      </c>
      <c r="Q3" s="30" t="s">
        <v>15</v>
      </c>
      <c r="R3" s="30" t="s">
        <v>16</v>
      </c>
      <c r="S3" s="30" t="s">
        <v>17</v>
      </c>
      <c r="T3" s="30" t="s">
        <v>18</v>
      </c>
      <c r="U3" s="30" t="s">
        <v>19</v>
      </c>
      <c r="W3" s="73" t="s">
        <v>92</v>
      </c>
      <c r="X3" s="86" t="s">
        <v>93</v>
      </c>
      <c r="Y3" s="83" t="s">
        <v>93</v>
      </c>
      <c r="Z3" s="84" t="s">
        <v>93</v>
      </c>
      <c r="AA3" s="85" t="s">
        <v>94</v>
      </c>
      <c r="AD3" s="30" t="s">
        <v>115</v>
      </c>
      <c r="AE3" s="30" t="s">
        <v>116</v>
      </c>
      <c r="AF3" s="30" t="s">
        <v>117</v>
      </c>
      <c r="AG3" s="30" t="s">
        <v>118</v>
      </c>
    </row>
    <row r="4" spans="2:33" ht="27" customHeight="1" x14ac:dyDescent="0.25">
      <c r="B4" s="62" t="s">
        <v>53</v>
      </c>
      <c r="C4" s="5" t="s">
        <v>15</v>
      </c>
      <c r="D4" s="5" t="s">
        <v>20</v>
      </c>
      <c r="E4" s="6">
        <v>2</v>
      </c>
      <c r="F4" s="7">
        <v>43472.333333333336</v>
      </c>
      <c r="G4" s="7">
        <f>F4+(E4/24)</f>
        <v>43472.416666666672</v>
      </c>
      <c r="H4" s="8">
        <f>VLOOKUP(D4,$J$8:$L$12,3,FALSE)*E4</f>
        <v>300</v>
      </c>
      <c r="J4" s="68"/>
      <c r="K4" s="36">
        <f>E28</f>
        <v>250</v>
      </c>
      <c r="L4" s="37">
        <v>70</v>
      </c>
      <c r="M4" s="38">
        <f>L4*K4</f>
        <v>17500</v>
      </c>
      <c r="N4" s="32" t="s">
        <v>31</v>
      </c>
      <c r="O4" s="31" t="s">
        <v>21</v>
      </c>
      <c r="P4" s="31" t="s">
        <v>20</v>
      </c>
      <c r="Q4" s="31" t="s">
        <v>1</v>
      </c>
      <c r="R4" s="31" t="s">
        <v>1</v>
      </c>
      <c r="S4" s="31" t="s">
        <v>1</v>
      </c>
      <c r="T4" s="31" t="s">
        <v>29</v>
      </c>
      <c r="U4" s="31" t="s">
        <v>30</v>
      </c>
      <c r="W4" s="73"/>
      <c r="X4" s="78"/>
      <c r="Y4" s="87"/>
      <c r="Z4" s="82"/>
      <c r="AA4" s="79">
        <v>1.2</v>
      </c>
      <c r="AD4" s="90">
        <v>1</v>
      </c>
      <c r="AE4" s="88" t="s">
        <v>98</v>
      </c>
      <c r="AF4" s="88" t="s">
        <v>99</v>
      </c>
      <c r="AG4" s="31" t="s">
        <v>119</v>
      </c>
    </row>
    <row r="5" spans="2:33" ht="27" customHeight="1" x14ac:dyDescent="0.25">
      <c r="B5" s="62"/>
      <c r="C5" s="5" t="s">
        <v>35</v>
      </c>
      <c r="D5" s="5" t="s">
        <v>20</v>
      </c>
      <c r="E5" s="6">
        <v>8</v>
      </c>
      <c r="F5" s="7">
        <f>G4</f>
        <v>43472.416666666672</v>
      </c>
      <c r="G5" s="7">
        <f>F5+(E5/24)</f>
        <v>43472.750000000007</v>
      </c>
      <c r="H5" s="8">
        <f t="shared" ref="H5:H6" si="0">VLOOKUP(D5,$J$8:$L$12,3,FALSE)*E5</f>
        <v>1200</v>
      </c>
      <c r="N5" s="32" t="s">
        <v>29</v>
      </c>
      <c r="O5" s="31" t="s">
        <v>26</v>
      </c>
      <c r="P5" s="31" t="s">
        <v>22</v>
      </c>
      <c r="Q5" s="31" t="s">
        <v>33</v>
      </c>
      <c r="R5" s="31" t="s">
        <v>33</v>
      </c>
      <c r="S5" s="31" t="s">
        <v>32</v>
      </c>
      <c r="T5" s="31" t="s">
        <v>1</v>
      </c>
      <c r="U5" s="31" t="s">
        <v>1</v>
      </c>
      <c r="W5" s="73"/>
      <c r="X5" s="77" t="s">
        <v>94</v>
      </c>
      <c r="Y5" s="80" t="s">
        <v>93</v>
      </c>
      <c r="Z5" s="81" t="s">
        <v>94</v>
      </c>
      <c r="AA5" s="75" t="s">
        <v>95</v>
      </c>
      <c r="AD5" s="90"/>
      <c r="AE5" s="88"/>
      <c r="AF5" s="88"/>
      <c r="AG5" s="31" t="s">
        <v>120</v>
      </c>
    </row>
    <row r="6" spans="2:33" ht="27" customHeight="1" thickBot="1" x14ac:dyDescent="0.3">
      <c r="B6" s="62"/>
      <c r="C6" s="5" t="s">
        <v>36</v>
      </c>
      <c r="D6" s="5" t="s">
        <v>20</v>
      </c>
      <c r="E6" s="6">
        <v>8</v>
      </c>
      <c r="F6" s="7">
        <v>43473.333333333336</v>
      </c>
      <c r="G6" s="7">
        <f t="shared" ref="G6:G26" si="1">F6+(E6/24)</f>
        <v>43473.666666666672</v>
      </c>
      <c r="H6" s="8">
        <f t="shared" si="0"/>
        <v>1200</v>
      </c>
      <c r="J6" s="56" t="s">
        <v>11</v>
      </c>
      <c r="K6" s="56"/>
      <c r="L6" s="56"/>
      <c r="M6" s="56"/>
      <c r="N6" s="32" t="s">
        <v>30</v>
      </c>
      <c r="O6" s="31" t="s">
        <v>27</v>
      </c>
      <c r="P6" s="31" t="s">
        <v>23</v>
      </c>
      <c r="Q6" s="31" t="s">
        <v>31</v>
      </c>
      <c r="R6" s="31" t="s">
        <v>31</v>
      </c>
      <c r="S6" s="31" t="s">
        <v>31</v>
      </c>
      <c r="T6" s="31" t="s">
        <v>29</v>
      </c>
      <c r="U6" s="31" t="s">
        <v>33</v>
      </c>
      <c r="W6" s="73"/>
      <c r="X6" s="78"/>
      <c r="Y6" s="87"/>
      <c r="Z6" s="82" t="s">
        <v>96</v>
      </c>
      <c r="AA6" s="74">
        <v>3</v>
      </c>
      <c r="AD6" s="90"/>
      <c r="AE6" s="88"/>
      <c r="AF6" s="88"/>
      <c r="AG6" s="31" t="s">
        <v>121</v>
      </c>
    </row>
    <row r="7" spans="2:33" ht="27" customHeight="1" thickTop="1" x14ac:dyDescent="0.25">
      <c r="B7" s="62"/>
      <c r="C7" s="9">
        <f>COUNTA(C4:C6)</f>
        <v>3</v>
      </c>
      <c r="D7" s="10">
        <f t="array" ref="D7">SUMPRODUCT(($D$4:$D$6&lt;&gt;"")/COUNTIF(D4:D6,D4:D6&amp;""))</f>
        <v>1</v>
      </c>
      <c r="E7" s="11">
        <f>SUM(E4:E6)</f>
        <v>18</v>
      </c>
      <c r="F7" s="12">
        <f>SMALL(F4:G6,1)</f>
        <v>43472.333333333336</v>
      </c>
      <c r="G7" s="12">
        <f>LARGE(F4:G6,1)</f>
        <v>43473.666666666672</v>
      </c>
      <c r="H7" s="13">
        <f>SUM(H4:H6)</f>
        <v>2700</v>
      </c>
      <c r="J7" s="3" t="s">
        <v>1</v>
      </c>
      <c r="K7" s="3" t="s">
        <v>10</v>
      </c>
      <c r="L7" s="3" t="s">
        <v>12</v>
      </c>
      <c r="M7" s="3" t="s">
        <v>0</v>
      </c>
      <c r="N7" s="32" t="s">
        <v>33</v>
      </c>
      <c r="O7" s="31" t="s">
        <v>28</v>
      </c>
      <c r="P7" s="31" t="s">
        <v>24</v>
      </c>
      <c r="Q7" s="31" t="s">
        <v>31</v>
      </c>
      <c r="R7" s="31" t="s">
        <v>31</v>
      </c>
      <c r="S7" s="31" t="s">
        <v>31</v>
      </c>
      <c r="T7" s="31" t="s">
        <v>33</v>
      </c>
      <c r="U7" s="31" t="s">
        <v>33</v>
      </c>
      <c r="W7" s="73"/>
      <c r="X7" s="77" t="s">
        <v>95</v>
      </c>
      <c r="Y7" s="80" t="s">
        <v>94</v>
      </c>
      <c r="Z7" s="77" t="s">
        <v>95</v>
      </c>
      <c r="AA7" s="75" t="s">
        <v>95</v>
      </c>
      <c r="AD7" s="90"/>
      <c r="AE7" s="88"/>
      <c r="AF7" s="88"/>
      <c r="AG7" s="31" t="s">
        <v>122</v>
      </c>
    </row>
    <row r="8" spans="2:33" ht="27" customHeight="1" x14ac:dyDescent="0.25">
      <c r="B8" s="61" t="s">
        <v>54</v>
      </c>
      <c r="C8" s="14" t="s">
        <v>37</v>
      </c>
      <c r="D8" s="14" t="s">
        <v>22</v>
      </c>
      <c r="E8" s="15">
        <v>12</v>
      </c>
      <c r="F8" s="16">
        <v>43474.333333333336</v>
      </c>
      <c r="G8" s="16">
        <f>F8+(E8/24)+(14/24)</f>
        <v>43475.416666666672</v>
      </c>
      <c r="H8" s="8">
        <f>VLOOKUP(D8,$J$8:$L$12,3,FALSE)*E8</f>
        <v>1200</v>
      </c>
      <c r="J8" s="5" t="s">
        <v>20</v>
      </c>
      <c r="K8" s="6">
        <f>SUMIF(D:D,J8,E:E)</f>
        <v>32</v>
      </c>
      <c r="L8" s="8">
        <v>150</v>
      </c>
      <c r="M8" s="8">
        <f>L8*K8</f>
        <v>4800</v>
      </c>
      <c r="O8" s="31" t="s">
        <v>58</v>
      </c>
      <c r="P8" s="31" t="s">
        <v>25</v>
      </c>
      <c r="Q8" s="31" t="s">
        <v>32</v>
      </c>
      <c r="R8" s="31" t="s">
        <v>32</v>
      </c>
      <c r="S8" s="31" t="s">
        <v>32</v>
      </c>
      <c r="T8" s="31" t="s">
        <v>29</v>
      </c>
      <c r="U8" s="31" t="s">
        <v>33</v>
      </c>
      <c r="W8" s="73"/>
      <c r="X8" s="78"/>
      <c r="Y8" s="87"/>
      <c r="Z8" s="78">
        <v>13</v>
      </c>
      <c r="AA8" s="74">
        <v>1.2</v>
      </c>
      <c r="AD8" s="90"/>
      <c r="AE8" s="88"/>
      <c r="AF8" s="88"/>
      <c r="AG8" s="31" t="s">
        <v>123</v>
      </c>
    </row>
    <row r="9" spans="2:33" ht="27" customHeight="1" x14ac:dyDescent="0.25">
      <c r="B9" s="61"/>
      <c r="C9" s="14" t="s">
        <v>38</v>
      </c>
      <c r="D9" s="14" t="s">
        <v>22</v>
      </c>
      <c r="E9" s="15">
        <v>2</v>
      </c>
      <c r="F9" s="16">
        <f t="shared" ref="F9:F26" si="2">G8</f>
        <v>43475.416666666672</v>
      </c>
      <c r="G9" s="16">
        <f t="shared" si="1"/>
        <v>43475.500000000007</v>
      </c>
      <c r="H9" s="8">
        <f t="shared" ref="H9:H23" si="3">VLOOKUP(D9,$J$8:$L$12,3,FALSE)*E9</f>
        <v>200</v>
      </c>
      <c r="J9" s="5" t="s">
        <v>22</v>
      </c>
      <c r="K9" s="6">
        <f t="shared" ref="K9:K12" si="4">SUMIF(D:D,J9,E:E)</f>
        <v>50</v>
      </c>
      <c r="L9" s="8">
        <v>100</v>
      </c>
      <c r="M9" s="8">
        <f t="shared" ref="M9:M12" si="5">L9*K9</f>
        <v>5000</v>
      </c>
      <c r="O9" s="66"/>
      <c r="P9" s="66"/>
      <c r="Q9" s="66"/>
      <c r="R9" s="66"/>
      <c r="S9" s="66"/>
      <c r="T9" s="66"/>
      <c r="U9" s="66"/>
      <c r="AD9" s="90"/>
      <c r="AE9" s="88"/>
      <c r="AF9" s="88"/>
      <c r="AG9" s="31" t="s">
        <v>124</v>
      </c>
    </row>
    <row r="10" spans="2:33" ht="27" customHeight="1" thickBot="1" x14ac:dyDescent="0.3">
      <c r="B10" s="61"/>
      <c r="C10" s="14" t="s">
        <v>39</v>
      </c>
      <c r="D10" s="14" t="s">
        <v>24</v>
      </c>
      <c r="E10" s="15">
        <v>16</v>
      </c>
      <c r="F10" s="16">
        <f>G9</f>
        <v>43475.500000000007</v>
      </c>
      <c r="G10" s="16">
        <f>F10+(E10/24)+(14/24)+3</f>
        <v>43479.750000000007</v>
      </c>
      <c r="H10" s="8">
        <f t="shared" si="3"/>
        <v>1200</v>
      </c>
      <c r="J10" s="5" t="s">
        <v>23</v>
      </c>
      <c r="K10" s="6">
        <f t="shared" si="4"/>
        <v>16</v>
      </c>
      <c r="L10" s="8">
        <v>90</v>
      </c>
      <c r="M10" s="8">
        <f t="shared" si="5"/>
        <v>1440</v>
      </c>
      <c r="O10" s="59" t="s">
        <v>71</v>
      </c>
      <c r="P10" s="59"/>
      <c r="Q10" s="59"/>
      <c r="R10" s="59"/>
      <c r="S10" s="59"/>
      <c r="T10" s="59"/>
      <c r="AD10" s="90">
        <v>2</v>
      </c>
      <c r="AE10" s="88" t="s">
        <v>100</v>
      </c>
      <c r="AF10" s="88" t="s">
        <v>99</v>
      </c>
      <c r="AG10" s="31" t="s">
        <v>125</v>
      </c>
    </row>
    <row r="11" spans="2:33" ht="27" customHeight="1" thickTop="1" x14ac:dyDescent="0.25">
      <c r="B11" s="61"/>
      <c r="C11" s="14" t="s">
        <v>44</v>
      </c>
      <c r="D11" s="14" t="s">
        <v>22</v>
      </c>
      <c r="E11" s="15">
        <v>8</v>
      </c>
      <c r="F11" s="16">
        <v>43480.333333333336</v>
      </c>
      <c r="G11" s="16">
        <f>F11+(E11/24)</f>
        <v>43480.666666666672</v>
      </c>
      <c r="H11" s="8">
        <f t="shared" si="3"/>
        <v>800</v>
      </c>
      <c r="J11" s="5" t="s">
        <v>24</v>
      </c>
      <c r="K11" s="6">
        <f t="shared" si="4"/>
        <v>32</v>
      </c>
      <c r="L11" s="8">
        <v>75</v>
      </c>
      <c r="M11" s="8">
        <f t="shared" si="5"/>
        <v>2400</v>
      </c>
      <c r="O11" s="30" t="s">
        <v>64</v>
      </c>
      <c r="P11" s="31" t="s">
        <v>20</v>
      </c>
      <c r="Q11" s="31" t="s">
        <v>22</v>
      </c>
      <c r="R11" s="31" t="s">
        <v>23</v>
      </c>
      <c r="S11" s="31" t="s">
        <v>24</v>
      </c>
      <c r="T11" s="31" t="s">
        <v>25</v>
      </c>
      <c r="AD11" s="90"/>
      <c r="AE11" s="88"/>
      <c r="AF11" s="88"/>
      <c r="AG11" s="31" t="s">
        <v>126</v>
      </c>
    </row>
    <row r="12" spans="2:33" ht="27" customHeight="1" x14ac:dyDescent="0.25">
      <c r="B12" s="61"/>
      <c r="C12" s="17">
        <f>COUNTA(C8:C11)</f>
        <v>4</v>
      </c>
      <c r="D12" s="18">
        <f t="array" ref="D12">SUMPRODUCT(($D$8:$D$11&lt;&gt;"")/COUNTIF(D8:D11,D8:D11&amp;""))</f>
        <v>1.9999999999999998</v>
      </c>
      <c r="E12" s="19">
        <f>SUM(E8:E11)</f>
        <v>38</v>
      </c>
      <c r="F12" s="20">
        <f>SMALL(F8:G11,1)</f>
        <v>43474.333333333336</v>
      </c>
      <c r="G12" s="20">
        <f>LARGE(F8:G11,1)</f>
        <v>43480.666666666672</v>
      </c>
      <c r="H12" s="21">
        <f>SUM(H8:H11)</f>
        <v>3400</v>
      </c>
      <c r="J12" s="6" t="s">
        <v>25</v>
      </c>
      <c r="K12" s="6">
        <f t="shared" si="4"/>
        <v>120</v>
      </c>
      <c r="L12" s="8">
        <v>50</v>
      </c>
      <c r="M12" s="8">
        <f t="shared" si="5"/>
        <v>6000</v>
      </c>
      <c r="O12" s="31" t="s">
        <v>15</v>
      </c>
      <c r="P12" s="31" t="s">
        <v>1</v>
      </c>
      <c r="Q12" s="31" t="s">
        <v>33</v>
      </c>
      <c r="R12" s="31" t="s">
        <v>29</v>
      </c>
      <c r="S12" s="31" t="s">
        <v>29</v>
      </c>
      <c r="T12" s="31" t="s">
        <v>29</v>
      </c>
      <c r="AD12" s="90">
        <v>3</v>
      </c>
      <c r="AE12" s="88" t="s">
        <v>101</v>
      </c>
      <c r="AF12" s="88" t="s">
        <v>102</v>
      </c>
      <c r="AG12" s="31" t="s">
        <v>127</v>
      </c>
    </row>
    <row r="13" spans="2:33" ht="27" customHeight="1" x14ac:dyDescent="0.25">
      <c r="B13" s="63" t="s">
        <v>55</v>
      </c>
      <c r="C13" s="14" t="s">
        <v>40</v>
      </c>
      <c r="D13" s="14" t="s">
        <v>22</v>
      </c>
      <c r="E13" s="15">
        <v>8</v>
      </c>
      <c r="F13" s="16">
        <f>G11</f>
        <v>43480.666666666672</v>
      </c>
      <c r="G13" s="16">
        <f>F13+(E13/24)+(12/24)</f>
        <v>43481.500000000007</v>
      </c>
      <c r="H13" s="8">
        <f t="shared" si="3"/>
        <v>800</v>
      </c>
      <c r="J13" s="11" t="s">
        <v>0</v>
      </c>
      <c r="K13" s="11">
        <f>SUM(K8:K12)</f>
        <v>250</v>
      </c>
      <c r="L13" s="13">
        <f>SUM(L8:L12)</f>
        <v>465</v>
      </c>
      <c r="M13" s="13">
        <f>SUM(M8:M12)</f>
        <v>19640</v>
      </c>
      <c r="O13" s="31" t="s">
        <v>35</v>
      </c>
      <c r="P13" s="31" t="s">
        <v>1</v>
      </c>
      <c r="Q13" s="31" t="s">
        <v>33</v>
      </c>
      <c r="R13" s="31" t="s">
        <v>29</v>
      </c>
      <c r="S13" s="31" t="s">
        <v>29</v>
      </c>
      <c r="T13" s="31" t="s">
        <v>29</v>
      </c>
      <c r="AD13" s="90"/>
      <c r="AE13" s="88"/>
      <c r="AF13" s="88"/>
      <c r="AG13" s="31" t="s">
        <v>128</v>
      </c>
    </row>
    <row r="14" spans="2:33" ht="27" customHeight="1" x14ac:dyDescent="0.25">
      <c r="B14" s="64"/>
      <c r="C14" s="14" t="s">
        <v>41</v>
      </c>
      <c r="D14" s="14" t="s">
        <v>22</v>
      </c>
      <c r="E14" s="15">
        <v>4</v>
      </c>
      <c r="F14" s="16">
        <f t="shared" si="2"/>
        <v>43481.500000000007</v>
      </c>
      <c r="G14" s="16">
        <f t="shared" si="1"/>
        <v>43481.666666666672</v>
      </c>
      <c r="H14" s="8">
        <f t="shared" si="3"/>
        <v>400</v>
      </c>
      <c r="O14" s="31" t="s">
        <v>36</v>
      </c>
      <c r="P14" s="31" t="s">
        <v>1</v>
      </c>
      <c r="Q14" s="31" t="s">
        <v>33</v>
      </c>
      <c r="R14" s="31"/>
      <c r="S14" s="31"/>
      <c r="T14" s="31"/>
      <c r="AD14" s="91">
        <v>4</v>
      </c>
      <c r="AE14" s="31" t="s">
        <v>103</v>
      </c>
      <c r="AF14" s="31" t="s">
        <v>102</v>
      </c>
      <c r="AG14" s="31" t="s">
        <v>129</v>
      </c>
    </row>
    <row r="15" spans="2:33" ht="27" customHeight="1" thickBot="1" x14ac:dyDescent="0.3">
      <c r="B15" s="64"/>
      <c r="C15" s="14" t="s">
        <v>42</v>
      </c>
      <c r="D15" s="14" t="s">
        <v>22</v>
      </c>
      <c r="E15" s="15">
        <v>4</v>
      </c>
      <c r="F15" s="16">
        <f t="shared" si="2"/>
        <v>43481.666666666672</v>
      </c>
      <c r="G15" s="16">
        <f>F15+(E15/24)+(14/24)</f>
        <v>43482.416666666672</v>
      </c>
      <c r="H15" s="8">
        <f t="shared" si="3"/>
        <v>400</v>
      </c>
      <c r="J15" s="56" t="s">
        <v>59</v>
      </c>
      <c r="K15" s="56"/>
      <c r="L15" s="56"/>
      <c r="M15" s="56"/>
      <c r="O15" s="31" t="s">
        <v>37</v>
      </c>
      <c r="P15" s="31" t="s">
        <v>29</v>
      </c>
      <c r="Q15" s="31" t="s">
        <v>1</v>
      </c>
      <c r="R15" s="31"/>
      <c r="S15" s="31"/>
      <c r="T15" s="31"/>
      <c r="AD15" s="90">
        <v>5</v>
      </c>
      <c r="AE15" s="88" t="s">
        <v>104</v>
      </c>
      <c r="AF15" s="88" t="s">
        <v>102</v>
      </c>
      <c r="AG15" s="31" t="s">
        <v>129</v>
      </c>
    </row>
    <row r="16" spans="2:33" ht="27" customHeight="1" thickTop="1" x14ac:dyDescent="0.25">
      <c r="B16" s="64"/>
      <c r="C16" s="14" t="s">
        <v>43</v>
      </c>
      <c r="D16" s="14" t="s">
        <v>22</v>
      </c>
      <c r="E16" s="15">
        <v>4</v>
      </c>
      <c r="F16" s="16">
        <f t="shared" si="2"/>
        <v>43482.416666666672</v>
      </c>
      <c r="G16" s="16">
        <f t="shared" si="1"/>
        <v>43482.583333333336</v>
      </c>
      <c r="H16" s="8">
        <f t="shared" si="3"/>
        <v>400</v>
      </c>
      <c r="J16" s="57" t="s">
        <v>60</v>
      </c>
      <c r="K16" s="57"/>
      <c r="L16" s="57" t="s">
        <v>0</v>
      </c>
      <c r="M16" s="57"/>
      <c r="O16" s="31" t="s">
        <v>38</v>
      </c>
      <c r="P16" s="31" t="s">
        <v>1</v>
      </c>
      <c r="Q16" s="31" t="s">
        <v>33</v>
      </c>
      <c r="R16" s="31" t="s">
        <v>29</v>
      </c>
      <c r="S16" s="31" t="s">
        <v>29</v>
      </c>
      <c r="T16" s="31" t="s">
        <v>29</v>
      </c>
      <c r="AD16" s="90"/>
      <c r="AE16" s="88"/>
      <c r="AF16" s="88"/>
      <c r="AG16" s="31" t="s">
        <v>130</v>
      </c>
    </row>
    <row r="17" spans="2:33" ht="27" customHeight="1" x14ac:dyDescent="0.25">
      <c r="B17" s="64"/>
      <c r="C17" s="14" t="s">
        <v>45</v>
      </c>
      <c r="D17" s="14" t="s">
        <v>24</v>
      </c>
      <c r="E17" s="15">
        <v>16</v>
      </c>
      <c r="F17" s="16">
        <f t="shared" si="2"/>
        <v>43482.583333333336</v>
      </c>
      <c r="G17" s="16">
        <f>F17+(E17/24)+(4/24)+3</f>
        <v>43486.416666666664</v>
      </c>
      <c r="H17" s="8">
        <f t="shared" si="3"/>
        <v>1200</v>
      </c>
      <c r="J17" s="52" t="s">
        <v>61</v>
      </c>
      <c r="K17" s="52"/>
      <c r="L17" s="55">
        <f>M4</f>
        <v>17500</v>
      </c>
      <c r="M17" s="55"/>
      <c r="O17" s="31" t="s">
        <v>39</v>
      </c>
      <c r="P17" s="31" t="s">
        <v>32</v>
      </c>
      <c r="Q17" s="31" t="s">
        <v>30</v>
      </c>
      <c r="R17" s="31"/>
      <c r="S17" s="31" t="s">
        <v>1</v>
      </c>
      <c r="T17" s="31"/>
      <c r="AD17" s="90">
        <v>6</v>
      </c>
      <c r="AE17" s="88" t="s">
        <v>105</v>
      </c>
      <c r="AF17" s="88" t="s">
        <v>102</v>
      </c>
      <c r="AG17" s="31" t="s">
        <v>131</v>
      </c>
    </row>
    <row r="18" spans="2:33" ht="27" customHeight="1" x14ac:dyDescent="0.25">
      <c r="B18" s="64"/>
      <c r="C18" s="14" t="s">
        <v>46</v>
      </c>
      <c r="D18" s="14" t="s">
        <v>25</v>
      </c>
      <c r="E18" s="15">
        <v>80</v>
      </c>
      <c r="F18" s="16">
        <f t="shared" si="2"/>
        <v>43486.416666666664</v>
      </c>
      <c r="G18" s="16">
        <f>F18+(E18/24)+(16/24)+6</f>
        <v>43496.416666666664</v>
      </c>
      <c r="H18" s="8">
        <f t="shared" si="3"/>
        <v>4000</v>
      </c>
      <c r="J18" s="52" t="s">
        <v>62</v>
      </c>
      <c r="K18" s="52"/>
      <c r="L18" s="55">
        <f>M13</f>
        <v>19640</v>
      </c>
      <c r="M18" s="55"/>
      <c r="O18" s="31" t="s">
        <v>65</v>
      </c>
      <c r="P18" s="31"/>
      <c r="Q18" s="31" t="s">
        <v>1</v>
      </c>
      <c r="R18" s="31"/>
      <c r="S18" s="31"/>
      <c r="T18" s="31"/>
      <c r="AD18" s="90"/>
      <c r="AE18" s="88"/>
      <c r="AF18" s="88"/>
      <c r="AG18" s="31" t="s">
        <v>132</v>
      </c>
    </row>
    <row r="19" spans="2:33" ht="27" customHeight="1" x14ac:dyDescent="0.25">
      <c r="B19" s="64"/>
      <c r="C19" s="14" t="s">
        <v>47</v>
      </c>
      <c r="D19" s="14" t="s">
        <v>23</v>
      </c>
      <c r="E19" s="15">
        <v>16</v>
      </c>
      <c r="F19" s="16">
        <f>G18</f>
        <v>43496.416666666664</v>
      </c>
      <c r="G19" s="16">
        <f>F19+(E19/24)+(14/24)</f>
        <v>43497.666666666664</v>
      </c>
      <c r="H19" s="8">
        <f t="shared" si="3"/>
        <v>1440</v>
      </c>
      <c r="J19" s="52" t="s">
        <v>73</v>
      </c>
      <c r="K19" s="52"/>
      <c r="L19" s="55">
        <v>1250</v>
      </c>
      <c r="M19" s="55"/>
      <c r="O19" s="31" t="s">
        <v>40</v>
      </c>
      <c r="P19" s="31"/>
      <c r="Q19" s="31" t="s">
        <v>1</v>
      </c>
      <c r="R19" s="31"/>
      <c r="S19" s="31"/>
      <c r="T19" s="31"/>
      <c r="AD19" s="91">
        <v>7</v>
      </c>
      <c r="AE19" s="31" t="s">
        <v>106</v>
      </c>
      <c r="AF19" s="31" t="s">
        <v>102</v>
      </c>
      <c r="AG19" s="31" t="s">
        <v>133</v>
      </c>
    </row>
    <row r="20" spans="2:33" ht="27" customHeight="1" x14ac:dyDescent="0.25">
      <c r="B20" s="65"/>
      <c r="C20" s="17">
        <f>COUNTA(C13:C19)</f>
        <v>7</v>
      </c>
      <c r="D20" s="18">
        <f t="array" ref="D20">SUMPRODUCT(($D$13:$D$19&lt;&gt;"")/COUNTIF(D13:D19,D13:D19&amp;""))</f>
        <v>4</v>
      </c>
      <c r="E20" s="19">
        <f>SUM(E13:E19)</f>
        <v>132</v>
      </c>
      <c r="F20" s="20">
        <f>SMALL(F13:G19,1)</f>
        <v>43480.666666666672</v>
      </c>
      <c r="G20" s="20">
        <f>LARGE(F13:G19,1)</f>
        <v>43497.666666666664</v>
      </c>
      <c r="H20" s="21">
        <f>SUM(H13:H19)</f>
        <v>8640</v>
      </c>
      <c r="J20" s="52" t="s">
        <v>74</v>
      </c>
      <c r="K20" s="52"/>
      <c r="L20" s="55">
        <f>37*20*5</f>
        <v>3700</v>
      </c>
      <c r="M20" s="55"/>
      <c r="O20" s="31" t="s">
        <v>41</v>
      </c>
      <c r="P20" s="31"/>
      <c r="Q20" s="31" t="s">
        <v>1</v>
      </c>
      <c r="R20" s="31"/>
      <c r="S20" s="31"/>
      <c r="T20" s="31"/>
      <c r="AD20" s="90">
        <v>8</v>
      </c>
      <c r="AE20" s="88" t="s">
        <v>107</v>
      </c>
      <c r="AF20" s="88" t="s">
        <v>99</v>
      </c>
      <c r="AG20" s="31" t="s">
        <v>134</v>
      </c>
    </row>
    <row r="21" spans="2:33" ht="27" customHeight="1" x14ac:dyDescent="0.25">
      <c r="B21" s="63" t="s">
        <v>56</v>
      </c>
      <c r="C21" s="14" t="s">
        <v>48</v>
      </c>
      <c r="D21" s="14" t="s">
        <v>22</v>
      </c>
      <c r="E21" s="15">
        <v>8</v>
      </c>
      <c r="F21" s="16">
        <f>G19+2+(16/24)</f>
        <v>43500.333333333328</v>
      </c>
      <c r="G21" s="16">
        <f>F21+(E21/24)</f>
        <v>43500.666666666664</v>
      </c>
      <c r="H21" s="8">
        <f t="shared" si="3"/>
        <v>800</v>
      </c>
      <c r="J21" s="52" t="s">
        <v>90</v>
      </c>
      <c r="K21" s="52"/>
      <c r="L21" s="55">
        <f>37*8*5</f>
        <v>1480</v>
      </c>
      <c r="M21" s="55"/>
      <c r="O21" s="31" t="s">
        <v>42</v>
      </c>
      <c r="P21" s="31"/>
      <c r="Q21" s="31" t="s">
        <v>1</v>
      </c>
      <c r="R21" s="31"/>
      <c r="S21" s="31"/>
      <c r="T21" s="31"/>
      <c r="AD21" s="90"/>
      <c r="AE21" s="88"/>
      <c r="AF21" s="88"/>
      <c r="AG21" s="31" t="s">
        <v>135</v>
      </c>
    </row>
    <row r="22" spans="2:33" ht="27" customHeight="1" x14ac:dyDescent="0.25">
      <c r="B22" s="64"/>
      <c r="C22" s="14" t="s">
        <v>49</v>
      </c>
      <c r="D22" s="14" t="s">
        <v>20</v>
      </c>
      <c r="E22" s="15">
        <v>8</v>
      </c>
      <c r="F22" s="16">
        <f t="shared" si="2"/>
        <v>43500.666666666664</v>
      </c>
      <c r="G22" s="16">
        <f>F22+(E22/24)+(14/24)</f>
        <v>43501.583333333336</v>
      </c>
      <c r="H22" s="8">
        <f t="shared" si="3"/>
        <v>1200</v>
      </c>
      <c r="J22" s="52" t="s">
        <v>72</v>
      </c>
      <c r="K22" s="52"/>
      <c r="L22" s="55">
        <f>U38</f>
        <v>398.33333333333337</v>
      </c>
      <c r="M22" s="55"/>
      <c r="O22" s="31" t="s">
        <v>66</v>
      </c>
      <c r="P22" s="31"/>
      <c r="Q22" s="31" t="s">
        <v>1</v>
      </c>
      <c r="R22" s="31"/>
      <c r="S22" s="31"/>
      <c r="T22" s="31"/>
      <c r="AD22" s="90">
        <v>9</v>
      </c>
      <c r="AE22" s="88" t="s">
        <v>108</v>
      </c>
      <c r="AF22" s="88" t="s">
        <v>99</v>
      </c>
      <c r="AG22" s="31" t="s">
        <v>136</v>
      </c>
    </row>
    <row r="23" spans="2:33" ht="27" customHeight="1" x14ac:dyDescent="0.25">
      <c r="B23" s="64"/>
      <c r="C23" s="14" t="s">
        <v>50</v>
      </c>
      <c r="D23" s="14" t="s">
        <v>25</v>
      </c>
      <c r="E23" s="15">
        <v>40</v>
      </c>
      <c r="F23" s="16">
        <f>G22+(18/24)</f>
        <v>43502.333333333336</v>
      </c>
      <c r="G23" s="16">
        <f>F23+(E23/24)+(18/24)+4</f>
        <v>43508.75</v>
      </c>
      <c r="H23" s="8">
        <f t="shared" si="3"/>
        <v>2000</v>
      </c>
      <c r="J23" s="52" t="s">
        <v>91</v>
      </c>
      <c r="K23" s="52"/>
      <c r="L23" s="55">
        <v>0</v>
      </c>
      <c r="M23" s="55"/>
      <c r="O23" s="31" t="s">
        <v>67</v>
      </c>
      <c r="P23" s="31"/>
      <c r="Q23" s="31" t="s">
        <v>30</v>
      </c>
      <c r="R23" s="31" t="s">
        <v>33</v>
      </c>
      <c r="S23" s="31" t="s">
        <v>1</v>
      </c>
      <c r="T23" s="31" t="s">
        <v>29</v>
      </c>
      <c r="AD23" s="90"/>
      <c r="AE23" s="88"/>
      <c r="AF23" s="88"/>
      <c r="AG23" s="31" t="s">
        <v>122</v>
      </c>
    </row>
    <row r="24" spans="2:33" ht="27" customHeight="1" x14ac:dyDescent="0.25">
      <c r="B24" s="65"/>
      <c r="C24" s="17">
        <f>COUNTA(C21:C23)</f>
        <v>3</v>
      </c>
      <c r="D24" s="18">
        <f t="array" ref="D24">SUMPRODUCT(($D$21:$D$23&lt;&gt;"")/COUNTIF(D21:D23,D21:D23&amp;""))</f>
        <v>3</v>
      </c>
      <c r="E24" s="19">
        <f>SUM(E21:E23)</f>
        <v>56</v>
      </c>
      <c r="F24" s="20">
        <f>SMALL(F21:G23,1)</f>
        <v>43500.333333333328</v>
      </c>
      <c r="G24" s="20">
        <f>LARGE(F21:G23,1)</f>
        <v>43508.75</v>
      </c>
      <c r="H24" s="21">
        <f>SUM(H21:H23)</f>
        <v>4000</v>
      </c>
      <c r="J24" s="48" t="s">
        <v>84</v>
      </c>
      <c r="K24" s="49"/>
      <c r="L24" s="50">
        <v>0</v>
      </c>
      <c r="M24" s="51"/>
      <c r="O24" s="31" t="s">
        <v>68</v>
      </c>
      <c r="P24" s="31"/>
      <c r="Q24" s="31" t="s">
        <v>30</v>
      </c>
      <c r="R24" s="31" t="s">
        <v>33</v>
      </c>
      <c r="S24" s="31"/>
      <c r="T24" s="31" t="s">
        <v>1</v>
      </c>
      <c r="AD24" s="90"/>
      <c r="AE24" s="88"/>
      <c r="AF24" s="88"/>
      <c r="AG24" s="31" t="s">
        <v>137</v>
      </c>
    </row>
    <row r="25" spans="2:33" ht="27" customHeight="1" x14ac:dyDescent="0.25">
      <c r="B25" s="61" t="s">
        <v>57</v>
      </c>
      <c r="C25" s="14" t="s">
        <v>51</v>
      </c>
      <c r="D25" s="14" t="s">
        <v>20</v>
      </c>
      <c r="E25" s="15">
        <v>2</v>
      </c>
      <c r="F25" s="16">
        <f>G23+(14/24)</f>
        <v>43509.333333333336</v>
      </c>
      <c r="G25" s="16">
        <f t="shared" si="1"/>
        <v>43509.416666666672</v>
      </c>
      <c r="H25" s="8">
        <f t="shared" ref="H25:H26" si="6">VLOOKUP(D25,$J$8:$L$12,3,FALSE)*E25</f>
        <v>300</v>
      </c>
      <c r="J25" s="53" t="s">
        <v>0</v>
      </c>
      <c r="K25" s="53"/>
      <c r="L25" s="54">
        <f ca="1">SUM(L17:M25)</f>
        <v>43968.333333333336</v>
      </c>
      <c r="M25" s="53"/>
      <c r="O25" s="31" t="s">
        <v>47</v>
      </c>
      <c r="P25" s="31" t="s">
        <v>32</v>
      </c>
      <c r="Q25" s="31" t="s">
        <v>30</v>
      </c>
      <c r="R25" s="31" t="s">
        <v>1</v>
      </c>
      <c r="S25" s="31"/>
      <c r="T25" s="31" t="s">
        <v>29</v>
      </c>
      <c r="AD25" s="90">
        <v>10</v>
      </c>
      <c r="AE25" s="88" t="s">
        <v>109</v>
      </c>
      <c r="AF25" s="88" t="s">
        <v>99</v>
      </c>
      <c r="AG25" s="31" t="s">
        <v>138</v>
      </c>
    </row>
    <row r="26" spans="2:33" ht="27" customHeight="1" x14ac:dyDescent="0.25">
      <c r="B26" s="61"/>
      <c r="C26" s="14" t="s">
        <v>52</v>
      </c>
      <c r="D26" s="14" t="s">
        <v>20</v>
      </c>
      <c r="E26" s="15">
        <v>4</v>
      </c>
      <c r="F26" s="16">
        <f t="shared" si="2"/>
        <v>43509.416666666672</v>
      </c>
      <c r="G26" s="16">
        <f t="shared" si="1"/>
        <v>43509.583333333336</v>
      </c>
      <c r="H26" s="8">
        <f t="shared" si="6"/>
        <v>600</v>
      </c>
      <c r="O26" s="31" t="s">
        <v>48</v>
      </c>
      <c r="P26" s="31" t="s">
        <v>32</v>
      </c>
      <c r="Q26" s="31" t="s">
        <v>1</v>
      </c>
      <c r="R26" s="31" t="s">
        <v>33</v>
      </c>
      <c r="S26" s="31"/>
      <c r="T26" s="31" t="s">
        <v>29</v>
      </c>
      <c r="AD26" s="90"/>
      <c r="AE26" s="88"/>
      <c r="AF26" s="88"/>
      <c r="AG26" s="31" t="s">
        <v>139</v>
      </c>
    </row>
    <row r="27" spans="2:33" ht="27" customHeight="1" x14ac:dyDescent="0.25">
      <c r="B27" s="61"/>
      <c r="C27" s="17">
        <f>COUNTA(C25:C26)</f>
        <v>2</v>
      </c>
      <c r="D27" s="22">
        <f t="array" ref="D27">SUMPRODUCT(($D$25:$D$26&lt;&gt;"")/COUNTIF(D25:D26,D25:D26&amp;""))</f>
        <v>1</v>
      </c>
      <c r="E27" s="19">
        <f>SUM(E25:E26)</f>
        <v>6</v>
      </c>
      <c r="F27" s="20">
        <f>SMALL(F25:G26,1)</f>
        <v>43509.333333333336</v>
      </c>
      <c r="G27" s="20">
        <f>LARGE(F25:G26,1)</f>
        <v>43509.583333333336</v>
      </c>
      <c r="H27" s="21">
        <f>SUM(H25:H26)</f>
        <v>900</v>
      </c>
      <c r="O27" s="31" t="s">
        <v>49</v>
      </c>
      <c r="P27" s="31" t="s">
        <v>30</v>
      </c>
      <c r="Q27" s="31" t="s">
        <v>1</v>
      </c>
      <c r="R27" s="31"/>
      <c r="S27" s="31"/>
      <c r="T27" s="31"/>
      <c r="AD27" s="91">
        <v>11</v>
      </c>
      <c r="AE27" s="31" t="s">
        <v>110</v>
      </c>
      <c r="AF27" s="31" t="s">
        <v>99</v>
      </c>
      <c r="AG27" s="31" t="s">
        <v>140</v>
      </c>
    </row>
    <row r="28" spans="2:33" ht="27" customHeight="1" thickBot="1" x14ac:dyDescent="0.3">
      <c r="B28" s="24" t="s">
        <v>7</v>
      </c>
      <c r="C28" s="25">
        <f>SUM(C7,C27,C24,C20,C12)</f>
        <v>19</v>
      </c>
      <c r="D28" s="26">
        <f>SUM(D27,D24,D20,D12,D7)</f>
        <v>11</v>
      </c>
      <c r="E28" s="27">
        <f>SUM(E27,E24,E20,E12,E7)</f>
        <v>250</v>
      </c>
      <c r="F28" s="28">
        <f>SMALL($F$4:$G$27,1)</f>
        <v>43472.333333333336</v>
      </c>
      <c r="G28" s="28">
        <f>LARGE($F$4:$G$27,1)</f>
        <v>43509.583333333336</v>
      </c>
      <c r="H28" s="29">
        <f>SUM(H27,H24,H20,H12,H7)</f>
        <v>19640</v>
      </c>
      <c r="O28" s="31" t="s">
        <v>50</v>
      </c>
      <c r="P28" s="31" t="s">
        <v>30</v>
      </c>
      <c r="Q28" s="31" t="s">
        <v>1</v>
      </c>
      <c r="R28" s="31"/>
      <c r="S28" s="31"/>
      <c r="T28" s="31"/>
      <c r="AD28" s="90">
        <v>12</v>
      </c>
      <c r="AE28" s="88" t="s">
        <v>111</v>
      </c>
      <c r="AF28" s="88" t="s">
        <v>102</v>
      </c>
      <c r="AG28" s="31" t="s">
        <v>141</v>
      </c>
    </row>
    <row r="29" spans="2:33" ht="27" customHeight="1" thickTop="1" x14ac:dyDescent="0.25">
      <c r="O29" s="31" t="s">
        <v>51</v>
      </c>
      <c r="P29" s="31" t="s">
        <v>1</v>
      </c>
      <c r="Q29" s="31" t="s">
        <v>33</v>
      </c>
      <c r="R29" s="31" t="s">
        <v>29</v>
      </c>
      <c r="S29" s="31" t="s">
        <v>29</v>
      </c>
      <c r="T29" s="31" t="s">
        <v>29</v>
      </c>
      <c r="AD29" s="90"/>
      <c r="AE29" s="88"/>
      <c r="AF29" s="88"/>
      <c r="AG29" s="31" t="s">
        <v>142</v>
      </c>
    </row>
    <row r="30" spans="2:33" ht="27" customHeight="1" x14ac:dyDescent="0.25">
      <c r="F30" s="1">
        <f>G28-F28</f>
        <v>37.25</v>
      </c>
      <c r="O30" s="31" t="s">
        <v>69</v>
      </c>
      <c r="P30" s="31" t="s">
        <v>30</v>
      </c>
      <c r="Q30" s="31" t="s">
        <v>1</v>
      </c>
      <c r="R30" s="31" t="s">
        <v>33</v>
      </c>
      <c r="S30" s="31" t="s">
        <v>29</v>
      </c>
      <c r="T30" s="31" t="s">
        <v>29</v>
      </c>
      <c r="AD30" s="90"/>
      <c r="AE30" s="88"/>
      <c r="AF30" s="88"/>
      <c r="AG30" s="31" t="s">
        <v>143</v>
      </c>
    </row>
    <row r="31" spans="2:33" ht="27" customHeight="1" x14ac:dyDescent="0.25">
      <c r="AD31" s="90">
        <v>13</v>
      </c>
      <c r="AE31" s="88" t="s">
        <v>112</v>
      </c>
      <c r="AF31" s="88" t="s">
        <v>99</v>
      </c>
      <c r="AG31" s="31" t="s">
        <v>144</v>
      </c>
    </row>
    <row r="32" spans="2:33" ht="27" customHeight="1" thickBot="1" x14ac:dyDescent="0.3">
      <c r="O32" s="56" t="s">
        <v>75</v>
      </c>
      <c r="P32" s="56"/>
      <c r="Q32" s="56"/>
      <c r="R32" s="56"/>
      <c r="S32" s="56"/>
      <c r="T32" s="56"/>
      <c r="U32" s="56"/>
      <c r="V32" s="56"/>
      <c r="W32" s="69"/>
      <c r="AD32" s="90"/>
      <c r="AE32" s="88"/>
      <c r="AF32" s="88"/>
      <c r="AG32" s="31" t="s">
        <v>145</v>
      </c>
    </row>
    <row r="33" spans="15:33" ht="26.25" customHeight="1" thickTop="1" x14ac:dyDescent="0.25">
      <c r="O33" s="30" t="s">
        <v>83</v>
      </c>
      <c r="P33" s="30" t="s">
        <v>76</v>
      </c>
      <c r="Q33" s="30" t="s">
        <v>77</v>
      </c>
      <c r="R33" s="30" t="s">
        <v>78</v>
      </c>
      <c r="S33" s="30" t="s">
        <v>79</v>
      </c>
      <c r="T33" s="30" t="s">
        <v>80</v>
      </c>
      <c r="U33" s="30" t="s">
        <v>81</v>
      </c>
      <c r="V33" s="30" t="s">
        <v>82</v>
      </c>
      <c r="W33" s="70"/>
      <c r="AD33" s="90"/>
      <c r="AE33" s="88"/>
      <c r="AF33" s="88"/>
      <c r="AG33" s="31" t="s">
        <v>146</v>
      </c>
    </row>
    <row r="34" spans="15:33" ht="26.25" customHeight="1" x14ac:dyDescent="0.25">
      <c r="O34" s="31" t="s">
        <v>87</v>
      </c>
      <c r="P34" s="8">
        <v>4000</v>
      </c>
      <c r="Q34" s="40">
        <v>0.2</v>
      </c>
      <c r="R34" s="41">
        <f>Q34/12</f>
        <v>1.6666666666666666E-2</v>
      </c>
      <c r="S34" s="44">
        <f>1/Q34</f>
        <v>5</v>
      </c>
      <c r="T34" s="44">
        <f>S34*12</f>
        <v>60</v>
      </c>
      <c r="U34" s="45">
        <f>P34*R34</f>
        <v>66.666666666666671</v>
      </c>
      <c r="V34" s="45">
        <f>P34-U34</f>
        <v>3933.3333333333335</v>
      </c>
      <c r="W34" s="71"/>
      <c r="X34" s="39">
        <f>U34*5</f>
        <v>333.33333333333337</v>
      </c>
      <c r="AD34" s="90"/>
      <c r="AE34" s="88"/>
      <c r="AF34" s="88"/>
      <c r="AG34" s="31" t="s">
        <v>147</v>
      </c>
    </row>
    <row r="35" spans="15:33" ht="26.25" customHeight="1" x14ac:dyDescent="0.25">
      <c r="O35" s="31" t="s">
        <v>85</v>
      </c>
      <c r="P35" s="8">
        <v>800</v>
      </c>
      <c r="Q35" s="42">
        <v>0</v>
      </c>
      <c r="R35" s="43">
        <f t="shared" ref="R35:R37" si="7">Q35/12</f>
        <v>0</v>
      </c>
      <c r="S35" s="5">
        <v>0</v>
      </c>
      <c r="T35" s="5">
        <f t="shared" ref="T35:T37" si="8">S35*12</f>
        <v>0</v>
      </c>
      <c r="U35" s="23">
        <f t="shared" ref="U35:U37" si="9">P35*R35</f>
        <v>0</v>
      </c>
      <c r="V35" s="23">
        <f>P35-U35</f>
        <v>800</v>
      </c>
      <c r="W35" s="71"/>
      <c r="X35" s="39">
        <f>U35*5</f>
        <v>0</v>
      </c>
      <c r="AD35" s="90">
        <v>14</v>
      </c>
      <c r="AE35" s="88" t="s">
        <v>113</v>
      </c>
      <c r="AF35" s="88" t="s">
        <v>114</v>
      </c>
      <c r="AG35" s="31" t="s">
        <v>148</v>
      </c>
    </row>
    <row r="36" spans="15:33" ht="26.25" customHeight="1" x14ac:dyDescent="0.25">
      <c r="O36" s="31" t="s">
        <v>86</v>
      </c>
      <c r="P36" s="8">
        <v>1500</v>
      </c>
      <c r="Q36" s="42">
        <v>0.2</v>
      </c>
      <c r="R36" s="43">
        <f t="shared" si="7"/>
        <v>1.6666666666666666E-2</v>
      </c>
      <c r="S36" s="5">
        <f t="shared" ref="S36:S37" si="10">1/Q36</f>
        <v>5</v>
      </c>
      <c r="T36" s="5">
        <f t="shared" si="8"/>
        <v>60</v>
      </c>
      <c r="U36" s="23">
        <f t="shared" si="9"/>
        <v>25</v>
      </c>
      <c r="V36" s="23">
        <f>P36-U36</f>
        <v>1475</v>
      </c>
      <c r="W36" s="71"/>
      <c r="X36" s="39">
        <f>U36*1</f>
        <v>25</v>
      </c>
      <c r="AD36" s="90"/>
      <c r="AE36" s="88"/>
      <c r="AF36" s="88"/>
      <c r="AG36" s="31" t="s">
        <v>149</v>
      </c>
    </row>
    <row r="37" spans="15:33" ht="26.25" customHeight="1" x14ac:dyDescent="0.25">
      <c r="O37" s="31" t="s">
        <v>88</v>
      </c>
      <c r="P37" s="8">
        <v>1200</v>
      </c>
      <c r="Q37" s="42">
        <v>0.2</v>
      </c>
      <c r="R37" s="43">
        <f t="shared" si="7"/>
        <v>1.6666666666666666E-2</v>
      </c>
      <c r="S37" s="5">
        <f t="shared" si="10"/>
        <v>5</v>
      </c>
      <c r="T37" s="5">
        <f t="shared" si="8"/>
        <v>60</v>
      </c>
      <c r="U37" s="23">
        <f t="shared" si="9"/>
        <v>20</v>
      </c>
      <c r="V37" s="23">
        <f>P37-U37</f>
        <v>1180</v>
      </c>
      <c r="W37" s="71"/>
      <c r="X37" s="39">
        <f>U37*2</f>
        <v>40</v>
      </c>
      <c r="AD37" s="90"/>
      <c r="AE37" s="88"/>
      <c r="AF37" s="88"/>
      <c r="AG37" s="31" t="s">
        <v>150</v>
      </c>
    </row>
    <row r="38" spans="15:33" ht="26.25" customHeight="1" x14ac:dyDescent="0.25">
      <c r="S38" s="47" t="s">
        <v>89</v>
      </c>
      <c r="T38" s="47"/>
      <c r="U38" s="46">
        <f>SUM(X34:X37)</f>
        <v>398.33333333333337</v>
      </c>
    </row>
    <row r="39" spans="15:33" ht="26.25" customHeight="1" x14ac:dyDescent="0.25"/>
    <row r="40" spans="15:33" ht="26.25" customHeight="1" x14ac:dyDescent="0.25"/>
    <row r="41" spans="15:33" ht="26.25" customHeight="1" x14ac:dyDescent="0.25"/>
    <row r="42" spans="15:33" ht="26.25" customHeight="1" x14ac:dyDescent="0.25"/>
    <row r="43" spans="15:33" ht="26.25" customHeight="1" x14ac:dyDescent="0.25"/>
    <row r="44" spans="15:33" ht="26.25" customHeight="1" x14ac:dyDescent="0.25"/>
  </sheetData>
  <mergeCells count="71">
    <mergeCell ref="AF35:AF37"/>
    <mergeCell ref="AE35:AE37"/>
    <mergeCell ref="AD35:AD37"/>
    <mergeCell ref="AE4:AE9"/>
    <mergeCell ref="AF4:AF9"/>
    <mergeCell ref="AF25:AF26"/>
    <mergeCell ref="AE25:AE26"/>
    <mergeCell ref="AE28:AE30"/>
    <mergeCell ref="AF28:AF30"/>
    <mergeCell ref="AD28:AD30"/>
    <mergeCell ref="AD2:AG2"/>
    <mergeCell ref="AD4:AD9"/>
    <mergeCell ref="AE10:AE11"/>
    <mergeCell ref="AF10:AF11"/>
    <mergeCell ref="AE12:AE13"/>
    <mergeCell ref="AD10:AD11"/>
    <mergeCell ref="AD12:AD13"/>
    <mergeCell ref="AF12:AF13"/>
    <mergeCell ref="AE15:AE16"/>
    <mergeCell ref="AF15:AF16"/>
    <mergeCell ref="AD15:AD16"/>
    <mergeCell ref="AE17:AE18"/>
    <mergeCell ref="AD31:AD34"/>
    <mergeCell ref="AE31:AE34"/>
    <mergeCell ref="AF31:AF34"/>
    <mergeCell ref="AF20:AF21"/>
    <mergeCell ref="AE20:AE21"/>
    <mergeCell ref="AD20:AD21"/>
    <mergeCell ref="AD25:AD26"/>
    <mergeCell ref="AE22:AE24"/>
    <mergeCell ref="AD22:AD24"/>
    <mergeCell ref="AF22:AF24"/>
    <mergeCell ref="AF17:AF18"/>
    <mergeCell ref="AD17:AD18"/>
    <mergeCell ref="W3:W8"/>
    <mergeCell ref="Y2:AA2"/>
    <mergeCell ref="O10:T10"/>
    <mergeCell ref="O2:U2"/>
    <mergeCell ref="O9:U9"/>
    <mergeCell ref="J6:M6"/>
    <mergeCell ref="J2:M2"/>
    <mergeCell ref="J3:J4"/>
    <mergeCell ref="L22:M22"/>
    <mergeCell ref="B2:H2"/>
    <mergeCell ref="B25:B27"/>
    <mergeCell ref="B4:B7"/>
    <mergeCell ref="B8:B12"/>
    <mergeCell ref="B13:B20"/>
    <mergeCell ref="B21:B24"/>
    <mergeCell ref="J15:M15"/>
    <mergeCell ref="J23:K23"/>
    <mergeCell ref="L23:M23"/>
    <mergeCell ref="O32:V32"/>
    <mergeCell ref="J16:K16"/>
    <mergeCell ref="J17:K17"/>
    <mergeCell ref="J18:K18"/>
    <mergeCell ref="J19:K19"/>
    <mergeCell ref="L16:M16"/>
    <mergeCell ref="L17:M17"/>
    <mergeCell ref="L18:M18"/>
    <mergeCell ref="L19:M19"/>
    <mergeCell ref="J20:K20"/>
    <mergeCell ref="L20:M20"/>
    <mergeCell ref="J21:K21"/>
    <mergeCell ref="L21:M21"/>
    <mergeCell ref="J22:K22"/>
    <mergeCell ref="S38:T38"/>
    <mergeCell ref="J24:K24"/>
    <mergeCell ref="L24:M24"/>
    <mergeCell ref="J25:K25"/>
    <mergeCell ref="L25:M25"/>
  </mergeCells>
  <dataValidations disablePrompts="1" count="1">
    <dataValidation type="list" allowBlank="1" showInputMessage="1" showErrorMessage="1" sqref="N2:N7 Q4:U8 P12:T30">
      <formula1>$N$2:$N$7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Arcanjo</dc:creator>
  <cp:lastModifiedBy>Matheus Arcanjo</cp:lastModifiedBy>
  <dcterms:created xsi:type="dcterms:W3CDTF">2018-11-12T22:41:54Z</dcterms:created>
  <dcterms:modified xsi:type="dcterms:W3CDTF">2018-12-03T01:43:48Z</dcterms:modified>
</cp:coreProperties>
</file>