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d. Arib\Downloads\"/>
    </mc:Choice>
  </mc:AlternateContent>
  <xr:revisionPtr revIDLastSave="0" documentId="13_ncr:1_{B12A29DB-9EC2-4CFE-8019-27CA188CA688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Financial Statements" sheetId="7" r:id="rId1"/>
    <sheet name="WACC" sheetId="12" r:id="rId2"/>
    <sheet name="Ratio Analysis" sheetId="9" r:id="rId3"/>
    <sheet name="Forecasting" sheetId="10" r:id="rId4"/>
    <sheet name="Cash Flow Statement" sheetId="8" r:id="rId5"/>
    <sheet name="Data Sheet" sheetId="6" r:id="rId6"/>
    <sheet name="DATA " sheetId="13" r:id="rId7"/>
  </sheets>
  <definedNames>
    <definedName name="UPDATE">'Data Sheet'!$E$1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3" l="1"/>
  <c r="H9" i="13"/>
  <c r="I9" i="13"/>
  <c r="J9" i="13"/>
  <c r="K9" i="13"/>
  <c r="F9" i="13"/>
  <c r="K7" i="13"/>
  <c r="F7" i="13"/>
  <c r="G7" i="13"/>
  <c r="H7" i="13"/>
  <c r="I7" i="13"/>
  <c r="J7" i="13"/>
  <c r="G5" i="13"/>
  <c r="H5" i="13"/>
  <c r="I5" i="13"/>
  <c r="J5" i="13"/>
  <c r="K5" i="13"/>
  <c r="F5" i="13"/>
  <c r="I16" i="12"/>
  <c r="I15" i="12"/>
  <c r="F16" i="12"/>
  <c r="F15" i="12"/>
  <c r="H11" i="12" l="1"/>
  <c r="H12" i="12"/>
  <c r="H13" i="12"/>
  <c r="H14" i="12"/>
  <c r="H10" i="12"/>
  <c r="G11" i="12"/>
  <c r="J11" i="12" s="1"/>
  <c r="G12" i="12"/>
  <c r="J12" i="12" s="1"/>
  <c r="G13" i="12"/>
  <c r="J13" i="12" s="1"/>
  <c r="G14" i="12"/>
  <c r="J14" i="12" s="1"/>
  <c r="G10" i="12"/>
  <c r="G16" i="12" l="1"/>
  <c r="G15" i="12"/>
  <c r="J10" i="12"/>
  <c r="H16" i="12"/>
  <c r="H15" i="12"/>
  <c r="D19" i="10"/>
  <c r="E19" i="10" s="1"/>
  <c r="D18" i="10"/>
  <c r="E18" i="10" s="1"/>
  <c r="D17" i="10"/>
  <c r="E17" i="10" s="1"/>
  <c r="D16" i="10"/>
  <c r="E16" i="10" s="1"/>
  <c r="D15" i="10"/>
  <c r="E15" i="10" s="1"/>
  <c r="J16" i="12" l="1"/>
  <c r="J15" i="12"/>
  <c r="E14" i="10"/>
  <c r="E13" i="10"/>
  <c r="E12" i="10"/>
  <c r="E11" i="10"/>
  <c r="E10" i="10"/>
  <c r="E9" i="10"/>
  <c r="E8" i="10"/>
  <c r="E7" i="10"/>
  <c r="E6" i="10"/>
  <c r="E5" i="10"/>
  <c r="E4" i="10"/>
  <c r="C5" i="9" l="1"/>
  <c r="B2" i="9" l="1"/>
  <c r="I3" i="9"/>
  <c r="H3" i="9"/>
  <c r="G3" i="9"/>
  <c r="F3" i="9"/>
  <c r="E3" i="9"/>
  <c r="D3" i="9"/>
  <c r="C3" i="9"/>
  <c r="I101" i="7" l="1"/>
  <c r="H101" i="7"/>
  <c r="G101" i="7"/>
  <c r="F101" i="7"/>
  <c r="E101" i="7"/>
  <c r="D101" i="7"/>
  <c r="C101" i="7"/>
  <c r="I100" i="7"/>
  <c r="H100" i="7"/>
  <c r="G100" i="7"/>
  <c r="F100" i="7"/>
  <c r="E100" i="7"/>
  <c r="D100" i="7"/>
  <c r="C100" i="7"/>
  <c r="I99" i="7"/>
  <c r="H99" i="7"/>
  <c r="G99" i="7"/>
  <c r="F99" i="7"/>
  <c r="E99" i="7"/>
  <c r="D99" i="7"/>
  <c r="C99" i="7"/>
  <c r="I98" i="7"/>
  <c r="H98" i="7"/>
  <c r="G98" i="7"/>
  <c r="F98" i="7"/>
  <c r="E98" i="7"/>
  <c r="D98" i="7"/>
  <c r="C98" i="7"/>
  <c r="I97" i="7"/>
  <c r="H97" i="7"/>
  <c r="G97" i="7"/>
  <c r="F97" i="7"/>
  <c r="E97" i="7"/>
  <c r="D97" i="7"/>
  <c r="C97" i="7"/>
  <c r="I96" i="7"/>
  <c r="H96" i="7"/>
  <c r="G96" i="7"/>
  <c r="F96" i="7"/>
  <c r="E96" i="7"/>
  <c r="D96" i="7"/>
  <c r="C96" i="7"/>
  <c r="I95" i="7"/>
  <c r="H95" i="7"/>
  <c r="G95" i="7"/>
  <c r="F95" i="7"/>
  <c r="E95" i="7"/>
  <c r="D95" i="7"/>
  <c r="C95" i="7"/>
  <c r="I94" i="7"/>
  <c r="I102" i="7" s="1"/>
  <c r="H94" i="7"/>
  <c r="H102" i="7" s="1"/>
  <c r="G94" i="7"/>
  <c r="G102" i="7" s="1"/>
  <c r="F94" i="7"/>
  <c r="F102" i="7" s="1"/>
  <c r="E94" i="7"/>
  <c r="E102" i="7" s="1"/>
  <c r="D94" i="7"/>
  <c r="D102" i="7" s="1"/>
  <c r="C94" i="7"/>
  <c r="C102" i="7" s="1"/>
  <c r="C104" i="7" s="1"/>
  <c r="I91" i="7"/>
  <c r="I90" i="7"/>
  <c r="H90" i="7"/>
  <c r="G90" i="7"/>
  <c r="F90" i="7"/>
  <c r="E90" i="7"/>
  <c r="D90" i="7"/>
  <c r="C90" i="7"/>
  <c r="I89" i="7"/>
  <c r="H89" i="7"/>
  <c r="G89" i="7"/>
  <c r="F89" i="7"/>
  <c r="E89" i="7"/>
  <c r="D89" i="7"/>
  <c r="C89" i="7"/>
  <c r="I88" i="7"/>
  <c r="H88" i="7"/>
  <c r="G88" i="7"/>
  <c r="F88" i="7"/>
  <c r="E88" i="7"/>
  <c r="D88" i="7"/>
  <c r="C88" i="7"/>
  <c r="I87" i="7"/>
  <c r="H87" i="7"/>
  <c r="G87" i="7"/>
  <c r="F87" i="7"/>
  <c r="E87" i="7"/>
  <c r="D87" i="7"/>
  <c r="C87" i="7"/>
  <c r="I86" i="7"/>
  <c r="H86" i="7"/>
  <c r="G86" i="7"/>
  <c r="F86" i="7"/>
  <c r="E86" i="7"/>
  <c r="D86" i="7"/>
  <c r="C86" i="7"/>
  <c r="I85" i="7"/>
  <c r="H85" i="7"/>
  <c r="G85" i="7"/>
  <c r="F85" i="7"/>
  <c r="E85" i="7"/>
  <c r="D85" i="7"/>
  <c r="C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2" i="7"/>
  <c r="H82" i="7"/>
  <c r="G82" i="7"/>
  <c r="F82" i="7"/>
  <c r="E82" i="7"/>
  <c r="D82" i="7"/>
  <c r="C82" i="7"/>
  <c r="I81" i="7"/>
  <c r="H81" i="7"/>
  <c r="G81" i="7"/>
  <c r="F81" i="7"/>
  <c r="E81" i="7"/>
  <c r="E91" i="7" s="1"/>
  <c r="D81" i="7"/>
  <c r="D91" i="7" s="1"/>
  <c r="C81" i="7"/>
  <c r="I80" i="7"/>
  <c r="H80" i="7"/>
  <c r="H91" i="7" s="1"/>
  <c r="G80" i="7"/>
  <c r="G91" i="7" s="1"/>
  <c r="F80" i="7"/>
  <c r="F91" i="7" s="1"/>
  <c r="E80" i="7"/>
  <c r="D80" i="7"/>
  <c r="C80" i="7"/>
  <c r="C91" i="7" s="1"/>
  <c r="I76" i="7"/>
  <c r="H76" i="7"/>
  <c r="G76" i="7"/>
  <c r="F76" i="7"/>
  <c r="E76" i="7"/>
  <c r="D76" i="7"/>
  <c r="C76" i="7"/>
  <c r="I75" i="7"/>
  <c r="H75" i="7"/>
  <c r="G75" i="7"/>
  <c r="F75" i="7"/>
  <c r="E75" i="7"/>
  <c r="D75" i="7"/>
  <c r="C75" i="7"/>
  <c r="I74" i="7"/>
  <c r="H74" i="7"/>
  <c r="G74" i="7"/>
  <c r="F74" i="7"/>
  <c r="E74" i="7"/>
  <c r="D74" i="7"/>
  <c r="C74" i="7"/>
  <c r="I73" i="7"/>
  <c r="H73" i="7"/>
  <c r="G73" i="7"/>
  <c r="F73" i="7"/>
  <c r="E73" i="7"/>
  <c r="D73" i="7"/>
  <c r="C73" i="7"/>
  <c r="I72" i="7"/>
  <c r="H72" i="7"/>
  <c r="G72" i="7"/>
  <c r="F72" i="7"/>
  <c r="E72" i="7"/>
  <c r="D72" i="7"/>
  <c r="C72" i="7"/>
  <c r="I71" i="7"/>
  <c r="H71" i="7"/>
  <c r="G71" i="7"/>
  <c r="F71" i="7"/>
  <c r="E71" i="7"/>
  <c r="D71" i="7"/>
  <c r="C71" i="7"/>
  <c r="I70" i="7"/>
  <c r="H70" i="7"/>
  <c r="G70" i="7"/>
  <c r="F70" i="7"/>
  <c r="E70" i="7"/>
  <c r="D70" i="7"/>
  <c r="D77" i="7" s="1"/>
  <c r="C70" i="7"/>
  <c r="C77" i="7" s="1"/>
  <c r="I69" i="7"/>
  <c r="I77" i="7" s="1"/>
  <c r="H69" i="7"/>
  <c r="H77" i="7" s="1"/>
  <c r="G69" i="7"/>
  <c r="G77" i="7" s="1"/>
  <c r="F69" i="7"/>
  <c r="F77" i="7" s="1"/>
  <c r="E69" i="7"/>
  <c r="E77" i="7" s="1"/>
  <c r="D69" i="7"/>
  <c r="C69" i="7"/>
  <c r="E104" i="7" l="1"/>
  <c r="F104" i="7"/>
  <c r="I104" i="7"/>
  <c r="G104" i="7"/>
  <c r="D104" i="7"/>
  <c r="H104" i="7"/>
  <c r="F61" i="7"/>
  <c r="F63" i="7" s="1"/>
  <c r="F65" i="7" s="1"/>
  <c r="E61" i="7"/>
  <c r="E63" i="7" s="1"/>
  <c r="E65" i="7" s="1"/>
  <c r="D61" i="7"/>
  <c r="D63" i="7" s="1"/>
  <c r="D65" i="7" s="1"/>
  <c r="C61" i="7"/>
  <c r="C63" i="7" s="1"/>
  <c r="C65" i="7" s="1"/>
  <c r="I60" i="7"/>
  <c r="H60" i="7"/>
  <c r="G60" i="7"/>
  <c r="F60" i="7"/>
  <c r="E60" i="7"/>
  <c r="D60" i="7"/>
  <c r="C60" i="7"/>
  <c r="I59" i="7"/>
  <c r="H59" i="7"/>
  <c r="G59" i="7"/>
  <c r="F59" i="7"/>
  <c r="E59" i="7"/>
  <c r="D59" i="7"/>
  <c r="C59" i="7"/>
  <c r="I58" i="7"/>
  <c r="I61" i="7" s="1"/>
  <c r="I63" i="7" s="1"/>
  <c r="I65" i="7" s="1"/>
  <c r="H58" i="7"/>
  <c r="H61" i="7" s="1"/>
  <c r="H63" i="7" s="1"/>
  <c r="H65" i="7" s="1"/>
  <c r="G58" i="7"/>
  <c r="G61" i="7" s="1"/>
  <c r="G63" i="7" s="1"/>
  <c r="G65" i="7" s="1"/>
  <c r="F58" i="7"/>
  <c r="E58" i="7"/>
  <c r="D58" i="7"/>
  <c r="C58" i="7"/>
  <c r="I56" i="7"/>
  <c r="H56" i="7"/>
  <c r="G56" i="7"/>
  <c r="F56" i="7"/>
  <c r="E56" i="7"/>
  <c r="D56" i="7"/>
  <c r="C56" i="7"/>
  <c r="I55" i="7"/>
  <c r="H55" i="7"/>
  <c r="G55" i="7"/>
  <c r="F55" i="7"/>
  <c r="E55" i="7"/>
  <c r="D55" i="7"/>
  <c r="C55" i="7"/>
  <c r="I54" i="7"/>
  <c r="H54" i="7"/>
  <c r="G54" i="7"/>
  <c r="F54" i="7"/>
  <c r="E54" i="7"/>
  <c r="D54" i="7"/>
  <c r="C54" i="7"/>
  <c r="I53" i="7"/>
  <c r="H53" i="7"/>
  <c r="G53" i="7"/>
  <c r="F53" i="7"/>
  <c r="E53" i="7"/>
  <c r="D53" i="7"/>
  <c r="C53" i="7"/>
  <c r="I52" i="7"/>
  <c r="H52" i="7"/>
  <c r="G52" i="7"/>
  <c r="F52" i="7"/>
  <c r="E52" i="7"/>
  <c r="D52" i="7"/>
  <c r="C52" i="7"/>
  <c r="I50" i="7"/>
  <c r="H50" i="7"/>
  <c r="G50" i="7"/>
  <c r="F50" i="7"/>
  <c r="E50" i="7"/>
  <c r="D50" i="7"/>
  <c r="C50" i="7"/>
  <c r="I49" i="7"/>
  <c r="H49" i="7"/>
  <c r="G49" i="7"/>
  <c r="F49" i="7"/>
  <c r="E49" i="7"/>
  <c r="D49" i="7"/>
  <c r="C49" i="7"/>
  <c r="I48" i="7"/>
  <c r="H48" i="7"/>
  <c r="G48" i="7"/>
  <c r="F48" i="7"/>
  <c r="E48" i="7"/>
  <c r="D48" i="7"/>
  <c r="C48" i="7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J35" i="7" l="1"/>
  <c r="J40" i="7" s="1"/>
  <c r="I35" i="7"/>
  <c r="I40" i="7" s="1"/>
  <c r="H35" i="7"/>
  <c r="H40" i="7" s="1"/>
  <c r="G35" i="7"/>
  <c r="G40" i="7" s="1"/>
  <c r="G9" i="9" s="1"/>
  <c r="F35" i="7"/>
  <c r="F40" i="7" s="1"/>
  <c r="F9" i="9" s="1"/>
  <c r="E35" i="7"/>
  <c r="E40" i="7" s="1"/>
  <c r="D35" i="7"/>
  <c r="D40" i="7" s="1"/>
  <c r="C35" i="7"/>
  <c r="C40" i="7" s="1"/>
  <c r="J29" i="7"/>
  <c r="I29" i="7"/>
  <c r="H29" i="7"/>
  <c r="G29" i="7"/>
  <c r="F29" i="7"/>
  <c r="E29" i="7"/>
  <c r="D29" i="7"/>
  <c r="C29" i="7"/>
  <c r="J23" i="7"/>
  <c r="J20" i="7"/>
  <c r="I23" i="7"/>
  <c r="H23" i="7"/>
  <c r="G23" i="7"/>
  <c r="F23" i="7"/>
  <c r="E23" i="7"/>
  <c r="D23" i="7"/>
  <c r="C23" i="7"/>
  <c r="I20" i="7"/>
  <c r="H20" i="7"/>
  <c r="G20" i="7"/>
  <c r="F20" i="7"/>
  <c r="E20" i="7"/>
  <c r="D20" i="7"/>
  <c r="C20" i="7"/>
  <c r="J14" i="7"/>
  <c r="I14" i="7"/>
  <c r="H14" i="7"/>
  <c r="G14" i="7"/>
  <c r="F14" i="7"/>
  <c r="E14" i="7"/>
  <c r="D14" i="7"/>
  <c r="C14" i="7"/>
  <c r="J9" i="7"/>
  <c r="I9" i="7"/>
  <c r="H9" i="7"/>
  <c r="G9" i="7"/>
  <c r="F9" i="7"/>
  <c r="E9" i="7"/>
  <c r="D9" i="7"/>
  <c r="C9" i="7"/>
  <c r="J6" i="7"/>
  <c r="I6" i="7"/>
  <c r="H6" i="7"/>
  <c r="G6" i="7"/>
  <c r="F6" i="7"/>
  <c r="E6" i="7"/>
  <c r="D6" i="7"/>
  <c r="C6" i="7"/>
  <c r="I3" i="7"/>
  <c r="H3" i="7"/>
  <c r="G3" i="7"/>
  <c r="F3" i="7"/>
  <c r="E3" i="7"/>
  <c r="D3" i="7"/>
  <c r="C3" i="7"/>
  <c r="B2" i="7"/>
  <c r="E9" i="9" l="1"/>
  <c r="D9" i="9"/>
  <c r="H9" i="9"/>
  <c r="F12" i="7"/>
  <c r="F17" i="7" s="1"/>
  <c r="I9" i="9"/>
  <c r="C24" i="7"/>
  <c r="G24" i="7"/>
  <c r="D24" i="7"/>
  <c r="H24" i="7"/>
  <c r="E24" i="7"/>
  <c r="I24" i="7"/>
  <c r="F24" i="7"/>
  <c r="J24" i="7"/>
  <c r="C10" i="7"/>
  <c r="C21" i="7"/>
  <c r="J21" i="7"/>
  <c r="G10" i="7"/>
  <c r="G21" i="7"/>
  <c r="E7" i="7"/>
  <c r="E5" i="9" s="1"/>
  <c r="D10" i="7"/>
  <c r="H10" i="7"/>
  <c r="D21" i="7"/>
  <c r="H21" i="7"/>
  <c r="E12" i="7"/>
  <c r="E17" i="7" s="1"/>
  <c r="E6" i="9" s="1"/>
  <c r="I12" i="7"/>
  <c r="I17" i="7" s="1"/>
  <c r="I6" i="9" s="1"/>
  <c r="E15" i="7"/>
  <c r="I15" i="7"/>
  <c r="E21" i="7"/>
  <c r="I21" i="7"/>
  <c r="F10" i="7"/>
  <c r="J15" i="7"/>
  <c r="F21" i="7"/>
  <c r="C12" i="7"/>
  <c r="C17" i="7" s="1"/>
  <c r="C18" i="7" s="1"/>
  <c r="G12" i="7"/>
  <c r="G17" i="7" s="1"/>
  <c r="F7" i="7"/>
  <c r="F5" i="9" s="1"/>
  <c r="D12" i="7"/>
  <c r="D17" i="7" s="1"/>
  <c r="H12" i="7"/>
  <c r="H17" i="7" s="1"/>
  <c r="I7" i="7"/>
  <c r="I5" i="9" s="1"/>
  <c r="C15" i="7"/>
  <c r="G15" i="7"/>
  <c r="J7" i="7"/>
  <c r="D15" i="7"/>
  <c r="H15" i="7"/>
  <c r="F15" i="7"/>
  <c r="F26" i="7"/>
  <c r="F18" i="7"/>
  <c r="E10" i="7"/>
  <c r="I10" i="7"/>
  <c r="J12" i="7"/>
  <c r="J17" i="7" s="1"/>
  <c r="G7" i="7"/>
  <c r="G5" i="9" s="1"/>
  <c r="J10" i="7"/>
  <c r="D7" i="7"/>
  <c r="D5" i="9" s="1"/>
  <c r="H7" i="7"/>
  <c r="H5" i="9" s="1"/>
  <c r="B6" i="6"/>
  <c r="F30" i="7" l="1"/>
  <c r="H18" i="7"/>
  <c r="H6" i="9"/>
  <c r="D18" i="7"/>
  <c r="D6" i="9"/>
  <c r="G18" i="7"/>
  <c r="G6" i="9"/>
  <c r="F6" i="9"/>
  <c r="F32" i="7"/>
  <c r="F27" i="7"/>
  <c r="D26" i="7"/>
  <c r="I26" i="7"/>
  <c r="I18" i="7"/>
  <c r="E26" i="7"/>
  <c r="E18" i="7"/>
  <c r="H26" i="7"/>
  <c r="G26" i="7"/>
  <c r="C26" i="7"/>
  <c r="C30" i="7" s="1"/>
  <c r="J26" i="7"/>
  <c r="J30" i="7" s="1"/>
  <c r="J18" i="7"/>
  <c r="I30" i="7" l="1"/>
  <c r="I7" i="9"/>
  <c r="E30" i="7"/>
  <c r="E7" i="9"/>
  <c r="D30" i="7"/>
  <c r="D7" i="9"/>
  <c r="F8" i="9"/>
  <c r="F7" i="9"/>
  <c r="G30" i="7"/>
  <c r="G7" i="9"/>
  <c r="H30" i="7"/>
  <c r="H7" i="9"/>
  <c r="F33" i="7"/>
  <c r="F37" i="7"/>
  <c r="H32" i="7"/>
  <c r="H8" i="9" s="1"/>
  <c r="H27" i="7"/>
  <c r="J32" i="7"/>
  <c r="J27" i="7"/>
  <c r="E32" i="7"/>
  <c r="E27" i="7"/>
  <c r="I32" i="7"/>
  <c r="I27" i="7"/>
  <c r="D32" i="7"/>
  <c r="D27" i="7"/>
  <c r="C32" i="7"/>
  <c r="C27" i="7"/>
  <c r="G32" i="7"/>
  <c r="G8" i="9" s="1"/>
  <c r="G27" i="7"/>
  <c r="I8" i="9" l="1"/>
  <c r="E8" i="9"/>
  <c r="D8" i="9"/>
  <c r="F43" i="7"/>
  <c r="F41" i="7"/>
  <c r="D33" i="7"/>
  <c r="D37" i="7"/>
  <c r="H33" i="7"/>
  <c r="H37" i="7"/>
  <c r="G33" i="7"/>
  <c r="G37" i="7"/>
  <c r="E33" i="7"/>
  <c r="E37" i="7"/>
  <c r="F38" i="7" s="1"/>
  <c r="C37" i="7"/>
  <c r="C33" i="7"/>
  <c r="I33" i="7"/>
  <c r="I37" i="7"/>
  <c r="J33" i="7"/>
  <c r="J37" i="7"/>
  <c r="C43" i="7" l="1"/>
  <c r="C41" i="7"/>
  <c r="I43" i="7"/>
  <c r="I38" i="7"/>
  <c r="I41" i="7"/>
  <c r="E43" i="7"/>
  <c r="E38" i="7"/>
  <c r="E41" i="7"/>
  <c r="H43" i="7"/>
  <c r="H38" i="7"/>
  <c r="H41" i="7"/>
  <c r="J43" i="7"/>
  <c r="J38" i="7"/>
  <c r="J41" i="7"/>
  <c r="G43" i="7"/>
  <c r="G41" i="7"/>
  <c r="G38" i="7"/>
  <c r="D43" i="7"/>
  <c r="D38" i="7"/>
  <c r="D41" i="7"/>
</calcChain>
</file>

<file path=xl/sharedStrings.xml><?xml version="1.0" encoding="utf-8"?>
<sst xmlns="http://schemas.openxmlformats.org/spreadsheetml/2006/main" count="264" uniqueCount="189">
  <si>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</si>
  <si>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</si>
  <si>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</si>
  <si>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</si>
  <si>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</si>
  <si>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</si>
  <si>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</si>
  <si>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</si>
  <si>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</si>
  <si>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</si>
  <si>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</si>
  <si>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</si>
  <si>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</si>
  <si>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</si>
  <si>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</si>
  <si>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</si>
  <si>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</si>
  <si>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</si>
  <si>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</si>
  <si>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</si>
  <si>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</si>
  <si>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</si>
  <si>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</si>
  <si>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</si>
  <si>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</si>
  <si>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</si>
  <si>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</si>
  <si>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</si>
  <si>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</si>
  <si>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</si>
  <si>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</si>
  <si>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</si>
  <si>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</si>
  <si>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</si>
  <si>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</si>
  <si>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</si>
  <si>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</si>
  <si>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</si>
  <si>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</si>
  <si>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</si>
  <si>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</si>
  <si>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</si>
  <si>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</si>
  <si>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</si>
  <si>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</si>
  <si>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</si>
  <si>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</si>
  <si>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</si>
  <si>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</si>
  <si>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</si>
  <si>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</si>
  <si>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</si>
  <si>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</si>
  <si>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</si>
  <si>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</si>
  <si>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</si>
  <si>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Tata Motors</t>
  </si>
  <si>
    <t>Years</t>
  </si>
  <si>
    <t>LTM</t>
  </si>
  <si>
    <t>Income Statement</t>
  </si>
  <si>
    <t>-</t>
  </si>
  <si>
    <t>COGS</t>
  </si>
  <si>
    <t>COGS % Sales</t>
  </si>
  <si>
    <t>Gross Profit</t>
  </si>
  <si>
    <t>#</t>
  </si>
  <si>
    <t>Selling &amp; General Exp.</t>
  </si>
  <si>
    <t>S&amp;G % Sales</t>
  </si>
  <si>
    <t>EBITDA</t>
  </si>
  <si>
    <t>EBITDA Margins</t>
  </si>
  <si>
    <t>PBT</t>
  </si>
  <si>
    <t>PAT</t>
  </si>
  <si>
    <t>Interest % Sales</t>
  </si>
  <si>
    <t>Depreciation % Sales</t>
  </si>
  <si>
    <t>PBT % Sales</t>
  </si>
  <si>
    <t>PAT % Sales</t>
  </si>
  <si>
    <t>Effective Tax Rate</t>
  </si>
  <si>
    <t>No. of outstanding shares</t>
  </si>
  <si>
    <t>DPS</t>
  </si>
  <si>
    <t>EPS Growth</t>
  </si>
  <si>
    <t>Dividend Payout Ratio</t>
  </si>
  <si>
    <t>Retained Earnings</t>
  </si>
  <si>
    <t>Balance Sheet</t>
  </si>
  <si>
    <t>Total Assets</t>
  </si>
  <si>
    <t>Total Liabilities</t>
  </si>
  <si>
    <t>Total Non Current Assets</t>
  </si>
  <si>
    <t>Total Current Assets</t>
  </si>
  <si>
    <t>Check</t>
  </si>
  <si>
    <t>Cash Flow Statement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</si>
  <si>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</si>
  <si>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</si>
  <si>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</si>
  <si>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</si>
  <si>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</si>
  <si>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</si>
  <si>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</si>
  <si>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</si>
  <si>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</si>
  <si>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</si>
  <si>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</si>
  <si>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</si>
  <si>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</si>
  <si>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</si>
  <si>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</si>
  <si>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</si>
  <si>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</si>
  <si>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</si>
  <si>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</si>
  <si>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</si>
  <si>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</si>
  <si>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</si>
  <si>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</si>
  <si>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</si>
  <si>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</si>
  <si>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</si>
  <si>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</si>
  <si>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</si>
  <si>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Operating Activities</t>
  </si>
  <si>
    <t>Cash from Operating Activities</t>
  </si>
  <si>
    <t>Investing Activities</t>
  </si>
  <si>
    <t>Cash from Investing Activities</t>
  </si>
  <si>
    <t>Financing Activities</t>
  </si>
  <si>
    <t>Cash from Financing Activities</t>
  </si>
  <si>
    <t>EBITDA Growth</t>
  </si>
  <si>
    <t>EBIT Growth</t>
  </si>
  <si>
    <t>Net Profit Growth</t>
  </si>
  <si>
    <t>Dividend Growth</t>
  </si>
  <si>
    <t>Year Weight</t>
  </si>
  <si>
    <t>Year</t>
  </si>
  <si>
    <t>YoY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</si>
  <si>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</si>
  <si>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</si>
  <si>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</si>
  <si>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</si>
  <si>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</si>
  <si>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</si>
  <si>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</si>
  <si>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</si>
  <si>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</si>
  <si>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</si>
  <si>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</si>
  <si>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</si>
  <si>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</si>
  <si>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</si>
  <si>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</si>
  <si>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</si>
  <si>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</si>
  <si>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</si>
  <si>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</si>
  <si>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</si>
  <si>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</si>
  <si>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</si>
  <si>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</si>
  <si>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</si>
  <si>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Weighted Average Cost of Capital</t>
  </si>
  <si>
    <t>All figures are in INR unless stated otherwise</t>
  </si>
  <si>
    <t>Peer Comps</t>
  </si>
  <si>
    <t>Name of the company</t>
  </si>
  <si>
    <t>Country</t>
  </si>
  <si>
    <t>Total Debt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</si>
  <si>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</si>
  <si>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</si>
  <si>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 /</t>
  </si>
  <si>
    <t>Equity</t>
  </si>
  <si>
    <t>Capital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</si>
  <si>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</si>
  <si>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</si>
  <si>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</si>
  <si>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</si>
  <si>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t>A</t>
  </si>
  <si>
    <t>B</t>
  </si>
  <si>
    <t>C</t>
  </si>
  <si>
    <t>D</t>
  </si>
  <si>
    <t>E</t>
  </si>
  <si>
    <t>India</t>
  </si>
  <si>
    <t>Average</t>
  </si>
  <si>
    <t>Median</t>
  </si>
  <si>
    <t>Raw Data</t>
  </si>
  <si>
    <t>EBITDA Margin %</t>
  </si>
  <si>
    <t>Net Profit Margin %</t>
  </si>
  <si>
    <t>ROE %</t>
  </si>
  <si>
    <t>D/E Ratio</t>
  </si>
  <si>
    <t>Revenue cr</t>
  </si>
  <si>
    <t xml:space="preserve">METRICS </t>
  </si>
  <si>
    <t>Y2018</t>
  </si>
  <si>
    <t>Y2019</t>
  </si>
  <si>
    <t>Y2020</t>
  </si>
  <si>
    <t>Y2021</t>
  </si>
  <si>
    <t>Y2022</t>
  </si>
  <si>
    <t>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</si>
</sst>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67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166" fontId="0" fillId="0" borderId="0" xfId="0" applyNumberFormat="1"/>
    <xf numFmtId="0" fontId="7" fillId="0" borderId="0" xfId="0" applyFont="1" applyAlignment="1">
      <alignment horizontal="right"/>
    </xf>
    <xf numFmtId="10" fontId="8" fillId="0" borderId="0" xfId="4" applyNumberFormat="1" applyFont="1"/>
    <xf numFmtId="0" fontId="8" fillId="0" borderId="0" xfId="0" applyFon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0" fillId="5" borderId="0" xfId="0" applyFill="1"/>
    <xf numFmtId="0" fontId="1" fillId="5" borderId="0" xfId="0" applyFont="1" applyFill="1"/>
    <xf numFmtId="10" fontId="8" fillId="0" borderId="0" xfId="4" applyNumberFormat="1" applyFont="1" applyAlignment="1">
      <alignment horizontal="right"/>
    </xf>
    <xf numFmtId="0" fontId="1" fillId="0" borderId="0" xfId="0" applyFont="1"/>
    <xf numFmtId="0" fontId="9" fillId="0" borderId="0" xfId="0" applyFont="1"/>
    <xf numFmtId="17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43" fontId="1" fillId="0" borderId="2" xfId="1" applyFont="1" applyBorder="1"/>
    <xf numFmtId="0" fontId="1" fillId="0" borderId="2" xfId="0" applyFont="1" applyBorder="1"/>
    <xf numFmtId="43" fontId="1" fillId="0" borderId="2" xfId="1" applyFont="1" applyFill="1" applyBorder="1"/>
    <xf numFmtId="0" fontId="0" fillId="0" borderId="0" xfId="0" applyAlignment="1">
      <alignment horizontal="right"/>
    </xf>
    <xf numFmtId="10" fontId="0" fillId="0" borderId="0" xfId="4" applyNumberFormat="1" applyFont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4" applyNumberFormat="1" applyFont="1"/>
    <xf numFmtId="10" fontId="0" fillId="0" borderId="0" xfId="0" applyNumberFormat="1"/>
    <xf numFmtId="0" fontId="0" fillId="0" borderId="3" xfId="0" applyBorder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Continuous"/>
    </xf>
    <xf numFmtId="0" fontId="1" fillId="6" borderId="0" xfId="0" applyFont="1" applyFill="1"/>
    <xf numFmtId="0" fontId="10" fillId="0" borderId="0" xfId="0" applyFont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4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right" wrapText="1"/>
    </xf>
    <xf numFmtId="10" fontId="0" fillId="7" borderId="0" xfId="4" applyNumberFormat="1" applyFont="1" applyFill="1"/>
    <xf numFmtId="2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9" fontId="0" fillId="0" borderId="5" xfId="0" applyNumberFormat="1" applyBorder="1"/>
    <xf numFmtId="9" fontId="0" fillId="0" borderId="6" xfId="0" applyNumberFormat="1" applyBorder="1"/>
    <xf numFmtId="10" fontId="0" fillId="7" borderId="5" xfId="4" applyNumberFormat="1" applyFont="1" applyFill="1" applyBorder="1"/>
    <xf numFmtId="10" fontId="0" fillId="7" borderId="6" xfId="4" applyNumberFormat="1" applyFont="1" applyFill="1" applyBorder="1"/>
    <xf numFmtId="2" fontId="0" fillId="0" borderId="5" xfId="0" applyNumberFormat="1" applyBorder="1"/>
    <xf numFmtId="2" fontId="0" fillId="0" borderId="6" xfId="0" applyNumberFormat="1" applyBorder="1"/>
    <xf numFmtId="0" fontId="13" fillId="0" borderId="0" xfId="0" applyFo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 vertical="center" wrapText="1"/>
    </xf>
    <xf numFmtId="9" fontId="0" fillId="0" borderId="0" xfId="4" applyFont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Forecasting!$D$2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Forecasting!$C$3:$C$14</c:f>
              <c:numCache>
                <c:formatCode>mmm\-yy</c:formatCode>
                <c:ptCount val="12"/>
                <c:pt idx="0">
                  <c:v>41334</c:v>
                </c:pt>
                <c:pt idx="1">
                  <c:v>41699</c:v>
                </c:pt>
                <c:pt idx="2">
                  <c:v>42064</c:v>
                </c:pt>
                <c:pt idx="3">
                  <c:v>42430</c:v>
                </c:pt>
                <c:pt idx="4">
                  <c:v>42795</c:v>
                </c:pt>
                <c:pt idx="5">
                  <c:v>43160</c:v>
                </c:pt>
                <c:pt idx="6">
                  <c:v>43525</c:v>
                </c:pt>
                <c:pt idx="7">
                  <c:v>43891</c:v>
                </c:pt>
                <c:pt idx="8">
                  <c:v>44256</c:v>
                </c:pt>
                <c:pt idx="9">
                  <c:v>44621</c:v>
                </c:pt>
                <c:pt idx="10">
                  <c:v>44986</c:v>
                </c:pt>
                <c:pt idx="11">
                  <c:v>45352</c:v>
                </c:pt>
              </c:numCache>
            </c:numRef>
          </c:xVal>
          <c:yVal>
            <c:numRef>
              <c:f>Forecasting!$D$3:$D$14</c:f>
              <c:numCache>
                <c:formatCode>0.0</c:formatCode>
                <c:ptCount val="12"/>
                <c:pt idx="0">
                  <c:v>188793</c:v>
                </c:pt>
                <c:pt idx="1">
                  <c:v>232834</c:v>
                </c:pt>
                <c:pt idx="2">
                  <c:v>263159</c:v>
                </c:pt>
                <c:pt idx="3">
                  <c:v>273046</c:v>
                </c:pt>
                <c:pt idx="4">
                  <c:v>269693</c:v>
                </c:pt>
                <c:pt idx="5">
                  <c:v>291550</c:v>
                </c:pt>
                <c:pt idx="6">
                  <c:v>301938</c:v>
                </c:pt>
                <c:pt idx="7">
                  <c:v>261068</c:v>
                </c:pt>
                <c:pt idx="8">
                  <c:v>249795</c:v>
                </c:pt>
                <c:pt idx="9">
                  <c:v>278454</c:v>
                </c:pt>
                <c:pt idx="10">
                  <c:v>345967</c:v>
                </c:pt>
                <c:pt idx="11">
                  <c:v>437928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9-4A0A-B4FD-7BEF74933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7592"/>
        <c:axId val="281954128"/>
      </c:scatterChart>
      <c:valAx>
        <c:axId val="28359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54128"/>
        <c:crosses val="autoZero"/>
        <c:crossBetween val="midCat"/>
      </c:valAx>
      <c:valAx>
        <c:axId val="2819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57150</xdr:rowOff>
    </xdr:from>
    <xdr:to>
      <xdr:col>19</xdr:col>
      <xdr:colOff>419100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4"/>
  <sheetViews>
    <sheetView showGridLines="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4" outlineLevelRow="2" x14ac:dyDescent="0.3"/>
  <cols>
    <col min="1" max="1" width="1.88671875" customWidth="1"/>
    <col min="2" max="2" width="27.6640625" customWidth="1"/>
    <col min="3" max="4" width="12.33203125" bestFit="1" customWidth="1"/>
    <col min="5" max="5" width="15" bestFit="1" customWidth="1"/>
    <col min="6" max="9" width="12.33203125" bestFit="1" customWidth="1"/>
    <col min="10" max="10" width="11.33203125" bestFit="1" customWidth="1"/>
  </cols>
  <sheetData>
    <row r="2" spans="1:12" x14ac:dyDescent="0.3">
      <c r="B2" s="59" t="str">
        <f>"Historical Financial Statements - "&amp;UPDATE</f>
        <v>Historical Financial Statements - Tata Motors</v>
      </c>
      <c r="C2" s="59"/>
      <c r="D2" s="59"/>
      <c r="E2" s="59"/>
      <c r="F2" s="59"/>
      <c r="G2" s="59"/>
      <c r="H2" s="59"/>
      <c r="I2" s="59"/>
      <c r="J2" s="59"/>
    </row>
    <row r="3" spans="1:12" x14ac:dyDescent="0.3">
      <c r="B3" s="9" t="s">
        <v>57</v>
      </c>
      <c r="C3" s="10">
        <f>'Data Sheet'!E16</f>
        <v>43190</v>
      </c>
      <c r="D3" s="10">
        <f>'Data Sheet'!F16</f>
        <v>43555</v>
      </c>
      <c r="E3" s="10">
        <f>'Data Sheet'!G16</f>
        <v>43921</v>
      </c>
      <c r="F3" s="10">
        <f>'Data Sheet'!H16</f>
        <v>44286</v>
      </c>
      <c r="G3" s="10">
        <f>'Data Sheet'!I16</f>
        <v>44651</v>
      </c>
      <c r="H3" s="10">
        <f>'Data Sheet'!J16</f>
        <v>45016</v>
      </c>
      <c r="I3" s="10">
        <f>'Data Sheet'!K16</f>
        <v>45382</v>
      </c>
      <c r="J3" s="11" t="s">
        <v>58</v>
      </c>
      <c r="K3" s="8"/>
      <c r="L3" s="8"/>
    </row>
    <row r="4" spans="1:12" x14ac:dyDescent="0.3">
      <c r="B4" s="16"/>
      <c r="C4" s="17"/>
      <c r="D4" s="17"/>
      <c r="E4" s="17"/>
      <c r="F4" s="17"/>
      <c r="G4" s="17"/>
      <c r="H4" s="17"/>
      <c r="I4" s="17"/>
      <c r="J4" s="18"/>
      <c r="K4" s="8"/>
      <c r="L4" s="8"/>
    </row>
    <row r="5" spans="1:12" x14ac:dyDescent="0.3">
      <c r="A5" t="s">
        <v>64</v>
      </c>
      <c r="B5" s="20" t="s">
        <v>59</v>
      </c>
      <c r="C5" s="19"/>
      <c r="D5" s="19"/>
      <c r="E5" s="19"/>
      <c r="F5" s="19"/>
      <c r="G5" s="19"/>
      <c r="H5" s="19"/>
      <c r="I5" s="19"/>
      <c r="J5" s="19"/>
    </row>
    <row r="6" spans="1:12" outlineLevel="1" x14ac:dyDescent="0.3">
      <c r="B6" t="s">
        <v>1</v>
      </c>
      <c r="C6" s="12">
        <f>IFERROR('Data Sheet'!E17,0)</f>
        <v>291550.48</v>
      </c>
      <c r="D6" s="12">
        <f>IFERROR('Data Sheet'!F17,0)</f>
        <v>301938.40000000002</v>
      </c>
      <c r="E6" s="12">
        <f>IFERROR('Data Sheet'!G17,0)</f>
        <v>261067.97</v>
      </c>
      <c r="F6" s="12">
        <f>IFERROR('Data Sheet'!H17,0)</f>
        <v>249794.75</v>
      </c>
      <c r="G6" s="12">
        <f>IFERROR('Data Sheet'!I17,0)</f>
        <v>278453.62</v>
      </c>
      <c r="H6" s="12">
        <f>IFERROR('Data Sheet'!J17,0)</f>
        <v>345966.97</v>
      </c>
      <c r="I6" s="12">
        <f>IFERROR('Data Sheet'!K17,0)</f>
        <v>437927.77</v>
      </c>
      <c r="J6">
        <f>IFERROR(SUM('Data Sheet'!H42:K42),0)</f>
        <v>437927.77</v>
      </c>
    </row>
    <row r="7" spans="1:12" outlineLevel="1" x14ac:dyDescent="0.3">
      <c r="B7" s="15" t="s">
        <v>10</v>
      </c>
      <c r="C7" s="13" t="s">
        <v>60</v>
      </c>
      <c r="D7" s="14">
        <f>(D6-C6)/C6</f>
        <v>3.5629919045237185E-2</v>
      </c>
      <c r="E7" s="14">
        <f t="shared" ref="E7:J7" si="0">(E6-D6)/D6</f>
        <v>-0.135360159555724</v>
      </c>
      <c r="F7" s="14">
        <f t="shared" si="0"/>
        <v>-4.3181168490336062E-2</v>
      </c>
      <c r="G7" s="14">
        <f t="shared" si="0"/>
        <v>0.11472967306158355</v>
      </c>
      <c r="H7" s="14">
        <f t="shared" si="0"/>
        <v>0.24245815155859701</v>
      </c>
      <c r="I7" s="14">
        <f t="shared" si="0"/>
        <v>0.26580803363974326</v>
      </c>
      <c r="J7" s="14">
        <f t="shared" si="0"/>
        <v>0</v>
      </c>
    </row>
    <row r="8" spans="1:12" outlineLevel="1" x14ac:dyDescent="0.3"/>
    <row r="9" spans="1:12" outlineLevel="1" x14ac:dyDescent="0.3">
      <c r="B9" t="s">
        <v>61</v>
      </c>
      <c r="C9" s="12">
        <f>IFERROR(SUM('Data Sheet'!E18,'Data Sheet'!E20:E22)-1*'Data Sheet'!E19,0)</f>
        <v>228429.83</v>
      </c>
      <c r="D9" s="12">
        <f>IFERROR(SUM('Data Sheet'!F18,'Data Sheet'!F20:F22)-1*'Data Sheet'!F19,0)</f>
        <v>242845.53</v>
      </c>
      <c r="E9" s="12">
        <f>IFERROR(SUM('Data Sheet'!G18,'Data Sheet'!G20:G22)-1*'Data Sheet'!G19,0)</f>
        <v>210376.07000000004</v>
      </c>
      <c r="F9" s="12">
        <f>IFERROR(SUM('Data Sheet'!H18,'Data Sheet'!H20:H22)-1*'Data Sheet'!H19,0)</f>
        <v>195326.04</v>
      </c>
      <c r="G9" s="12">
        <f>IFERROR(SUM('Data Sheet'!I18,'Data Sheet'!I20:I22)-1*'Data Sheet'!I19,0)</f>
        <v>223300.00999999998</v>
      </c>
      <c r="H9" s="12">
        <f>IFERROR(SUM('Data Sheet'!J18,'Data Sheet'!J20:J22)-1*'Data Sheet'!J19,0)</f>
        <v>274403.64</v>
      </c>
      <c r="I9" s="12">
        <f>IFERROR(SUM('Data Sheet'!K18,'Data Sheet'!K20:K22)-1*'Data Sheet'!K19,0)</f>
        <v>334551.78999999998</v>
      </c>
      <c r="J9" s="12">
        <f>IFERROR(SUM('Data Sheet'!H43:K43),0)</f>
        <v>378389.43</v>
      </c>
    </row>
    <row r="10" spans="1:12" outlineLevel="1" x14ac:dyDescent="0.3">
      <c r="B10" s="15" t="s">
        <v>62</v>
      </c>
      <c r="C10" s="14">
        <f>C9/C6</f>
        <v>0.78350009919380004</v>
      </c>
      <c r="D10" s="14">
        <f t="shared" ref="D10:J10" si="1">D9/D6</f>
        <v>0.80428832503583503</v>
      </c>
      <c r="E10" s="14">
        <f t="shared" si="1"/>
        <v>0.80582872728508226</v>
      </c>
      <c r="F10" s="14">
        <f t="shared" si="1"/>
        <v>0.7819461377791167</v>
      </c>
      <c r="G10" s="14">
        <f t="shared" si="1"/>
        <v>0.80192891728252624</v>
      </c>
      <c r="H10" s="14">
        <f t="shared" si="1"/>
        <v>0.79314982005363122</v>
      </c>
      <c r="I10" s="14">
        <f t="shared" si="1"/>
        <v>0.76394285295038489</v>
      </c>
      <c r="J10" s="14">
        <f t="shared" si="1"/>
        <v>0.86404529678490127</v>
      </c>
    </row>
    <row r="11" spans="1:12" outlineLevel="1" x14ac:dyDescent="0.3"/>
    <row r="12" spans="1:12" outlineLevel="1" x14ac:dyDescent="0.3">
      <c r="B12" s="27" t="s">
        <v>63</v>
      </c>
      <c r="C12" s="28">
        <f>C6-C9</f>
        <v>63120.649999999994</v>
      </c>
      <c r="D12" s="28">
        <f t="shared" ref="D12:J12" si="2">D6-D9</f>
        <v>59092.870000000024</v>
      </c>
      <c r="E12" s="28">
        <f t="shared" si="2"/>
        <v>50691.899999999965</v>
      </c>
      <c r="F12" s="28">
        <f t="shared" si="2"/>
        <v>54468.709999999992</v>
      </c>
      <c r="G12" s="28">
        <f t="shared" si="2"/>
        <v>55153.610000000015</v>
      </c>
      <c r="H12" s="28">
        <f t="shared" si="2"/>
        <v>71563.329999999958</v>
      </c>
      <c r="I12" s="28">
        <f t="shared" si="2"/>
        <v>103375.98000000004</v>
      </c>
      <c r="J12" s="28">
        <f t="shared" si="2"/>
        <v>59538.340000000026</v>
      </c>
    </row>
    <row r="13" spans="1:12" outlineLevel="1" x14ac:dyDescent="0.3"/>
    <row r="14" spans="1:12" outlineLevel="1" x14ac:dyDescent="0.3">
      <c r="B14" t="s">
        <v>65</v>
      </c>
      <c r="C14" s="12">
        <f>IFERROR(SUM('Data Sheet'!E23:E24),0)</f>
        <v>31662.97</v>
      </c>
      <c r="D14" s="12">
        <f>IFERROR(SUM('Data Sheet'!F23:F24),0)</f>
        <v>34428.54</v>
      </c>
      <c r="E14" s="12">
        <f>IFERROR(SUM('Data Sheet'!G23:G24),0)</f>
        <v>32704.83</v>
      </c>
      <c r="F14" s="12">
        <f>IFERROR(SUM('Data Sheet'!H23:H24),0)</f>
        <v>22181.280000000002</v>
      </c>
      <c r="G14" s="12">
        <f>IFERROR(SUM('Data Sheet'!I23:I24),0)</f>
        <v>30433.52</v>
      </c>
      <c r="H14" s="12">
        <f>IFERROR(SUM('Data Sheet'!J23:J24),0)</f>
        <v>39747.53</v>
      </c>
      <c r="I14" s="12">
        <f>IFERROR(SUM('Data Sheet'!K23:K24),0)</f>
        <v>43837.64</v>
      </c>
      <c r="J14" s="12">
        <f>IFERROR(SUM('Data Sheet'!L23:L24),0)</f>
        <v>0</v>
      </c>
    </row>
    <row r="15" spans="1:12" outlineLevel="1" x14ac:dyDescent="0.3">
      <c r="B15" s="15" t="s">
        <v>66</v>
      </c>
      <c r="C15" s="14">
        <f>C14/C6</f>
        <v>0.10860201636437025</v>
      </c>
      <c r="D15" s="14">
        <f t="shared" ref="D15:J15" si="3">D14/D6</f>
        <v>0.11402504616835751</v>
      </c>
      <c r="E15" s="14">
        <f t="shared" si="3"/>
        <v>0.12527323822987554</v>
      </c>
      <c r="F15" s="14">
        <f t="shared" si="3"/>
        <v>8.8798023177028354E-2</v>
      </c>
      <c r="G15" s="14">
        <f t="shared" si="3"/>
        <v>0.10929475436519734</v>
      </c>
      <c r="H15" s="14">
        <f t="shared" si="3"/>
        <v>0.11488822184383672</v>
      </c>
      <c r="I15" s="14">
        <f t="shared" si="3"/>
        <v>0.10010244383451636</v>
      </c>
      <c r="J15" s="14">
        <f t="shared" si="3"/>
        <v>0</v>
      </c>
    </row>
    <row r="16" spans="1:12" outlineLevel="1" x14ac:dyDescent="0.3"/>
    <row r="17" spans="2:12" outlineLevel="1" x14ac:dyDescent="0.3">
      <c r="B17" s="27" t="s">
        <v>67</v>
      </c>
      <c r="C17" s="28">
        <f>C12-C14</f>
        <v>31457.679999999993</v>
      </c>
      <c r="D17" s="28">
        <f t="shared" ref="D17:J17" si="4">D12-D14</f>
        <v>24664.330000000024</v>
      </c>
      <c r="E17" s="28">
        <f t="shared" si="4"/>
        <v>17987.069999999963</v>
      </c>
      <c r="F17" s="28">
        <f t="shared" si="4"/>
        <v>32287.429999999989</v>
      </c>
      <c r="G17" s="28">
        <f t="shared" si="4"/>
        <v>24720.090000000015</v>
      </c>
      <c r="H17" s="28">
        <f t="shared" si="4"/>
        <v>31815.799999999959</v>
      </c>
      <c r="I17" s="28">
        <f t="shared" si="4"/>
        <v>59538.34000000004</v>
      </c>
      <c r="J17" s="28">
        <f t="shared" si="4"/>
        <v>59538.340000000026</v>
      </c>
    </row>
    <row r="18" spans="2:12" outlineLevel="1" x14ac:dyDescent="0.3">
      <c r="B18" s="15" t="s">
        <v>68</v>
      </c>
      <c r="C18" s="14">
        <f>C17/C6</f>
        <v>0.10789788444182975</v>
      </c>
      <c r="D18" s="14">
        <f t="shared" ref="D18:J18" si="5">D17/D6</f>
        <v>8.1686628795807431E-2</v>
      </c>
      <c r="E18" s="14">
        <f t="shared" si="5"/>
        <v>6.8898034485042198E-2</v>
      </c>
      <c r="F18" s="14">
        <f t="shared" si="5"/>
        <v>0.12925583904385496</v>
      </c>
      <c r="G18" s="14">
        <f t="shared" si="5"/>
        <v>8.877632835227646E-2</v>
      </c>
      <c r="H18" s="14">
        <f t="shared" si="5"/>
        <v>9.1961958102532049E-2</v>
      </c>
      <c r="I18" s="14">
        <f t="shared" si="5"/>
        <v>0.13595470321509878</v>
      </c>
      <c r="J18" s="14">
        <f t="shared" si="5"/>
        <v>0.13595470321509875</v>
      </c>
    </row>
    <row r="19" spans="2:12" outlineLevel="1" x14ac:dyDescent="0.3"/>
    <row r="20" spans="2:12" outlineLevel="1" x14ac:dyDescent="0.3">
      <c r="B20" t="s">
        <v>6</v>
      </c>
      <c r="C20" s="12">
        <f>IFERROR('Data Sheet'!E27,0)</f>
        <v>4681.79</v>
      </c>
      <c r="D20" s="12">
        <f>IFERROR('Data Sheet'!F27,0)</f>
        <v>5758.6</v>
      </c>
      <c r="E20" s="12">
        <f>IFERROR('Data Sheet'!G27,0)</f>
        <v>7243.33</v>
      </c>
      <c r="F20" s="12">
        <f>IFERROR('Data Sheet'!H27,0)</f>
        <v>8097.17</v>
      </c>
      <c r="G20" s="12">
        <f>IFERROR('Data Sheet'!I27,0)</f>
        <v>9311.86</v>
      </c>
      <c r="H20" s="12">
        <f>IFERROR('Data Sheet'!J27,0)</f>
        <v>10225.48</v>
      </c>
      <c r="I20" s="12">
        <f>IFERROR('Data Sheet'!K27,0)</f>
        <v>9985.76</v>
      </c>
      <c r="J20" s="12">
        <f>IFERROR(SUM('Data Sheet'!H46:K46),0)</f>
        <v>9985.76</v>
      </c>
    </row>
    <row r="21" spans="2:12" outlineLevel="1" x14ac:dyDescent="0.3">
      <c r="B21" s="15" t="s">
        <v>71</v>
      </c>
      <c r="C21" s="14">
        <f>C20/C6</f>
        <v>1.605824830060304E-2</v>
      </c>
      <c r="D21" s="14">
        <f t="shared" ref="D21:J21" si="6">D20/D6</f>
        <v>1.9072102124141878E-2</v>
      </c>
      <c r="E21" s="14">
        <f t="shared" si="6"/>
        <v>2.7744996829752802E-2</v>
      </c>
      <c r="F21" s="14">
        <f t="shared" si="6"/>
        <v>3.2415292955516477E-2</v>
      </c>
      <c r="G21" s="14">
        <f t="shared" si="6"/>
        <v>3.3441332168710897E-2</v>
      </c>
      <c r="H21" s="14">
        <f t="shared" si="6"/>
        <v>2.9556231914277829E-2</v>
      </c>
      <c r="I21" s="14">
        <f t="shared" si="6"/>
        <v>2.2802299109736749E-2</v>
      </c>
      <c r="J21" s="14">
        <f t="shared" si="6"/>
        <v>2.2802299109736749E-2</v>
      </c>
    </row>
    <row r="22" spans="2:12" outlineLevel="1" x14ac:dyDescent="0.3"/>
    <row r="23" spans="2:12" outlineLevel="1" x14ac:dyDescent="0.3">
      <c r="B23" t="s">
        <v>5</v>
      </c>
      <c r="C23" s="12">
        <f>IFERROR('Data Sheet'!E26,0)</f>
        <v>21553.59</v>
      </c>
      <c r="D23" s="12">
        <f>IFERROR('Data Sheet'!F26,0)</f>
        <v>23590.63</v>
      </c>
      <c r="E23" s="12">
        <f>IFERROR('Data Sheet'!G26,0)</f>
        <v>21425.43</v>
      </c>
      <c r="F23" s="12">
        <f>IFERROR('Data Sheet'!H26,0)</f>
        <v>23546.71</v>
      </c>
      <c r="G23" s="12">
        <f>IFERROR('Data Sheet'!I26,0)</f>
        <v>24835.69</v>
      </c>
      <c r="H23" s="12">
        <f>IFERROR('Data Sheet'!J26,0)</f>
        <v>24860.36</v>
      </c>
      <c r="I23" s="12">
        <f>IFERROR('Data Sheet'!K26,0)</f>
        <v>27270.13</v>
      </c>
      <c r="J23" s="12">
        <f>IFERROR(SUM('Data Sheet'!H45:K45),0)</f>
        <v>27270.129999999997</v>
      </c>
    </row>
    <row r="24" spans="2:12" outlineLevel="1" x14ac:dyDescent="0.3">
      <c r="B24" s="15" t="s">
        <v>72</v>
      </c>
      <c r="C24" s="14">
        <f>C23/C6</f>
        <v>7.3927472182518786E-2</v>
      </c>
      <c r="D24" s="14">
        <f t="shared" ref="D24:J24" si="7">D23/D6</f>
        <v>7.8130605447998658E-2</v>
      </c>
      <c r="E24" s="14">
        <f t="shared" si="7"/>
        <v>8.206839774331566E-2</v>
      </c>
      <c r="F24" s="14">
        <f t="shared" si="7"/>
        <v>9.4264230933596482E-2</v>
      </c>
      <c r="G24" s="14">
        <f t="shared" si="7"/>
        <v>8.9191478279219347E-2</v>
      </c>
      <c r="H24" s="14">
        <f t="shared" si="7"/>
        <v>7.1857611147098821E-2</v>
      </c>
      <c r="I24" s="14">
        <f t="shared" si="7"/>
        <v>6.2270839777984394E-2</v>
      </c>
      <c r="J24" s="14">
        <f t="shared" si="7"/>
        <v>6.2270839777984387E-2</v>
      </c>
    </row>
    <row r="25" spans="2:12" outlineLevel="1" x14ac:dyDescent="0.3">
      <c r="B25" s="15"/>
      <c r="C25" s="14"/>
      <c r="D25" s="14"/>
      <c r="E25" s="14"/>
      <c r="F25" s="14"/>
      <c r="G25" s="14"/>
      <c r="H25" s="14"/>
      <c r="I25" s="14"/>
      <c r="J25" s="14"/>
    </row>
    <row r="26" spans="2:12" outlineLevel="1" x14ac:dyDescent="0.3">
      <c r="B26" s="27" t="s">
        <v>69</v>
      </c>
      <c r="C26" s="28">
        <f t="shared" ref="C26:J26" si="8">C17-SUM(C23,C20)</f>
        <v>5222.299999999992</v>
      </c>
      <c r="D26" s="28">
        <f t="shared" si="8"/>
        <v>-4684.8999999999796</v>
      </c>
      <c r="E26" s="28">
        <f t="shared" si="8"/>
        <v>-10681.690000000039</v>
      </c>
      <c r="F26" s="28">
        <f t="shared" si="8"/>
        <v>643.549999999992</v>
      </c>
      <c r="G26" s="28">
        <f t="shared" si="8"/>
        <v>-9427.4599999999882</v>
      </c>
      <c r="H26" s="28">
        <f t="shared" si="8"/>
        <v>-3270.0400000000373</v>
      </c>
      <c r="I26" s="28">
        <f t="shared" si="8"/>
        <v>22282.450000000041</v>
      </c>
      <c r="J26" s="28">
        <f t="shared" si="8"/>
        <v>22282.450000000026</v>
      </c>
      <c r="L26" s="14"/>
    </row>
    <row r="27" spans="2:12" outlineLevel="1" x14ac:dyDescent="0.3">
      <c r="B27" s="15" t="s">
        <v>73</v>
      </c>
      <c r="C27" s="14">
        <f>C26/C6</f>
        <v>1.7912163958707913E-2</v>
      </c>
      <c r="D27" s="14">
        <f t="shared" ref="D27:J27" si="9">D26/D6</f>
        <v>-1.5516078776333117E-2</v>
      </c>
      <c r="E27" s="14">
        <f t="shared" si="9"/>
        <v>-4.0915360088026265E-2</v>
      </c>
      <c r="F27" s="14">
        <f t="shared" si="9"/>
        <v>2.5763151547420113E-3</v>
      </c>
      <c r="G27" s="14">
        <f t="shared" si="9"/>
        <v>-3.3856482095653805E-2</v>
      </c>
      <c r="H27" s="14">
        <f t="shared" si="9"/>
        <v>-9.4518849588445895E-3</v>
      </c>
      <c r="I27" s="14">
        <f t="shared" si="9"/>
        <v>5.0881564327377643E-2</v>
      </c>
      <c r="J27" s="14">
        <f t="shared" si="9"/>
        <v>5.0881564327377608E-2</v>
      </c>
    </row>
    <row r="28" spans="2:12" outlineLevel="1" x14ac:dyDescent="0.3">
      <c r="B28" s="15"/>
      <c r="C28" s="14"/>
      <c r="D28" s="14"/>
      <c r="E28" s="14"/>
      <c r="F28" s="14"/>
      <c r="G28" s="14"/>
      <c r="H28" s="14"/>
      <c r="I28" s="14"/>
      <c r="J28" s="14"/>
    </row>
    <row r="29" spans="2:12" outlineLevel="1" x14ac:dyDescent="0.3">
      <c r="B29" t="s">
        <v>8</v>
      </c>
      <c r="C29" s="12">
        <f>IFERROR('Data Sheet'!E29,0)</f>
        <v>4341.93</v>
      </c>
      <c r="D29" s="12">
        <f>IFERROR('Data Sheet'!F29,0)</f>
        <v>-2437.4499999999998</v>
      </c>
      <c r="E29" s="12">
        <f>IFERROR('Data Sheet'!G29,0)</f>
        <v>395.25</v>
      </c>
      <c r="F29" s="12">
        <f>IFERROR('Data Sheet'!H29,0)</f>
        <v>2541.86</v>
      </c>
      <c r="G29" s="12">
        <f>IFERROR('Data Sheet'!I29,0)</f>
        <v>4231.29</v>
      </c>
      <c r="H29" s="12">
        <f>IFERROR('Data Sheet'!J29,0)</f>
        <v>704.06</v>
      </c>
      <c r="I29" s="12">
        <f>IFERROR('Data Sheet'!K29,0)</f>
        <v>-3851.64</v>
      </c>
      <c r="J29" s="12">
        <f>IFERROR(SUM('Data Sheet'!H48:K48),0)</f>
        <v>-3851.6399999999994</v>
      </c>
    </row>
    <row r="30" spans="2:12" outlineLevel="1" x14ac:dyDescent="0.3">
      <c r="B30" s="15" t="s">
        <v>75</v>
      </c>
      <c r="C30" s="14">
        <f>C29/C26</f>
        <v>0.8314210213890445</v>
      </c>
      <c r="D30" s="14">
        <f t="shared" ref="D30:J30" si="10">D29/D26</f>
        <v>0.52027791414971725</v>
      </c>
      <c r="E30" s="14">
        <f t="shared" si="10"/>
        <v>-3.7002571690434617E-2</v>
      </c>
      <c r="F30" s="14">
        <f t="shared" si="10"/>
        <v>3.9497474943672315</v>
      </c>
      <c r="G30" s="14">
        <f t="shared" si="10"/>
        <v>-0.4488260888935095</v>
      </c>
      <c r="H30" s="14">
        <f t="shared" si="10"/>
        <v>-0.21530623478611635</v>
      </c>
      <c r="I30" s="14">
        <f t="shared" si="10"/>
        <v>-0.17285531887202676</v>
      </c>
      <c r="J30" s="14">
        <f t="shared" si="10"/>
        <v>-0.17285531887202685</v>
      </c>
    </row>
    <row r="31" spans="2:12" outlineLevel="1" x14ac:dyDescent="0.3">
      <c r="B31" s="15"/>
      <c r="C31" s="14"/>
      <c r="D31" s="14"/>
      <c r="E31" s="14"/>
      <c r="F31" s="14"/>
      <c r="G31" s="14"/>
      <c r="H31" s="14"/>
      <c r="I31" s="14"/>
      <c r="J31" s="14"/>
    </row>
    <row r="32" spans="2:12" outlineLevel="1" x14ac:dyDescent="0.3">
      <c r="B32" t="s">
        <v>70</v>
      </c>
      <c r="C32" s="12">
        <f>C26-C29</f>
        <v>880.36999999999171</v>
      </c>
      <c r="D32" s="12">
        <f t="shared" ref="D32:J32" si="11">D26-D29</f>
        <v>-2247.4499999999798</v>
      </c>
      <c r="E32" s="12">
        <f t="shared" si="11"/>
        <v>-11076.940000000039</v>
      </c>
      <c r="F32" s="12">
        <f t="shared" si="11"/>
        <v>-1898.3100000000081</v>
      </c>
      <c r="G32" s="12">
        <f t="shared" si="11"/>
        <v>-13658.749999999989</v>
      </c>
      <c r="H32" s="12">
        <f t="shared" si="11"/>
        <v>-3974.1000000000372</v>
      </c>
      <c r="I32" s="12">
        <f t="shared" si="11"/>
        <v>26134.09000000004</v>
      </c>
      <c r="J32" s="12">
        <f t="shared" si="11"/>
        <v>26134.090000000026</v>
      </c>
    </row>
    <row r="33" spans="1:10" outlineLevel="1" x14ac:dyDescent="0.3">
      <c r="B33" s="15" t="s">
        <v>74</v>
      </c>
      <c r="C33" s="14">
        <f>C32/C6</f>
        <v>3.01961430487095E-3</v>
      </c>
      <c r="D33" s="14">
        <f t="shared" ref="D33:J33" si="12">D32/D6</f>
        <v>-7.4434056747998256E-3</v>
      </c>
      <c r="E33" s="14">
        <f t="shared" si="12"/>
        <v>-4.2429333632923408E-2</v>
      </c>
      <c r="F33" s="14">
        <f t="shared" si="12"/>
        <v>-7.5994791724005731E-3</v>
      </c>
      <c r="G33" s="14">
        <f t="shared" si="12"/>
        <v>-4.9052154538339235E-2</v>
      </c>
      <c r="H33" s="14">
        <f t="shared" si="12"/>
        <v>-1.1486934720964945E-2</v>
      </c>
      <c r="I33" s="14">
        <f t="shared" si="12"/>
        <v>5.9676713353894045E-2</v>
      </c>
      <c r="J33" s="14">
        <f t="shared" si="12"/>
        <v>5.9676713353894011E-2</v>
      </c>
    </row>
    <row r="34" spans="1:10" outlineLevel="1" x14ac:dyDescent="0.3"/>
    <row r="35" spans="1:10" outlineLevel="1" x14ac:dyDescent="0.3">
      <c r="B35" t="s">
        <v>76</v>
      </c>
      <c r="C35" s="12">
        <f>IFERROR('Data Sheet'!E93,0)</f>
        <v>288.73</v>
      </c>
      <c r="D35" s="12">
        <f>IFERROR('Data Sheet'!F93,0)</f>
        <v>288.73</v>
      </c>
      <c r="E35" s="12">
        <f>IFERROR('Data Sheet'!G93,0)</f>
        <v>308.89999999999998</v>
      </c>
      <c r="F35" s="12">
        <f>IFERROR('Data Sheet'!H93,0)</f>
        <v>332.03</v>
      </c>
      <c r="G35" s="12">
        <f>IFERROR('Data Sheet'!I93,0)</f>
        <v>332.07</v>
      </c>
      <c r="H35" s="12">
        <f>IFERROR('Data Sheet'!J93,0)</f>
        <v>332.13</v>
      </c>
      <c r="I35" s="12">
        <f>IFERROR('Data Sheet'!K93,0)</f>
        <v>332.37</v>
      </c>
      <c r="J35" s="12">
        <f>IFERROR('Data Sheet'!L93,0)</f>
        <v>0</v>
      </c>
    </row>
    <row r="36" spans="1:10" outlineLevel="1" x14ac:dyDescent="0.3"/>
    <row r="37" spans="1:10" outlineLevel="1" x14ac:dyDescent="0.3">
      <c r="B37" t="s">
        <v>31</v>
      </c>
      <c r="C37" s="12">
        <f>C32/C35</f>
        <v>3.049111626779315</v>
      </c>
      <c r="D37" s="12">
        <f t="shared" ref="D37:J37" si="13">D32/D35</f>
        <v>-7.7839157690575265</v>
      </c>
      <c r="E37" s="12">
        <f t="shared" si="13"/>
        <v>-35.859307219164904</v>
      </c>
      <c r="F37" s="12">
        <f t="shared" si="13"/>
        <v>-5.7172845827184542</v>
      </c>
      <c r="G37" s="12">
        <f t="shared" si="13"/>
        <v>-41.132140813683833</v>
      </c>
      <c r="H37" s="12">
        <f t="shared" si="13"/>
        <v>-11.965495438533218</v>
      </c>
      <c r="I37" s="12">
        <f t="shared" si="13"/>
        <v>78.629509281824596</v>
      </c>
      <c r="J37" s="12" t="e">
        <f t="shared" si="13"/>
        <v>#DIV/0!</v>
      </c>
    </row>
    <row r="38" spans="1:10" outlineLevel="1" x14ac:dyDescent="0.3">
      <c r="B38" s="15" t="s">
        <v>78</v>
      </c>
      <c r="C38" s="21" t="s">
        <v>60</v>
      </c>
      <c r="D38" s="14">
        <f>(D37-C37)/C37</f>
        <v>-3.5528470983790919</v>
      </c>
      <c r="E38" s="14">
        <f t="shared" ref="E38:J38" si="14">(E37-D37)/D37</f>
        <v>3.6068467700681115</v>
      </c>
      <c r="F38" s="14">
        <f t="shared" si="14"/>
        <v>-0.8405634401195885</v>
      </c>
      <c r="G38" s="14">
        <f t="shared" si="14"/>
        <v>6.194349033807641</v>
      </c>
      <c r="H38" s="14">
        <f t="shared" si="14"/>
        <v>-0.70909621522659627</v>
      </c>
      <c r="I38" s="14">
        <f t="shared" si="14"/>
        <v>-7.5713542482001355</v>
      </c>
      <c r="J38" s="14" t="e">
        <f t="shared" si="14"/>
        <v>#DIV/0!</v>
      </c>
    </row>
    <row r="39" spans="1:10" outlineLevel="1" x14ac:dyDescent="0.3"/>
    <row r="40" spans="1:10" outlineLevel="1" x14ac:dyDescent="0.3">
      <c r="B40" t="s">
        <v>77</v>
      </c>
      <c r="C40" s="12">
        <f>IFERROR('Data Sheet'!E31/'Financial Statements'!C35,0)</f>
        <v>0</v>
      </c>
      <c r="D40" s="12">
        <f>IFERROR('Data Sheet'!F31/'Financial Statements'!D35,0)</f>
        <v>0</v>
      </c>
      <c r="E40" s="12">
        <f>IFERROR('Data Sheet'!G31/'Financial Statements'!E35,0)</f>
        <v>0</v>
      </c>
      <c r="F40" s="12">
        <f>IFERROR('Data Sheet'!H31/'Financial Statements'!F35,0)</f>
        <v>0</v>
      </c>
      <c r="G40" s="12">
        <f>IFERROR('Data Sheet'!I31/'Financial Statements'!G35,0)</f>
        <v>0</v>
      </c>
      <c r="H40" s="12">
        <f>IFERROR('Data Sheet'!J31/'Financial Statements'!H35,0)</f>
        <v>2.3063860536536898</v>
      </c>
      <c r="I40" s="12">
        <f>IFERROR('Data Sheet'!K31/'Financial Statements'!I35,0)</f>
        <v>14.067605379546888</v>
      </c>
      <c r="J40" s="12">
        <f>IFERROR('Data Sheet'!L31/'Financial Statements'!J35,0)</f>
        <v>0</v>
      </c>
    </row>
    <row r="41" spans="1:10" outlineLevel="1" x14ac:dyDescent="0.3">
      <c r="B41" s="15" t="s">
        <v>79</v>
      </c>
      <c r="C41" s="21">
        <f>C40/C37</f>
        <v>0</v>
      </c>
      <c r="D41" s="21">
        <f t="shared" ref="D41:J41" si="15">D40/D37</f>
        <v>0</v>
      </c>
      <c r="E41" s="21">
        <f t="shared" si="15"/>
        <v>0</v>
      </c>
      <c r="F41" s="21">
        <f t="shared" si="15"/>
        <v>0</v>
      </c>
      <c r="G41" s="21">
        <f t="shared" si="15"/>
        <v>0</v>
      </c>
      <c r="H41" s="21">
        <f t="shared" si="15"/>
        <v>-0.19275307616818721</v>
      </c>
      <c r="I41" s="21">
        <f t="shared" si="15"/>
        <v>0.17890999839672977</v>
      </c>
      <c r="J41" s="21" t="e">
        <f t="shared" si="15"/>
        <v>#DIV/0!</v>
      </c>
    </row>
    <row r="42" spans="1:10" outlineLevel="1" x14ac:dyDescent="0.3"/>
    <row r="43" spans="1:10" outlineLevel="1" x14ac:dyDescent="0.3">
      <c r="B43" t="s">
        <v>80</v>
      </c>
      <c r="C43" s="21">
        <f>IFERROR(IF(C37&gt;C40,C37-C40,0),0)</f>
        <v>3.049111626779315</v>
      </c>
      <c r="D43" s="21">
        <f t="shared" ref="D43:J43" si="16">IFERROR(IF(D37&gt;D40,D37-D40,0),0)</f>
        <v>0</v>
      </c>
      <c r="E43" s="21">
        <f t="shared" si="16"/>
        <v>0</v>
      </c>
      <c r="F43" s="21">
        <f t="shared" si="16"/>
        <v>0</v>
      </c>
      <c r="G43" s="21">
        <f t="shared" si="16"/>
        <v>0</v>
      </c>
      <c r="H43" s="21">
        <f t="shared" si="16"/>
        <v>0</v>
      </c>
      <c r="I43" s="21">
        <f t="shared" si="16"/>
        <v>64.561903902277706</v>
      </c>
      <c r="J43" s="21">
        <f t="shared" si="16"/>
        <v>0</v>
      </c>
    </row>
    <row r="45" spans="1:10" x14ac:dyDescent="0.3">
      <c r="A45" t="s">
        <v>64</v>
      </c>
      <c r="B45" s="20" t="s">
        <v>81</v>
      </c>
      <c r="C45" s="19"/>
      <c r="D45" s="19"/>
      <c r="E45" s="19"/>
      <c r="F45" s="19"/>
      <c r="G45" s="19"/>
      <c r="H45" s="19"/>
      <c r="I45" s="19"/>
      <c r="J45" s="19"/>
    </row>
    <row r="46" spans="1:10" outlineLevel="1" x14ac:dyDescent="0.3">
      <c r="B46" s="3" t="s">
        <v>11</v>
      </c>
      <c r="C46">
        <f>IFERROR('Data Sheet'!E57,0)</f>
        <v>679.22</v>
      </c>
      <c r="D46">
        <f>IFERROR('Data Sheet'!F57,0)</f>
        <v>679.22</v>
      </c>
      <c r="E46">
        <f>IFERROR('Data Sheet'!G57,0)</f>
        <v>719.54</v>
      </c>
      <c r="F46">
        <f>IFERROR('Data Sheet'!H57,0)</f>
        <v>765.81</v>
      </c>
      <c r="G46">
        <f>IFERROR('Data Sheet'!I57,0)</f>
        <v>765.88</v>
      </c>
      <c r="H46">
        <f>IFERROR('Data Sheet'!J57,0)</f>
        <v>766.02</v>
      </c>
      <c r="I46">
        <f>IFERROR('Data Sheet'!K57,0)</f>
        <v>766.5</v>
      </c>
    </row>
    <row r="47" spans="1:10" outlineLevel="1" x14ac:dyDescent="0.3">
      <c r="B47" s="3" t="s">
        <v>12</v>
      </c>
      <c r="C47">
        <f>IFERROR('Data Sheet'!E58,0)</f>
        <v>94748.69</v>
      </c>
      <c r="D47">
        <f>IFERROR('Data Sheet'!F58,0)</f>
        <v>59500.34</v>
      </c>
      <c r="E47">
        <f>IFERROR('Data Sheet'!G58,0)</f>
        <v>61491.49</v>
      </c>
      <c r="F47">
        <f>IFERROR('Data Sheet'!H58,0)</f>
        <v>54480.91</v>
      </c>
      <c r="G47">
        <f>IFERROR('Data Sheet'!I58,0)</f>
        <v>43795.360000000001</v>
      </c>
      <c r="H47">
        <f>IFERROR('Data Sheet'!J58,0)</f>
        <v>44555.77</v>
      </c>
      <c r="I47">
        <f>IFERROR('Data Sheet'!K58,0)</f>
        <v>84151.52</v>
      </c>
    </row>
    <row r="48" spans="1:10" outlineLevel="1" x14ac:dyDescent="0.3">
      <c r="B48" s="3" t="s">
        <v>37</v>
      </c>
      <c r="C48">
        <f>IFERROR('Data Sheet'!E59,0)</f>
        <v>88950.47</v>
      </c>
      <c r="D48">
        <f>IFERROR('Data Sheet'!F59,0)</f>
        <v>106175.34</v>
      </c>
      <c r="E48">
        <f>IFERROR('Data Sheet'!G59,0)</f>
        <v>124787.64</v>
      </c>
      <c r="F48">
        <f>IFERROR('Data Sheet'!H59,0)</f>
        <v>142130.57</v>
      </c>
      <c r="G48">
        <f>IFERROR('Data Sheet'!I59,0)</f>
        <v>146449.03</v>
      </c>
      <c r="H48">
        <f>IFERROR('Data Sheet'!J59,0)</f>
        <v>134113.44</v>
      </c>
      <c r="I48">
        <f>IFERROR('Data Sheet'!K59,0)</f>
        <v>107262.5</v>
      </c>
    </row>
    <row r="49" spans="2:10" outlineLevel="1" x14ac:dyDescent="0.3">
      <c r="B49" s="3" t="s">
        <v>38</v>
      </c>
      <c r="C49">
        <f>IFERROR('Data Sheet'!E60,0)</f>
        <v>142813.43</v>
      </c>
      <c r="D49">
        <f>IFERROR('Data Sheet'!F60,0)</f>
        <v>139348.59</v>
      </c>
      <c r="E49">
        <f>IFERROR('Data Sheet'!G60,0)</f>
        <v>133180.72</v>
      </c>
      <c r="F49">
        <f>IFERROR('Data Sheet'!H60,0)</f>
        <v>144192.62</v>
      </c>
      <c r="G49">
        <f>IFERROR('Data Sheet'!I60,0)</f>
        <v>138051.22</v>
      </c>
      <c r="H49">
        <f>IFERROR('Data Sheet'!J60,0)</f>
        <v>155239.20000000001</v>
      </c>
      <c r="I49">
        <f>IFERROR('Data Sheet'!K60,0)</f>
        <v>177340.09</v>
      </c>
    </row>
    <row r="50" spans="2:10" outlineLevel="1" x14ac:dyDescent="0.3">
      <c r="B50" s="29" t="s">
        <v>83</v>
      </c>
      <c r="C50" s="30">
        <f>IFERROR('Data Sheet'!E61,0)</f>
        <v>327191.81</v>
      </c>
      <c r="D50" s="30">
        <f>IFERROR('Data Sheet'!F61,0)</f>
        <v>305703.49</v>
      </c>
      <c r="E50" s="30">
        <f>IFERROR('Data Sheet'!G61,0)</f>
        <v>320179.39</v>
      </c>
      <c r="F50" s="30">
        <f>IFERROR('Data Sheet'!H61,0)</f>
        <v>341569.91</v>
      </c>
      <c r="G50" s="30">
        <f>IFERROR('Data Sheet'!I61,0)</f>
        <v>329061.49</v>
      </c>
      <c r="H50" s="30">
        <f>IFERROR('Data Sheet'!J61,0)</f>
        <v>334674.43</v>
      </c>
      <c r="I50" s="30">
        <f>IFERROR('Data Sheet'!K61,0)</f>
        <v>369520.61</v>
      </c>
      <c r="J50" s="22"/>
    </row>
    <row r="51" spans="2:10" outlineLevel="1" x14ac:dyDescent="0.3">
      <c r="B51" s="1"/>
    </row>
    <row r="52" spans="2:10" outlineLevel="1" x14ac:dyDescent="0.3">
      <c r="B52" s="3" t="s">
        <v>14</v>
      </c>
      <c r="C52">
        <f>IFERROR('Data Sheet'!E62,0)</f>
        <v>121413.86</v>
      </c>
      <c r="D52">
        <f>IFERROR('Data Sheet'!F62,0)</f>
        <v>111234.47</v>
      </c>
      <c r="E52">
        <f>IFERROR('Data Sheet'!G62,0)</f>
        <v>127107.14</v>
      </c>
      <c r="F52">
        <f>IFERROR('Data Sheet'!H62,0)</f>
        <v>138707.60999999999</v>
      </c>
      <c r="G52">
        <f>IFERROR('Data Sheet'!I62,0)</f>
        <v>138855.45000000001</v>
      </c>
      <c r="H52">
        <f>IFERROR('Data Sheet'!J62,0)</f>
        <v>132079.76</v>
      </c>
      <c r="I52">
        <f>IFERROR('Data Sheet'!K62,0)</f>
        <v>121285.46</v>
      </c>
    </row>
    <row r="53" spans="2:10" outlineLevel="1" x14ac:dyDescent="0.3">
      <c r="B53" s="3" t="s">
        <v>15</v>
      </c>
      <c r="C53">
        <f>IFERROR('Data Sheet'!E63,0)</f>
        <v>40033.5</v>
      </c>
      <c r="D53">
        <f>IFERROR('Data Sheet'!F63,0)</f>
        <v>31883.84</v>
      </c>
      <c r="E53">
        <f>IFERROR('Data Sheet'!G63,0)</f>
        <v>35622.29</v>
      </c>
      <c r="F53">
        <f>IFERROR('Data Sheet'!H63,0)</f>
        <v>20963.93</v>
      </c>
      <c r="G53">
        <f>IFERROR('Data Sheet'!I63,0)</f>
        <v>10251.09</v>
      </c>
      <c r="H53">
        <f>IFERROR('Data Sheet'!J63,0)</f>
        <v>14274.5</v>
      </c>
      <c r="I53">
        <f>IFERROR('Data Sheet'!K63,0)</f>
        <v>35698.43</v>
      </c>
    </row>
    <row r="54" spans="2:10" outlineLevel="1" x14ac:dyDescent="0.3">
      <c r="B54" s="3" t="s">
        <v>16</v>
      </c>
      <c r="C54">
        <f>IFERROR('Data Sheet'!E64,0)</f>
        <v>20812.75</v>
      </c>
      <c r="D54">
        <f>IFERROR('Data Sheet'!F64,0)</f>
        <v>15770.72</v>
      </c>
      <c r="E54">
        <f>IFERROR('Data Sheet'!G64,0)</f>
        <v>16308.48</v>
      </c>
      <c r="F54">
        <f>IFERROR('Data Sheet'!H64,0)</f>
        <v>24620.28</v>
      </c>
      <c r="G54">
        <f>IFERROR('Data Sheet'!I64,0)</f>
        <v>29379.53</v>
      </c>
      <c r="H54">
        <f>IFERROR('Data Sheet'!J64,0)</f>
        <v>26379.16</v>
      </c>
      <c r="I54">
        <f>IFERROR('Data Sheet'!K64,0)</f>
        <v>22971.07</v>
      </c>
    </row>
    <row r="55" spans="2:10" outlineLevel="1" x14ac:dyDescent="0.3">
      <c r="B55" s="3" t="s">
        <v>39</v>
      </c>
      <c r="C55">
        <f>IFERROR('Data Sheet'!E65,0)</f>
        <v>144931.70000000001</v>
      </c>
      <c r="D55">
        <f>IFERROR('Data Sheet'!F65,0)</f>
        <v>146814.46</v>
      </c>
      <c r="E55">
        <f>IFERROR('Data Sheet'!G65,0)</f>
        <v>141141.48000000001</v>
      </c>
      <c r="F55">
        <f>IFERROR('Data Sheet'!H65,0)</f>
        <v>157278.09</v>
      </c>
      <c r="G55">
        <f>IFERROR('Data Sheet'!I65,0)</f>
        <v>150575.42000000001</v>
      </c>
      <c r="H55">
        <f>IFERROR('Data Sheet'!J65,0)</f>
        <v>161941.01</v>
      </c>
      <c r="I55">
        <f>IFERROR('Data Sheet'!K65,0)</f>
        <v>189565.65</v>
      </c>
    </row>
    <row r="56" spans="2:10" outlineLevel="1" x14ac:dyDescent="0.3">
      <c r="B56" s="29" t="s">
        <v>84</v>
      </c>
      <c r="C56" s="30">
        <f>IFERROR('Data Sheet'!E66-SUM('Data Sheet'!E67:E69),0)</f>
        <v>230546.97</v>
      </c>
      <c r="D56" s="30">
        <f>IFERROR('Data Sheet'!F66-SUM('Data Sheet'!F67:F69),0)</f>
        <v>215044.77</v>
      </c>
      <c r="E56" s="30">
        <f>IFERROR('Data Sheet'!G66-SUM('Data Sheet'!G67:G69),0)</f>
        <v>237822.85</v>
      </c>
      <c r="F56" s="30">
        <f>IFERROR('Data Sheet'!H66-SUM('Data Sheet'!H67:H69),0)</f>
        <v>246009.77999999997</v>
      </c>
      <c r="G56" s="30">
        <f>IFERROR('Data Sheet'!I66-SUM('Data Sheet'!I67:I69),0)</f>
        <v>240709.84</v>
      </c>
      <c r="H56" s="30">
        <f>IFERROR('Data Sheet'!J66-SUM('Data Sheet'!J67:J69),0)</f>
        <v>241165.51</v>
      </c>
      <c r="I56" s="30">
        <f>IFERROR('Data Sheet'!K66-SUM('Data Sheet'!K67:K69),0)</f>
        <v>258973.81999999998</v>
      </c>
    </row>
    <row r="57" spans="2:10" outlineLevel="1" x14ac:dyDescent="0.3">
      <c r="B57" s="1"/>
    </row>
    <row r="58" spans="2:10" outlineLevel="1" x14ac:dyDescent="0.3">
      <c r="B58" s="3" t="s">
        <v>44</v>
      </c>
      <c r="C58">
        <f>IFERROR('Data Sheet'!E67,0)</f>
        <v>19893.3</v>
      </c>
      <c r="D58">
        <f>IFERROR('Data Sheet'!F67,0)</f>
        <v>18996.169999999998</v>
      </c>
      <c r="E58">
        <f>IFERROR('Data Sheet'!G67,0)</f>
        <v>11172.69</v>
      </c>
      <c r="F58">
        <f>IFERROR('Data Sheet'!H67,0)</f>
        <v>12679.08</v>
      </c>
      <c r="G58">
        <f>IFERROR('Data Sheet'!I67,0)</f>
        <v>12442.12</v>
      </c>
      <c r="H58">
        <f>IFERROR('Data Sheet'!J67,0)</f>
        <v>15737.97</v>
      </c>
      <c r="I58">
        <f>IFERROR('Data Sheet'!K67,0)</f>
        <v>16951.810000000001</v>
      </c>
    </row>
    <row r="59" spans="2:10" outlineLevel="1" x14ac:dyDescent="0.3">
      <c r="B59" s="3" t="s">
        <v>30</v>
      </c>
      <c r="C59">
        <f>IFERROR('Data Sheet'!E68,0)</f>
        <v>42137.63</v>
      </c>
      <c r="D59">
        <f>IFERROR('Data Sheet'!F68,0)</f>
        <v>39013.730000000003</v>
      </c>
      <c r="E59">
        <f>IFERROR('Data Sheet'!G68,0)</f>
        <v>37456.879999999997</v>
      </c>
      <c r="F59">
        <f>IFERROR('Data Sheet'!H68,0)</f>
        <v>36088.589999999997</v>
      </c>
      <c r="G59">
        <f>IFERROR('Data Sheet'!I68,0)</f>
        <v>35240.339999999997</v>
      </c>
      <c r="H59">
        <f>IFERROR('Data Sheet'!J68,0)</f>
        <v>40755.39</v>
      </c>
      <c r="I59">
        <f>IFERROR('Data Sheet'!K68,0)</f>
        <v>47788.29</v>
      </c>
    </row>
    <row r="60" spans="2:10" outlineLevel="1" x14ac:dyDescent="0.3">
      <c r="B60" s="2" t="s">
        <v>53</v>
      </c>
      <c r="C60">
        <f>IFERROR('Data Sheet'!E69,0)</f>
        <v>34613.910000000003</v>
      </c>
      <c r="D60">
        <f>IFERROR('Data Sheet'!F69,0)</f>
        <v>32648.82</v>
      </c>
      <c r="E60">
        <f>IFERROR('Data Sheet'!G69,0)</f>
        <v>33726.97</v>
      </c>
      <c r="F60">
        <f>IFERROR('Data Sheet'!H69,0)</f>
        <v>46792.46</v>
      </c>
      <c r="G60">
        <f>IFERROR('Data Sheet'!I69,0)</f>
        <v>40669.19</v>
      </c>
      <c r="H60">
        <f>IFERROR('Data Sheet'!J69,0)</f>
        <v>37015.56</v>
      </c>
      <c r="I60">
        <f>IFERROR('Data Sheet'!K69,0)</f>
        <v>45806.69</v>
      </c>
    </row>
    <row r="61" spans="2:10" outlineLevel="1" x14ac:dyDescent="0.3">
      <c r="B61" s="31" t="s">
        <v>85</v>
      </c>
      <c r="C61" s="30">
        <f>SUM(C58:C60)</f>
        <v>96644.84</v>
      </c>
      <c r="D61" s="30">
        <f t="shared" ref="D61:I61" si="17">SUM(D58:D60)</f>
        <v>90658.72</v>
      </c>
      <c r="E61" s="30">
        <f t="shared" si="17"/>
        <v>82356.540000000008</v>
      </c>
      <c r="F61" s="30">
        <f t="shared" si="17"/>
        <v>95560.13</v>
      </c>
      <c r="G61" s="30">
        <f t="shared" si="17"/>
        <v>88351.65</v>
      </c>
      <c r="H61" s="30">
        <f t="shared" si="17"/>
        <v>93508.92</v>
      </c>
      <c r="I61" s="30">
        <f t="shared" si="17"/>
        <v>110546.79000000001</v>
      </c>
    </row>
    <row r="62" spans="2:10" outlineLevel="1" x14ac:dyDescent="0.3"/>
    <row r="63" spans="2:10" outlineLevel="1" x14ac:dyDescent="0.3">
      <c r="B63" s="31" t="s">
        <v>82</v>
      </c>
      <c r="C63" s="30">
        <f>C61+C56</f>
        <v>327191.81</v>
      </c>
      <c r="D63" s="30">
        <f t="shared" ref="D63:I63" si="18">D61+D56</f>
        <v>305703.49</v>
      </c>
      <c r="E63" s="30">
        <f t="shared" si="18"/>
        <v>320179.39</v>
      </c>
      <c r="F63" s="30">
        <f t="shared" si="18"/>
        <v>341569.91</v>
      </c>
      <c r="G63" s="30">
        <f t="shared" si="18"/>
        <v>329061.49</v>
      </c>
      <c r="H63" s="30">
        <f t="shared" si="18"/>
        <v>334674.43</v>
      </c>
      <c r="I63" s="30">
        <f t="shared" si="18"/>
        <v>369520.61</v>
      </c>
    </row>
    <row r="64" spans="2:10" outlineLevel="1" x14ac:dyDescent="0.3"/>
    <row r="65" spans="1:10" outlineLevel="1" x14ac:dyDescent="0.3">
      <c r="B65" s="23" t="s">
        <v>86</v>
      </c>
      <c r="C65" s="23" t="b">
        <f>C63=C50</f>
        <v>1</v>
      </c>
      <c r="D65" s="23" t="b">
        <f t="shared" ref="D65:I65" si="19">D63=D50</f>
        <v>1</v>
      </c>
      <c r="E65" s="23" t="b">
        <f t="shared" si="19"/>
        <v>1</v>
      </c>
      <c r="F65" s="23" t="b">
        <f t="shared" si="19"/>
        <v>1</v>
      </c>
      <c r="G65" s="23" t="b">
        <f t="shared" si="19"/>
        <v>1</v>
      </c>
      <c r="H65" s="23" t="b">
        <f t="shared" si="19"/>
        <v>1</v>
      </c>
      <c r="I65" s="23" t="b">
        <f t="shared" si="19"/>
        <v>1</v>
      </c>
    </row>
    <row r="67" spans="1:10" x14ac:dyDescent="0.3">
      <c r="A67" t="s">
        <v>64</v>
      </c>
      <c r="B67" s="20" t="s">
        <v>87</v>
      </c>
      <c r="C67" s="19"/>
      <c r="D67" s="19"/>
      <c r="E67" s="19"/>
      <c r="F67" s="19"/>
      <c r="G67" s="19"/>
      <c r="H67" s="19"/>
      <c r="I67" s="19"/>
      <c r="J67" s="19"/>
    </row>
    <row r="68" spans="1:10" outlineLevel="2" x14ac:dyDescent="0.3">
      <c r="B68" s="22" t="s">
        <v>116</v>
      </c>
    </row>
    <row r="69" spans="1:10" outlineLevel="2" x14ac:dyDescent="0.3">
      <c r="B69" t="s">
        <v>89</v>
      </c>
      <c r="C69">
        <f>IFERROR('Cash Flow Statement'!H4,0)</f>
        <v>33312</v>
      </c>
      <c r="D69">
        <f>IFERROR('Cash Flow Statement'!I4,0)</f>
        <v>28771</v>
      </c>
      <c r="E69">
        <f>IFERROR('Cash Flow Statement'!J4,0)</f>
        <v>23352</v>
      </c>
      <c r="F69">
        <f>IFERROR('Cash Flow Statement'!K4,0)</f>
        <v>31198</v>
      </c>
      <c r="G69">
        <f>IFERROR('Cash Flow Statement'!L4,0)</f>
        <v>26943</v>
      </c>
      <c r="H69">
        <f>IFERROR('Cash Flow Statement'!M4,0)</f>
        <v>41694</v>
      </c>
      <c r="I69">
        <f>IFERROR('Cash Flow Statement'!N4,0)</f>
        <v>65106</v>
      </c>
    </row>
    <row r="70" spans="1:10" outlineLevel="2" x14ac:dyDescent="0.3">
      <c r="B70" t="s">
        <v>44</v>
      </c>
      <c r="C70">
        <f>IFERROR('Cash Flow Statement'!H5,0)</f>
        <v>-10688</v>
      </c>
      <c r="D70">
        <f>IFERROR('Cash Flow Statement'!I5,0)</f>
        <v>-9109</v>
      </c>
      <c r="E70">
        <f>IFERROR('Cash Flow Statement'!J5,0)</f>
        <v>9950</v>
      </c>
      <c r="F70">
        <f>IFERROR('Cash Flow Statement'!K5,0)</f>
        <v>-5505</v>
      </c>
      <c r="G70">
        <f>IFERROR('Cash Flow Statement'!L5,0)</f>
        <v>185</v>
      </c>
      <c r="H70">
        <f>IFERROR('Cash Flow Statement'!M5,0)</f>
        <v>-2213</v>
      </c>
      <c r="I70">
        <f>IFERROR('Cash Flow Statement'!N5,0)</f>
        <v>-1875</v>
      </c>
    </row>
    <row r="71" spans="1:10" outlineLevel="2" x14ac:dyDescent="0.3">
      <c r="B71" t="s">
        <v>30</v>
      </c>
      <c r="C71">
        <f>IFERROR('Cash Flow Statement'!H6,0)</f>
        <v>-3560</v>
      </c>
      <c r="D71">
        <f>IFERROR('Cash Flow Statement'!I6,0)</f>
        <v>2069</v>
      </c>
      <c r="E71">
        <f>IFERROR('Cash Flow Statement'!J6,0)</f>
        <v>2326</v>
      </c>
      <c r="F71">
        <f>IFERROR('Cash Flow Statement'!K6,0)</f>
        <v>3814</v>
      </c>
      <c r="G71">
        <f>IFERROR('Cash Flow Statement'!L6,0)</f>
        <v>472</v>
      </c>
      <c r="H71">
        <f>IFERROR('Cash Flow Statement'!M6,0)</f>
        <v>-5665</v>
      </c>
      <c r="I71">
        <f>IFERROR('Cash Flow Statement'!N6,0)</f>
        <v>-7265</v>
      </c>
    </row>
    <row r="72" spans="1:10" outlineLevel="2" x14ac:dyDescent="0.3">
      <c r="B72" t="s">
        <v>90</v>
      </c>
      <c r="C72">
        <f>IFERROR('Cash Flow Statement'!H7,0)</f>
        <v>7320</v>
      </c>
      <c r="D72">
        <f>IFERROR('Cash Flow Statement'!I7,0)</f>
        <v>-4692</v>
      </c>
      <c r="E72">
        <f>IFERROR('Cash Flow Statement'!J7,0)</f>
        <v>-8085</v>
      </c>
      <c r="F72">
        <f>IFERROR('Cash Flow Statement'!K7,0)</f>
        <v>5748</v>
      </c>
      <c r="G72">
        <f>IFERROR('Cash Flow Statement'!L7,0)</f>
        <v>-7012</v>
      </c>
      <c r="H72">
        <f>IFERROR('Cash Flow Statement'!M7,0)</f>
        <v>6945</v>
      </c>
      <c r="I72">
        <f>IFERROR('Cash Flow Statement'!N7,0)</f>
        <v>13706</v>
      </c>
    </row>
    <row r="73" spans="1:10" outlineLevel="2" x14ac:dyDescent="0.3">
      <c r="B73" t="s">
        <v>91</v>
      </c>
      <c r="C73">
        <f>IFERROR('Cash Flow Statement'!H8,0)</f>
        <v>0</v>
      </c>
      <c r="D73">
        <f>IFERROR('Cash Flow Statement'!I8,0)</f>
        <v>0</v>
      </c>
      <c r="E73">
        <f>IFERROR('Cash Flow Statement'!J8,0)</f>
        <v>0</v>
      </c>
      <c r="F73">
        <f>IFERROR('Cash Flow Statement'!K8,0)</f>
        <v>0</v>
      </c>
      <c r="G73">
        <f>IFERROR('Cash Flow Statement'!L8,0)</f>
        <v>0</v>
      </c>
      <c r="H73">
        <f>IFERROR('Cash Flow Statement'!M8,0)</f>
        <v>0</v>
      </c>
      <c r="I73">
        <f>IFERROR('Cash Flow Statement'!N8,0)</f>
        <v>0</v>
      </c>
    </row>
    <row r="74" spans="1:10" outlineLevel="2" x14ac:dyDescent="0.3">
      <c r="B74" t="s">
        <v>92</v>
      </c>
      <c r="C74">
        <f>IFERROR('Cash Flow Statement'!H9,0)</f>
        <v>494</v>
      </c>
      <c r="D74">
        <f>IFERROR('Cash Flow Statement'!I9,0)</f>
        <v>4512</v>
      </c>
      <c r="E74">
        <f>IFERROR('Cash Flow Statement'!J9,0)</f>
        <v>875</v>
      </c>
      <c r="F74">
        <f>IFERROR('Cash Flow Statement'!K9,0)</f>
        <v>-4150</v>
      </c>
      <c r="G74">
        <f>IFERROR('Cash Flow Statement'!L9,0)</f>
        <v>-4396</v>
      </c>
      <c r="H74">
        <f>IFERROR('Cash Flow Statement'!M9,0)</f>
        <v>-2194</v>
      </c>
      <c r="I74">
        <f>IFERROR('Cash Flow Statement'!N9,0)</f>
        <v>2760</v>
      </c>
    </row>
    <row r="75" spans="1:10" outlineLevel="2" x14ac:dyDescent="0.3">
      <c r="B75" t="s">
        <v>93</v>
      </c>
      <c r="C75">
        <f>IFERROR('Cash Flow Statement'!H10,0)</f>
        <v>-6434</v>
      </c>
      <c r="D75">
        <f>IFERROR('Cash Flow Statement'!I10,0)</f>
        <v>-7221</v>
      </c>
      <c r="E75">
        <f>IFERROR('Cash Flow Statement'!J10,0)</f>
        <v>5065</v>
      </c>
      <c r="F75">
        <f>IFERROR('Cash Flow Statement'!K10,0)</f>
        <v>-93</v>
      </c>
      <c r="G75">
        <f>IFERROR('Cash Flow Statement'!L10,0)</f>
        <v>-10750</v>
      </c>
      <c r="H75">
        <f>IFERROR('Cash Flow Statement'!M10,0)</f>
        <v>-3127</v>
      </c>
      <c r="I75">
        <f>IFERROR('Cash Flow Statement'!N10,0)</f>
        <v>7325</v>
      </c>
    </row>
    <row r="76" spans="1:10" outlineLevel="2" x14ac:dyDescent="0.3">
      <c r="B76" t="s">
        <v>94</v>
      </c>
      <c r="C76">
        <f>IFERROR('Cash Flow Statement'!H11,0)</f>
        <v>-3021</v>
      </c>
      <c r="D76">
        <f>IFERROR('Cash Flow Statement'!I11,0)</f>
        <v>-2659</v>
      </c>
      <c r="E76">
        <f>IFERROR('Cash Flow Statement'!J11,0)</f>
        <v>-1785</v>
      </c>
      <c r="F76">
        <f>IFERROR('Cash Flow Statement'!K11,0)</f>
        <v>-2105</v>
      </c>
      <c r="G76">
        <f>IFERROR('Cash Flow Statement'!L11,0)</f>
        <v>-1910</v>
      </c>
      <c r="H76">
        <f>IFERROR('Cash Flow Statement'!M11,0)</f>
        <v>-3179</v>
      </c>
      <c r="I76">
        <f>IFERROR('Cash Flow Statement'!N11,0)</f>
        <v>-4516</v>
      </c>
    </row>
    <row r="77" spans="1:10" outlineLevel="2" x14ac:dyDescent="0.3">
      <c r="B77" s="22" t="s">
        <v>117</v>
      </c>
      <c r="C77" s="22">
        <f>SUM(C69:C76)</f>
        <v>17423</v>
      </c>
      <c r="D77" s="22">
        <f t="shared" ref="D77:I77" si="20">SUM(D69:D76)</f>
        <v>11671</v>
      </c>
      <c r="E77" s="22">
        <f t="shared" si="20"/>
        <v>31698</v>
      </c>
      <c r="F77" s="22">
        <f t="shared" si="20"/>
        <v>28907</v>
      </c>
      <c r="G77" s="22">
        <f t="shared" si="20"/>
        <v>3532</v>
      </c>
      <c r="H77" s="22">
        <f t="shared" si="20"/>
        <v>32261</v>
      </c>
      <c r="I77" s="22">
        <f t="shared" si="20"/>
        <v>75241</v>
      </c>
    </row>
    <row r="78" spans="1:10" outlineLevel="2" x14ac:dyDescent="0.3"/>
    <row r="79" spans="1:10" outlineLevel="2" x14ac:dyDescent="0.3">
      <c r="B79" s="22" t="s">
        <v>118</v>
      </c>
    </row>
    <row r="80" spans="1:10" outlineLevel="2" x14ac:dyDescent="0.3">
      <c r="B80" t="s">
        <v>96</v>
      </c>
      <c r="C80">
        <f>IFERROR('Cash Flow Statement'!H13,0)</f>
        <v>-35079</v>
      </c>
      <c r="D80">
        <f>IFERROR('Cash Flow Statement'!I13,0)</f>
        <v>-35304</v>
      </c>
      <c r="E80">
        <f>IFERROR('Cash Flow Statement'!J13,0)</f>
        <v>-29702</v>
      </c>
      <c r="F80">
        <f>IFERROR('Cash Flow Statement'!K13,0)</f>
        <v>-20205</v>
      </c>
      <c r="G80">
        <f>IFERROR('Cash Flow Statement'!L13,0)</f>
        <v>-15168</v>
      </c>
      <c r="H80">
        <f>IFERROR('Cash Flow Statement'!M13,0)</f>
        <v>-19230</v>
      </c>
      <c r="I80">
        <f>IFERROR('Cash Flow Statement'!N13,0)</f>
        <v>-31414</v>
      </c>
    </row>
    <row r="81" spans="2:9" outlineLevel="2" x14ac:dyDescent="0.3">
      <c r="B81" t="s">
        <v>97</v>
      </c>
      <c r="C81">
        <f>IFERROR('Cash Flow Statement'!H14,0)</f>
        <v>30</v>
      </c>
      <c r="D81">
        <f>IFERROR('Cash Flow Statement'!I14,0)</f>
        <v>67</v>
      </c>
      <c r="E81">
        <f>IFERROR('Cash Flow Statement'!J14,0)</f>
        <v>171</v>
      </c>
      <c r="F81">
        <f>IFERROR('Cash Flow Statement'!K14,0)</f>
        <v>351</v>
      </c>
      <c r="G81">
        <f>IFERROR('Cash Flow Statement'!L14,0)</f>
        <v>230</v>
      </c>
      <c r="H81">
        <f>IFERROR('Cash Flow Statement'!M14,0)</f>
        <v>285</v>
      </c>
      <c r="I81">
        <f>IFERROR('Cash Flow Statement'!N14,0)</f>
        <v>231</v>
      </c>
    </row>
    <row r="82" spans="2:9" outlineLevel="2" x14ac:dyDescent="0.3">
      <c r="B82" t="s">
        <v>98</v>
      </c>
      <c r="C82">
        <f>IFERROR('Cash Flow Statement'!H15,0)</f>
        <v>-329</v>
      </c>
      <c r="D82">
        <f>IFERROR('Cash Flow Statement'!I15,0)</f>
        <v>-130</v>
      </c>
      <c r="E82">
        <f>IFERROR('Cash Flow Statement'!J15,0)</f>
        <v>-1439</v>
      </c>
      <c r="F82">
        <f>IFERROR('Cash Flow Statement'!K15,0)</f>
        <v>-7530</v>
      </c>
      <c r="G82">
        <f>IFERROR('Cash Flow Statement'!L15,0)</f>
        <v>-3008</v>
      </c>
      <c r="H82">
        <f>IFERROR('Cash Flow Statement'!M15,0)</f>
        <v>-50</v>
      </c>
      <c r="I82">
        <f>IFERROR('Cash Flow Statement'!N15,0)</f>
        <v>-74</v>
      </c>
    </row>
    <row r="83" spans="2:9" outlineLevel="2" x14ac:dyDescent="0.3">
      <c r="B83" t="s">
        <v>99</v>
      </c>
      <c r="C83">
        <f>IFERROR('Cash Flow Statement'!H16,0)</f>
        <v>2381</v>
      </c>
      <c r="D83">
        <f>IFERROR('Cash Flow Statement'!I16,0)</f>
        <v>5644</v>
      </c>
      <c r="E83">
        <f>IFERROR('Cash Flow Statement'!J16,0)</f>
        <v>21</v>
      </c>
      <c r="F83">
        <f>IFERROR('Cash Flow Statement'!K16,0)</f>
        <v>226</v>
      </c>
      <c r="G83">
        <f>IFERROR('Cash Flow Statement'!L16,0)</f>
        <v>104</v>
      </c>
      <c r="H83">
        <f>IFERROR('Cash Flow Statement'!M16,0)</f>
        <v>6895</v>
      </c>
      <c r="I83">
        <f>IFERROR('Cash Flow Statement'!N16,0)</f>
        <v>10820</v>
      </c>
    </row>
    <row r="84" spans="2:9" outlineLevel="2" x14ac:dyDescent="0.3">
      <c r="B84" t="s">
        <v>100</v>
      </c>
      <c r="C84">
        <f>IFERROR('Cash Flow Statement'!H17,0)</f>
        <v>690</v>
      </c>
      <c r="D84">
        <f>IFERROR('Cash Flow Statement'!I17,0)</f>
        <v>761</v>
      </c>
      <c r="E84">
        <f>IFERROR('Cash Flow Statement'!J17,0)</f>
        <v>1104</v>
      </c>
      <c r="F84">
        <f>IFERROR('Cash Flow Statement'!K17,0)</f>
        <v>428</v>
      </c>
      <c r="G84">
        <f>IFERROR('Cash Flow Statement'!L17,0)</f>
        <v>653</v>
      </c>
      <c r="H84">
        <f>IFERROR('Cash Flow Statement'!M17,0)</f>
        <v>973</v>
      </c>
      <c r="I84">
        <f>IFERROR('Cash Flow Statement'!N17,0)</f>
        <v>2493</v>
      </c>
    </row>
    <row r="85" spans="2:9" outlineLevel="2" x14ac:dyDescent="0.3">
      <c r="B85" t="s">
        <v>101</v>
      </c>
      <c r="C85">
        <f>IFERROR('Cash Flow Statement'!H18,0)</f>
        <v>1797</v>
      </c>
      <c r="D85">
        <f>IFERROR('Cash Flow Statement'!I18,0)</f>
        <v>232</v>
      </c>
      <c r="E85">
        <f>IFERROR('Cash Flow Statement'!J18,0)</f>
        <v>21</v>
      </c>
      <c r="F85">
        <f>IFERROR('Cash Flow Statement'!K18,0)</f>
        <v>18</v>
      </c>
      <c r="G85">
        <f>IFERROR('Cash Flow Statement'!L18,0)</f>
        <v>32</v>
      </c>
      <c r="H85">
        <f>IFERROR('Cash Flow Statement'!M18,0)</f>
        <v>46</v>
      </c>
      <c r="I85">
        <f>IFERROR('Cash Flow Statement'!N18,0)</f>
        <v>47</v>
      </c>
    </row>
    <row r="86" spans="2:9" outlineLevel="2" x14ac:dyDescent="0.3">
      <c r="B86" t="s">
        <v>102</v>
      </c>
      <c r="C86">
        <f>IFERROR('Cash Flow Statement'!H19,0)</f>
        <v>-4</v>
      </c>
      <c r="D86">
        <f>IFERROR('Cash Flow Statement'!I19,0)</f>
        <v>-9</v>
      </c>
      <c r="E86">
        <f>IFERROR('Cash Flow Statement'!J19,0)</f>
        <v>-606</v>
      </c>
      <c r="F86">
        <f>IFERROR('Cash Flow Statement'!K19,0)</f>
        <v>-10</v>
      </c>
      <c r="G86">
        <f>IFERROR('Cash Flow Statement'!L19,0)</f>
        <v>0</v>
      </c>
      <c r="H86">
        <f>IFERROR('Cash Flow Statement'!M19,0)</f>
        <v>0</v>
      </c>
      <c r="I86">
        <f>IFERROR('Cash Flow Statement'!N19,0)</f>
        <v>-150</v>
      </c>
    </row>
    <row r="87" spans="2:9" outlineLevel="2" x14ac:dyDescent="0.3">
      <c r="B87" t="s">
        <v>103</v>
      </c>
      <c r="C87">
        <f>IFERROR('Cash Flow Statement'!H20,0)</f>
        <v>14</v>
      </c>
      <c r="D87">
        <f>IFERROR('Cash Flow Statement'!I20,0)</f>
        <v>533</v>
      </c>
      <c r="E87">
        <f>IFERROR('Cash Flow Statement'!J20,0)</f>
        <v>0</v>
      </c>
      <c r="F87">
        <f>IFERROR('Cash Flow Statement'!K20,0)</f>
        <v>0</v>
      </c>
      <c r="G87">
        <f>IFERROR('Cash Flow Statement'!L20,0)</f>
        <v>0</v>
      </c>
      <c r="H87">
        <f>IFERROR('Cash Flow Statement'!M20,0)</f>
        <v>19</v>
      </c>
      <c r="I87">
        <f>IFERROR('Cash Flow Statement'!N20,0)</f>
        <v>108</v>
      </c>
    </row>
    <row r="88" spans="2:9" outlineLevel="2" x14ac:dyDescent="0.3">
      <c r="B88" t="s">
        <v>104</v>
      </c>
      <c r="C88">
        <f>IFERROR('Cash Flow Statement'!H21,0)</f>
        <v>0</v>
      </c>
      <c r="D88">
        <f>IFERROR('Cash Flow Statement'!I21,0)</f>
        <v>-8</v>
      </c>
      <c r="E88">
        <f>IFERROR('Cash Flow Statement'!J21,0)</f>
        <v>-27</v>
      </c>
      <c r="F88">
        <f>IFERROR('Cash Flow Statement'!K21,0)</f>
        <v>0</v>
      </c>
      <c r="G88">
        <f>IFERROR('Cash Flow Statement'!L21,0)</f>
        <v>-98</v>
      </c>
      <c r="H88">
        <f>IFERROR('Cash Flow Statement'!M21,0)</f>
        <v>0</v>
      </c>
      <c r="I88">
        <f>IFERROR('Cash Flow Statement'!N21,0)</f>
        <v>0</v>
      </c>
    </row>
    <row r="89" spans="2:9" outlineLevel="2" x14ac:dyDescent="0.3">
      <c r="B89" t="s">
        <v>105</v>
      </c>
      <c r="C89">
        <f>IFERROR('Cash Flow Statement'!H22,0)</f>
        <v>0</v>
      </c>
      <c r="D89">
        <f>IFERROR('Cash Flow Statement'!I22,0)</f>
        <v>0</v>
      </c>
      <c r="E89">
        <f>IFERROR('Cash Flow Statement'!J22,0)</f>
        <v>0</v>
      </c>
      <c r="F89">
        <f>IFERROR('Cash Flow Statement'!K22,0)</f>
        <v>0</v>
      </c>
      <c r="G89">
        <f>IFERROR('Cash Flow Statement'!L22,0)</f>
        <v>0</v>
      </c>
      <c r="H89">
        <f>IFERROR('Cash Flow Statement'!M22,0)</f>
        <v>0</v>
      </c>
      <c r="I89">
        <f>IFERROR('Cash Flow Statement'!N22,0)</f>
        <v>-24</v>
      </c>
    </row>
    <row r="90" spans="2:9" outlineLevel="2" x14ac:dyDescent="0.3">
      <c r="B90" t="s">
        <v>106</v>
      </c>
      <c r="C90">
        <f>IFERROR('Cash Flow Statement'!H23,0)</f>
        <v>5360</v>
      </c>
      <c r="D90">
        <f>IFERROR('Cash Flow Statement'!I23,0)</f>
        <v>7335</v>
      </c>
      <c r="E90">
        <f>IFERROR('Cash Flow Statement'!J23,0)</f>
        <v>-2659</v>
      </c>
      <c r="F90">
        <f>IFERROR('Cash Flow Statement'!K23,0)</f>
        <v>1051</v>
      </c>
      <c r="G90">
        <f>IFERROR('Cash Flow Statement'!L23,0)</f>
        <v>12813</v>
      </c>
      <c r="H90">
        <f>IFERROR('Cash Flow Statement'!M23,0)</f>
        <v>-4357</v>
      </c>
      <c r="I90">
        <f>IFERROR('Cash Flow Statement'!N23,0)</f>
        <v>-4817</v>
      </c>
    </row>
    <row r="91" spans="2:9" outlineLevel="2" x14ac:dyDescent="0.3">
      <c r="B91" s="22" t="s">
        <v>119</v>
      </c>
      <c r="C91" s="22">
        <f>SUM(C80:C90)</f>
        <v>-25140</v>
      </c>
      <c r="D91" s="22">
        <f t="shared" ref="D91:I91" si="21">SUM(D80:D90)</f>
        <v>-20879</v>
      </c>
      <c r="E91" s="22">
        <f t="shared" si="21"/>
        <v>-33116</v>
      </c>
      <c r="F91" s="22">
        <f t="shared" si="21"/>
        <v>-25671</v>
      </c>
      <c r="G91" s="22">
        <f t="shared" si="21"/>
        <v>-4442</v>
      </c>
      <c r="H91" s="22">
        <f t="shared" si="21"/>
        <v>-15419</v>
      </c>
      <c r="I91" s="22">
        <f t="shared" si="21"/>
        <v>-22780</v>
      </c>
    </row>
    <row r="92" spans="2:9" outlineLevel="2" x14ac:dyDescent="0.3"/>
    <row r="93" spans="2:9" outlineLevel="2" x14ac:dyDescent="0.3">
      <c r="B93" s="22" t="s">
        <v>120</v>
      </c>
    </row>
    <row r="94" spans="2:9" outlineLevel="2" x14ac:dyDescent="0.3">
      <c r="B94" t="s">
        <v>108</v>
      </c>
      <c r="C94">
        <f>IFERROR('Cash Flow Statement'!H25,0)</f>
        <v>0</v>
      </c>
      <c r="D94">
        <f>IFERROR('Cash Flow Statement'!I25,0)</f>
        <v>0</v>
      </c>
      <c r="E94">
        <f>IFERROR('Cash Flow Statement'!J25,0)</f>
        <v>3889</v>
      </c>
      <c r="F94">
        <f>IFERROR('Cash Flow Statement'!K25,0)</f>
        <v>2603</v>
      </c>
      <c r="G94">
        <f>IFERROR('Cash Flow Statement'!L25,0)</f>
        <v>19</v>
      </c>
      <c r="H94">
        <f>IFERROR('Cash Flow Statement'!M25,0)</f>
        <v>20</v>
      </c>
      <c r="I94">
        <f>IFERROR('Cash Flow Statement'!N25,0)</f>
        <v>82</v>
      </c>
    </row>
    <row r="95" spans="2:9" outlineLevel="2" x14ac:dyDescent="0.3">
      <c r="B95" t="s">
        <v>109</v>
      </c>
      <c r="C95">
        <f>IFERROR('Cash Flow Statement'!H26,0)</f>
        <v>0</v>
      </c>
      <c r="D95">
        <f>IFERROR('Cash Flow Statement'!I26,0)</f>
        <v>0</v>
      </c>
      <c r="E95">
        <f>IFERROR('Cash Flow Statement'!J26,0)</f>
        <v>0</v>
      </c>
      <c r="F95">
        <f>IFERROR('Cash Flow Statement'!K26,0)</f>
        <v>0</v>
      </c>
      <c r="G95">
        <f>IFERROR('Cash Flow Statement'!L26,0)</f>
        <v>0</v>
      </c>
      <c r="H95">
        <f>IFERROR('Cash Flow Statement'!M26,0)</f>
        <v>0</v>
      </c>
      <c r="I95">
        <f>IFERROR('Cash Flow Statement'!N26,0)</f>
        <v>0</v>
      </c>
    </row>
    <row r="96" spans="2:9" outlineLevel="2" x14ac:dyDescent="0.3">
      <c r="B96" t="s">
        <v>110</v>
      </c>
      <c r="C96">
        <f>IFERROR('Cash Flow Statement'!H27,0)</f>
        <v>37482</v>
      </c>
      <c r="D96">
        <f>IFERROR('Cash Flow Statement'!I27,0)</f>
        <v>51128</v>
      </c>
      <c r="E96">
        <f>IFERROR('Cash Flow Statement'!J27,0)</f>
        <v>38297</v>
      </c>
      <c r="F96">
        <f>IFERROR('Cash Flow Statement'!K27,0)</f>
        <v>46641</v>
      </c>
      <c r="G96">
        <f>IFERROR('Cash Flow Statement'!L27,0)</f>
        <v>46578</v>
      </c>
      <c r="H96">
        <f>IFERROR('Cash Flow Statement'!M27,0)</f>
        <v>43934</v>
      </c>
      <c r="I96">
        <f>IFERROR('Cash Flow Statement'!N27,0)</f>
        <v>18747</v>
      </c>
    </row>
    <row r="97" spans="2:9" outlineLevel="2" x14ac:dyDescent="0.3">
      <c r="B97" t="s">
        <v>111</v>
      </c>
      <c r="C97">
        <f>IFERROR('Cash Flow Statement'!H28,0)</f>
        <v>-29964</v>
      </c>
      <c r="D97">
        <f>IFERROR('Cash Flow Statement'!I28,0)</f>
        <v>-35198</v>
      </c>
      <c r="E97">
        <f>IFERROR('Cash Flow Statement'!J28,0)</f>
        <v>-29847</v>
      </c>
      <c r="F97">
        <f>IFERROR('Cash Flow Statement'!K28,0)</f>
        <v>-29709</v>
      </c>
      <c r="G97">
        <f>IFERROR('Cash Flow Statement'!L28,0)</f>
        <v>-42816</v>
      </c>
      <c r="H97">
        <f>IFERROR('Cash Flow Statement'!M28,0)</f>
        <v>-62557</v>
      </c>
      <c r="I97">
        <f>IFERROR('Cash Flow Statement'!N28,0)</f>
        <v>-47332</v>
      </c>
    </row>
    <row r="98" spans="2:9" outlineLevel="2" x14ac:dyDescent="0.3">
      <c r="B98" t="s">
        <v>112</v>
      </c>
      <c r="C98">
        <f>IFERROR('Cash Flow Statement'!H29,0)</f>
        <v>-5411</v>
      </c>
      <c r="D98">
        <f>IFERROR('Cash Flow Statement'!I29,0)</f>
        <v>-7005</v>
      </c>
      <c r="E98">
        <f>IFERROR('Cash Flow Statement'!J29,0)</f>
        <v>-7518</v>
      </c>
      <c r="F98">
        <f>IFERROR('Cash Flow Statement'!K29,0)</f>
        <v>-8123</v>
      </c>
      <c r="G98">
        <f>IFERROR('Cash Flow Statement'!L29,0)</f>
        <v>-9251</v>
      </c>
      <c r="H98">
        <f>IFERROR('Cash Flow Statement'!M29,0)</f>
        <v>-9336</v>
      </c>
      <c r="I98">
        <f>IFERROR('Cash Flow Statement'!N29,0)</f>
        <v>-9332</v>
      </c>
    </row>
    <row r="99" spans="2:9" outlineLevel="2" x14ac:dyDescent="0.3">
      <c r="B99" t="s">
        <v>113</v>
      </c>
      <c r="C99">
        <f>IFERROR('Cash Flow Statement'!H30,0)</f>
        <v>-96</v>
      </c>
      <c r="D99">
        <f>IFERROR('Cash Flow Statement'!I30,0)</f>
        <v>-95</v>
      </c>
      <c r="E99">
        <f>IFERROR('Cash Flow Statement'!J30,0)</f>
        <v>-57</v>
      </c>
      <c r="F99">
        <f>IFERROR('Cash Flow Statement'!K30,0)</f>
        <v>-30</v>
      </c>
      <c r="G99">
        <f>IFERROR('Cash Flow Statement'!L30,0)</f>
        <v>-100</v>
      </c>
      <c r="H99">
        <f>IFERROR('Cash Flow Statement'!M30,0)</f>
        <v>-141</v>
      </c>
      <c r="I99">
        <f>IFERROR('Cash Flow Statement'!N30,0)</f>
        <v>-1059</v>
      </c>
    </row>
    <row r="100" spans="2:9" outlineLevel="2" x14ac:dyDescent="0.3">
      <c r="B100" t="s">
        <v>114</v>
      </c>
      <c r="C100">
        <f>IFERROR('Cash Flow Statement'!H31,0)</f>
        <v>0</v>
      </c>
      <c r="D100">
        <f>IFERROR('Cash Flow Statement'!I31,0)</f>
        <v>0</v>
      </c>
      <c r="E100">
        <f>IFERROR('Cash Flow Statement'!J31,0)</f>
        <v>-1346</v>
      </c>
      <c r="F100">
        <f>IFERROR('Cash Flow Statement'!K31,0)</f>
        <v>-1477</v>
      </c>
      <c r="G100">
        <f>IFERROR('Cash Flow Statement'!L31,0)</f>
        <v>-1559</v>
      </c>
      <c r="H100">
        <f>IFERROR('Cash Flow Statement'!M31,0)</f>
        <v>-1517</v>
      </c>
      <c r="I100">
        <f>IFERROR('Cash Flow Statement'!N31,0)</f>
        <v>-1924</v>
      </c>
    </row>
    <row r="101" spans="2:9" outlineLevel="2" x14ac:dyDescent="0.3">
      <c r="B101" t="s">
        <v>115</v>
      </c>
      <c r="C101">
        <f>IFERROR('Cash Flow Statement'!H32,0)</f>
        <v>0</v>
      </c>
      <c r="D101">
        <f>IFERROR('Cash Flow Statement'!I32,0)</f>
        <v>0</v>
      </c>
      <c r="E101">
        <f>IFERROR('Cash Flow Statement'!J32,0)</f>
        <v>-29</v>
      </c>
      <c r="F101">
        <f>IFERROR('Cash Flow Statement'!K32,0)</f>
        <v>0</v>
      </c>
      <c r="G101">
        <f>IFERROR('Cash Flow Statement'!L32,0)</f>
        <v>3750</v>
      </c>
      <c r="H101">
        <f>IFERROR('Cash Flow Statement'!M32,0)</f>
        <v>3355</v>
      </c>
      <c r="I101">
        <f>IFERROR('Cash Flow Statement'!N32,0)</f>
        <v>3812</v>
      </c>
    </row>
    <row r="102" spans="2:9" outlineLevel="2" x14ac:dyDescent="0.3">
      <c r="B102" s="22" t="s">
        <v>121</v>
      </c>
      <c r="C102" s="22">
        <f>SUM(C94:C101)</f>
        <v>2011</v>
      </c>
      <c r="D102" s="22">
        <f t="shared" ref="D102:I102" si="22">SUM(D94:D101)</f>
        <v>8830</v>
      </c>
      <c r="E102" s="22">
        <f t="shared" si="22"/>
        <v>3389</v>
      </c>
      <c r="F102" s="22">
        <f t="shared" si="22"/>
        <v>9905</v>
      </c>
      <c r="G102" s="22">
        <f t="shared" si="22"/>
        <v>-3379</v>
      </c>
      <c r="H102" s="22">
        <f t="shared" si="22"/>
        <v>-26242</v>
      </c>
      <c r="I102" s="22">
        <f t="shared" si="22"/>
        <v>-37006</v>
      </c>
    </row>
    <row r="103" spans="2:9" outlineLevel="2" x14ac:dyDescent="0.3"/>
    <row r="104" spans="2:9" outlineLevel="2" x14ac:dyDescent="0.3">
      <c r="B104" s="22" t="s">
        <v>21</v>
      </c>
      <c r="C104" s="22">
        <f>SUM(C102,C91,C77)</f>
        <v>-5706</v>
      </c>
      <c r="D104" s="22">
        <f t="shared" ref="D104:I104" si="23">SUM(D102,D91,D77)</f>
        <v>-378</v>
      </c>
      <c r="E104" s="22">
        <f t="shared" si="23"/>
        <v>1971</v>
      </c>
      <c r="F104" s="22">
        <f t="shared" si="23"/>
        <v>13141</v>
      </c>
      <c r="G104" s="22">
        <f t="shared" si="23"/>
        <v>-4289</v>
      </c>
      <c r="H104" s="22">
        <f t="shared" si="23"/>
        <v>-9400</v>
      </c>
      <c r="I104" s="22">
        <f t="shared" si="23"/>
        <v>15455</v>
      </c>
    </row>
  </sheetData>
  <mergeCells count="1">
    <mergeCell ref="B2:J2"/>
  </mergeCells>
  <pageMargins left="0.7" right="0.7" top="0.75" bottom="0.75" header="0.3" footer="0.3"/>
  <pageSetup orientation="portrait" r:id="rId1"/>
  <ignoredErrors>
    <ignoredError sqref="J6 C14:J14 J22:J23 J29 J20" formulaRange="1"/>
    <ignoredError sqref="J3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6"/>
  <sheetViews>
    <sheetView showGridLines="0" workbookViewId="0">
      <selection activeCell="L12" sqref="L12"/>
    </sheetView>
  </sheetViews>
  <sheetFormatPr defaultRowHeight="14.4" x14ac:dyDescent="0.3"/>
  <cols>
    <col min="1" max="1" width="1.88671875" customWidth="1"/>
    <col min="2" max="2" width="20.6640625" bestFit="1" customWidth="1"/>
    <col min="4" max="4" width="10.109375" bestFit="1" customWidth="1"/>
    <col min="5" max="5" width="11.44140625" bestFit="1" customWidth="1"/>
    <col min="6" max="6" width="9.5546875" customWidth="1"/>
  </cols>
  <sheetData>
    <row r="2" spans="2:12" x14ac:dyDescent="0.3">
      <c r="B2" s="41" t="s">
        <v>153</v>
      </c>
      <c r="C2" s="41"/>
      <c r="D2" s="41"/>
      <c r="E2" s="41"/>
      <c r="F2" s="41"/>
      <c r="G2" s="41"/>
      <c r="H2" s="41"/>
      <c r="I2" s="41"/>
      <c r="J2" s="41"/>
    </row>
    <row r="4" spans="2:12" x14ac:dyDescent="0.3">
      <c r="B4" s="42" t="s">
        <v>154</v>
      </c>
      <c r="C4" s="23"/>
      <c r="D4" s="23"/>
      <c r="E4" s="23"/>
      <c r="F4" s="23"/>
    </row>
    <row r="6" spans="2:12" x14ac:dyDescent="0.3">
      <c r="B6" t="s">
        <v>155</v>
      </c>
    </row>
    <row r="7" spans="2:12" x14ac:dyDescent="0.3">
      <c r="B7" s="43"/>
      <c r="C7" s="43"/>
      <c r="D7" s="43"/>
      <c r="E7" s="43"/>
      <c r="F7" s="43"/>
      <c r="G7" s="43" t="s">
        <v>161</v>
      </c>
      <c r="H7" s="43" t="s">
        <v>161</v>
      </c>
      <c r="I7" s="43" t="s">
        <v>164</v>
      </c>
      <c r="J7" s="43" t="s">
        <v>166</v>
      </c>
    </row>
    <row r="8" spans="2:12" ht="16.2" x14ac:dyDescent="0.3">
      <c r="B8" s="44" t="s">
        <v>156</v>
      </c>
      <c r="C8" s="44" t="s">
        <v>157</v>
      </c>
      <c r="D8" s="44" t="s">
        <v>158</v>
      </c>
      <c r="E8" s="44" t="s">
        <v>159</v>
      </c>
      <c r="F8" s="44" t="s">
        <v>160</v>
      </c>
      <c r="G8" s="44" t="s">
        <v>162</v>
      </c>
      <c r="H8" s="44" t="s">
        <v>163</v>
      </c>
      <c r="I8" s="44" t="s">
        <v>165</v>
      </c>
      <c r="J8" s="44" t="s">
        <v>167</v>
      </c>
    </row>
    <row r="10" spans="2:12" x14ac:dyDescent="0.3">
      <c r="B10" t="s">
        <v>168</v>
      </c>
      <c r="C10" t="s">
        <v>173</v>
      </c>
      <c r="D10" s="46">
        <v>1139</v>
      </c>
      <c r="E10" s="46">
        <v>611503.9</v>
      </c>
      <c r="F10" s="45">
        <v>0.3</v>
      </c>
      <c r="G10" s="48">
        <f>D10/E10</f>
        <v>1.8626209906429051E-3</v>
      </c>
      <c r="H10" s="48">
        <f>D10/(D10+E10)</f>
        <v>1.8591580837711494E-3</v>
      </c>
      <c r="I10" s="46">
        <v>1</v>
      </c>
      <c r="J10" s="49">
        <f>I10/(1+(1-F10)*G10)</f>
        <v>0.99869786307784481</v>
      </c>
    </row>
    <row r="11" spans="2:12" x14ac:dyDescent="0.3">
      <c r="B11" t="s">
        <v>169</v>
      </c>
      <c r="C11" t="s">
        <v>173</v>
      </c>
      <c r="D11" s="47">
        <v>279.89999999999998</v>
      </c>
      <c r="E11" s="46">
        <v>182975</v>
      </c>
      <c r="F11" s="45">
        <v>0.3</v>
      </c>
      <c r="G11" s="48">
        <f t="shared" ref="G11:G14" si="0">D11/E11</f>
        <v>1.5297171744773875E-3</v>
      </c>
      <c r="H11" s="48">
        <f t="shared" ref="H11:H14" si="1">D11/(D11+E11)</f>
        <v>1.5273807139672662E-3</v>
      </c>
      <c r="I11" s="46">
        <v>1</v>
      </c>
      <c r="J11" s="49">
        <f t="shared" ref="J11:J14" si="2">I11/(1+(1-F11)*G11)</f>
        <v>0.99893034336834996</v>
      </c>
    </row>
    <row r="12" spans="2:12" x14ac:dyDescent="0.3">
      <c r="B12" t="s">
        <v>170</v>
      </c>
      <c r="C12" t="s">
        <v>173</v>
      </c>
      <c r="D12" s="46">
        <v>3037.7</v>
      </c>
      <c r="E12" s="46">
        <v>110690</v>
      </c>
      <c r="F12" s="45">
        <v>0.3</v>
      </c>
      <c r="G12" s="48">
        <f t="shared" si="0"/>
        <v>2.7443310145451257E-2</v>
      </c>
      <c r="H12" s="48">
        <f t="shared" si="1"/>
        <v>2.6710291336235585E-2</v>
      </c>
      <c r="I12" s="46">
        <v>1</v>
      </c>
      <c r="J12" s="49">
        <f t="shared" si="2"/>
        <v>0.98115176349819389</v>
      </c>
      <c r="L12" s="58" t="s">
        <v>176</v>
      </c>
    </row>
    <row r="13" spans="2:12" x14ac:dyDescent="0.3">
      <c r="B13" t="s">
        <v>171</v>
      </c>
      <c r="C13" t="s">
        <v>173</v>
      </c>
      <c r="D13" s="46">
        <v>1164.5</v>
      </c>
      <c r="E13" s="46">
        <v>96256.4</v>
      </c>
      <c r="F13" s="45">
        <v>0.3</v>
      </c>
      <c r="G13" s="48">
        <f t="shared" si="0"/>
        <v>1.2097896867117408E-2</v>
      </c>
      <c r="H13" s="48">
        <f t="shared" si="1"/>
        <v>1.1953287230974052E-2</v>
      </c>
      <c r="I13" s="46">
        <v>1</v>
      </c>
      <c r="J13" s="49">
        <f t="shared" si="2"/>
        <v>0.99160258592759665</v>
      </c>
    </row>
    <row r="14" spans="2:12" x14ac:dyDescent="0.3">
      <c r="B14" t="s">
        <v>172</v>
      </c>
      <c r="C14" t="s">
        <v>173</v>
      </c>
      <c r="D14" s="46">
        <v>1068.0999999999999</v>
      </c>
      <c r="E14" s="46">
        <v>94940.4</v>
      </c>
      <c r="F14" s="45">
        <v>0.3</v>
      </c>
      <c r="G14" s="48">
        <f t="shared" si="0"/>
        <v>1.1250215924938172E-2</v>
      </c>
      <c r="H14" s="48">
        <f t="shared" si="1"/>
        <v>1.1125056635610388E-2</v>
      </c>
      <c r="I14" s="46">
        <v>1</v>
      </c>
      <c r="J14" s="49">
        <f t="shared" si="2"/>
        <v>0.9921863822731507</v>
      </c>
    </row>
    <row r="15" spans="2:12" x14ac:dyDescent="0.3">
      <c r="E15" s="50" t="s">
        <v>174</v>
      </c>
      <c r="F15" s="52">
        <f>AVERAGE(F10:F14)</f>
        <v>0.3</v>
      </c>
      <c r="G15" s="54">
        <f t="shared" ref="G15:J15" si="3">AVERAGE(G10:G14)</f>
        <v>1.0836752220525426E-2</v>
      </c>
      <c r="H15" s="54">
        <f t="shared" si="3"/>
        <v>1.063503480011169E-2</v>
      </c>
      <c r="I15" s="56">
        <f t="shared" si="3"/>
        <v>1</v>
      </c>
      <c r="J15" s="56">
        <f t="shared" si="3"/>
        <v>0.9925137876290272</v>
      </c>
    </row>
    <row r="16" spans="2:12" x14ac:dyDescent="0.3">
      <c r="E16" s="51" t="s">
        <v>175</v>
      </c>
      <c r="F16" s="53">
        <f>MEDIAN(F10:F14)</f>
        <v>0.3</v>
      </c>
      <c r="G16" s="55">
        <f t="shared" ref="G16:J16" si="4">MEDIAN(G10:G14)</f>
        <v>1.1250215924938172E-2</v>
      </c>
      <c r="H16" s="55">
        <f t="shared" si="4"/>
        <v>1.1125056635610388E-2</v>
      </c>
      <c r="I16" s="57">
        <f t="shared" si="4"/>
        <v>1</v>
      </c>
      <c r="J16" s="57">
        <f t="shared" si="4"/>
        <v>0.9921863822731507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showGridLines="0" workbookViewId="0">
      <selection activeCell="C9" sqref="C9"/>
    </sheetView>
  </sheetViews>
  <sheetFormatPr defaultRowHeight="14.4" x14ac:dyDescent="0.3"/>
  <cols>
    <col min="1" max="1" width="1.88671875" customWidth="1"/>
    <col min="2" max="2" width="17.33203125" customWidth="1"/>
    <col min="3" max="3" width="15.109375" customWidth="1"/>
    <col min="4" max="4" width="12" customWidth="1"/>
    <col min="5" max="5" width="12.5546875" customWidth="1"/>
    <col min="6" max="6" width="14" customWidth="1"/>
    <col min="7" max="7" width="12.6640625" customWidth="1"/>
    <col min="8" max="8" width="13.33203125" customWidth="1"/>
    <col min="9" max="9" width="10.6640625" customWidth="1"/>
  </cols>
  <sheetData>
    <row r="2" spans="2:10" x14ac:dyDescent="0.3">
      <c r="B2" s="59" t="str">
        <f>"Ratio Analysis - "&amp;UPDATE</f>
        <v>Ratio Analysis - Tata Motors</v>
      </c>
      <c r="C2" s="59"/>
      <c r="D2" s="59"/>
      <c r="E2" s="59"/>
      <c r="F2" s="59"/>
      <c r="G2" s="59"/>
      <c r="H2" s="59"/>
      <c r="I2" s="59"/>
      <c r="J2" s="59"/>
    </row>
    <row r="3" spans="2:10" x14ac:dyDescent="0.3">
      <c r="B3" s="9" t="s">
        <v>57</v>
      </c>
      <c r="C3" s="10">
        <f>'Data Sheet'!E16</f>
        <v>43190</v>
      </c>
      <c r="D3" s="10">
        <f>'Data Sheet'!F16</f>
        <v>43555</v>
      </c>
      <c r="E3" s="10">
        <f>'Data Sheet'!G16</f>
        <v>43921</v>
      </c>
      <c r="F3" s="10">
        <f>'Data Sheet'!H16</f>
        <v>44286</v>
      </c>
      <c r="G3" s="10">
        <f>'Data Sheet'!I16</f>
        <v>44651</v>
      </c>
      <c r="H3" s="10">
        <f>'Data Sheet'!J16</f>
        <v>45016</v>
      </c>
      <c r="I3" s="10">
        <f>'Data Sheet'!K16</f>
        <v>45382</v>
      </c>
      <c r="J3" s="11"/>
    </row>
    <row r="5" spans="2:10" x14ac:dyDescent="0.3">
      <c r="B5" t="s">
        <v>10</v>
      </c>
      <c r="C5" s="32" t="str">
        <f>IFERROR('Financial Statements'!C7,0)</f>
        <v>-</v>
      </c>
      <c r="D5" s="33">
        <f>IFERROR('Financial Statements'!D7,0)</f>
        <v>3.5629919045237185E-2</v>
      </c>
      <c r="E5" s="33">
        <f>IFERROR('Financial Statements'!E7,0)</f>
        <v>-0.135360159555724</v>
      </c>
      <c r="F5" s="33">
        <f>IFERROR('Financial Statements'!F7,0)</f>
        <v>-4.3181168490336062E-2</v>
      </c>
      <c r="G5" s="33">
        <f>IFERROR('Financial Statements'!G7,0)</f>
        <v>0.11472967306158355</v>
      </c>
      <c r="H5" s="33">
        <f>IFERROR('Financial Statements'!H7,0)</f>
        <v>0.24245815155859701</v>
      </c>
      <c r="I5" s="33">
        <f>IFERROR('Financial Statements'!I7,0)</f>
        <v>0.26580803363974326</v>
      </c>
    </row>
    <row r="6" spans="2:10" x14ac:dyDescent="0.3">
      <c r="B6" t="s">
        <v>122</v>
      </c>
      <c r="C6" s="32" t="s">
        <v>60</v>
      </c>
      <c r="D6" s="33">
        <f>IFERROR(('Financial Statements'!D17-'Financial Statements'!C17)/'Financial Statements'!C17,0)</f>
        <v>-0.21595203460649262</v>
      </c>
      <c r="E6" s="33">
        <f>IFERROR(('Financial Statements'!E17-'Financial Statements'!D17)/'Financial Statements'!D17,0)</f>
        <v>-0.27072537547138131</v>
      </c>
      <c r="F6" s="33">
        <f>IFERROR(('Financial Statements'!F17-'Financial Statements'!E17)/'Financial Statements'!E17,0)</f>
        <v>0.79503554497758977</v>
      </c>
      <c r="G6" s="33">
        <f>IFERROR(('Financial Statements'!G17-'Financial Statements'!F17)/'Financial Statements'!F17,0)</f>
        <v>-0.234374182150762</v>
      </c>
      <c r="H6" s="33">
        <f>IFERROR(('Financial Statements'!H17-'Financial Statements'!G17)/'Financial Statements'!G17,0)</f>
        <v>0.28704223973294352</v>
      </c>
      <c r="I6" s="33">
        <f>IFERROR(('Financial Statements'!I17-'Financial Statements'!H17)/'Financial Statements'!H17,0)</f>
        <v>0.87134505497269021</v>
      </c>
    </row>
    <row r="7" spans="2:10" x14ac:dyDescent="0.3">
      <c r="B7" t="s">
        <v>123</v>
      </c>
      <c r="C7" s="32" t="s">
        <v>60</v>
      </c>
      <c r="D7" s="33">
        <f>IFERROR((('Financial Statements'!D26+'Financial Statements'!D20)-('Financial Statements'!C26+'Financial Statements'!C20))/('Financial Statements'!C26+'Financial Statements'!C20),0)</f>
        <v>-0.89159024201112658</v>
      </c>
      <c r="E7" s="33">
        <f>IFERROR((('Financial Statements'!E26+'Financial Statements'!E20)-('Financial Statements'!D26+'Financial Statements'!D20))/('Financial Statements'!D26+'Financial Statements'!D20),0)</f>
        <v>-4.2023470243084402</v>
      </c>
      <c r="F7" s="33">
        <f>IFERROR((('Financial Statements'!F26+'Financial Statements'!F20)-('Financial Statements'!E26+'Financial Statements'!E20))/('Financial Statements'!E26+'Financial Statements'!E20),0)</f>
        <v>-3.5421189171581493</v>
      </c>
      <c r="G7" s="33">
        <f>IFERROR((('Financial Statements'!G26+'Financial Statements'!G20)-('Financial Statements'!F26+'Financial Statements'!F20))/('Financial Statements'!F26+'Financial Statements'!F20),0)</f>
        <v>-1.0132254551112481</v>
      </c>
      <c r="H7" s="33">
        <f>IFERROR((('Financial Statements'!H26+'Financial Statements'!H20)-('Financial Statements'!G26+'Financial Statements'!G20))/('Financial Statements'!G26+'Financial Statements'!G20),0)</f>
        <v>-61.168166089971507</v>
      </c>
      <c r="I7" s="33">
        <f>IFERROR((('Financial Statements'!I26+'Financial Statements'!I20)-('Financial Statements'!H26+'Financial Statements'!H20))/('Financial Statements'!H26+'Financial Statements'!H20),0)</f>
        <v>3.6392765950105552</v>
      </c>
    </row>
    <row r="8" spans="2:10" x14ac:dyDescent="0.3">
      <c r="B8" t="s">
        <v>124</v>
      </c>
      <c r="C8" s="32" t="s">
        <v>60</v>
      </c>
      <c r="D8" s="33">
        <f>IFERROR(('Financial Statements'!D32-'Financial Statements'!C32)/'Financial Statements'!C32,0)</f>
        <v>-3.5528470983790919</v>
      </c>
      <c r="E8" s="33">
        <f>IFERROR(('Financial Statements'!E32-'Financial Statements'!D32)/'Financial Statements'!D32,0)</f>
        <v>3.9286702707513577</v>
      </c>
      <c r="F8" s="33">
        <f>IFERROR(('Financial Statements'!F32-'Financial Statements'!E32)/'Financial Statements'!E32,0)</f>
        <v>-0.82862505348950144</v>
      </c>
      <c r="G8" s="33">
        <f>IFERROR(('Financial Statements'!G32-'Financial Statements'!F32)/'Financial Statements'!F32,0)</f>
        <v>6.1952157445306248</v>
      </c>
      <c r="H8" s="33">
        <f>IFERROR(('Financial Statements'!H32-'Financial Statements'!G32)/'Financial Statements'!G32,0)</f>
        <v>-0.7090436533357708</v>
      </c>
      <c r="I8" s="33">
        <f>IFERROR(('Financial Statements'!I32-'Financial Statements'!H32)/'Financial Statements'!H32,0)</f>
        <v>-7.5761027654059525</v>
      </c>
    </row>
    <row r="9" spans="2:10" x14ac:dyDescent="0.3">
      <c r="B9" t="s">
        <v>125</v>
      </c>
      <c r="C9" s="32" t="s">
        <v>60</v>
      </c>
      <c r="D9" s="33">
        <f>IFERROR(('Financial Statements'!D40-'Financial Statements'!C40)/'Financial Statements'!C40,0)</f>
        <v>0</v>
      </c>
      <c r="E9" s="33">
        <f>IFERROR(('Financial Statements'!E40-'Financial Statements'!D40)/'Financial Statements'!D40,0)</f>
        <v>0</v>
      </c>
      <c r="F9" s="33">
        <f>IFERROR(('Financial Statements'!F40-'Financial Statements'!E40)/'Financial Statements'!E40,0)</f>
        <v>0</v>
      </c>
      <c r="G9" s="33">
        <f>IFERROR(('Financial Statements'!G40-'Financial Statements'!F40)/'Financial Statements'!F40,0)</f>
        <v>0</v>
      </c>
      <c r="H9" s="33">
        <f>IFERROR(('Financial Statements'!H40-'Financial Statements'!G40)/'Financial Statements'!G40,0)</f>
        <v>0</v>
      </c>
      <c r="I9" s="33">
        <f>IFERROR(('Financial Statements'!I40-'Financial Statements'!H40)/'Financial Statements'!H40,0)</f>
        <v>5.0994148647671187</v>
      </c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0"/>
  <sheetViews>
    <sheetView workbookViewId="0">
      <selection activeCell="D14" sqref="D14"/>
    </sheetView>
  </sheetViews>
  <sheetFormatPr defaultRowHeight="14.4" x14ac:dyDescent="0.3"/>
  <cols>
    <col min="1" max="1" width="1.88671875" customWidth="1"/>
    <col min="2" max="2" width="11.6640625" bestFit="1" customWidth="1"/>
  </cols>
  <sheetData>
    <row r="1" spans="2:12" x14ac:dyDescent="0.3">
      <c r="B1" s="60" t="s">
        <v>56</v>
      </c>
      <c r="C1" s="60"/>
      <c r="D1" s="60"/>
      <c r="E1" s="60"/>
      <c r="H1" s="60"/>
      <c r="I1" s="60"/>
      <c r="J1" s="60"/>
      <c r="K1" s="60"/>
    </row>
    <row r="2" spans="2:12" x14ac:dyDescent="0.3">
      <c r="B2" t="s">
        <v>126</v>
      </c>
      <c r="C2" s="32" t="s">
        <v>127</v>
      </c>
      <c r="D2" s="32" t="s">
        <v>1</v>
      </c>
      <c r="E2" t="s">
        <v>128</v>
      </c>
      <c r="I2" s="32"/>
      <c r="J2" s="32"/>
    </row>
    <row r="3" spans="2:12" x14ac:dyDescent="0.3">
      <c r="B3" s="34">
        <v>1</v>
      </c>
      <c r="C3" s="8">
        <v>41334</v>
      </c>
      <c r="D3" s="35">
        <v>188793</v>
      </c>
      <c r="G3" t="s">
        <v>129</v>
      </c>
    </row>
    <row r="4" spans="2:12" ht="15" thickBot="1" x14ac:dyDescent="0.35">
      <c r="B4" s="34">
        <v>2</v>
      </c>
      <c r="C4" s="8">
        <v>41699</v>
      </c>
      <c r="D4" s="35">
        <v>232834</v>
      </c>
      <c r="E4" s="36">
        <f>(D4-D3)/D3</f>
        <v>0.23327665750319132</v>
      </c>
    </row>
    <row r="5" spans="2:12" x14ac:dyDescent="0.3">
      <c r="B5" s="34">
        <v>3</v>
      </c>
      <c r="C5" s="8">
        <v>42064</v>
      </c>
      <c r="D5" s="35">
        <v>263159</v>
      </c>
      <c r="E5" s="36">
        <f t="shared" ref="E5:E14" si="0">(D5-D4)/D4</f>
        <v>0.1302430057465834</v>
      </c>
      <c r="G5" s="40" t="s">
        <v>130</v>
      </c>
      <c r="H5" s="40"/>
    </row>
    <row r="6" spans="2:12" x14ac:dyDescent="0.3">
      <c r="B6" s="34">
        <v>4</v>
      </c>
      <c r="C6" s="8">
        <v>42430</v>
      </c>
      <c r="D6" s="35">
        <v>273046</v>
      </c>
      <c r="E6" s="36">
        <f t="shared" si="0"/>
        <v>3.757044220414274E-2</v>
      </c>
      <c r="G6" t="s">
        <v>131</v>
      </c>
      <c r="H6">
        <v>0.76123386787481151</v>
      </c>
    </row>
    <row r="7" spans="2:12" x14ac:dyDescent="0.3">
      <c r="B7" s="34">
        <v>5</v>
      </c>
      <c r="C7" s="8">
        <v>42795</v>
      </c>
      <c r="D7" s="35">
        <v>269693</v>
      </c>
      <c r="E7" s="36">
        <f t="shared" si="0"/>
        <v>-1.22799821275536E-2</v>
      </c>
      <c r="G7" t="s">
        <v>132</v>
      </c>
      <c r="H7">
        <v>0.57947700159964599</v>
      </c>
    </row>
    <row r="8" spans="2:12" x14ac:dyDescent="0.3">
      <c r="B8" s="34">
        <v>6</v>
      </c>
      <c r="C8" s="8">
        <v>43160</v>
      </c>
      <c r="D8" s="35">
        <v>291550</v>
      </c>
      <c r="E8" s="36">
        <f t="shared" si="0"/>
        <v>8.1044001883623235E-2</v>
      </c>
      <c r="G8" t="s">
        <v>133</v>
      </c>
      <c r="H8">
        <v>0.53742470175961066</v>
      </c>
    </row>
    <row r="9" spans="2:12" x14ac:dyDescent="0.3">
      <c r="B9" s="34">
        <v>7</v>
      </c>
      <c r="C9" s="8">
        <v>43525</v>
      </c>
      <c r="D9" s="35">
        <v>301938</v>
      </c>
      <c r="E9" s="36">
        <f t="shared" si="0"/>
        <v>3.5630252100840337E-2</v>
      </c>
      <c r="G9" t="s">
        <v>134</v>
      </c>
      <c r="H9">
        <v>42058.487905184054</v>
      </c>
    </row>
    <row r="10" spans="2:12" ht="15" thickBot="1" x14ac:dyDescent="0.35">
      <c r="B10" s="34">
        <v>8</v>
      </c>
      <c r="C10" s="8">
        <v>43891</v>
      </c>
      <c r="D10" s="35">
        <v>261068</v>
      </c>
      <c r="E10" s="36">
        <f t="shared" si="0"/>
        <v>-0.13535891474408654</v>
      </c>
      <c r="G10" s="38" t="s">
        <v>135</v>
      </c>
      <c r="H10" s="38">
        <v>12</v>
      </c>
    </row>
    <row r="11" spans="2:12" x14ac:dyDescent="0.3">
      <c r="B11" s="34">
        <v>9</v>
      </c>
      <c r="C11" s="8">
        <v>44256</v>
      </c>
      <c r="D11" s="35">
        <v>249795</v>
      </c>
      <c r="E11" s="36">
        <f t="shared" si="0"/>
        <v>-4.3180320835950789E-2</v>
      </c>
    </row>
    <row r="12" spans="2:12" ht="15" thickBot="1" x14ac:dyDescent="0.35">
      <c r="B12" s="34">
        <v>10</v>
      </c>
      <c r="C12" s="8">
        <v>44621</v>
      </c>
      <c r="D12" s="35">
        <v>278454</v>
      </c>
      <c r="E12" s="36">
        <f t="shared" si="0"/>
        <v>0.11473007866450489</v>
      </c>
      <c r="G12" t="s">
        <v>136</v>
      </c>
    </row>
    <row r="13" spans="2:12" x14ac:dyDescent="0.3">
      <c r="B13" s="34">
        <v>11</v>
      </c>
      <c r="C13" s="8">
        <v>44986</v>
      </c>
      <c r="D13" s="35">
        <v>345967</v>
      </c>
      <c r="E13" s="36">
        <f t="shared" si="0"/>
        <v>0.24245656374122834</v>
      </c>
      <c r="G13" s="39"/>
      <c r="H13" s="39" t="s">
        <v>140</v>
      </c>
      <c r="I13" s="39" t="s">
        <v>141</v>
      </c>
      <c r="J13" s="39" t="s">
        <v>142</v>
      </c>
      <c r="K13" s="39" t="s">
        <v>143</v>
      </c>
      <c r="L13" s="39" t="s">
        <v>144</v>
      </c>
    </row>
    <row r="14" spans="2:12" x14ac:dyDescent="0.3">
      <c r="B14" s="34">
        <v>12</v>
      </c>
      <c r="C14" s="8">
        <v>45352</v>
      </c>
      <c r="D14" s="35">
        <v>437928</v>
      </c>
      <c r="E14" s="36">
        <f t="shared" si="0"/>
        <v>0.26580858868042329</v>
      </c>
      <c r="G14" t="s">
        <v>137</v>
      </c>
      <c r="H14">
        <v>1</v>
      </c>
      <c r="I14">
        <v>24375512832.21154</v>
      </c>
      <c r="J14">
        <v>24375512832.21154</v>
      </c>
      <c r="K14">
        <v>13.779912247461947</v>
      </c>
      <c r="L14">
        <v>4.0271479070391322E-3</v>
      </c>
    </row>
    <row r="15" spans="2:12" x14ac:dyDescent="0.3">
      <c r="B15" s="34">
        <v>13</v>
      </c>
      <c r="C15" s="8">
        <v>45717</v>
      </c>
      <c r="D15">
        <f>$H$19+B15*$H$20</f>
        <v>367715.83333333337</v>
      </c>
      <c r="E15" s="36">
        <f>(D15-D14)/D14</f>
        <v>-0.16032810568556161</v>
      </c>
      <c r="G15" t="s">
        <v>138</v>
      </c>
      <c r="H15">
        <v>10</v>
      </c>
      <c r="I15">
        <v>17689164048.705132</v>
      </c>
      <c r="J15">
        <v>1768916404.8705132</v>
      </c>
    </row>
    <row r="16" spans="2:12" ht="15" thickBot="1" x14ac:dyDescent="0.35">
      <c r="B16" s="34">
        <v>14</v>
      </c>
      <c r="C16" s="8">
        <v>46082</v>
      </c>
      <c r="D16">
        <f t="shared" ref="D16:D19" si="1">$H$19+B16*$H$20</f>
        <v>380771.79487179487</v>
      </c>
      <c r="E16" s="36">
        <f t="shared" ref="E16:E19" si="2">(D16-D15)/D15</f>
        <v>3.5505573475337164E-2</v>
      </c>
      <c r="G16" s="38" t="s">
        <v>13</v>
      </c>
      <c r="H16" s="38">
        <v>11</v>
      </c>
      <c r="I16" s="38">
        <v>42064676880.916672</v>
      </c>
      <c r="J16" s="38"/>
      <c r="K16" s="38"/>
      <c r="L16" s="38"/>
    </row>
    <row r="17" spans="2:15" ht="15" thickBot="1" x14ac:dyDescent="0.35">
      <c r="B17" s="34">
        <v>15</v>
      </c>
      <c r="C17" s="8">
        <v>46447</v>
      </c>
      <c r="D17">
        <f t="shared" si="1"/>
        <v>393827.75641025644</v>
      </c>
      <c r="E17" s="36">
        <f t="shared" si="2"/>
        <v>3.4288152941731091E-2</v>
      </c>
    </row>
    <row r="18" spans="2:15" x14ac:dyDescent="0.3">
      <c r="B18" s="34">
        <v>16</v>
      </c>
      <c r="C18" s="8">
        <v>46813</v>
      </c>
      <c r="D18">
        <f t="shared" si="1"/>
        <v>406883.717948718</v>
      </c>
      <c r="E18" s="36">
        <f t="shared" si="2"/>
        <v>3.3151450922268073E-2</v>
      </c>
      <c r="G18" s="39"/>
      <c r="H18" s="39" t="s">
        <v>145</v>
      </c>
      <c r="I18" s="39" t="s">
        <v>134</v>
      </c>
      <c r="J18" s="39" t="s">
        <v>146</v>
      </c>
      <c r="K18" s="39" t="s">
        <v>147</v>
      </c>
      <c r="L18" s="39" t="s">
        <v>148</v>
      </c>
      <c r="M18" s="39" t="s">
        <v>149</v>
      </c>
      <c r="N18" s="39" t="s">
        <v>150</v>
      </c>
      <c r="O18" s="39" t="s">
        <v>151</v>
      </c>
    </row>
    <row r="19" spans="2:15" x14ac:dyDescent="0.3">
      <c r="B19" s="34">
        <v>17</v>
      </c>
      <c r="C19" s="8">
        <v>47178</v>
      </c>
      <c r="D19">
        <f t="shared" si="1"/>
        <v>419939.6794871795</v>
      </c>
      <c r="E19" s="36">
        <f t="shared" si="2"/>
        <v>3.2087697203226559E-2</v>
      </c>
      <c r="G19" t="s">
        <v>139</v>
      </c>
      <c r="H19">
        <v>197988.33333333331</v>
      </c>
      <c r="I19">
        <v>25885.20992292669</v>
      </c>
      <c r="J19">
        <v>7.6487049524745725</v>
      </c>
      <c r="K19">
        <v>1.7410690428418506E-5</v>
      </c>
      <c r="L19">
        <v>140312.49141223973</v>
      </c>
      <c r="M19">
        <v>255664.1752544269</v>
      </c>
      <c r="N19">
        <v>140312.49141223973</v>
      </c>
      <c r="O19">
        <v>255664.1752544269</v>
      </c>
    </row>
    <row r="20" spans="2:15" ht="15" thickBot="1" x14ac:dyDescent="0.35">
      <c r="C20" s="37"/>
      <c r="G20" s="38" t="s">
        <v>152</v>
      </c>
      <c r="H20" s="38">
        <v>13055.961538461541</v>
      </c>
      <c r="I20" s="38">
        <v>3517.1074463690029</v>
      </c>
      <c r="J20" s="38">
        <v>3.712130418972635</v>
      </c>
      <c r="K20" s="38">
        <v>4.0271479070391279E-3</v>
      </c>
      <c r="L20" s="38">
        <v>5219.357790596534</v>
      </c>
      <c r="M20" s="38">
        <v>20892.56528632655</v>
      </c>
      <c r="N20" s="38">
        <v>5219.357790596534</v>
      </c>
      <c r="O20" s="38">
        <v>20892.56528632655</v>
      </c>
    </row>
  </sheetData>
  <mergeCells count="2">
    <mergeCell ref="B1:E1"/>
    <mergeCell ref="H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33"/>
  <sheetViews>
    <sheetView topLeftCell="A13" workbookViewId="0">
      <selection activeCell="B2" sqref="B2"/>
    </sheetView>
  </sheetViews>
  <sheetFormatPr defaultRowHeight="14.4" x14ac:dyDescent="0.3"/>
  <cols>
    <col min="1" max="1" width="1.88671875" customWidth="1"/>
    <col min="2" max="2" width="28" bestFit="1" customWidth="1"/>
    <col min="3" max="14" width="7.33203125" bestFit="1" customWidth="1"/>
  </cols>
  <sheetData>
    <row r="2" spans="2:14" x14ac:dyDescent="0.3">
      <c r="B2" s="24"/>
      <c r="C2" s="24">
        <v>41334</v>
      </c>
      <c r="D2" s="24">
        <v>41699</v>
      </c>
      <c r="E2" s="24">
        <v>42064</v>
      </c>
      <c r="F2" s="24">
        <v>42430</v>
      </c>
      <c r="G2" s="24">
        <v>42795</v>
      </c>
      <c r="H2" s="24">
        <v>43160</v>
      </c>
      <c r="I2" s="24">
        <v>43525</v>
      </c>
      <c r="J2" s="24">
        <v>43891</v>
      </c>
      <c r="K2" s="24">
        <v>44256</v>
      </c>
      <c r="L2" s="24">
        <v>44621</v>
      </c>
      <c r="M2" s="24">
        <v>44986</v>
      </c>
      <c r="N2" s="24">
        <v>45352</v>
      </c>
    </row>
    <row r="3" spans="2:14" x14ac:dyDescent="0.3">
      <c r="B3" s="25" t="s">
        <v>88</v>
      </c>
      <c r="C3" s="26">
        <v>22163</v>
      </c>
      <c r="D3" s="26">
        <v>36151</v>
      </c>
      <c r="E3" s="26">
        <v>35531</v>
      </c>
      <c r="F3" s="26">
        <v>37900</v>
      </c>
      <c r="G3" s="26">
        <v>30199</v>
      </c>
      <c r="H3" s="26">
        <v>23857</v>
      </c>
      <c r="I3" s="26">
        <v>18891</v>
      </c>
      <c r="J3" s="26">
        <v>26633</v>
      </c>
      <c r="K3" s="26">
        <v>29001</v>
      </c>
      <c r="L3" s="26">
        <v>14283</v>
      </c>
      <c r="M3" s="26">
        <v>35388</v>
      </c>
      <c r="N3" s="26">
        <v>67915</v>
      </c>
    </row>
    <row r="4" spans="2:14" x14ac:dyDescent="0.3">
      <c r="B4" s="25" t="s">
        <v>89</v>
      </c>
      <c r="C4" s="26">
        <v>24406</v>
      </c>
      <c r="D4" s="26">
        <v>36303</v>
      </c>
      <c r="E4" s="26">
        <v>43397</v>
      </c>
      <c r="F4" s="26">
        <v>38626</v>
      </c>
      <c r="G4" s="26">
        <v>28840</v>
      </c>
      <c r="H4" s="26">
        <v>33312</v>
      </c>
      <c r="I4" s="26">
        <v>28771</v>
      </c>
      <c r="J4" s="26">
        <v>23352</v>
      </c>
      <c r="K4" s="26">
        <v>31198</v>
      </c>
      <c r="L4" s="26">
        <v>26943</v>
      </c>
      <c r="M4" s="26">
        <v>41694</v>
      </c>
      <c r="N4" s="26">
        <v>65106</v>
      </c>
    </row>
    <row r="5" spans="2:14" x14ac:dyDescent="0.3">
      <c r="B5" s="25" t="s">
        <v>44</v>
      </c>
      <c r="C5" s="26">
        <v>-5177</v>
      </c>
      <c r="D5" s="25">
        <v>445</v>
      </c>
      <c r="E5" s="26">
        <v>-3179</v>
      </c>
      <c r="F5" s="26">
        <v>-2223</v>
      </c>
      <c r="G5" s="26">
        <v>-4152</v>
      </c>
      <c r="H5" s="26">
        <v>-10688</v>
      </c>
      <c r="I5" s="26">
        <v>-9109</v>
      </c>
      <c r="J5" s="26">
        <v>9950</v>
      </c>
      <c r="K5" s="26">
        <v>-5505</v>
      </c>
      <c r="L5" s="25">
        <v>185</v>
      </c>
      <c r="M5" s="26">
        <v>-2213</v>
      </c>
      <c r="N5" s="26">
        <v>-1875</v>
      </c>
    </row>
    <row r="6" spans="2:14" x14ac:dyDescent="0.3">
      <c r="B6" s="25" t="s">
        <v>30</v>
      </c>
      <c r="C6" s="26">
        <v>-2656</v>
      </c>
      <c r="D6" s="26">
        <v>-2853</v>
      </c>
      <c r="E6" s="26">
        <v>-3692</v>
      </c>
      <c r="F6" s="26">
        <v>-5743</v>
      </c>
      <c r="G6" s="26">
        <v>-6621</v>
      </c>
      <c r="H6" s="26">
        <v>-3560</v>
      </c>
      <c r="I6" s="26">
        <v>2069</v>
      </c>
      <c r="J6" s="26">
        <v>2326</v>
      </c>
      <c r="K6" s="26">
        <v>3814</v>
      </c>
      <c r="L6" s="25">
        <v>472</v>
      </c>
      <c r="M6" s="26">
        <v>-5665</v>
      </c>
      <c r="N6" s="26">
        <v>-7265</v>
      </c>
    </row>
    <row r="7" spans="2:14" x14ac:dyDescent="0.3">
      <c r="B7" s="25" t="s">
        <v>90</v>
      </c>
      <c r="C7" s="26">
        <v>8132</v>
      </c>
      <c r="D7" s="26">
        <v>4694</v>
      </c>
      <c r="E7" s="26">
        <v>3598</v>
      </c>
      <c r="F7" s="26">
        <v>3947</v>
      </c>
      <c r="G7" s="26">
        <v>9301</v>
      </c>
      <c r="H7" s="26">
        <v>7320</v>
      </c>
      <c r="I7" s="26">
        <v>-4692</v>
      </c>
      <c r="J7" s="26">
        <v>-8085</v>
      </c>
      <c r="K7" s="26">
        <v>5748</v>
      </c>
      <c r="L7" s="26">
        <v>-7012</v>
      </c>
      <c r="M7" s="26">
        <v>6945</v>
      </c>
      <c r="N7" s="26">
        <v>13706</v>
      </c>
    </row>
    <row r="8" spans="2:14" x14ac:dyDescent="0.3">
      <c r="B8" s="25" t="s">
        <v>91</v>
      </c>
      <c r="C8" s="25">
        <v>0</v>
      </c>
      <c r="D8" s="25">
        <v>0</v>
      </c>
      <c r="E8" s="25">
        <v>0</v>
      </c>
      <c r="F8" s="25">
        <v>-520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</row>
    <row r="9" spans="2:14" x14ac:dyDescent="0.3">
      <c r="B9" s="25" t="s">
        <v>92</v>
      </c>
      <c r="C9" s="25">
        <v>-303</v>
      </c>
      <c r="D9" s="26">
        <v>1870</v>
      </c>
      <c r="E9" s="25">
        <v>-398</v>
      </c>
      <c r="F9" s="26">
        <v>5852</v>
      </c>
      <c r="G9" s="26">
        <v>4727</v>
      </c>
      <c r="H9" s="25">
        <v>494</v>
      </c>
      <c r="I9" s="26">
        <v>4512</v>
      </c>
      <c r="J9" s="25">
        <v>875</v>
      </c>
      <c r="K9" s="26">
        <v>-4150</v>
      </c>
      <c r="L9" s="26">
        <v>-4396</v>
      </c>
      <c r="M9" s="26">
        <v>-2194</v>
      </c>
      <c r="N9" s="26">
        <v>2760</v>
      </c>
    </row>
    <row r="10" spans="2:14" x14ac:dyDescent="0.3">
      <c r="B10" s="25" t="s">
        <v>93</v>
      </c>
      <c r="C10" s="25">
        <v>-3</v>
      </c>
      <c r="D10" s="26">
        <v>4157</v>
      </c>
      <c r="E10" s="26">
        <v>-3672</v>
      </c>
      <c r="F10" s="26">
        <v>1313</v>
      </c>
      <c r="G10" s="26">
        <v>3254</v>
      </c>
      <c r="H10" s="26">
        <v>-6434</v>
      </c>
      <c r="I10" s="26">
        <v>-7221</v>
      </c>
      <c r="J10" s="26">
        <v>5065</v>
      </c>
      <c r="K10" s="25">
        <v>-93</v>
      </c>
      <c r="L10" s="26">
        <v>-10750</v>
      </c>
      <c r="M10" s="26">
        <v>-3127</v>
      </c>
      <c r="N10" s="26">
        <v>7325</v>
      </c>
    </row>
    <row r="11" spans="2:14" x14ac:dyDescent="0.3">
      <c r="B11" s="25" t="s">
        <v>94</v>
      </c>
      <c r="C11" s="26">
        <v>-2240</v>
      </c>
      <c r="D11" s="26">
        <v>-4308</v>
      </c>
      <c r="E11" s="26">
        <v>-4194</v>
      </c>
      <c r="F11" s="26">
        <v>-2040</v>
      </c>
      <c r="G11" s="26">
        <v>-1895</v>
      </c>
      <c r="H11" s="26">
        <v>-3021</v>
      </c>
      <c r="I11" s="26">
        <v>-2659</v>
      </c>
      <c r="J11" s="26">
        <v>-1785</v>
      </c>
      <c r="K11" s="26">
        <v>-2105</v>
      </c>
      <c r="L11" s="26">
        <v>-1910</v>
      </c>
      <c r="M11" s="26">
        <v>-3179</v>
      </c>
      <c r="N11" s="26">
        <v>-4516</v>
      </c>
    </row>
    <row r="12" spans="2:14" x14ac:dyDescent="0.3">
      <c r="B12" s="25" t="s">
        <v>95</v>
      </c>
      <c r="C12" s="26">
        <v>-22969</v>
      </c>
      <c r="D12" s="26">
        <v>-27991</v>
      </c>
      <c r="E12" s="26">
        <v>-36232</v>
      </c>
      <c r="F12" s="26">
        <v>-36694</v>
      </c>
      <c r="G12" s="26">
        <v>-39571</v>
      </c>
      <c r="H12" s="26">
        <v>-25139</v>
      </c>
      <c r="I12" s="26">
        <v>-20878</v>
      </c>
      <c r="J12" s="26">
        <v>-33115</v>
      </c>
      <c r="K12" s="26">
        <v>-25672</v>
      </c>
      <c r="L12" s="26">
        <v>-4444</v>
      </c>
      <c r="M12" s="26">
        <v>-15417</v>
      </c>
      <c r="N12" s="26">
        <v>-22782</v>
      </c>
    </row>
    <row r="13" spans="2:14" x14ac:dyDescent="0.3">
      <c r="B13" s="25" t="s">
        <v>96</v>
      </c>
      <c r="C13" s="26">
        <v>-18863</v>
      </c>
      <c r="D13" s="26">
        <v>-26975</v>
      </c>
      <c r="E13" s="26">
        <v>-31962</v>
      </c>
      <c r="F13" s="26">
        <v>-31503</v>
      </c>
      <c r="G13" s="26">
        <v>-16072</v>
      </c>
      <c r="H13" s="26">
        <v>-35079</v>
      </c>
      <c r="I13" s="26">
        <v>-35304</v>
      </c>
      <c r="J13" s="26">
        <v>-29702</v>
      </c>
      <c r="K13" s="26">
        <v>-20205</v>
      </c>
      <c r="L13" s="26">
        <v>-15168</v>
      </c>
      <c r="M13" s="26">
        <v>-19230</v>
      </c>
      <c r="N13" s="26">
        <v>-31414</v>
      </c>
    </row>
    <row r="14" spans="2:14" x14ac:dyDescent="0.3">
      <c r="B14" s="25" t="s">
        <v>97</v>
      </c>
      <c r="C14" s="25">
        <v>37</v>
      </c>
      <c r="D14" s="25">
        <v>50</v>
      </c>
      <c r="E14" s="25">
        <v>74</v>
      </c>
      <c r="F14" s="25">
        <v>59</v>
      </c>
      <c r="G14" s="25">
        <v>53</v>
      </c>
      <c r="H14" s="25">
        <v>30</v>
      </c>
      <c r="I14" s="25">
        <v>67</v>
      </c>
      <c r="J14" s="25">
        <v>171</v>
      </c>
      <c r="K14" s="25">
        <v>351</v>
      </c>
      <c r="L14" s="25">
        <v>230</v>
      </c>
      <c r="M14" s="25">
        <v>285</v>
      </c>
      <c r="N14" s="25">
        <v>231</v>
      </c>
    </row>
    <row r="15" spans="2:14" x14ac:dyDescent="0.3">
      <c r="B15" s="25" t="s">
        <v>98</v>
      </c>
      <c r="C15" s="25">
        <v>73</v>
      </c>
      <c r="D15" s="25">
        <v>-429</v>
      </c>
      <c r="E15" s="26">
        <v>-5461</v>
      </c>
      <c r="F15" s="26">
        <v>-4728</v>
      </c>
      <c r="G15" s="25">
        <v>-6</v>
      </c>
      <c r="H15" s="25">
        <v>-329</v>
      </c>
      <c r="I15" s="25">
        <v>-130</v>
      </c>
      <c r="J15" s="26">
        <v>-1439</v>
      </c>
      <c r="K15" s="26">
        <v>-7530</v>
      </c>
      <c r="L15" s="26">
        <v>-3008</v>
      </c>
      <c r="M15" s="25">
        <v>-50</v>
      </c>
      <c r="N15" s="25">
        <v>-74</v>
      </c>
    </row>
    <row r="16" spans="2:14" x14ac:dyDescent="0.3">
      <c r="B16" s="25" t="s">
        <v>99</v>
      </c>
      <c r="C16" s="25">
        <v>34</v>
      </c>
      <c r="D16" s="25">
        <v>4</v>
      </c>
      <c r="E16" s="25">
        <v>42</v>
      </c>
      <c r="F16" s="25">
        <v>89</v>
      </c>
      <c r="G16" s="26">
        <v>1965</v>
      </c>
      <c r="H16" s="26">
        <v>2381</v>
      </c>
      <c r="I16" s="26">
        <v>5644</v>
      </c>
      <c r="J16" s="25">
        <v>21</v>
      </c>
      <c r="K16" s="25">
        <v>226</v>
      </c>
      <c r="L16" s="25">
        <v>104</v>
      </c>
      <c r="M16" s="26">
        <v>6895</v>
      </c>
      <c r="N16" s="26">
        <v>10820</v>
      </c>
    </row>
    <row r="17" spans="2:14" x14ac:dyDescent="0.3">
      <c r="B17" s="25" t="s">
        <v>100</v>
      </c>
      <c r="C17" s="25">
        <v>713</v>
      </c>
      <c r="D17" s="25">
        <v>653</v>
      </c>
      <c r="E17" s="25">
        <v>698</v>
      </c>
      <c r="F17" s="25">
        <v>731</v>
      </c>
      <c r="G17" s="25">
        <v>638</v>
      </c>
      <c r="H17" s="25">
        <v>690</v>
      </c>
      <c r="I17" s="25">
        <v>761</v>
      </c>
      <c r="J17" s="26">
        <v>1104</v>
      </c>
      <c r="K17" s="25">
        <v>428</v>
      </c>
      <c r="L17" s="25">
        <v>653</v>
      </c>
      <c r="M17" s="25">
        <v>973</v>
      </c>
      <c r="N17" s="26">
        <v>2493</v>
      </c>
    </row>
    <row r="18" spans="2:14" x14ac:dyDescent="0.3">
      <c r="B18" s="25" t="s">
        <v>101</v>
      </c>
      <c r="C18" s="25">
        <v>95</v>
      </c>
      <c r="D18" s="25">
        <v>40</v>
      </c>
      <c r="E18" s="25">
        <v>80</v>
      </c>
      <c r="F18" s="25">
        <v>58</v>
      </c>
      <c r="G18" s="25">
        <v>620</v>
      </c>
      <c r="H18" s="26">
        <v>1797</v>
      </c>
      <c r="I18" s="25">
        <v>232</v>
      </c>
      <c r="J18" s="25">
        <v>21</v>
      </c>
      <c r="K18" s="25">
        <v>18</v>
      </c>
      <c r="L18" s="25">
        <v>32</v>
      </c>
      <c r="M18" s="25">
        <v>46</v>
      </c>
      <c r="N18" s="25">
        <v>47</v>
      </c>
    </row>
    <row r="19" spans="2:14" x14ac:dyDescent="0.3">
      <c r="B19" s="25" t="s">
        <v>102</v>
      </c>
      <c r="C19" s="25">
        <v>0</v>
      </c>
      <c r="D19" s="25">
        <v>0</v>
      </c>
      <c r="E19" s="25">
        <v>-160</v>
      </c>
      <c r="F19" s="25">
        <v>0</v>
      </c>
      <c r="G19" s="25">
        <v>-107</v>
      </c>
      <c r="H19" s="25">
        <v>-4</v>
      </c>
      <c r="I19" s="25">
        <v>-9</v>
      </c>
      <c r="J19" s="25">
        <v>-606</v>
      </c>
      <c r="K19" s="25">
        <v>-10</v>
      </c>
      <c r="L19" s="25">
        <v>0</v>
      </c>
      <c r="M19" s="25">
        <v>0</v>
      </c>
      <c r="N19" s="25">
        <v>-150</v>
      </c>
    </row>
    <row r="20" spans="2:14" x14ac:dyDescent="0.3">
      <c r="B20" s="25" t="s">
        <v>103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14</v>
      </c>
      <c r="I20" s="25">
        <v>533</v>
      </c>
      <c r="J20" s="25">
        <v>0</v>
      </c>
      <c r="K20" s="25">
        <v>0</v>
      </c>
      <c r="L20" s="25">
        <v>0</v>
      </c>
      <c r="M20" s="25">
        <v>19</v>
      </c>
      <c r="N20" s="25">
        <v>108</v>
      </c>
    </row>
    <row r="21" spans="2:14" x14ac:dyDescent="0.3">
      <c r="B21" s="25" t="s">
        <v>104</v>
      </c>
      <c r="C21" s="25">
        <v>0</v>
      </c>
      <c r="D21" s="25">
        <v>-185</v>
      </c>
      <c r="E21" s="25">
        <v>0</v>
      </c>
      <c r="F21" s="25">
        <v>-111</v>
      </c>
      <c r="G21" s="25">
        <v>0</v>
      </c>
      <c r="H21" s="25">
        <v>0</v>
      </c>
      <c r="I21" s="25">
        <v>-8</v>
      </c>
      <c r="J21" s="25">
        <v>-27</v>
      </c>
      <c r="K21" s="25">
        <v>0</v>
      </c>
      <c r="L21" s="25">
        <v>-98</v>
      </c>
      <c r="M21" s="25">
        <v>0</v>
      </c>
      <c r="N21" s="25">
        <v>0</v>
      </c>
    </row>
    <row r="22" spans="2:14" x14ac:dyDescent="0.3">
      <c r="B22" s="25" t="s">
        <v>105</v>
      </c>
      <c r="C22" s="25">
        <v>45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-24</v>
      </c>
    </row>
    <row r="23" spans="2:14" x14ac:dyDescent="0.3">
      <c r="B23" s="25" t="s">
        <v>106</v>
      </c>
      <c r="C23" s="26">
        <v>-5103</v>
      </c>
      <c r="D23" s="26">
        <v>-1149</v>
      </c>
      <c r="E23" s="25">
        <v>456</v>
      </c>
      <c r="F23" s="26">
        <v>-1289</v>
      </c>
      <c r="G23" s="26">
        <v>-26663</v>
      </c>
      <c r="H23" s="26">
        <v>5360</v>
      </c>
      <c r="I23" s="26">
        <v>7335</v>
      </c>
      <c r="J23" s="26">
        <v>-2659</v>
      </c>
      <c r="K23" s="26">
        <v>1051</v>
      </c>
      <c r="L23" s="26">
        <v>12813</v>
      </c>
      <c r="M23" s="26">
        <v>-4357</v>
      </c>
      <c r="N23" s="26">
        <v>-4817</v>
      </c>
    </row>
    <row r="24" spans="2:14" x14ac:dyDescent="0.3">
      <c r="B24" s="25" t="s">
        <v>107</v>
      </c>
      <c r="C24" s="26">
        <v>-1692</v>
      </c>
      <c r="D24" s="26">
        <v>-3883</v>
      </c>
      <c r="E24" s="26">
        <v>5201</v>
      </c>
      <c r="F24" s="26">
        <v>-3795</v>
      </c>
      <c r="G24" s="26">
        <v>6205</v>
      </c>
      <c r="H24" s="26">
        <v>2012</v>
      </c>
      <c r="I24" s="26">
        <v>8830</v>
      </c>
      <c r="J24" s="26">
        <v>3390</v>
      </c>
      <c r="K24" s="26">
        <v>9904</v>
      </c>
      <c r="L24" s="26">
        <v>-3380</v>
      </c>
      <c r="M24" s="26">
        <v>-26243</v>
      </c>
      <c r="N24" s="26">
        <v>-37006</v>
      </c>
    </row>
    <row r="25" spans="2:14" x14ac:dyDescent="0.3">
      <c r="B25" s="25" t="s">
        <v>108</v>
      </c>
      <c r="C25" s="25">
        <v>1</v>
      </c>
      <c r="D25" s="25">
        <v>0</v>
      </c>
      <c r="E25" s="25">
        <v>0</v>
      </c>
      <c r="F25" s="26">
        <v>7433</v>
      </c>
      <c r="G25" s="25">
        <v>5</v>
      </c>
      <c r="H25" s="25">
        <v>0</v>
      </c>
      <c r="I25" s="25">
        <v>0</v>
      </c>
      <c r="J25" s="26">
        <v>3889</v>
      </c>
      <c r="K25" s="26">
        <v>2603</v>
      </c>
      <c r="L25" s="25">
        <v>19</v>
      </c>
      <c r="M25" s="25">
        <v>20</v>
      </c>
      <c r="N25" s="25">
        <v>82</v>
      </c>
    </row>
    <row r="26" spans="2:14" x14ac:dyDescent="0.3">
      <c r="B26" s="25" t="s">
        <v>109</v>
      </c>
      <c r="C26" s="25">
        <v>-97</v>
      </c>
      <c r="D26" s="25">
        <v>-658</v>
      </c>
      <c r="E26" s="25">
        <v>-744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2:14" x14ac:dyDescent="0.3">
      <c r="B27" s="25" t="s">
        <v>110</v>
      </c>
      <c r="C27" s="26">
        <v>27863</v>
      </c>
      <c r="D27" s="26">
        <v>33258</v>
      </c>
      <c r="E27" s="26">
        <v>36363</v>
      </c>
      <c r="F27" s="26">
        <v>19519</v>
      </c>
      <c r="G27" s="26">
        <v>33390</v>
      </c>
      <c r="H27" s="26">
        <v>37482</v>
      </c>
      <c r="I27" s="26">
        <v>51128</v>
      </c>
      <c r="J27" s="26">
        <v>38297</v>
      </c>
      <c r="K27" s="26">
        <v>46641</v>
      </c>
      <c r="L27" s="26">
        <v>46578</v>
      </c>
      <c r="M27" s="26">
        <v>43934</v>
      </c>
      <c r="N27" s="26">
        <v>18747</v>
      </c>
    </row>
    <row r="28" spans="2:14" x14ac:dyDescent="0.3">
      <c r="B28" s="25" t="s">
        <v>111</v>
      </c>
      <c r="C28" s="26">
        <v>-20395</v>
      </c>
      <c r="D28" s="26">
        <v>-29141</v>
      </c>
      <c r="E28" s="26">
        <v>-23332</v>
      </c>
      <c r="F28" s="26">
        <v>-24924</v>
      </c>
      <c r="G28" s="26">
        <v>-21732</v>
      </c>
      <c r="H28" s="26">
        <v>-29964</v>
      </c>
      <c r="I28" s="26">
        <v>-35198</v>
      </c>
      <c r="J28" s="26">
        <v>-29847</v>
      </c>
      <c r="K28" s="26">
        <v>-29709</v>
      </c>
      <c r="L28" s="26">
        <v>-42816</v>
      </c>
      <c r="M28" s="26">
        <v>-62557</v>
      </c>
      <c r="N28" s="26">
        <v>-47332</v>
      </c>
    </row>
    <row r="29" spans="2:14" x14ac:dyDescent="0.3">
      <c r="B29" s="25" t="s">
        <v>112</v>
      </c>
      <c r="C29" s="26">
        <v>-4666</v>
      </c>
      <c r="D29" s="26">
        <v>-6171</v>
      </c>
      <c r="E29" s="26">
        <v>-6307</v>
      </c>
      <c r="F29" s="26">
        <v>-5716</v>
      </c>
      <c r="G29" s="26">
        <v>-5336</v>
      </c>
      <c r="H29" s="26">
        <v>-5411</v>
      </c>
      <c r="I29" s="26">
        <v>-7005</v>
      </c>
      <c r="J29" s="26">
        <v>-7518</v>
      </c>
      <c r="K29" s="26">
        <v>-8123</v>
      </c>
      <c r="L29" s="26">
        <v>-9251</v>
      </c>
      <c r="M29" s="26">
        <v>-9336</v>
      </c>
      <c r="N29" s="26">
        <v>-9332</v>
      </c>
    </row>
    <row r="30" spans="2:14" x14ac:dyDescent="0.3">
      <c r="B30" s="25" t="s">
        <v>113</v>
      </c>
      <c r="C30" s="26">
        <v>-1551</v>
      </c>
      <c r="D30" s="25">
        <v>-722</v>
      </c>
      <c r="E30" s="25">
        <v>-720</v>
      </c>
      <c r="F30" s="25">
        <v>-108</v>
      </c>
      <c r="G30" s="25">
        <v>-121</v>
      </c>
      <c r="H30" s="25">
        <v>-96</v>
      </c>
      <c r="I30" s="25">
        <v>-95</v>
      </c>
      <c r="J30" s="25">
        <v>-57</v>
      </c>
      <c r="K30" s="25">
        <v>-30</v>
      </c>
      <c r="L30" s="25">
        <v>-100</v>
      </c>
      <c r="M30" s="25">
        <v>-141</v>
      </c>
      <c r="N30" s="26">
        <v>-1059</v>
      </c>
    </row>
    <row r="31" spans="2:14" x14ac:dyDescent="0.3">
      <c r="B31" s="25" t="s">
        <v>114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6">
        <v>-1346</v>
      </c>
      <c r="K31" s="26">
        <v>-1477</v>
      </c>
      <c r="L31" s="26">
        <v>-1559</v>
      </c>
      <c r="M31" s="26">
        <v>-1517</v>
      </c>
      <c r="N31" s="26">
        <v>-1924</v>
      </c>
    </row>
    <row r="32" spans="2:14" x14ac:dyDescent="0.3">
      <c r="B32" s="25" t="s">
        <v>115</v>
      </c>
      <c r="C32" s="26">
        <v>-2849</v>
      </c>
      <c r="D32" s="25">
        <v>-450</v>
      </c>
      <c r="E32" s="25">
        <v>-57</v>
      </c>
      <c r="F32" s="25">
        <v>0</v>
      </c>
      <c r="G32" s="25">
        <v>0</v>
      </c>
      <c r="H32" s="25">
        <v>0</v>
      </c>
      <c r="I32" s="25">
        <v>0</v>
      </c>
      <c r="J32" s="25">
        <v>-29</v>
      </c>
      <c r="K32" s="25">
        <v>0</v>
      </c>
      <c r="L32" s="26">
        <v>3750</v>
      </c>
      <c r="M32" s="26">
        <v>3355</v>
      </c>
      <c r="N32" s="26">
        <v>3812</v>
      </c>
    </row>
    <row r="33" spans="2:14" x14ac:dyDescent="0.3">
      <c r="B33" s="25" t="s">
        <v>21</v>
      </c>
      <c r="C33" s="26">
        <v>-2499</v>
      </c>
      <c r="D33" s="26">
        <v>4277</v>
      </c>
      <c r="E33" s="26">
        <v>4500</v>
      </c>
      <c r="F33" s="26">
        <v>-2589</v>
      </c>
      <c r="G33" s="26">
        <v>-3167</v>
      </c>
      <c r="H33" s="25">
        <v>730</v>
      </c>
      <c r="I33" s="26">
        <v>6843</v>
      </c>
      <c r="J33" s="26">
        <v>-3092</v>
      </c>
      <c r="K33" s="26">
        <v>13232</v>
      </c>
      <c r="L33" s="26">
        <v>6459</v>
      </c>
      <c r="M33" s="26">
        <v>-6272</v>
      </c>
      <c r="N33" s="26">
        <v>8128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92" activePane="bottomRight" state="frozen"/>
      <selection activeCell="C4" sqref="C4"/>
      <selection pane="topRight" activeCell="C4" sqref="C4"/>
      <selection pane="bottomLeft" activeCell="C4" sqref="C4"/>
      <selection pane="bottomRight" activeCell="E66" sqref="E66"/>
    </sheetView>
  </sheetViews>
  <sheetFormatPr defaultColWidth="8.88671875" defaultRowHeight="14.4" x14ac:dyDescent="0.3"/>
  <cols>
    <col min="1" max="1" width="27.6640625" style="2" bestFit="1" customWidth="1"/>
    <col min="2" max="11" width="13.44140625" style="2" bestFit="1" customWidth="1"/>
    <col min="12" max="16384" width="8.88671875" style="2"/>
  </cols>
  <sheetData>
    <row r="1" spans="1:11" s="1" customFormat="1" x14ac:dyDescent="0.3">
      <c r="A1" s="1" t="s">
        <v>0</v>
      </c>
      <c r="B1" s="1" t="s">
        <v>34</v>
      </c>
      <c r="E1" s="61" t="s">
        <v>56</v>
      </c>
      <c r="F1" s="61"/>
      <c r="G1" s="61"/>
      <c r="H1" s="61"/>
      <c r="I1" s="61"/>
      <c r="J1" s="61"/>
      <c r="K1" s="61"/>
    </row>
    <row r="2" spans="1:11" x14ac:dyDescent="0.3">
      <c r="A2" s="1" t="s">
        <v>32</v>
      </c>
      <c r="B2" s="2">
        <v>2.1</v>
      </c>
      <c r="E2" s="62" t="s">
        <v>22</v>
      </c>
      <c r="F2" s="62"/>
      <c r="G2" s="62"/>
      <c r="H2" s="62"/>
      <c r="I2" s="62"/>
      <c r="J2" s="62"/>
      <c r="K2" s="62"/>
    </row>
    <row r="3" spans="1:11" x14ac:dyDescent="0.3">
      <c r="A3" s="1" t="s">
        <v>33</v>
      </c>
      <c r="B3" s="2">
        <v>2.1</v>
      </c>
    </row>
    <row r="4" spans="1:11" x14ac:dyDescent="0.3">
      <c r="A4" s="1"/>
    </row>
    <row r="5" spans="1:11" x14ac:dyDescent="0.3">
      <c r="A5" s="1" t="s">
        <v>35</v>
      </c>
    </row>
    <row r="6" spans="1:11" x14ac:dyDescent="0.3">
      <c r="A6" s="2" t="s">
        <v>28</v>
      </c>
      <c r="B6" s="2">
        <f>IF(B9&gt;0, B9/B8, 0)</f>
        <v>366.4457580267914</v>
      </c>
    </row>
    <row r="7" spans="1:11" x14ac:dyDescent="0.3">
      <c r="A7" s="2" t="s">
        <v>17</v>
      </c>
      <c r="B7">
        <v>2</v>
      </c>
    </row>
    <row r="8" spans="1:11" x14ac:dyDescent="0.3">
      <c r="A8" s="2" t="s">
        <v>29</v>
      </c>
      <c r="B8">
        <v>940.6</v>
      </c>
    </row>
    <row r="9" spans="1:11" x14ac:dyDescent="0.3">
      <c r="A9" s="2" t="s">
        <v>45</v>
      </c>
      <c r="B9">
        <v>344678.88</v>
      </c>
    </row>
    <row r="15" spans="1:11" x14ac:dyDescent="0.3">
      <c r="A15" s="1" t="s">
        <v>23</v>
      </c>
    </row>
    <row r="16" spans="1:11" s="6" customFormat="1" x14ac:dyDescent="0.3">
      <c r="A16" s="5" t="s">
        <v>24</v>
      </c>
      <c r="B16" s="4">
        <v>42094</v>
      </c>
      <c r="C16" s="4">
        <v>42460</v>
      </c>
      <c r="D16" s="4">
        <v>42825</v>
      </c>
      <c r="E16" s="4">
        <v>43190</v>
      </c>
      <c r="F16" s="4">
        <v>43555</v>
      </c>
      <c r="G16" s="4">
        <v>43921</v>
      </c>
      <c r="H16" s="4">
        <v>44286</v>
      </c>
      <c r="I16" s="4">
        <v>44651</v>
      </c>
      <c r="J16" s="4">
        <v>45016</v>
      </c>
      <c r="K16" s="4">
        <v>45382</v>
      </c>
    </row>
    <row r="17" spans="1:11" s="3" customFormat="1" x14ac:dyDescent="0.3">
      <c r="A17" s="3" t="s">
        <v>1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3" customFormat="1" x14ac:dyDescent="0.3">
      <c r="A18" s="2" t="s">
        <v>46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3" customFormat="1" x14ac:dyDescent="0.3">
      <c r="A19" s="2" t="s">
        <v>47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3" customFormat="1" x14ac:dyDescent="0.3">
      <c r="A20" s="2" t="s">
        <v>48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  <c r="K20">
        <v>2195.12</v>
      </c>
    </row>
    <row r="21" spans="1:11" s="3" customFormat="1" x14ac:dyDescent="0.3">
      <c r="A21" s="2" t="s">
        <v>49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  <c r="K21">
        <v>17114.330000000002</v>
      </c>
    </row>
    <row r="22" spans="1:11" s="3" customFormat="1" x14ac:dyDescent="0.3">
      <c r="A22" s="2" t="s">
        <v>50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3" customFormat="1" x14ac:dyDescent="0.3">
      <c r="A23" s="2" t="s">
        <v>51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1" s="3" customFormat="1" x14ac:dyDescent="0.3">
      <c r="A24" s="2" t="s">
        <v>52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1072.31</v>
      </c>
    </row>
    <row r="25" spans="1:11" s="3" customFormat="1" x14ac:dyDescent="0.3">
      <c r="A25" s="3" t="s">
        <v>4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6663.97</v>
      </c>
      <c r="K25">
        <v>5672.66</v>
      </c>
    </row>
    <row r="26" spans="1:11" s="3" customFormat="1" x14ac:dyDescent="0.3">
      <c r="A26" s="3" t="s">
        <v>5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3" customFormat="1" x14ac:dyDescent="0.3">
      <c r="A27" s="3" t="s">
        <v>6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3" customFormat="1" x14ac:dyDescent="0.3">
      <c r="A28" s="3" t="s">
        <v>7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3393.93</v>
      </c>
      <c r="K28">
        <v>27955.11</v>
      </c>
    </row>
    <row r="29" spans="1:11" s="3" customFormat="1" x14ac:dyDescent="0.3">
      <c r="A29" s="3" t="s">
        <v>8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3" customFormat="1" x14ac:dyDescent="0.3">
      <c r="A30" s="3" t="s">
        <v>9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3" customFormat="1" x14ac:dyDescent="0.3">
      <c r="A31" s="3" t="s">
        <v>36</v>
      </c>
      <c r="C31">
        <v>67.92</v>
      </c>
      <c r="J31">
        <v>766.02</v>
      </c>
      <c r="K31">
        <v>4675.6499999999996</v>
      </c>
    </row>
    <row r="32" spans="1:11" s="3" customFormat="1" x14ac:dyDescent="0.3"/>
    <row r="33" spans="1:11" x14ac:dyDescent="0.3">
      <c r="A33" s="3"/>
    </row>
    <row r="34" spans="1:11" x14ac:dyDescent="0.3">
      <c r="A34" s="3"/>
    </row>
    <row r="35" spans="1:11" x14ac:dyDescent="0.3">
      <c r="A35" s="3"/>
    </row>
    <row r="36" spans="1:11" x14ac:dyDescent="0.3">
      <c r="A36" s="3"/>
    </row>
    <row r="37" spans="1:11" x14ac:dyDescent="0.3">
      <c r="A37" s="3"/>
    </row>
    <row r="38" spans="1:11" x14ac:dyDescent="0.3">
      <c r="A38" s="3"/>
    </row>
    <row r="39" spans="1:11" x14ac:dyDescent="0.3">
      <c r="A39" s="3"/>
    </row>
    <row r="40" spans="1:11" x14ac:dyDescent="0.3">
      <c r="A40" s="1" t="s">
        <v>25</v>
      </c>
    </row>
    <row r="41" spans="1:11" s="6" customFormat="1" x14ac:dyDescent="0.3">
      <c r="A41" s="5" t="s">
        <v>24</v>
      </c>
      <c r="B41" s="4">
        <v>44561</v>
      </c>
      <c r="C41" s="4">
        <v>44651</v>
      </c>
      <c r="D41" s="4">
        <v>44742</v>
      </c>
      <c r="E41" s="4">
        <v>44834</v>
      </c>
      <c r="F41" s="4">
        <v>44926</v>
      </c>
      <c r="G41" s="4">
        <v>45016</v>
      </c>
      <c r="H41" s="4">
        <v>45107</v>
      </c>
      <c r="I41" s="4">
        <v>45199</v>
      </c>
      <c r="J41" s="4">
        <v>45291</v>
      </c>
      <c r="K41" s="4">
        <v>45382</v>
      </c>
    </row>
    <row r="42" spans="1:11" s="3" customFormat="1" x14ac:dyDescent="0.3">
      <c r="A42" s="3" t="s">
        <v>1</v>
      </c>
      <c r="B42">
        <v>72229.289999999994</v>
      </c>
      <c r="C42">
        <v>78439.06</v>
      </c>
      <c r="D42">
        <v>71934.66</v>
      </c>
      <c r="E42">
        <v>79611.37</v>
      </c>
      <c r="F42">
        <v>88488.59</v>
      </c>
      <c r="G42">
        <v>105932.35</v>
      </c>
      <c r="H42">
        <v>102236.08</v>
      </c>
      <c r="I42">
        <v>105128.24</v>
      </c>
      <c r="J42">
        <v>110577.14</v>
      </c>
      <c r="K42">
        <v>119986.31</v>
      </c>
    </row>
    <row r="43" spans="1:11" s="3" customFormat="1" x14ac:dyDescent="0.3">
      <c r="A43" s="3" t="s">
        <v>2</v>
      </c>
      <c r="B43">
        <v>65151.27</v>
      </c>
      <c r="C43">
        <v>70156.27</v>
      </c>
      <c r="D43">
        <v>69521.929999999993</v>
      </c>
      <c r="E43">
        <v>74039.06</v>
      </c>
      <c r="F43">
        <v>77668.350000000006</v>
      </c>
      <c r="G43">
        <v>92817.95</v>
      </c>
      <c r="H43">
        <v>89018.36</v>
      </c>
      <c r="I43">
        <v>91361.3</v>
      </c>
      <c r="J43">
        <v>95158.77</v>
      </c>
      <c r="K43">
        <v>102851</v>
      </c>
    </row>
    <row r="44" spans="1:11" s="3" customFormat="1" x14ac:dyDescent="0.3">
      <c r="A44" s="3" t="s">
        <v>4</v>
      </c>
      <c r="B44">
        <v>788.73</v>
      </c>
      <c r="C44">
        <v>188.74</v>
      </c>
      <c r="D44">
        <v>2380.98</v>
      </c>
      <c r="E44">
        <v>1351.14</v>
      </c>
      <c r="F44">
        <v>1129.98</v>
      </c>
      <c r="G44">
        <v>1452.86</v>
      </c>
      <c r="H44">
        <v>683.56</v>
      </c>
      <c r="I44">
        <v>1507.05</v>
      </c>
      <c r="J44">
        <v>1603.76</v>
      </c>
      <c r="K44">
        <v>1618.3</v>
      </c>
    </row>
    <row r="45" spans="1:11" s="3" customFormat="1" x14ac:dyDescent="0.3">
      <c r="A45" s="3" t="s">
        <v>5</v>
      </c>
      <c r="B45">
        <v>6078.13</v>
      </c>
      <c r="C45">
        <v>6432.11</v>
      </c>
      <c r="D45">
        <v>5841.04</v>
      </c>
      <c r="E45">
        <v>5897.34</v>
      </c>
      <c r="F45">
        <v>6071.78</v>
      </c>
      <c r="G45">
        <v>7050.2</v>
      </c>
      <c r="H45">
        <v>6633.18</v>
      </c>
      <c r="I45">
        <v>6636.42</v>
      </c>
      <c r="J45">
        <v>6850</v>
      </c>
      <c r="K45">
        <v>7150.53</v>
      </c>
    </row>
    <row r="46" spans="1:11" s="3" customFormat="1" x14ac:dyDescent="0.3">
      <c r="A46" s="3" t="s">
        <v>6</v>
      </c>
      <c r="B46">
        <v>2400.7399999999998</v>
      </c>
      <c r="C46">
        <v>2380.52</v>
      </c>
      <c r="D46">
        <v>2420.7199999999998</v>
      </c>
      <c r="E46">
        <v>2487.2600000000002</v>
      </c>
      <c r="F46">
        <v>2675.83</v>
      </c>
      <c r="G46">
        <v>2641.67</v>
      </c>
      <c r="H46">
        <v>2615.39</v>
      </c>
      <c r="I46">
        <v>2651.69</v>
      </c>
      <c r="J46">
        <v>2484.91</v>
      </c>
      <c r="K46">
        <v>2233.77</v>
      </c>
    </row>
    <row r="47" spans="1:11" s="3" customFormat="1" x14ac:dyDescent="0.3">
      <c r="A47" s="3" t="s">
        <v>7</v>
      </c>
      <c r="B47">
        <v>-612.12</v>
      </c>
      <c r="C47">
        <v>-341.1</v>
      </c>
      <c r="D47">
        <v>-3468.05</v>
      </c>
      <c r="E47">
        <v>-1461.15</v>
      </c>
      <c r="F47">
        <v>3202.61</v>
      </c>
      <c r="G47">
        <v>4875.3900000000003</v>
      </c>
      <c r="H47">
        <v>4652.71</v>
      </c>
      <c r="I47">
        <v>5985.88</v>
      </c>
      <c r="J47">
        <v>7687.22</v>
      </c>
      <c r="K47">
        <v>9369.31</v>
      </c>
    </row>
    <row r="48" spans="1:11" s="3" customFormat="1" x14ac:dyDescent="0.3">
      <c r="A48" s="3" t="s">
        <v>8</v>
      </c>
      <c r="B48">
        <v>726.05</v>
      </c>
      <c r="C48">
        <v>758.22</v>
      </c>
      <c r="D48">
        <v>1518.96</v>
      </c>
      <c r="E48">
        <v>-457.08</v>
      </c>
      <c r="F48">
        <v>262.83</v>
      </c>
      <c r="G48">
        <v>-620.65</v>
      </c>
      <c r="H48">
        <v>1563.01</v>
      </c>
      <c r="I48">
        <v>2202.84</v>
      </c>
      <c r="J48">
        <v>541.79</v>
      </c>
      <c r="K48">
        <v>-8159.28</v>
      </c>
    </row>
    <row r="49" spans="1:11" s="3" customFormat="1" x14ac:dyDescent="0.3">
      <c r="A49" s="3" t="s">
        <v>9</v>
      </c>
      <c r="B49">
        <v>-1516.14</v>
      </c>
      <c r="C49">
        <v>-1032.8399999999999</v>
      </c>
      <c r="D49">
        <v>-5006.6000000000004</v>
      </c>
      <c r="E49">
        <v>-944.61</v>
      </c>
      <c r="F49">
        <v>2957.71</v>
      </c>
      <c r="G49">
        <v>5407.79</v>
      </c>
      <c r="H49">
        <v>3202.8</v>
      </c>
      <c r="I49">
        <v>3764</v>
      </c>
      <c r="J49">
        <v>7025.11</v>
      </c>
      <c r="K49">
        <v>17407.18</v>
      </c>
    </row>
    <row r="50" spans="1:11" x14ac:dyDescent="0.3">
      <c r="A50" s="3" t="s">
        <v>3</v>
      </c>
      <c r="B50">
        <v>7078.02</v>
      </c>
      <c r="C50">
        <v>8282.7900000000009</v>
      </c>
      <c r="D50">
        <v>2412.73</v>
      </c>
      <c r="E50">
        <v>5572.31</v>
      </c>
      <c r="F50">
        <v>10820.24</v>
      </c>
      <c r="G50">
        <v>13114.4</v>
      </c>
      <c r="H50">
        <v>13217.72</v>
      </c>
      <c r="I50">
        <v>13766.94</v>
      </c>
      <c r="J50">
        <v>15418.37</v>
      </c>
      <c r="K50">
        <v>17135.310000000001</v>
      </c>
    </row>
    <row r="51" spans="1:11" x14ac:dyDescent="0.3">
      <c r="A51" s="3"/>
    </row>
    <row r="52" spans="1:11" x14ac:dyDescent="0.3">
      <c r="A52" s="3"/>
    </row>
    <row r="53" spans="1:11" x14ac:dyDescent="0.3">
      <c r="A53" s="3"/>
    </row>
    <row r="54" spans="1:11" x14ac:dyDescent="0.3">
      <c r="A54" s="3"/>
    </row>
    <row r="55" spans="1:11" x14ac:dyDescent="0.3">
      <c r="A55" s="1" t="s">
        <v>26</v>
      </c>
    </row>
    <row r="56" spans="1:11" s="6" customFormat="1" x14ac:dyDescent="0.3">
      <c r="A56" s="5" t="s">
        <v>24</v>
      </c>
      <c r="B56" s="4">
        <v>42094</v>
      </c>
      <c r="C56" s="4">
        <v>42460</v>
      </c>
      <c r="D56" s="4">
        <v>42825</v>
      </c>
      <c r="E56" s="4">
        <v>43190</v>
      </c>
      <c r="F56" s="4">
        <v>43555</v>
      </c>
      <c r="G56" s="4">
        <v>43921</v>
      </c>
      <c r="H56" s="4">
        <v>44286</v>
      </c>
      <c r="I56" s="4">
        <v>44651</v>
      </c>
      <c r="J56" s="4">
        <v>45016</v>
      </c>
      <c r="K56" s="4">
        <v>45382</v>
      </c>
    </row>
    <row r="57" spans="1:11" x14ac:dyDescent="0.3">
      <c r="A57" s="3" t="s">
        <v>11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3">
      <c r="A58" s="3" t="s">
        <v>12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3">
      <c r="A59" s="3" t="s">
        <v>37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3">
      <c r="A60" s="3" t="s">
        <v>38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177340.09</v>
      </c>
    </row>
    <row r="61" spans="1:11" s="1" customFormat="1" x14ac:dyDescent="0.3">
      <c r="A61" s="1" t="s">
        <v>13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3">
      <c r="A62" s="3" t="s">
        <v>14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121285.46</v>
      </c>
    </row>
    <row r="63" spans="1:11" x14ac:dyDescent="0.3">
      <c r="A63" s="3" t="s">
        <v>15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3">
      <c r="A64" s="3" t="s">
        <v>16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3">
      <c r="A65" s="3" t="s">
        <v>39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189565.65</v>
      </c>
    </row>
    <row r="66" spans="1:11" s="1" customFormat="1" x14ac:dyDescent="0.3">
      <c r="A66" s="1" t="s">
        <v>13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1" s="3" customFormat="1" x14ac:dyDescent="0.3">
      <c r="A67" s="3" t="s">
        <v>44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3">
      <c r="A68" s="3" t="s">
        <v>30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3">
      <c r="A69" s="2" t="s">
        <v>53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3">
      <c r="A70" s="2" t="s">
        <v>40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  <c r="K70">
        <v>3832491897</v>
      </c>
    </row>
    <row r="71" spans="1:11" x14ac:dyDescent="0.3">
      <c r="A71" s="2" t="s">
        <v>41</v>
      </c>
    </row>
    <row r="72" spans="1:11" x14ac:dyDescent="0.3">
      <c r="A72" s="2" t="s">
        <v>54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3"/>
    </row>
    <row r="75" spans="1:11" x14ac:dyDescent="0.3">
      <c r="A75" s="3"/>
    </row>
    <row r="76" spans="1:11" x14ac:dyDescent="0.3">
      <c r="A76" s="3"/>
    </row>
    <row r="77" spans="1:11" x14ac:dyDescent="0.3">
      <c r="A77" s="3"/>
    </row>
    <row r="78" spans="1:11" x14ac:dyDescent="0.3">
      <c r="A78" s="3"/>
    </row>
    <row r="79" spans="1:11" x14ac:dyDescent="0.3">
      <c r="A79" s="3"/>
    </row>
    <row r="80" spans="1:11" x14ac:dyDescent="0.3">
      <c r="A80" s="1" t="s">
        <v>27</v>
      </c>
    </row>
    <row r="81" spans="1:11" s="6" customFormat="1" x14ac:dyDescent="0.3">
      <c r="A81" s="5" t="s">
        <v>24</v>
      </c>
      <c r="B81" s="4">
        <v>42094</v>
      </c>
      <c r="C81" s="4">
        <v>42460</v>
      </c>
      <c r="D81" s="4">
        <v>42825</v>
      </c>
      <c r="E81" s="4">
        <v>43190</v>
      </c>
      <c r="F81" s="4">
        <v>43555</v>
      </c>
      <c r="G81" s="4">
        <v>43921</v>
      </c>
      <c r="H81" s="4">
        <v>44286</v>
      </c>
      <c r="I81" s="4">
        <v>44651</v>
      </c>
      <c r="J81" s="4">
        <v>45016</v>
      </c>
      <c r="K81" s="4">
        <v>45382</v>
      </c>
    </row>
    <row r="82" spans="1:11" s="1" customFormat="1" x14ac:dyDescent="0.3">
      <c r="A82" s="3" t="s">
        <v>18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3" customFormat="1" x14ac:dyDescent="0.3">
      <c r="A83" s="3" t="s">
        <v>19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-22781.56</v>
      </c>
    </row>
    <row r="84" spans="1:11" s="3" customFormat="1" x14ac:dyDescent="0.3">
      <c r="A84" s="3" t="s">
        <v>20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3">
      <c r="A85" s="3" t="s">
        <v>21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8127.81</v>
      </c>
    </row>
    <row r="86" spans="1:11" x14ac:dyDescent="0.3">
      <c r="A86" s="3"/>
    </row>
    <row r="87" spans="1:11" x14ac:dyDescent="0.3">
      <c r="A87" s="3"/>
    </row>
    <row r="88" spans="1:11" x14ac:dyDescent="0.3">
      <c r="A88" s="3"/>
    </row>
    <row r="89" spans="1:11" x14ac:dyDescent="0.3">
      <c r="A89" s="3"/>
    </row>
    <row r="90" spans="1:11" s="1" customFormat="1" x14ac:dyDescent="0.3">
      <c r="A90" s="1" t="s">
        <v>43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3">
      <c r="A92" s="1" t="s">
        <v>42</v>
      </c>
    </row>
    <row r="93" spans="1:11" x14ac:dyDescent="0.3">
      <c r="A93" s="2" t="s">
        <v>55</v>
      </c>
      <c r="B93" s="7">
        <v>288.74</v>
      </c>
      <c r="C93" s="7">
        <v>288.72000000000003</v>
      </c>
      <c r="D93" s="7">
        <v>288.73</v>
      </c>
      <c r="E93" s="7">
        <v>288.73</v>
      </c>
      <c r="F93" s="7">
        <v>288.73</v>
      </c>
      <c r="G93" s="7">
        <v>308.89999999999998</v>
      </c>
      <c r="H93" s="7">
        <v>332.03</v>
      </c>
      <c r="I93" s="7">
        <v>332.07</v>
      </c>
      <c r="J93" s="7">
        <v>332.13</v>
      </c>
      <c r="K93" s="7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E288-9464-4EEF-B06B-77B385DE29A9}">
  <dimension ref="B3:K13"/>
  <sheetViews>
    <sheetView tabSelected="1" workbookViewId="0">
      <selection activeCell="J22" sqref="J22"/>
    </sheetView>
  </sheetViews>
  <sheetFormatPr defaultRowHeight="14.4" x14ac:dyDescent="0.3"/>
  <cols>
    <col min="1" max="1" width="4.44140625" customWidth="1"/>
    <col min="6" max="6" width="11.5546875" bestFit="1" customWidth="1"/>
  </cols>
  <sheetData>
    <row r="3" spans="2:11" x14ac:dyDescent="0.3">
      <c r="C3" s="64" t="s">
        <v>182</v>
      </c>
      <c r="D3" s="60"/>
      <c r="F3" s="63" t="s">
        <v>183</v>
      </c>
      <c r="G3" s="63" t="s">
        <v>184</v>
      </c>
      <c r="H3" s="63" t="s">
        <v>185</v>
      </c>
      <c r="I3" s="63" t="s">
        <v>186</v>
      </c>
      <c r="J3" s="63" t="s">
        <v>187</v>
      </c>
      <c r="K3" s="63" t="s">
        <v>188</v>
      </c>
    </row>
    <row r="4" spans="2:11" x14ac:dyDescent="0.3">
      <c r="F4" s="63"/>
    </row>
    <row r="5" spans="2:11" x14ac:dyDescent="0.3">
      <c r="B5" s="22"/>
      <c r="C5" s="22" t="s">
        <v>181</v>
      </c>
      <c r="F5" s="63">
        <f>'Financial Statements'!C6</f>
        <v>291550.48</v>
      </c>
      <c r="G5" s="63">
        <f>'Financial Statements'!D6</f>
        <v>301938.40000000002</v>
      </c>
      <c r="H5" s="63">
        <f>'Financial Statements'!E6</f>
        <v>261067.97</v>
      </c>
      <c r="I5" s="63">
        <f>'Financial Statements'!F6</f>
        <v>249794.75</v>
      </c>
      <c r="J5" s="63">
        <f>'Financial Statements'!G6</f>
        <v>278453.62</v>
      </c>
      <c r="K5" s="63">
        <f>'Financial Statements'!H6</f>
        <v>345966.97</v>
      </c>
    </row>
    <row r="6" spans="2:11" x14ac:dyDescent="0.3">
      <c r="F6" s="63"/>
    </row>
    <row r="7" spans="2:11" x14ac:dyDescent="0.3">
      <c r="B7" s="22"/>
      <c r="C7" s="22" t="s">
        <v>177</v>
      </c>
      <c r="F7" s="65">
        <f>'Financial Statements'!C17/F5</f>
        <v>0.10789788444182975</v>
      </c>
      <c r="G7" s="65">
        <f>'Financial Statements'!D17/G5</f>
        <v>8.1686628795807431E-2</v>
      </c>
      <c r="H7" s="65">
        <f>'Financial Statements'!E17/H5</f>
        <v>6.8898034485042198E-2</v>
      </c>
      <c r="I7" s="65">
        <f>'Financial Statements'!F17/I5</f>
        <v>0.12925583904385496</v>
      </c>
      <c r="J7" s="65">
        <f>'Financial Statements'!G17/J5</f>
        <v>8.877632835227646E-2</v>
      </c>
      <c r="K7" s="65">
        <f>'Financial Statements'!H17/K5</f>
        <v>9.1961958102532049E-2</v>
      </c>
    </row>
    <row r="8" spans="2:11" x14ac:dyDescent="0.3">
      <c r="F8" s="63"/>
    </row>
    <row r="9" spans="2:11" x14ac:dyDescent="0.3">
      <c r="B9" s="22"/>
      <c r="C9" s="22" t="s">
        <v>178</v>
      </c>
      <c r="F9" s="66">
        <f>'Financial Statements'!C32/F5</f>
        <v>3.01961430487095E-3</v>
      </c>
      <c r="G9" s="66">
        <f>'Financial Statements'!D32/G5</f>
        <v>-7.4434056747998256E-3</v>
      </c>
      <c r="H9" s="66">
        <f>'Financial Statements'!E32/H5</f>
        <v>-4.2429333632923408E-2</v>
      </c>
      <c r="I9" s="66">
        <f>'Financial Statements'!F32/I5</f>
        <v>-7.5994791724005731E-3</v>
      </c>
      <c r="J9" s="66">
        <f>'Financial Statements'!G32/J5</f>
        <v>-4.9052154538339235E-2</v>
      </c>
      <c r="K9" s="66">
        <f>'Financial Statements'!H32/K5</f>
        <v>-1.1486934720964945E-2</v>
      </c>
    </row>
    <row r="11" spans="2:11" x14ac:dyDescent="0.3">
      <c r="B11" s="22"/>
      <c r="C11" s="22" t="s">
        <v>179</v>
      </c>
    </row>
    <row r="13" spans="2:11" x14ac:dyDescent="0.3">
      <c r="B13" s="22"/>
      <c r="C13" s="22" t="s">
        <v>180</v>
      </c>
    </row>
  </sheetData>
  <mergeCells count="1">
    <mergeCell ref="C3:D3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Financial Statements</vt:lpstr>
      <vt:lpstr>WACC</vt:lpstr>
      <vt:lpstr>Ratio Analysis</vt:lpstr>
      <vt:lpstr>Forecasting</vt:lpstr>
      <vt:lpstr>Cash Flow Statement</vt:lpstr>
      <vt:lpstr>Data Sheet</vt:lpstr>
      <vt:lpstr>DATA 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Mohd Arib</cp:lastModifiedBy>
  <cp:lastPrinted>2012-12-06T18:14:13Z</cp:lastPrinted>
  <dcterms:created xsi:type="dcterms:W3CDTF">2012-08-17T09:55:37Z</dcterms:created>
  <dcterms:modified xsi:type="dcterms:W3CDTF">2025-08-27T07:40:13Z</dcterms:modified>
</cp:coreProperties>
</file>