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2085263de457e8/Documents/"/>
    </mc:Choice>
  </mc:AlternateContent>
  <xr:revisionPtr revIDLastSave="0" documentId="8_{3017219C-0301-46D8-8D97-B8BDA597DEDE}" xr6:coauthVersionLast="47" xr6:coauthVersionMax="47" xr10:uidLastSave="{00000000-0000-0000-0000-000000000000}"/>
  <bookViews>
    <workbookView xWindow="-110" yWindow="-110" windowWidth="19420" windowHeight="12300" firstSheet="1" activeTab="1" xr2:uid="{70DC521B-FD9A-4235-ACDB-D18B15660459}"/>
  </bookViews>
  <sheets>
    <sheet name="Annual" sheetId="30" r:id="rId1"/>
    <sheet name="Quarterly" sheetId="25" r:id="rId2"/>
    <sheet name="Monthly" sheetId="1" r:id="rId3"/>
    <sheet name="Breakup" sheetId="2" r:id="rId4"/>
    <sheet name="20260501 E" sheetId="134" r:id="rId5"/>
    <sheet name="20260501 MF" sheetId="135" r:id="rId6"/>
    <sheet name="20260402 E" sheetId="132" r:id="rId7"/>
    <sheet name="20260402 MF" sheetId="133" r:id="rId8"/>
    <sheet name="20260301 E" sheetId="130" r:id="rId9"/>
    <sheet name="20260301 MF" sheetId="131" r:id="rId10"/>
    <sheet name="20260201 E" sheetId="128" r:id="rId11"/>
    <sheet name="20260201 MF" sheetId="129" r:id="rId12"/>
    <sheet name="20260101 E" sheetId="127" r:id="rId13"/>
    <sheet name="20260101 MF" sheetId="126" r:id="rId14"/>
    <sheet name="20251201 E" sheetId="124" r:id="rId15"/>
    <sheet name="20251201 MF" sheetId="125" r:id="rId16"/>
    <sheet name="20251101 E" sheetId="122" r:id="rId17"/>
    <sheet name="20251101 MF" sheetId="123" r:id="rId18"/>
    <sheet name="20251004 E" sheetId="120" r:id="rId19"/>
    <sheet name="20251004 MF" sheetId="121" r:id="rId20"/>
    <sheet name="20250901 E" sheetId="119" r:id="rId21"/>
    <sheet name="20250901 MF" sheetId="118" r:id="rId22"/>
    <sheet name="20250802 E" sheetId="115" r:id="rId23"/>
    <sheet name="20250802 MF" sheetId="116" r:id="rId24"/>
    <sheet name="20250707 E" sheetId="113" r:id="rId25"/>
    <sheet name="20250707 MF" sheetId="114" r:id="rId26"/>
    <sheet name="20250602 E" sheetId="111" r:id="rId27"/>
    <sheet name="20250602 MF" sheetId="112" r:id="rId28"/>
    <sheet name="20250502 E" sheetId="109" r:id="rId29"/>
    <sheet name="20250502 MF" sheetId="110" r:id="rId30"/>
    <sheet name="20250405 E" sheetId="107" r:id="rId31"/>
    <sheet name="20250405 MF" sheetId="108" r:id="rId32"/>
    <sheet name="20250302 E" sheetId="105" r:id="rId33"/>
    <sheet name="20250302 MF" sheetId="106" r:id="rId34"/>
    <sheet name="20250201 E" sheetId="103" r:id="rId35"/>
    <sheet name="20250201 MF" sheetId="104" r:id="rId36"/>
    <sheet name="20250104 E" sheetId="101" r:id="rId37"/>
    <sheet name="20250104 MF" sheetId="102" r:id="rId38"/>
    <sheet name="20241201 E" sheetId="99" r:id="rId39"/>
    <sheet name="20241201 MF" sheetId="100" r:id="rId40"/>
    <sheet name="20241102 E" sheetId="97" r:id="rId41"/>
    <sheet name="20241102 MF" sheetId="98" r:id="rId42"/>
    <sheet name="20241002 E" sheetId="95" r:id="rId43"/>
    <sheet name="20241002 MF" sheetId="96" r:id="rId44"/>
    <sheet name="20240901 E" sheetId="93" r:id="rId45"/>
    <sheet name="20240901 MF" sheetId="94" r:id="rId46"/>
    <sheet name="20240802 E" sheetId="91" r:id="rId47"/>
    <sheet name="20240802 MF" sheetId="92" r:id="rId48"/>
    <sheet name="20240701 E" sheetId="89" r:id="rId49"/>
    <sheet name="20240701 MF" sheetId="90" r:id="rId50"/>
    <sheet name="20240603 E" sheetId="87" r:id="rId51"/>
    <sheet name="20240603 MF" sheetId="88" r:id="rId52"/>
    <sheet name="20240501 E" sheetId="86" r:id="rId53"/>
    <sheet name="20240501 MF" sheetId="85" r:id="rId54"/>
    <sheet name="20240403 E" sheetId="83" r:id="rId55"/>
    <sheet name="20240403 MF" sheetId="84" r:id="rId56"/>
    <sheet name="20240303 E" sheetId="82" r:id="rId57"/>
    <sheet name="20240303 MF" sheetId="81" r:id="rId58"/>
    <sheet name="20240203 MF" sheetId="79" r:id="rId59"/>
    <sheet name="20240203 E" sheetId="80" r:id="rId60"/>
    <sheet name="20240101 MF" sheetId="78" r:id="rId61"/>
    <sheet name="20240101 E" sheetId="77" r:id="rId62"/>
    <sheet name="20231202 MF" sheetId="75" r:id="rId63"/>
    <sheet name="20231202 E" sheetId="76" r:id="rId64"/>
    <sheet name="20231104 MF" sheetId="74" r:id="rId65"/>
    <sheet name="20231104 E" sheetId="73" r:id="rId66"/>
    <sheet name="20231002 MF" sheetId="72" r:id="rId67"/>
    <sheet name="20231002 E" sheetId="71" r:id="rId68"/>
    <sheet name="20230902 MF" sheetId="70" r:id="rId69"/>
    <sheet name="20230805 E" sheetId="67" r:id="rId70"/>
    <sheet name="20230805 MF" sheetId="68" r:id="rId71"/>
    <sheet name="20230701 E" sheetId="65" r:id="rId72"/>
    <sheet name="20230701 MF" sheetId="66" r:id="rId73"/>
    <sheet name="20230603 E" sheetId="63" r:id="rId74"/>
    <sheet name="20230603 MF" sheetId="64" r:id="rId75"/>
    <sheet name="20230501 E" sheetId="61" r:id="rId76"/>
    <sheet name="20230501 MF" sheetId="62" r:id="rId77"/>
    <sheet name="20230402 E" sheetId="59" r:id="rId78"/>
    <sheet name="20230402 MF" sheetId="60" r:id="rId79"/>
    <sheet name="20230303 E" sheetId="57" r:id="rId80"/>
    <sheet name="20230303 MF" sheetId="58" r:id="rId81"/>
    <sheet name="20230203 E" sheetId="55" r:id="rId82"/>
    <sheet name="20230203 MF" sheetId="56" r:id="rId83"/>
    <sheet name="20230101 E" sheetId="53" r:id="rId84"/>
    <sheet name="20230101 MF" sheetId="54" r:id="rId85"/>
    <sheet name="20221203 E" sheetId="51" r:id="rId86"/>
    <sheet name="20221203 MF" sheetId="52" r:id="rId87"/>
    <sheet name="20221103 E" sheetId="49" r:id="rId88"/>
    <sheet name="20221103 MF" sheetId="50" r:id="rId89"/>
    <sheet name="20221001 E" sheetId="47" r:id="rId90"/>
    <sheet name="20221001 MF" sheetId="48" r:id="rId91"/>
    <sheet name="20220903 E" sheetId="45" r:id="rId92"/>
    <sheet name="20220903 MF" sheetId="46" r:id="rId93"/>
    <sheet name="20220801 E" sheetId="43" r:id="rId94"/>
    <sheet name="20220801 MF" sheetId="44" r:id="rId95"/>
    <sheet name="20220702 E" sheetId="41" r:id="rId96"/>
    <sheet name="20220702 MF" sheetId="42" r:id="rId97"/>
    <sheet name="20220605 E" sheetId="39" r:id="rId98"/>
    <sheet name="20220605 MF" sheetId="40" r:id="rId99"/>
    <sheet name="20220501 E" sheetId="37" r:id="rId100"/>
    <sheet name="20220501 MF" sheetId="38" r:id="rId101"/>
    <sheet name="20220402 E" sheetId="35" r:id="rId102"/>
    <sheet name="20220402 MF" sheetId="36" r:id="rId103"/>
    <sheet name="20220305 E" sheetId="33" r:id="rId104"/>
    <sheet name="20220305 MF" sheetId="34" r:id="rId105"/>
    <sheet name="20220202 E" sheetId="31" r:id="rId106"/>
    <sheet name="20220202 MF" sheetId="32" r:id="rId107"/>
    <sheet name="20220102 E" sheetId="28" r:id="rId108"/>
    <sheet name="20220102 MF" sheetId="29" r:id="rId109"/>
    <sheet name="20211204 E" sheetId="26" r:id="rId110"/>
    <sheet name="20211204 MF" sheetId="27" r:id="rId111"/>
    <sheet name="20211101 E" sheetId="23" r:id="rId112"/>
    <sheet name="20211101 MF" sheetId="24" r:id="rId113"/>
    <sheet name="20211002 E" sheetId="21" r:id="rId114"/>
    <sheet name="20211002 MF" sheetId="22" r:id="rId115"/>
    <sheet name="20210907 E" sheetId="19" r:id="rId116"/>
    <sheet name="20210907 MF" sheetId="20" r:id="rId117"/>
    <sheet name="20210801 E" sheetId="17" r:id="rId118"/>
    <sheet name="20210801 MF" sheetId="18" r:id="rId119"/>
    <sheet name="20210704 E" sheetId="15" r:id="rId120"/>
    <sheet name="20210704 MF" sheetId="16" r:id="rId121"/>
    <sheet name="20210605 E" sheetId="13" r:id="rId122"/>
    <sheet name="20210605 MF" sheetId="14" r:id="rId123"/>
    <sheet name="20210505 E" sheetId="11" r:id="rId124"/>
    <sheet name="20210505 MF" sheetId="12" r:id="rId125"/>
    <sheet name="20210404 E" sheetId="9" r:id="rId126"/>
    <sheet name="20210404 MF" sheetId="10" r:id="rId127"/>
    <sheet name="20201227 E" sheetId="3" r:id="rId128"/>
    <sheet name="20201227 MF" sheetId="4" r:id="rId129"/>
    <sheet name="20210131 E" sheetId="5" r:id="rId130"/>
    <sheet name="20210131 MF" sheetId="6" r:id="rId131"/>
    <sheet name="20210301 E" sheetId="7" r:id="rId132"/>
    <sheet name="20210301 MF" sheetId="8" r:id="rId133"/>
  </sheets>
  <definedNames>
    <definedName name="_xlnm._FilterDatabase" localSheetId="85" hidden="1">'20221203 E'!$A$1:$H$96</definedName>
    <definedName name="_xlnm._FilterDatabase" localSheetId="83" hidden="1">'20230101 E'!$A$1:$H$96</definedName>
    <definedName name="_xlnm._FilterDatabase" localSheetId="81" hidden="1">'20230203 E'!$A$1:$H$96</definedName>
    <definedName name="_xlnm._FilterDatabase" localSheetId="79" hidden="1">'20230303 E'!$A$1:$H$96</definedName>
    <definedName name="_xlnm._FilterDatabase" localSheetId="77" hidden="1">'20230402 E'!$A$1:$H$96</definedName>
    <definedName name="_xlnm._FilterDatabase" localSheetId="75" hidden="1">'20230501 E'!$A$1:$H$96</definedName>
    <definedName name="_xlnm._FilterDatabase" localSheetId="73" hidden="1">'20230603 E'!$A$1:$H$96</definedName>
    <definedName name="_xlnm._FilterDatabase" localSheetId="71" hidden="1">'20230701 E'!$A$1:$H$96</definedName>
    <definedName name="_xlnm._FilterDatabase" localSheetId="69" hidden="1">'20230805 E'!$A$1:$H$96</definedName>
    <definedName name="_xlnm._FilterDatabase" localSheetId="67" hidden="1">'20231002 E'!$A$1:$H$96</definedName>
    <definedName name="_xlnm._FilterDatabase" localSheetId="65" hidden="1">'20231104 E'!$A$1:$H$96</definedName>
    <definedName name="_xlnm._FilterDatabase" localSheetId="63" hidden="1">'20231202 E'!$A$1:$H$96</definedName>
    <definedName name="_xlnm._FilterDatabase" localSheetId="61" hidden="1">'20240101 E'!$A$1:$H$96</definedName>
    <definedName name="_xlnm._FilterDatabase" localSheetId="59" hidden="1">'20240203 E'!$A$1:$H$96</definedName>
    <definedName name="_xlnm._FilterDatabase" localSheetId="56" hidden="1">'20240303 E'!$A$1:$H$96</definedName>
    <definedName name="_xlnm._FilterDatabase" localSheetId="54" hidden="1">'20240403 E'!$A$1:$H$96</definedName>
    <definedName name="_xlnm._FilterDatabase" localSheetId="52" hidden="1">'20240501 E'!$A$1:$H$96</definedName>
    <definedName name="_xlnm._FilterDatabase" localSheetId="50" hidden="1">'20240603 E'!$A$1:$H$96</definedName>
    <definedName name="_xlnm._FilterDatabase" localSheetId="48" hidden="1">'20240701 E'!$A$1:$H$96</definedName>
    <definedName name="_xlnm._FilterDatabase" localSheetId="46" hidden="1">'20240802 E'!$A$1:$H$96</definedName>
    <definedName name="_xlnm._FilterDatabase" localSheetId="44" hidden="1">'20240901 E'!$A$1:$H$96</definedName>
    <definedName name="_xlnm._FilterDatabase" localSheetId="42" hidden="1">'20241002 E'!$A$1:$H$96</definedName>
    <definedName name="_xlnm._FilterDatabase" localSheetId="40" hidden="1">'20241102 E'!$A$1:$H$96</definedName>
    <definedName name="_xlnm._FilterDatabase" localSheetId="38" hidden="1">'20241201 E'!$A$1:$H$96</definedName>
    <definedName name="_xlnm._FilterDatabase" localSheetId="36" hidden="1">'20250104 E'!$A$1:$H$96</definedName>
    <definedName name="_xlnm._FilterDatabase" localSheetId="34" hidden="1">'20250201 E'!$A$1:$H$96</definedName>
    <definedName name="_xlnm._FilterDatabase" localSheetId="32" hidden="1">'20250302 E'!$A$1:$H$96</definedName>
    <definedName name="_xlnm._FilterDatabase" localSheetId="30" hidden="1">'20250405 E'!$A$1:$H$96</definedName>
    <definedName name="_xlnm._FilterDatabase" localSheetId="28" hidden="1">'20250502 E'!$A$1:$H$96</definedName>
    <definedName name="_xlnm._FilterDatabase" localSheetId="26" hidden="1">'20250602 E'!$A$1:$H$96</definedName>
    <definedName name="_xlnm._FilterDatabase" localSheetId="24" hidden="1">'20250707 E'!$A$1:$H$96</definedName>
    <definedName name="_xlnm._FilterDatabase" localSheetId="22" hidden="1">'20250802 E'!$A$1:$H$96</definedName>
    <definedName name="_xlnm._FilterDatabase" localSheetId="20" hidden="1">'20250901 E'!$A$1:$H$96</definedName>
    <definedName name="_xlnm._FilterDatabase" localSheetId="18" hidden="1">'20251004 E'!$A$1:$H$96</definedName>
    <definedName name="_xlnm._FilterDatabase" localSheetId="16" hidden="1">'20251101 E'!$A$1:$H$96</definedName>
    <definedName name="_xlnm._FilterDatabase" localSheetId="14" hidden="1">'20251201 E'!$A$1:$H$96</definedName>
    <definedName name="_xlnm._FilterDatabase" localSheetId="12" hidden="1">'20260101 E'!$A$1:$H$96</definedName>
    <definedName name="_xlnm._FilterDatabase" localSheetId="10" hidden="1">'20260201 E'!$A$1:$H$96</definedName>
    <definedName name="_xlnm._FilterDatabase" localSheetId="8" hidden="1">'20260301 E'!$A$1:$H$96</definedName>
    <definedName name="_xlnm._FilterDatabase" localSheetId="6" hidden="1">'20260402 E'!$A$1:$H$96</definedName>
    <definedName name="_xlnm._FilterDatabase" localSheetId="4" hidden="1">'20260501 E'!$A$1:$H$96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2" i="1" l="1"/>
  <c r="BM31" i="1"/>
  <c r="BM30" i="1"/>
  <c r="BM29" i="1"/>
  <c r="BM28" i="1"/>
  <c r="BM24" i="1"/>
  <c r="BM40" i="1" s="1"/>
  <c r="BM23" i="1"/>
  <c r="BM39" i="1" s="1"/>
  <c r="BM22" i="1"/>
  <c r="BM38" i="1" s="1"/>
  <c r="BM21" i="1"/>
  <c r="BM37" i="1" s="1"/>
  <c r="BM20" i="1"/>
  <c r="BM8" i="1"/>
  <c r="W8" i="25" s="1"/>
  <c r="BM7" i="1"/>
  <c r="W7" i="25" s="1"/>
  <c r="BM6" i="1"/>
  <c r="W6" i="25" s="1"/>
  <c r="BM5" i="1"/>
  <c r="W5" i="25" s="1"/>
  <c r="BM4" i="1"/>
  <c r="W4" i="25" s="1"/>
  <c r="BO113" i="2"/>
  <c r="BO112" i="2"/>
  <c r="BO109" i="2"/>
  <c r="BO108" i="2"/>
  <c r="BO107" i="2"/>
  <c r="BO106" i="2"/>
  <c r="BO105" i="2"/>
  <c r="BO104" i="2"/>
  <c r="BO103" i="2"/>
  <c r="BO102" i="2"/>
  <c r="BN113" i="2"/>
  <c r="BN112" i="2"/>
  <c r="BN109" i="2"/>
  <c r="BN108" i="2"/>
  <c r="BN107" i="2"/>
  <c r="BN106" i="2"/>
  <c r="BN105" i="2"/>
  <c r="BN104" i="2"/>
  <c r="BN103" i="2"/>
  <c r="BN102" i="2"/>
  <c r="BO97" i="2" a="1"/>
  <c r="BO97" i="2"/>
  <c r="BN97" i="2" a="1"/>
  <c r="BN97" i="2"/>
  <c r="BO93" i="2" a="1"/>
  <c r="BO93" i="2" s="1"/>
  <c r="BN93" i="2" a="1"/>
  <c r="BN93" i="2" s="1"/>
  <c r="BO92" i="2" a="1"/>
  <c r="BO92" i="2" s="1"/>
  <c r="BN92" i="2" a="1"/>
  <c r="BN92" i="2" s="1"/>
  <c r="BO91" i="2" a="1"/>
  <c r="BO91" i="2" s="1"/>
  <c r="BN91" i="2" a="1"/>
  <c r="BN91" i="2" s="1"/>
  <c r="BO90" i="2" a="1"/>
  <c r="BO90" i="2" s="1"/>
  <c r="BN90" i="2" a="1"/>
  <c r="BN90" i="2" s="1"/>
  <c r="BO89" i="2" a="1"/>
  <c r="BO89" i="2" s="1"/>
  <c r="BN89" i="2" a="1"/>
  <c r="BN89" i="2" s="1"/>
  <c r="BO88" i="2" a="1"/>
  <c r="BO88" i="2" s="1"/>
  <c r="BN88" i="2" a="1"/>
  <c r="BN88" i="2" s="1"/>
  <c r="BO87" i="2" a="1"/>
  <c r="BO87" i="2" s="1"/>
  <c r="BN87" i="2" a="1"/>
  <c r="BN87" i="2" s="1"/>
  <c r="BO86" i="2" a="1"/>
  <c r="BO86" i="2"/>
  <c r="BN86" i="2" a="1"/>
  <c r="BN86" i="2"/>
  <c r="BO54" i="2"/>
  <c r="BO53" i="2"/>
  <c r="BO51" i="2"/>
  <c r="BO50" i="2"/>
  <c r="BO49" i="2"/>
  <c r="BO48" i="2"/>
  <c r="BO47" i="2"/>
  <c r="BO46" i="2"/>
  <c r="BO45" i="2"/>
  <c r="BO44" i="2"/>
  <c r="BO55" i="2" s="1"/>
  <c r="BN54" i="2"/>
  <c r="BN53" i="2"/>
  <c r="BN51" i="2"/>
  <c r="BN50" i="2"/>
  <c r="BN49" i="2"/>
  <c r="BN48" i="2"/>
  <c r="BN47" i="2"/>
  <c r="BN46" i="2"/>
  <c r="BN45" i="2"/>
  <c r="BN44" i="2"/>
  <c r="BN55" i="2" s="1"/>
  <c r="BN36" i="2"/>
  <c r="BO36" i="2"/>
  <c r="BO31" i="2"/>
  <c r="BO30" i="2"/>
  <c r="BO9" i="2"/>
  <c r="BO8" i="2"/>
  <c r="BO7" i="2"/>
  <c r="BO14" i="2"/>
  <c r="BO11" i="2"/>
  <c r="BN11" i="2"/>
  <c r="BO6" i="2"/>
  <c r="BO5" i="2"/>
  <c r="BO4" i="2"/>
  <c r="BO10" i="2"/>
  <c r="BN10" i="2"/>
  <c r="BN82" i="2"/>
  <c r="BN79" i="2"/>
  <c r="BN77" i="2"/>
  <c r="BN76" i="2"/>
  <c r="BN75" i="2"/>
  <c r="BN74" i="2"/>
  <c r="BN39" i="2"/>
  <c r="BN38" i="2"/>
  <c r="BN31" i="2"/>
  <c r="BN30" i="2"/>
  <c r="BN14" i="2"/>
  <c r="BN9" i="2"/>
  <c r="BN8" i="2"/>
  <c r="BN7" i="2"/>
  <c r="BN6" i="2"/>
  <c r="BN5" i="2"/>
  <c r="BN4" i="2"/>
  <c r="H3" i="133"/>
  <c r="H4" i="133"/>
  <c r="H5" i="133"/>
  <c r="H6" i="133"/>
  <c r="H7" i="133"/>
  <c r="H8" i="133"/>
  <c r="H9" i="133"/>
  <c r="H10" i="133"/>
  <c r="H11" i="133"/>
  <c r="H12" i="133"/>
  <c r="H13" i="133"/>
  <c r="H14" i="133"/>
  <c r="H15" i="133"/>
  <c r="H16" i="133"/>
  <c r="H17" i="133"/>
  <c r="H18" i="133"/>
  <c r="H19" i="133"/>
  <c r="H2" i="133"/>
  <c r="H3" i="135"/>
  <c r="H4" i="135"/>
  <c r="H5" i="135"/>
  <c r="H6" i="135"/>
  <c r="H7" i="135"/>
  <c r="H8" i="135"/>
  <c r="H9" i="135"/>
  <c r="H10" i="135"/>
  <c r="H11" i="135"/>
  <c r="H12" i="135"/>
  <c r="H13" i="135"/>
  <c r="H14" i="135"/>
  <c r="H15" i="135"/>
  <c r="H16" i="135"/>
  <c r="H17" i="135"/>
  <c r="H18" i="135"/>
  <c r="H19" i="135"/>
  <c r="H2" i="135"/>
  <c r="H22" i="135"/>
  <c r="G22" i="135"/>
  <c r="F22" i="135"/>
  <c r="C22" i="135"/>
  <c r="I19" i="135"/>
  <c r="I18" i="135"/>
  <c r="I17" i="135"/>
  <c r="I16" i="135"/>
  <c r="I15" i="135"/>
  <c r="I14" i="135"/>
  <c r="I13" i="135"/>
  <c r="I12" i="135"/>
  <c r="I11" i="135"/>
  <c r="I10" i="135"/>
  <c r="I9" i="135"/>
  <c r="I8" i="135"/>
  <c r="I7" i="135"/>
  <c r="I6" i="135"/>
  <c r="I5" i="135"/>
  <c r="I4" i="135"/>
  <c r="I3" i="135"/>
  <c r="I2" i="135"/>
  <c r="G104" i="134"/>
  <c r="F104" i="134"/>
  <c r="E104" i="134"/>
  <c r="B104" i="134"/>
  <c r="H81" i="134"/>
  <c r="H80" i="134"/>
  <c r="H79" i="134"/>
  <c r="H78" i="134"/>
  <c r="H76" i="134"/>
  <c r="H75" i="134"/>
  <c r="H74" i="134"/>
  <c r="H73" i="134"/>
  <c r="H72" i="134"/>
  <c r="H71" i="134"/>
  <c r="H70" i="134"/>
  <c r="H69" i="134"/>
  <c r="H68" i="134"/>
  <c r="H67" i="134"/>
  <c r="H66" i="134"/>
  <c r="H65" i="134"/>
  <c r="H63" i="134"/>
  <c r="H62" i="134"/>
  <c r="H61" i="134"/>
  <c r="H60" i="134"/>
  <c r="H59" i="134"/>
  <c r="H58" i="134"/>
  <c r="H57" i="134"/>
  <c r="H56" i="134"/>
  <c r="H55" i="134"/>
  <c r="H54" i="134"/>
  <c r="H53" i="134"/>
  <c r="H52" i="134"/>
  <c r="H51" i="134"/>
  <c r="H50" i="134"/>
  <c r="H49" i="134"/>
  <c r="H48" i="134"/>
  <c r="H47" i="134"/>
  <c r="H46" i="134"/>
  <c r="H45" i="134"/>
  <c r="H44" i="134"/>
  <c r="H43" i="134"/>
  <c r="H42" i="134"/>
  <c r="H41" i="134"/>
  <c r="H40" i="134"/>
  <c r="H39" i="134"/>
  <c r="H38" i="134"/>
  <c r="H37" i="134"/>
  <c r="H36" i="134"/>
  <c r="H35" i="134"/>
  <c r="H34" i="134"/>
  <c r="H33" i="134"/>
  <c r="H32" i="134"/>
  <c r="H31" i="134"/>
  <c r="H30" i="134"/>
  <c r="H29" i="134"/>
  <c r="H28" i="134"/>
  <c r="H27" i="134"/>
  <c r="H26" i="134"/>
  <c r="H25" i="134"/>
  <c r="H24" i="134"/>
  <c r="H23" i="134"/>
  <c r="H22" i="134"/>
  <c r="H21" i="134"/>
  <c r="H20" i="134"/>
  <c r="H19" i="134"/>
  <c r="H18" i="134"/>
  <c r="H17" i="134"/>
  <c r="H16" i="134"/>
  <c r="H14" i="134"/>
  <c r="H13" i="134"/>
  <c r="H12" i="134"/>
  <c r="H11" i="134"/>
  <c r="H10" i="134"/>
  <c r="H9" i="134"/>
  <c r="H8" i="134"/>
  <c r="H7" i="134"/>
  <c r="H6" i="134"/>
  <c r="H5" i="134"/>
  <c r="H4" i="134"/>
  <c r="H2" i="134"/>
  <c r="H81" i="132"/>
  <c r="H22" i="133"/>
  <c r="G22" i="133"/>
  <c r="F22" i="133"/>
  <c r="C22" i="133"/>
  <c r="I19" i="133"/>
  <c r="I18" i="133"/>
  <c r="I17" i="133"/>
  <c r="I16" i="133"/>
  <c r="I15" i="133"/>
  <c r="I14" i="133"/>
  <c r="I13" i="133"/>
  <c r="I12" i="133"/>
  <c r="I11" i="133"/>
  <c r="I10" i="133"/>
  <c r="I9" i="133"/>
  <c r="I8" i="133"/>
  <c r="I7" i="133"/>
  <c r="I6" i="133"/>
  <c r="I5" i="133"/>
  <c r="I4" i="133"/>
  <c r="I3" i="133"/>
  <c r="I2" i="133"/>
  <c r="G104" i="132"/>
  <c r="F104" i="132"/>
  <c r="E104" i="132"/>
  <c r="B104" i="132"/>
  <c r="H80" i="132"/>
  <c r="H79" i="132"/>
  <c r="H78" i="132"/>
  <c r="H76" i="132"/>
  <c r="H75" i="132"/>
  <c r="H74" i="132"/>
  <c r="H73" i="132"/>
  <c r="H72" i="132"/>
  <c r="H71" i="132"/>
  <c r="H70" i="132"/>
  <c r="H69" i="132"/>
  <c r="H68" i="132"/>
  <c r="H67" i="132"/>
  <c r="H66" i="132"/>
  <c r="H65" i="132"/>
  <c r="H63" i="132"/>
  <c r="H62" i="132"/>
  <c r="H61" i="132"/>
  <c r="H60" i="132"/>
  <c r="H59" i="132"/>
  <c r="H58" i="132"/>
  <c r="H57" i="132"/>
  <c r="H56" i="132"/>
  <c r="H55" i="132"/>
  <c r="H54" i="132"/>
  <c r="H53" i="132"/>
  <c r="H52" i="132"/>
  <c r="H51" i="132"/>
  <c r="H50" i="132"/>
  <c r="H49" i="132"/>
  <c r="H48" i="132"/>
  <c r="H47" i="132"/>
  <c r="H46" i="132"/>
  <c r="H45" i="132"/>
  <c r="H44" i="132"/>
  <c r="H43" i="132"/>
  <c r="H42" i="132"/>
  <c r="H41" i="132"/>
  <c r="H40" i="132"/>
  <c r="H39" i="132"/>
  <c r="H38" i="132"/>
  <c r="H37" i="132"/>
  <c r="H36" i="132"/>
  <c r="H35" i="132"/>
  <c r="H34" i="132"/>
  <c r="H33" i="132"/>
  <c r="H32" i="132"/>
  <c r="H31" i="132"/>
  <c r="H30" i="132"/>
  <c r="H29" i="132"/>
  <c r="H28" i="132"/>
  <c r="H27" i="132"/>
  <c r="H26" i="132"/>
  <c r="H25" i="132"/>
  <c r="H24" i="132"/>
  <c r="H23" i="132"/>
  <c r="H22" i="132"/>
  <c r="H21" i="132"/>
  <c r="H20" i="132"/>
  <c r="H19" i="132"/>
  <c r="H18" i="132"/>
  <c r="H17" i="132"/>
  <c r="H16" i="132"/>
  <c r="H14" i="132"/>
  <c r="H13" i="132"/>
  <c r="H12" i="132"/>
  <c r="H11" i="132"/>
  <c r="H10" i="132"/>
  <c r="H9" i="132"/>
  <c r="H8" i="132"/>
  <c r="H7" i="132"/>
  <c r="H6" i="132"/>
  <c r="H5" i="132"/>
  <c r="H4" i="132"/>
  <c r="H2" i="132"/>
  <c r="BM82" i="2"/>
  <c r="BM77" i="2"/>
  <c r="BM76" i="2"/>
  <c r="BM75" i="2"/>
  <c r="BM74" i="2"/>
  <c r="BM39" i="2"/>
  <c r="BM53" i="2" s="1"/>
  <c r="BM38" i="2"/>
  <c r="BM31" i="2"/>
  <c r="BM30" i="2"/>
  <c r="BM14" i="2"/>
  <c r="BM9" i="2"/>
  <c r="BM8" i="2"/>
  <c r="BM7" i="2"/>
  <c r="BM6" i="2"/>
  <c r="BM5" i="2"/>
  <c r="BM4" i="2"/>
  <c r="BL14" i="2"/>
  <c r="BL82" i="2"/>
  <c r="BL77" i="2"/>
  <c r="BL76" i="2"/>
  <c r="BL75" i="2"/>
  <c r="BL74" i="2"/>
  <c r="BL39" i="2"/>
  <c r="BL53" i="2" s="1"/>
  <c r="BL38" i="2"/>
  <c r="BL31" i="2"/>
  <c r="BL30" i="2"/>
  <c r="BL9" i="2"/>
  <c r="BL8" i="2"/>
  <c r="BL7" i="2"/>
  <c r="BL6" i="2"/>
  <c r="BL5" i="2"/>
  <c r="BL4" i="2"/>
  <c r="H22" i="131"/>
  <c r="G22" i="131"/>
  <c r="F22" i="131"/>
  <c r="C22" i="131"/>
  <c r="I19" i="131"/>
  <c r="I18" i="131"/>
  <c r="I17" i="131"/>
  <c r="I16" i="131"/>
  <c r="I15" i="131"/>
  <c r="I14" i="131"/>
  <c r="I13" i="131"/>
  <c r="I12" i="131"/>
  <c r="I11" i="131"/>
  <c r="I10" i="131"/>
  <c r="I9" i="131"/>
  <c r="I8" i="131"/>
  <c r="I7" i="131"/>
  <c r="I6" i="131"/>
  <c r="I5" i="131"/>
  <c r="I4" i="131"/>
  <c r="I3" i="131"/>
  <c r="I2" i="131"/>
  <c r="G104" i="130"/>
  <c r="F104" i="130"/>
  <c r="E104" i="130"/>
  <c r="B104" i="130"/>
  <c r="H80" i="130"/>
  <c r="H79" i="130"/>
  <c r="H78" i="130"/>
  <c r="H77" i="130"/>
  <c r="H76" i="130"/>
  <c r="H75" i="130"/>
  <c r="H74" i="130"/>
  <c r="H73" i="130"/>
  <c r="H72" i="130"/>
  <c r="H71" i="130"/>
  <c r="H70" i="130"/>
  <c r="H69" i="130"/>
  <c r="H68" i="130"/>
  <c r="H67" i="130"/>
  <c r="H66" i="130"/>
  <c r="H65" i="130"/>
  <c r="H63" i="130"/>
  <c r="H62" i="130"/>
  <c r="H61" i="130"/>
  <c r="H60" i="130"/>
  <c r="H59" i="130"/>
  <c r="H58" i="130"/>
  <c r="H57" i="130"/>
  <c r="H56" i="130"/>
  <c r="H55" i="130"/>
  <c r="H54" i="130"/>
  <c r="H53" i="130"/>
  <c r="H52" i="130"/>
  <c r="H51" i="130"/>
  <c r="H50" i="130"/>
  <c r="H49" i="130"/>
  <c r="H48" i="130"/>
  <c r="H47" i="130"/>
  <c r="H46" i="130"/>
  <c r="H45" i="130"/>
  <c r="H44" i="130"/>
  <c r="H43" i="130"/>
  <c r="H42" i="130"/>
  <c r="H41" i="130"/>
  <c r="H40" i="130"/>
  <c r="H39" i="130"/>
  <c r="H38" i="130"/>
  <c r="H37" i="130"/>
  <c r="H36" i="130"/>
  <c r="H35" i="130"/>
  <c r="H34" i="130"/>
  <c r="H33" i="130"/>
  <c r="H32" i="130"/>
  <c r="H31" i="130"/>
  <c r="H30" i="130"/>
  <c r="H29" i="130"/>
  <c r="H28" i="130"/>
  <c r="H27" i="130"/>
  <c r="H26" i="130"/>
  <c r="H25" i="130"/>
  <c r="H24" i="130"/>
  <c r="H23" i="130"/>
  <c r="H22" i="130"/>
  <c r="H21" i="130"/>
  <c r="H20" i="130"/>
  <c r="H19" i="130"/>
  <c r="H18" i="130"/>
  <c r="H17" i="130"/>
  <c r="H16" i="130"/>
  <c r="H14" i="130"/>
  <c r="H13" i="130"/>
  <c r="H12" i="130"/>
  <c r="H11" i="130"/>
  <c r="H10" i="130"/>
  <c r="H9" i="130"/>
  <c r="H8" i="130"/>
  <c r="H7" i="130"/>
  <c r="H6" i="130"/>
  <c r="H5" i="130"/>
  <c r="H4" i="130"/>
  <c r="H3" i="130"/>
  <c r="H2" i="130"/>
  <c r="H22" i="129"/>
  <c r="G22" i="129"/>
  <c r="F22" i="129"/>
  <c r="C22" i="129"/>
  <c r="I19" i="129"/>
  <c r="I18" i="129"/>
  <c r="I17" i="129"/>
  <c r="I16" i="129"/>
  <c r="I15" i="129"/>
  <c r="I14" i="129"/>
  <c r="I13" i="129"/>
  <c r="I12" i="129"/>
  <c r="I11" i="129"/>
  <c r="I10" i="129"/>
  <c r="I9" i="129"/>
  <c r="I8" i="129"/>
  <c r="I7" i="129"/>
  <c r="I6" i="129"/>
  <c r="I5" i="129"/>
  <c r="I4" i="129"/>
  <c r="I3" i="129"/>
  <c r="I2" i="129"/>
  <c r="F104" i="128"/>
  <c r="E104" i="128"/>
  <c r="B104" i="128"/>
  <c r="H80" i="128"/>
  <c r="H79" i="128"/>
  <c r="H78" i="128"/>
  <c r="H77" i="128"/>
  <c r="H76" i="128"/>
  <c r="H75" i="128"/>
  <c r="H74" i="128"/>
  <c r="H73" i="128"/>
  <c r="H72" i="128"/>
  <c r="H71" i="128"/>
  <c r="H70" i="128"/>
  <c r="H69" i="128"/>
  <c r="H68" i="128"/>
  <c r="H67" i="128"/>
  <c r="H66" i="128"/>
  <c r="H65" i="128"/>
  <c r="H63" i="128"/>
  <c r="H62" i="128"/>
  <c r="H61" i="128"/>
  <c r="H60" i="128"/>
  <c r="H59" i="128"/>
  <c r="H58" i="128"/>
  <c r="H57" i="128"/>
  <c r="H56" i="128"/>
  <c r="H55" i="128"/>
  <c r="H54" i="128"/>
  <c r="H53" i="128"/>
  <c r="H52" i="128"/>
  <c r="H51" i="128"/>
  <c r="H50" i="128"/>
  <c r="H49" i="128"/>
  <c r="H48" i="128"/>
  <c r="H47" i="128"/>
  <c r="H46" i="128"/>
  <c r="H45" i="128"/>
  <c r="H44" i="128"/>
  <c r="H43" i="128"/>
  <c r="H42" i="128"/>
  <c r="H41" i="128"/>
  <c r="H40" i="128"/>
  <c r="H39" i="128"/>
  <c r="H38" i="128"/>
  <c r="H37" i="128"/>
  <c r="H36" i="128"/>
  <c r="H35" i="128"/>
  <c r="H34" i="128"/>
  <c r="H33" i="128"/>
  <c r="H32" i="128"/>
  <c r="H31" i="128"/>
  <c r="H30" i="128"/>
  <c r="H29" i="128"/>
  <c r="H28" i="128"/>
  <c r="H27" i="128"/>
  <c r="H26" i="128"/>
  <c r="H25" i="128"/>
  <c r="H24" i="128"/>
  <c r="H23" i="128"/>
  <c r="H22" i="128"/>
  <c r="H21" i="128"/>
  <c r="H20" i="128"/>
  <c r="H19" i="128"/>
  <c r="H18" i="128"/>
  <c r="H17" i="128"/>
  <c r="H16" i="128"/>
  <c r="H14" i="128"/>
  <c r="H13" i="128"/>
  <c r="H12" i="128"/>
  <c r="H11" i="128"/>
  <c r="H10" i="128"/>
  <c r="H9" i="128"/>
  <c r="H8" i="128"/>
  <c r="H7" i="128"/>
  <c r="H6" i="128"/>
  <c r="H5" i="128"/>
  <c r="H4" i="128"/>
  <c r="H3" i="128"/>
  <c r="BK82" i="2"/>
  <c r="BK77" i="2"/>
  <c r="BK76" i="2"/>
  <c r="BK75" i="2"/>
  <c r="BK74" i="2"/>
  <c r="BK39" i="2"/>
  <c r="BK53" i="2" s="1"/>
  <c r="BK38" i="2"/>
  <c r="BK31" i="2"/>
  <c r="BK30" i="2"/>
  <c r="BK14" i="2"/>
  <c r="BK9" i="2"/>
  <c r="BK8" i="2"/>
  <c r="BK7" i="2"/>
  <c r="BK6" i="2"/>
  <c r="BK5" i="2"/>
  <c r="BK4" i="2"/>
  <c r="G80" i="127"/>
  <c r="G79" i="127"/>
  <c r="G78" i="127"/>
  <c r="G77" i="127"/>
  <c r="G76" i="127"/>
  <c r="G75" i="127"/>
  <c r="G74" i="127"/>
  <c r="G73" i="127"/>
  <c r="G72" i="127"/>
  <c r="G71" i="127"/>
  <c r="G70" i="127"/>
  <c r="G69" i="127"/>
  <c r="G68" i="127"/>
  <c r="G67" i="127"/>
  <c r="G66" i="127"/>
  <c r="G65" i="127"/>
  <c r="G64" i="127"/>
  <c r="G63" i="127"/>
  <c r="G62" i="127"/>
  <c r="G61" i="127"/>
  <c r="G60" i="127"/>
  <c r="G59" i="127"/>
  <c r="G58" i="127"/>
  <c r="G57" i="127"/>
  <c r="G56" i="127"/>
  <c r="G55" i="127"/>
  <c r="G54" i="127"/>
  <c r="G53" i="127"/>
  <c r="G52" i="127"/>
  <c r="G51" i="127"/>
  <c r="G50" i="127"/>
  <c r="G49" i="127"/>
  <c r="G48" i="127"/>
  <c r="G47" i="127"/>
  <c r="G46" i="127"/>
  <c r="G45" i="127"/>
  <c r="G44" i="127"/>
  <c r="G43" i="127"/>
  <c r="G42" i="127"/>
  <c r="G41" i="127"/>
  <c r="G40" i="127"/>
  <c r="G39" i="127"/>
  <c r="G38" i="127"/>
  <c r="G37" i="127"/>
  <c r="G36" i="127"/>
  <c r="G35" i="127"/>
  <c r="G34" i="127"/>
  <c r="G33" i="127"/>
  <c r="G32" i="127"/>
  <c r="G31" i="127"/>
  <c r="G30" i="127"/>
  <c r="G29" i="127"/>
  <c r="G28" i="127"/>
  <c r="G27" i="127"/>
  <c r="G26" i="127"/>
  <c r="G25" i="127"/>
  <c r="G24" i="127"/>
  <c r="G23" i="127"/>
  <c r="G22" i="127"/>
  <c r="G21" i="127"/>
  <c r="G20" i="127"/>
  <c r="G19" i="127"/>
  <c r="G18" i="127"/>
  <c r="G17" i="127"/>
  <c r="G16" i="127"/>
  <c r="G15" i="127"/>
  <c r="G14" i="127"/>
  <c r="G13" i="127"/>
  <c r="G12" i="127"/>
  <c r="G11" i="127"/>
  <c r="G10" i="127"/>
  <c r="G9" i="127"/>
  <c r="G8" i="127"/>
  <c r="G7" i="127"/>
  <c r="G6" i="127"/>
  <c r="G5" i="127"/>
  <c r="G4" i="127"/>
  <c r="G3" i="127"/>
  <c r="G2" i="127"/>
  <c r="G104" i="127"/>
  <c r="F104" i="127"/>
  <c r="E104" i="127"/>
  <c r="B104" i="127"/>
  <c r="H80" i="127"/>
  <c r="H79" i="127"/>
  <c r="H78" i="127"/>
  <c r="H77" i="127"/>
  <c r="H76" i="127"/>
  <c r="H75" i="127"/>
  <c r="H74" i="127"/>
  <c r="H73" i="127"/>
  <c r="H72" i="127"/>
  <c r="H71" i="127"/>
  <c r="H70" i="127"/>
  <c r="H69" i="127"/>
  <c r="H68" i="127"/>
  <c r="H67" i="127"/>
  <c r="H66" i="127"/>
  <c r="H65" i="127"/>
  <c r="H63" i="127"/>
  <c r="H62" i="127"/>
  <c r="H61" i="127"/>
  <c r="H60" i="127"/>
  <c r="H59" i="127"/>
  <c r="H58" i="127"/>
  <c r="H57" i="127"/>
  <c r="H56" i="127"/>
  <c r="H55" i="127"/>
  <c r="H54" i="127"/>
  <c r="H53" i="127"/>
  <c r="H52" i="127"/>
  <c r="H51" i="127"/>
  <c r="H50" i="127"/>
  <c r="H49" i="127"/>
  <c r="H48" i="127"/>
  <c r="H47" i="127"/>
  <c r="H46" i="127"/>
  <c r="H45" i="127"/>
  <c r="H44" i="127"/>
  <c r="H43" i="127"/>
  <c r="H42" i="127"/>
  <c r="H41" i="127"/>
  <c r="H40" i="127"/>
  <c r="H39" i="127"/>
  <c r="H38" i="127"/>
  <c r="H37" i="127"/>
  <c r="H36" i="127"/>
  <c r="H35" i="127"/>
  <c r="H34" i="127"/>
  <c r="H33" i="127"/>
  <c r="H32" i="127"/>
  <c r="H31" i="127"/>
  <c r="H30" i="127"/>
  <c r="H29" i="127"/>
  <c r="H28" i="127"/>
  <c r="H27" i="127"/>
  <c r="H26" i="127"/>
  <c r="H25" i="127"/>
  <c r="H24" i="127"/>
  <c r="H23" i="127"/>
  <c r="H22" i="127"/>
  <c r="H21" i="127"/>
  <c r="H20" i="127"/>
  <c r="H19" i="127"/>
  <c r="H18" i="127"/>
  <c r="H17" i="127"/>
  <c r="H16" i="127"/>
  <c r="H14" i="127"/>
  <c r="H13" i="127"/>
  <c r="H12" i="127"/>
  <c r="H11" i="127"/>
  <c r="H10" i="127"/>
  <c r="H9" i="127"/>
  <c r="H8" i="127"/>
  <c r="H7" i="127"/>
  <c r="H6" i="127"/>
  <c r="H5" i="127"/>
  <c r="H4" i="127"/>
  <c r="H3" i="127"/>
  <c r="H2" i="127"/>
  <c r="H22" i="126"/>
  <c r="G22" i="126"/>
  <c r="F22" i="126"/>
  <c r="C22" i="126"/>
  <c r="I19" i="126"/>
  <c r="I18" i="126"/>
  <c r="I17" i="126"/>
  <c r="I16" i="126"/>
  <c r="I15" i="126"/>
  <c r="I14" i="126"/>
  <c r="I13" i="126"/>
  <c r="I12" i="126"/>
  <c r="I11" i="126"/>
  <c r="I10" i="126"/>
  <c r="I9" i="126"/>
  <c r="I8" i="126"/>
  <c r="I7" i="126"/>
  <c r="I6" i="126"/>
  <c r="I5" i="126"/>
  <c r="I4" i="126"/>
  <c r="I3" i="126"/>
  <c r="I2" i="126"/>
  <c r="BJ82" i="2"/>
  <c r="BJ77" i="2"/>
  <c r="BJ76" i="2"/>
  <c r="BJ75" i="2"/>
  <c r="BJ74" i="2"/>
  <c r="BJ39" i="2"/>
  <c r="BJ53" i="2" s="1"/>
  <c r="BJ38" i="2"/>
  <c r="BJ31" i="2"/>
  <c r="BJ30" i="2"/>
  <c r="BJ14" i="2"/>
  <c r="BJ9" i="2"/>
  <c r="BJ8" i="2"/>
  <c r="BJ7" i="2"/>
  <c r="BJ6" i="2"/>
  <c r="BJ5" i="2"/>
  <c r="BJ4" i="2"/>
  <c r="BO39" i="2"/>
  <c r="BI39" i="2"/>
  <c r="BI53" i="2"/>
  <c r="BH39" i="2"/>
  <c r="BO38" i="2"/>
  <c r="BI38" i="2"/>
  <c r="BH38" i="2"/>
  <c r="BI14" i="2"/>
  <c r="H22" i="125"/>
  <c r="G22" i="125"/>
  <c r="F22" i="125"/>
  <c r="C22" i="125"/>
  <c r="I19" i="125"/>
  <c r="I18" i="125"/>
  <c r="I17" i="125"/>
  <c r="I16" i="125"/>
  <c r="I15" i="125"/>
  <c r="I14" i="125"/>
  <c r="I13" i="125"/>
  <c r="I12" i="125"/>
  <c r="I11" i="125"/>
  <c r="I10" i="125"/>
  <c r="I9" i="125"/>
  <c r="I8" i="125"/>
  <c r="I7" i="125"/>
  <c r="I6" i="125"/>
  <c r="I5" i="125"/>
  <c r="I4" i="125"/>
  <c r="I3" i="125"/>
  <c r="I2" i="125"/>
  <c r="G104" i="124"/>
  <c r="F104" i="124"/>
  <c r="E104" i="124"/>
  <c r="B104" i="124"/>
  <c r="H80" i="124"/>
  <c r="H79" i="124"/>
  <c r="H78" i="124"/>
  <c r="H77" i="124"/>
  <c r="H76" i="124"/>
  <c r="H75" i="124"/>
  <c r="H74" i="124"/>
  <c r="H73" i="124"/>
  <c r="H72" i="124"/>
  <c r="H71" i="124"/>
  <c r="H70" i="124"/>
  <c r="H69" i="124"/>
  <c r="H68" i="124"/>
  <c r="H67" i="124"/>
  <c r="H66" i="124"/>
  <c r="H65" i="124"/>
  <c r="H63" i="124"/>
  <c r="H62" i="124"/>
  <c r="H61" i="124"/>
  <c r="H60" i="124"/>
  <c r="H59" i="124"/>
  <c r="H58" i="124"/>
  <c r="H57" i="124"/>
  <c r="H56" i="124"/>
  <c r="H55" i="124"/>
  <c r="H54" i="124"/>
  <c r="H53" i="124"/>
  <c r="H52" i="124"/>
  <c r="H51" i="124"/>
  <c r="H50" i="124"/>
  <c r="H49" i="124"/>
  <c r="H48" i="124"/>
  <c r="H47" i="124"/>
  <c r="H46" i="124"/>
  <c r="H45" i="124"/>
  <c r="H44" i="124"/>
  <c r="H43" i="124"/>
  <c r="H42" i="124"/>
  <c r="H41" i="124"/>
  <c r="H40" i="124"/>
  <c r="H39" i="124"/>
  <c r="H38" i="124"/>
  <c r="H37" i="124"/>
  <c r="H36" i="124"/>
  <c r="H35" i="124"/>
  <c r="H34" i="124"/>
  <c r="H33" i="124"/>
  <c r="H32" i="124"/>
  <c r="H31" i="124"/>
  <c r="H30" i="124"/>
  <c r="H29" i="124"/>
  <c r="H28" i="124"/>
  <c r="H27" i="124"/>
  <c r="H26" i="124"/>
  <c r="H25" i="124"/>
  <c r="H24" i="124"/>
  <c r="H23" i="124"/>
  <c r="H22" i="124"/>
  <c r="H21" i="124"/>
  <c r="H20" i="124"/>
  <c r="H19" i="124"/>
  <c r="H18" i="124"/>
  <c r="H17" i="124"/>
  <c r="H16" i="124"/>
  <c r="H14" i="124"/>
  <c r="H13" i="124"/>
  <c r="H12" i="124"/>
  <c r="H11" i="124"/>
  <c r="H10" i="124"/>
  <c r="H9" i="124"/>
  <c r="H8" i="124"/>
  <c r="H7" i="124"/>
  <c r="H6" i="124"/>
  <c r="H5" i="124"/>
  <c r="H4" i="124"/>
  <c r="H3" i="124"/>
  <c r="H2" i="124"/>
  <c r="BI82" i="2"/>
  <c r="BI77" i="2"/>
  <c r="BI76" i="2"/>
  <c r="BI75" i="2"/>
  <c r="BI74" i="2"/>
  <c r="BI30" i="2"/>
  <c r="BI9" i="2"/>
  <c r="BI8" i="2"/>
  <c r="BI7" i="2"/>
  <c r="BI6" i="2"/>
  <c r="BI4" i="2"/>
  <c r="BG39" i="2"/>
  <c r="BH53" i="2"/>
  <c r="BH77" i="2"/>
  <c r="BH76" i="2"/>
  <c r="BH75" i="2"/>
  <c r="BH74" i="2"/>
  <c r="BH31" i="2"/>
  <c r="BH30" i="2"/>
  <c r="BH14" i="2"/>
  <c r="BH9" i="2"/>
  <c r="BH8" i="2"/>
  <c r="BH7" i="2"/>
  <c r="BH6" i="2"/>
  <c r="BH5" i="2"/>
  <c r="BH4" i="2"/>
  <c r="H22" i="123"/>
  <c r="G22" i="123"/>
  <c r="F22" i="123"/>
  <c r="C22" i="123"/>
  <c r="I19" i="123"/>
  <c r="I18" i="123"/>
  <c r="I17" i="123"/>
  <c r="I16" i="123"/>
  <c r="I15" i="123"/>
  <c r="I14" i="123"/>
  <c r="I13" i="123"/>
  <c r="I12" i="123"/>
  <c r="I11" i="123"/>
  <c r="I10" i="123"/>
  <c r="I9" i="123"/>
  <c r="I8" i="123"/>
  <c r="I7" i="123"/>
  <c r="I6" i="123"/>
  <c r="I5" i="123"/>
  <c r="I4" i="123"/>
  <c r="I3" i="123"/>
  <c r="I2" i="123"/>
  <c r="G104" i="122"/>
  <c r="F104" i="122"/>
  <c r="E104" i="122"/>
  <c r="B104" i="122"/>
  <c r="H80" i="122"/>
  <c r="H79" i="122"/>
  <c r="H78" i="122"/>
  <c r="H77" i="122"/>
  <c r="H76" i="122"/>
  <c r="H75" i="122"/>
  <c r="H74" i="122"/>
  <c r="H73" i="122"/>
  <c r="H72" i="122"/>
  <c r="H71" i="122"/>
  <c r="H70" i="122"/>
  <c r="H69" i="122"/>
  <c r="H68" i="122"/>
  <c r="H67" i="122"/>
  <c r="H66" i="122"/>
  <c r="H65" i="122"/>
  <c r="H63" i="122"/>
  <c r="H62" i="122"/>
  <c r="H61" i="122"/>
  <c r="H60" i="122"/>
  <c r="H59" i="122"/>
  <c r="H58" i="122"/>
  <c r="H57" i="122"/>
  <c r="H56" i="122"/>
  <c r="H55" i="122"/>
  <c r="H54" i="122"/>
  <c r="H53" i="122"/>
  <c r="H52" i="122"/>
  <c r="H51" i="122"/>
  <c r="H50" i="122"/>
  <c r="H49" i="122"/>
  <c r="H48" i="122"/>
  <c r="H47" i="122"/>
  <c r="H46" i="122"/>
  <c r="H45" i="122"/>
  <c r="H44" i="122"/>
  <c r="H43" i="122"/>
  <c r="H42" i="122"/>
  <c r="H41" i="122"/>
  <c r="H40" i="122"/>
  <c r="H39" i="122"/>
  <c r="H38" i="122"/>
  <c r="H37" i="122"/>
  <c r="H36" i="122"/>
  <c r="H35" i="122"/>
  <c r="H34" i="122"/>
  <c r="H33" i="122"/>
  <c r="H32" i="122"/>
  <c r="H31" i="122"/>
  <c r="H30" i="122"/>
  <c r="H29" i="122"/>
  <c r="H28" i="122"/>
  <c r="H27" i="122"/>
  <c r="H26" i="122"/>
  <c r="H25" i="122"/>
  <c r="H24" i="122"/>
  <c r="H23" i="122"/>
  <c r="H22" i="122"/>
  <c r="H21" i="122"/>
  <c r="H20" i="122"/>
  <c r="H19" i="122"/>
  <c r="H18" i="122"/>
  <c r="H17" i="122"/>
  <c r="H16" i="122"/>
  <c r="H14" i="122"/>
  <c r="H13" i="122"/>
  <c r="H12" i="122"/>
  <c r="H11" i="122"/>
  <c r="H10" i="122"/>
  <c r="H9" i="122"/>
  <c r="H8" i="122"/>
  <c r="H7" i="122"/>
  <c r="H6" i="122"/>
  <c r="H5" i="122"/>
  <c r="H4" i="122"/>
  <c r="H3" i="122"/>
  <c r="H2" i="122"/>
  <c r="BE14" i="2"/>
  <c r="BF14" i="2"/>
  <c r="BG14" i="2"/>
  <c r="H22" i="121"/>
  <c r="G22" i="121"/>
  <c r="F22" i="121"/>
  <c r="C22" i="121"/>
  <c r="I19" i="121"/>
  <c r="I18" i="121"/>
  <c r="I17" i="121"/>
  <c r="I16" i="121"/>
  <c r="I15" i="121"/>
  <c r="I14" i="121"/>
  <c r="I13" i="121"/>
  <c r="I12" i="121"/>
  <c r="I11" i="121"/>
  <c r="I10" i="121"/>
  <c r="I9" i="121"/>
  <c r="I8" i="121"/>
  <c r="I7" i="121"/>
  <c r="I6" i="121"/>
  <c r="I5" i="121"/>
  <c r="I4" i="121"/>
  <c r="I3" i="121"/>
  <c r="I2" i="121"/>
  <c r="G104" i="120"/>
  <c r="F104" i="120"/>
  <c r="E104" i="120"/>
  <c r="B104" i="120"/>
  <c r="H80" i="120"/>
  <c r="H79" i="120"/>
  <c r="H78" i="120"/>
  <c r="H77" i="120"/>
  <c r="H76" i="120"/>
  <c r="H75" i="120"/>
  <c r="H74" i="120"/>
  <c r="H73" i="120"/>
  <c r="H72" i="120"/>
  <c r="H71" i="120"/>
  <c r="H70" i="120"/>
  <c r="H69" i="120"/>
  <c r="H68" i="120"/>
  <c r="H67" i="120"/>
  <c r="H66" i="120"/>
  <c r="H65" i="120"/>
  <c r="H63" i="120"/>
  <c r="H62" i="120"/>
  <c r="H61" i="120"/>
  <c r="H60" i="120"/>
  <c r="H59" i="120"/>
  <c r="H58" i="120"/>
  <c r="H57" i="120"/>
  <c r="H56" i="120"/>
  <c r="H55" i="120"/>
  <c r="H54" i="120"/>
  <c r="H53" i="120"/>
  <c r="H52" i="120"/>
  <c r="H51" i="120"/>
  <c r="H50" i="120"/>
  <c r="H49" i="120"/>
  <c r="H48" i="120"/>
  <c r="H47" i="120"/>
  <c r="H46" i="120"/>
  <c r="H45" i="120"/>
  <c r="H44" i="120"/>
  <c r="H43" i="120"/>
  <c r="H42" i="120"/>
  <c r="H41" i="120"/>
  <c r="H40" i="120"/>
  <c r="H39" i="120"/>
  <c r="H38" i="120"/>
  <c r="H37" i="120"/>
  <c r="H36" i="120"/>
  <c r="H35" i="120"/>
  <c r="H34" i="120"/>
  <c r="H33" i="120"/>
  <c r="H32" i="120"/>
  <c r="H31" i="120"/>
  <c r="H30" i="120"/>
  <c r="H29" i="120"/>
  <c r="H28" i="120"/>
  <c r="H27" i="120"/>
  <c r="H26" i="120"/>
  <c r="H25" i="120"/>
  <c r="H24" i="120"/>
  <c r="H23" i="120"/>
  <c r="H22" i="120"/>
  <c r="H21" i="120"/>
  <c r="H20" i="120"/>
  <c r="H19" i="120"/>
  <c r="H18" i="120"/>
  <c r="H17" i="120"/>
  <c r="H16" i="120"/>
  <c r="H14" i="120"/>
  <c r="H13" i="120"/>
  <c r="H12" i="120"/>
  <c r="H11" i="120"/>
  <c r="H10" i="120"/>
  <c r="H9" i="120"/>
  <c r="H8" i="120"/>
  <c r="H7" i="120"/>
  <c r="H6" i="120"/>
  <c r="H5" i="120"/>
  <c r="H4" i="120"/>
  <c r="H3" i="120"/>
  <c r="H2" i="120"/>
  <c r="BG77" i="2"/>
  <c r="BG76" i="2"/>
  <c r="BG75" i="2"/>
  <c r="BG74" i="2"/>
  <c r="BG53" i="2"/>
  <c r="BG31" i="2"/>
  <c r="BG30" i="2"/>
  <c r="BG9" i="2"/>
  <c r="BG8" i="2"/>
  <c r="BG7" i="2"/>
  <c r="BG6" i="2"/>
  <c r="BG5" i="2"/>
  <c r="BG4" i="2"/>
  <c r="BF77" i="2"/>
  <c r="BF76" i="2"/>
  <c r="BF75" i="2"/>
  <c r="BF74" i="2"/>
  <c r="BF39" i="2"/>
  <c r="BF53" i="2"/>
  <c r="BF30" i="2"/>
  <c r="BF12" i="2"/>
  <c r="BG38" i="2"/>
  <c r="BF9" i="2"/>
  <c r="BF8" i="2"/>
  <c r="BF7" i="2"/>
  <c r="BF6" i="2"/>
  <c r="BF5" i="2"/>
  <c r="BF4" i="2"/>
  <c r="F104" i="119"/>
  <c r="E104" i="119"/>
  <c r="B104" i="119"/>
  <c r="H81" i="119"/>
  <c r="H80" i="119"/>
  <c r="H79" i="119"/>
  <c r="H78" i="119"/>
  <c r="H77" i="119"/>
  <c r="H76" i="119"/>
  <c r="H75" i="119"/>
  <c r="H74" i="119"/>
  <c r="H73" i="119"/>
  <c r="H72" i="119"/>
  <c r="H71" i="119"/>
  <c r="H70" i="119"/>
  <c r="H69" i="119"/>
  <c r="H68" i="119"/>
  <c r="H67" i="119"/>
  <c r="H66" i="119"/>
  <c r="H65" i="119"/>
  <c r="G104" i="119"/>
  <c r="H104" i="119"/>
  <c r="H63" i="119"/>
  <c r="H62" i="119"/>
  <c r="H61" i="119"/>
  <c r="H60" i="119"/>
  <c r="H59" i="119"/>
  <c r="H58" i="119"/>
  <c r="H57" i="119"/>
  <c r="H56" i="119"/>
  <c r="H55" i="119"/>
  <c r="H54" i="119"/>
  <c r="H53" i="119"/>
  <c r="H52" i="119"/>
  <c r="H51" i="119"/>
  <c r="H50" i="119"/>
  <c r="H49" i="119"/>
  <c r="H48" i="119"/>
  <c r="H47" i="119"/>
  <c r="H46" i="119"/>
  <c r="H45" i="119"/>
  <c r="H44" i="119"/>
  <c r="H43" i="119"/>
  <c r="H42" i="119"/>
  <c r="H41" i="119"/>
  <c r="H40" i="119"/>
  <c r="H39" i="119"/>
  <c r="H38" i="119"/>
  <c r="H37" i="119"/>
  <c r="H36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4" i="119"/>
  <c r="H13" i="119"/>
  <c r="H12" i="119"/>
  <c r="H11" i="119"/>
  <c r="H10" i="119"/>
  <c r="H9" i="119"/>
  <c r="H8" i="119"/>
  <c r="H7" i="119"/>
  <c r="H6" i="119"/>
  <c r="H5" i="119"/>
  <c r="H4" i="119"/>
  <c r="H3" i="119"/>
  <c r="H2" i="119"/>
  <c r="H22" i="118"/>
  <c r="G22" i="118"/>
  <c r="F22" i="118"/>
  <c r="C22" i="118"/>
  <c r="I19" i="118"/>
  <c r="I18" i="118"/>
  <c r="I17" i="118"/>
  <c r="I16" i="118"/>
  <c r="I15" i="118"/>
  <c r="I14" i="118"/>
  <c r="I13" i="118"/>
  <c r="I12" i="118"/>
  <c r="I11" i="118"/>
  <c r="I10" i="118"/>
  <c r="I9" i="118"/>
  <c r="I8" i="118"/>
  <c r="I7" i="118"/>
  <c r="I6" i="118"/>
  <c r="I5" i="118"/>
  <c r="I4" i="118"/>
  <c r="I3" i="118"/>
  <c r="I2" i="118"/>
  <c r="G64" i="115"/>
  <c r="BE77" i="2"/>
  <c r="BE76" i="2"/>
  <c r="BE75" i="2"/>
  <c r="BE74" i="2"/>
  <c r="BE39" i="2"/>
  <c r="BE53" i="2"/>
  <c r="BE30" i="2"/>
  <c r="BE9" i="2"/>
  <c r="BE8" i="2"/>
  <c r="BE7" i="2"/>
  <c r="BE6" i="2"/>
  <c r="BE5" i="2"/>
  <c r="BE4" i="2"/>
  <c r="H81" i="115"/>
  <c r="I20" i="116"/>
  <c r="H22" i="116"/>
  <c r="G22" i="116"/>
  <c r="F22" i="116"/>
  <c r="C22" i="116"/>
  <c r="I19" i="116"/>
  <c r="I18" i="116"/>
  <c r="I17" i="116"/>
  <c r="I16" i="116"/>
  <c r="I15" i="116"/>
  <c r="I14" i="116"/>
  <c r="I13" i="116"/>
  <c r="I12" i="116"/>
  <c r="I11" i="116"/>
  <c r="I10" i="116"/>
  <c r="I9" i="116"/>
  <c r="I8" i="116"/>
  <c r="I7" i="116"/>
  <c r="I6" i="116"/>
  <c r="I5" i="116"/>
  <c r="I4" i="116"/>
  <c r="I3" i="116"/>
  <c r="I2" i="116"/>
  <c r="G104" i="115"/>
  <c r="F104" i="115"/>
  <c r="E104" i="115"/>
  <c r="B104" i="115"/>
  <c r="H80" i="115"/>
  <c r="H79" i="115"/>
  <c r="H78" i="115"/>
  <c r="H77" i="115"/>
  <c r="H76" i="115"/>
  <c r="H75" i="115"/>
  <c r="H74" i="115"/>
  <c r="H73" i="115"/>
  <c r="H72" i="115"/>
  <c r="H71" i="115"/>
  <c r="H70" i="115"/>
  <c r="H69" i="115"/>
  <c r="H68" i="115"/>
  <c r="H67" i="115"/>
  <c r="H66" i="115"/>
  <c r="H65" i="115"/>
  <c r="H63" i="115"/>
  <c r="H62" i="115"/>
  <c r="H61" i="115"/>
  <c r="H60" i="115"/>
  <c r="H59" i="115"/>
  <c r="H58" i="115"/>
  <c r="H57" i="115"/>
  <c r="H56" i="115"/>
  <c r="H55" i="115"/>
  <c r="H54" i="115"/>
  <c r="H53" i="115"/>
  <c r="H52" i="115"/>
  <c r="H51" i="115"/>
  <c r="H50" i="115"/>
  <c r="H49" i="115"/>
  <c r="H48" i="115"/>
  <c r="H47" i="115"/>
  <c r="H46" i="115"/>
  <c r="H45" i="115"/>
  <c r="H44" i="115"/>
  <c r="H43" i="115"/>
  <c r="H42" i="115"/>
  <c r="H41" i="115"/>
  <c r="H40" i="115"/>
  <c r="H39" i="115"/>
  <c r="H38" i="115"/>
  <c r="H37" i="115"/>
  <c r="H36" i="115"/>
  <c r="H35" i="115"/>
  <c r="H34" i="115"/>
  <c r="H33" i="115"/>
  <c r="H32" i="115"/>
  <c r="H31" i="115"/>
  <c r="H30" i="115"/>
  <c r="H29" i="115"/>
  <c r="H28" i="115"/>
  <c r="H27" i="115"/>
  <c r="H26" i="115"/>
  <c r="H25" i="115"/>
  <c r="H24" i="115"/>
  <c r="H23" i="115"/>
  <c r="H22" i="115"/>
  <c r="H21" i="115"/>
  <c r="H20" i="115"/>
  <c r="H19" i="115"/>
  <c r="H18" i="115"/>
  <c r="H17" i="115"/>
  <c r="H16" i="115"/>
  <c r="H14" i="115"/>
  <c r="H13" i="115"/>
  <c r="H12" i="115"/>
  <c r="H11" i="115"/>
  <c r="H10" i="115"/>
  <c r="H9" i="115"/>
  <c r="H8" i="115"/>
  <c r="H7" i="115"/>
  <c r="H6" i="115"/>
  <c r="H5" i="115"/>
  <c r="H4" i="115"/>
  <c r="H3" i="115"/>
  <c r="H2" i="115"/>
  <c r="H80" i="113"/>
  <c r="H22" i="114"/>
  <c r="G22" i="114"/>
  <c r="F22" i="114"/>
  <c r="C22" i="114"/>
  <c r="I19" i="114"/>
  <c r="I18" i="114"/>
  <c r="I17" i="114"/>
  <c r="I16" i="114"/>
  <c r="I15" i="114"/>
  <c r="I14" i="114"/>
  <c r="I13" i="114"/>
  <c r="I12" i="114"/>
  <c r="I11" i="114"/>
  <c r="I10" i="114"/>
  <c r="I9" i="114"/>
  <c r="I8" i="114"/>
  <c r="I7" i="114"/>
  <c r="I6" i="114"/>
  <c r="I5" i="114"/>
  <c r="I4" i="114"/>
  <c r="I3" i="114"/>
  <c r="I2" i="114"/>
  <c r="G104" i="113"/>
  <c r="F104" i="113"/>
  <c r="E104" i="113"/>
  <c r="B104" i="113"/>
  <c r="H79" i="113"/>
  <c r="H78" i="113"/>
  <c r="H77" i="113"/>
  <c r="H76" i="113"/>
  <c r="H75" i="113"/>
  <c r="H74" i="113"/>
  <c r="H73" i="113"/>
  <c r="H72" i="113"/>
  <c r="H71" i="113"/>
  <c r="H70" i="113"/>
  <c r="H69" i="113"/>
  <c r="H68" i="113"/>
  <c r="H67" i="113"/>
  <c r="H66" i="113"/>
  <c r="H65" i="113"/>
  <c r="H64" i="113"/>
  <c r="H63" i="113"/>
  <c r="H62" i="113"/>
  <c r="H61" i="113"/>
  <c r="H60" i="113"/>
  <c r="H59" i="113"/>
  <c r="H58" i="113"/>
  <c r="H57" i="113"/>
  <c r="H56" i="113"/>
  <c r="H55" i="113"/>
  <c r="H54" i="113"/>
  <c r="H53" i="113"/>
  <c r="H52" i="113"/>
  <c r="H51" i="113"/>
  <c r="H50" i="113"/>
  <c r="H49" i="113"/>
  <c r="H48" i="113"/>
  <c r="H47" i="113"/>
  <c r="H46" i="113"/>
  <c r="H45" i="113"/>
  <c r="H44" i="113"/>
  <c r="H43" i="113"/>
  <c r="H42" i="113"/>
  <c r="H41" i="113"/>
  <c r="H40" i="113"/>
  <c r="H39" i="113"/>
  <c r="H38" i="113"/>
  <c r="H37" i="113"/>
  <c r="H36" i="113"/>
  <c r="H35" i="113"/>
  <c r="H34" i="113"/>
  <c r="H33" i="113"/>
  <c r="H32" i="113"/>
  <c r="H31" i="113"/>
  <c r="H30" i="113"/>
  <c r="H29" i="113"/>
  <c r="H28" i="113"/>
  <c r="H27" i="113"/>
  <c r="H26" i="113"/>
  <c r="H25" i="113"/>
  <c r="H24" i="113"/>
  <c r="H23" i="113"/>
  <c r="H22" i="113"/>
  <c r="H21" i="113"/>
  <c r="H20" i="113"/>
  <c r="H19" i="113"/>
  <c r="H18" i="113"/>
  <c r="H17" i="113"/>
  <c r="H16" i="113"/>
  <c r="H14" i="113"/>
  <c r="H13" i="113"/>
  <c r="H12" i="113"/>
  <c r="H11" i="113"/>
  <c r="H10" i="113"/>
  <c r="H9" i="113"/>
  <c r="H8" i="113"/>
  <c r="H7" i="113"/>
  <c r="H6" i="113"/>
  <c r="H5" i="113"/>
  <c r="H4" i="113"/>
  <c r="H3" i="113"/>
  <c r="H2" i="113"/>
  <c r="BD77" i="2"/>
  <c r="BD76" i="2"/>
  <c r="BD75" i="2"/>
  <c r="BD74" i="2"/>
  <c r="BD39" i="2"/>
  <c r="BD53" i="2"/>
  <c r="BD30" i="2"/>
  <c r="BD14" i="2"/>
  <c r="BD12" i="2"/>
  <c r="BE38" i="2"/>
  <c r="BE31" i="2"/>
  <c r="BD9" i="2"/>
  <c r="BD8" i="2"/>
  <c r="BD7" i="2"/>
  <c r="BD6" i="2"/>
  <c r="BD5" i="2"/>
  <c r="BD4" i="2"/>
  <c r="H22" i="112"/>
  <c r="G22" i="112"/>
  <c r="F22" i="112"/>
  <c r="C22" i="112"/>
  <c r="I20" i="112"/>
  <c r="I19" i="112"/>
  <c r="I18" i="112"/>
  <c r="I17" i="112"/>
  <c r="I16" i="112"/>
  <c r="I15" i="112"/>
  <c r="I14" i="112"/>
  <c r="I13" i="112"/>
  <c r="I12" i="112"/>
  <c r="I11" i="112"/>
  <c r="I10" i="112"/>
  <c r="I9" i="112"/>
  <c r="I8" i="112"/>
  <c r="I7" i="112"/>
  <c r="I6" i="112"/>
  <c r="I5" i="112"/>
  <c r="I4" i="112"/>
  <c r="I3" i="112"/>
  <c r="I2" i="112"/>
  <c r="G104" i="111"/>
  <c r="F104" i="111"/>
  <c r="E104" i="111"/>
  <c r="B104" i="111"/>
  <c r="H79" i="111"/>
  <c r="H78" i="111"/>
  <c r="H77" i="111"/>
  <c r="H76" i="111"/>
  <c r="H75" i="111"/>
  <c r="H74" i="111"/>
  <c r="H73" i="111"/>
  <c r="H72" i="111"/>
  <c r="H71" i="111"/>
  <c r="H70" i="111"/>
  <c r="H69" i="111"/>
  <c r="H68" i="111"/>
  <c r="H67" i="111"/>
  <c r="H66" i="111"/>
  <c r="H65" i="111"/>
  <c r="H64" i="111"/>
  <c r="H63" i="111"/>
  <c r="H62" i="111"/>
  <c r="H61" i="111"/>
  <c r="H60" i="111"/>
  <c r="H59" i="111"/>
  <c r="H58" i="111"/>
  <c r="H57" i="111"/>
  <c r="H56" i="111"/>
  <c r="H55" i="111"/>
  <c r="H54" i="111"/>
  <c r="H53" i="111"/>
  <c r="H52" i="111"/>
  <c r="H51" i="111"/>
  <c r="H50" i="111"/>
  <c r="H49" i="111"/>
  <c r="H48" i="111"/>
  <c r="H47" i="111"/>
  <c r="H46" i="111"/>
  <c r="H45" i="111"/>
  <c r="H44" i="111"/>
  <c r="H43" i="111"/>
  <c r="H42" i="111"/>
  <c r="H41" i="111"/>
  <c r="H40" i="111"/>
  <c r="H39" i="111"/>
  <c r="H38" i="111"/>
  <c r="H37" i="111"/>
  <c r="H36" i="111"/>
  <c r="H35" i="111"/>
  <c r="H34" i="111"/>
  <c r="H33" i="111"/>
  <c r="H32" i="111"/>
  <c r="H31" i="111"/>
  <c r="H30" i="111"/>
  <c r="H29" i="111"/>
  <c r="H28" i="111"/>
  <c r="H27" i="111"/>
  <c r="H26" i="111"/>
  <c r="H25" i="111"/>
  <c r="H24" i="111"/>
  <c r="H23" i="111"/>
  <c r="H22" i="111"/>
  <c r="H21" i="111"/>
  <c r="H20" i="111"/>
  <c r="H19" i="111"/>
  <c r="H18" i="111"/>
  <c r="H17" i="111"/>
  <c r="H16" i="111"/>
  <c r="H14" i="111"/>
  <c r="H13" i="111"/>
  <c r="H12" i="111"/>
  <c r="H11" i="111"/>
  <c r="H10" i="111"/>
  <c r="H9" i="111"/>
  <c r="H8" i="111"/>
  <c r="H7" i="111"/>
  <c r="H6" i="111"/>
  <c r="H5" i="111"/>
  <c r="H4" i="111"/>
  <c r="H3" i="111"/>
  <c r="H2" i="111"/>
  <c r="BC77" i="2"/>
  <c r="BC76" i="2"/>
  <c r="BC75" i="2"/>
  <c r="BC74" i="2"/>
  <c r="BC39" i="2"/>
  <c r="BC30" i="2"/>
  <c r="BC14" i="2"/>
  <c r="BC12" i="2"/>
  <c r="BC9" i="2"/>
  <c r="BC8" i="2"/>
  <c r="BC7" i="2"/>
  <c r="BC6" i="2"/>
  <c r="BC5" i="2"/>
  <c r="BC4" i="2"/>
  <c r="BB79" i="2"/>
  <c r="BB38" i="2"/>
  <c r="BB52" i="2"/>
  <c r="I19" i="110"/>
  <c r="I20" i="110"/>
  <c r="H22" i="110"/>
  <c r="G22" i="110"/>
  <c r="F22" i="110"/>
  <c r="C22" i="110"/>
  <c r="I18" i="110"/>
  <c r="I17" i="110"/>
  <c r="I16" i="110"/>
  <c r="I15" i="110"/>
  <c r="I14" i="110"/>
  <c r="I13" i="110"/>
  <c r="I12" i="110"/>
  <c r="I11" i="110"/>
  <c r="I10" i="110"/>
  <c r="I9" i="110"/>
  <c r="I8" i="110"/>
  <c r="I7" i="110"/>
  <c r="I6" i="110"/>
  <c r="I5" i="110"/>
  <c r="I4" i="110"/>
  <c r="I3" i="110"/>
  <c r="I2" i="110"/>
  <c r="G104" i="109"/>
  <c r="F104" i="109"/>
  <c r="E104" i="109"/>
  <c r="B104" i="109"/>
  <c r="H79" i="109"/>
  <c r="H78" i="109"/>
  <c r="H77" i="109"/>
  <c r="H76" i="109"/>
  <c r="H75" i="109"/>
  <c r="H74" i="109"/>
  <c r="H73" i="109"/>
  <c r="H72" i="109"/>
  <c r="H71" i="109"/>
  <c r="H70" i="109"/>
  <c r="H69" i="109"/>
  <c r="H68" i="109"/>
  <c r="H67" i="109"/>
  <c r="H66" i="109"/>
  <c r="H65" i="109"/>
  <c r="H64" i="109"/>
  <c r="H63" i="109"/>
  <c r="H62" i="109"/>
  <c r="H61" i="109"/>
  <c r="H60" i="109"/>
  <c r="H59" i="109"/>
  <c r="H58" i="109"/>
  <c r="H57" i="109"/>
  <c r="H56" i="109"/>
  <c r="H55" i="109"/>
  <c r="H54" i="109"/>
  <c r="H53" i="109"/>
  <c r="H52" i="109"/>
  <c r="H51" i="109"/>
  <c r="H50" i="109"/>
  <c r="H49" i="109"/>
  <c r="H48" i="109"/>
  <c r="H47" i="109"/>
  <c r="H46" i="109"/>
  <c r="H45" i="109"/>
  <c r="H44" i="109"/>
  <c r="H43" i="109"/>
  <c r="H42" i="109"/>
  <c r="H41" i="109"/>
  <c r="H40" i="109"/>
  <c r="H39" i="109"/>
  <c r="H38" i="109"/>
  <c r="H37" i="109"/>
  <c r="H36" i="109"/>
  <c r="H35" i="109"/>
  <c r="H34" i="109"/>
  <c r="H33" i="109"/>
  <c r="H32" i="109"/>
  <c r="H31" i="109"/>
  <c r="H30" i="109"/>
  <c r="H29" i="109"/>
  <c r="H28" i="109"/>
  <c r="H27" i="109"/>
  <c r="H26" i="109"/>
  <c r="H25" i="109"/>
  <c r="H24" i="109"/>
  <c r="H23" i="109"/>
  <c r="H22" i="109"/>
  <c r="H21" i="109"/>
  <c r="H20" i="109"/>
  <c r="H19" i="109"/>
  <c r="H18" i="109"/>
  <c r="H17" i="109"/>
  <c r="H16" i="109"/>
  <c r="H14" i="109"/>
  <c r="H13" i="109"/>
  <c r="H12" i="109"/>
  <c r="H11" i="109"/>
  <c r="H10" i="109"/>
  <c r="H9" i="109"/>
  <c r="H8" i="109"/>
  <c r="H7" i="109"/>
  <c r="H6" i="109"/>
  <c r="H5" i="109"/>
  <c r="H4" i="109"/>
  <c r="H3" i="109"/>
  <c r="H2" i="109"/>
  <c r="BB77" i="2"/>
  <c r="BB76" i="2"/>
  <c r="BB75" i="2"/>
  <c r="BB74" i="2"/>
  <c r="BB39" i="2"/>
  <c r="BB53" i="2"/>
  <c r="BB31" i="2"/>
  <c r="BB30" i="2"/>
  <c r="BB14" i="2"/>
  <c r="BB9" i="2"/>
  <c r="BB8" i="2"/>
  <c r="BB7" i="2"/>
  <c r="BB6" i="2"/>
  <c r="BB5" i="2"/>
  <c r="BB4" i="2"/>
  <c r="BA38" i="2"/>
  <c r="BA52" i="2"/>
  <c r="I18" i="108"/>
  <c r="I17" i="108"/>
  <c r="H22" i="108"/>
  <c r="G22" i="108"/>
  <c r="F22" i="108"/>
  <c r="C22" i="108"/>
  <c r="I16" i="108"/>
  <c r="I15" i="108"/>
  <c r="I14" i="108"/>
  <c r="I13" i="108"/>
  <c r="I12" i="108"/>
  <c r="I11" i="108"/>
  <c r="I10" i="108"/>
  <c r="I9" i="108"/>
  <c r="I8" i="108"/>
  <c r="I7" i="108"/>
  <c r="I6" i="108"/>
  <c r="I5" i="108"/>
  <c r="I4" i="108"/>
  <c r="I3" i="108"/>
  <c r="I2" i="108"/>
  <c r="G104" i="107"/>
  <c r="F104" i="107"/>
  <c r="E104" i="107"/>
  <c r="B104" i="107"/>
  <c r="H79" i="107"/>
  <c r="H78" i="107"/>
  <c r="H77" i="107"/>
  <c r="H76" i="107"/>
  <c r="H75" i="107"/>
  <c r="H74" i="107"/>
  <c r="H73" i="107"/>
  <c r="H72" i="107"/>
  <c r="H71" i="107"/>
  <c r="H70" i="107"/>
  <c r="H69" i="107"/>
  <c r="H68" i="107"/>
  <c r="H67" i="107"/>
  <c r="H66" i="107"/>
  <c r="H65" i="107"/>
  <c r="H64" i="107"/>
  <c r="H63" i="107"/>
  <c r="H62" i="107"/>
  <c r="H61" i="107"/>
  <c r="H60" i="107"/>
  <c r="H59" i="107"/>
  <c r="H58" i="107"/>
  <c r="H57" i="107"/>
  <c r="H56" i="107"/>
  <c r="H55" i="107"/>
  <c r="H54" i="107"/>
  <c r="H53" i="107"/>
  <c r="H52" i="107"/>
  <c r="H51" i="107"/>
  <c r="H50" i="107"/>
  <c r="H49" i="107"/>
  <c r="H48" i="107"/>
  <c r="H47" i="107"/>
  <c r="H46" i="107"/>
  <c r="H45" i="107"/>
  <c r="H44" i="107"/>
  <c r="H43" i="107"/>
  <c r="H42" i="107"/>
  <c r="H41" i="107"/>
  <c r="H40" i="107"/>
  <c r="H39" i="107"/>
  <c r="H38" i="107"/>
  <c r="H37" i="107"/>
  <c r="H36" i="107"/>
  <c r="H35" i="107"/>
  <c r="H34" i="107"/>
  <c r="H33" i="107"/>
  <c r="H32" i="107"/>
  <c r="H31" i="107"/>
  <c r="H30" i="107"/>
  <c r="H29" i="107"/>
  <c r="H28" i="107"/>
  <c r="H27" i="107"/>
  <c r="H26" i="107"/>
  <c r="H25" i="107"/>
  <c r="H24" i="107"/>
  <c r="H23" i="107"/>
  <c r="H22" i="107"/>
  <c r="H21" i="107"/>
  <c r="H20" i="107"/>
  <c r="H19" i="107"/>
  <c r="H18" i="107"/>
  <c r="H17" i="107"/>
  <c r="H16" i="107"/>
  <c r="H14" i="107"/>
  <c r="H13" i="107"/>
  <c r="H12" i="107"/>
  <c r="H11" i="107"/>
  <c r="H10" i="107"/>
  <c r="H9" i="107"/>
  <c r="H8" i="107"/>
  <c r="H7" i="107"/>
  <c r="H6" i="107"/>
  <c r="H5" i="107"/>
  <c r="H4" i="107"/>
  <c r="H3" i="107"/>
  <c r="H2" i="107"/>
  <c r="BA77" i="2"/>
  <c r="BA76" i="2"/>
  <c r="BA75" i="2"/>
  <c r="BA74" i="2"/>
  <c r="BA39" i="2"/>
  <c r="BA53" i="2"/>
  <c r="BA31" i="2"/>
  <c r="BA30" i="2"/>
  <c r="BA14" i="2"/>
  <c r="BA9" i="2"/>
  <c r="BA8" i="2"/>
  <c r="BA7" i="2"/>
  <c r="BA6" i="2"/>
  <c r="BA5" i="2"/>
  <c r="BA4" i="2"/>
  <c r="AZ30" i="2"/>
  <c r="AZ14" i="2"/>
  <c r="AZ9" i="2"/>
  <c r="AZ8" i="2"/>
  <c r="AZ7" i="2"/>
  <c r="AZ6" i="2"/>
  <c r="AZ5" i="2"/>
  <c r="AZ4" i="2"/>
  <c r="AZ77" i="2"/>
  <c r="AZ76" i="2"/>
  <c r="AZ75" i="2"/>
  <c r="AZ74" i="2"/>
  <c r="AZ39" i="2"/>
  <c r="AZ38" i="2"/>
  <c r="AZ31" i="2"/>
  <c r="E2" i="103"/>
  <c r="E3" i="103"/>
  <c r="E4" i="103"/>
  <c r="E5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G18" i="106"/>
  <c r="F18" i="106"/>
  <c r="C18" i="106"/>
  <c r="I16" i="106"/>
  <c r="I15" i="106"/>
  <c r="I14" i="106"/>
  <c r="I13" i="106"/>
  <c r="I12" i="106"/>
  <c r="I11" i="106"/>
  <c r="I10" i="106"/>
  <c r="I9" i="106"/>
  <c r="I8" i="106"/>
  <c r="I7" i="106"/>
  <c r="I6" i="106"/>
  <c r="I5" i="106"/>
  <c r="I4" i="106"/>
  <c r="I3" i="106"/>
  <c r="I2" i="106"/>
  <c r="B104" i="105"/>
  <c r="H96" i="105"/>
  <c r="H95" i="105"/>
  <c r="H94" i="105"/>
  <c r="H93" i="105"/>
  <c r="H92" i="105"/>
  <c r="H91" i="105"/>
  <c r="H90" i="105"/>
  <c r="H89" i="105"/>
  <c r="H88" i="105"/>
  <c r="H87" i="105"/>
  <c r="H86" i="105"/>
  <c r="H85" i="105"/>
  <c r="H84" i="105"/>
  <c r="H83" i="105"/>
  <c r="H82" i="105"/>
  <c r="H81" i="105"/>
  <c r="H80" i="105"/>
  <c r="H79" i="105"/>
  <c r="H78" i="105"/>
  <c r="H77" i="105"/>
  <c r="H76" i="105"/>
  <c r="H75" i="105"/>
  <c r="H74" i="105"/>
  <c r="H73" i="105"/>
  <c r="H72" i="105"/>
  <c r="H71" i="105"/>
  <c r="H70" i="105"/>
  <c r="H69" i="105"/>
  <c r="H68" i="105"/>
  <c r="H67" i="105"/>
  <c r="H66" i="105"/>
  <c r="H65" i="105"/>
  <c r="H64" i="105"/>
  <c r="H63" i="105"/>
  <c r="H62" i="105"/>
  <c r="H61" i="105"/>
  <c r="H60" i="105"/>
  <c r="H59" i="105"/>
  <c r="H58" i="105"/>
  <c r="H57" i="105"/>
  <c r="H56" i="105"/>
  <c r="H55" i="105"/>
  <c r="H54" i="105"/>
  <c r="H53" i="105"/>
  <c r="H52" i="105"/>
  <c r="H51" i="105"/>
  <c r="H50" i="105"/>
  <c r="H49" i="105"/>
  <c r="H48" i="105"/>
  <c r="H47" i="105"/>
  <c r="H46" i="105"/>
  <c r="H45" i="105"/>
  <c r="H44" i="105"/>
  <c r="H43" i="105"/>
  <c r="H42" i="105"/>
  <c r="H41" i="105"/>
  <c r="H40" i="105"/>
  <c r="H39" i="105"/>
  <c r="H38" i="105"/>
  <c r="H37" i="105"/>
  <c r="H36" i="105"/>
  <c r="H35" i="105"/>
  <c r="H34" i="105"/>
  <c r="H33" i="105"/>
  <c r="H32" i="105"/>
  <c r="H31" i="105"/>
  <c r="H30" i="105"/>
  <c r="H29" i="105"/>
  <c r="H28" i="105"/>
  <c r="H27" i="105"/>
  <c r="H26" i="105"/>
  <c r="H25" i="105"/>
  <c r="H24" i="105"/>
  <c r="H23" i="105"/>
  <c r="H22" i="105"/>
  <c r="H21" i="105"/>
  <c r="H20" i="105"/>
  <c r="H19" i="105"/>
  <c r="H18" i="105"/>
  <c r="H17" i="105"/>
  <c r="H16" i="105"/>
  <c r="H14" i="105"/>
  <c r="H13" i="105"/>
  <c r="H12" i="105"/>
  <c r="H11" i="105"/>
  <c r="H10" i="105"/>
  <c r="H9" i="105"/>
  <c r="H8" i="105"/>
  <c r="H7" i="105"/>
  <c r="H6" i="105"/>
  <c r="H5" i="105"/>
  <c r="H4" i="105"/>
  <c r="H3" i="105"/>
  <c r="E104" i="105"/>
  <c r="AY77" i="2"/>
  <c r="AY76" i="2"/>
  <c r="AY75" i="2"/>
  <c r="AY74" i="2"/>
  <c r="AY39" i="2"/>
  <c r="AY53" i="2"/>
  <c r="AY30" i="2"/>
  <c r="AY14" i="2"/>
  <c r="AY9" i="2"/>
  <c r="AY8" i="2"/>
  <c r="AY7" i="2"/>
  <c r="AY6" i="2"/>
  <c r="AY5" i="2"/>
  <c r="AY4" i="2"/>
  <c r="G96" i="103"/>
  <c r="F96" i="103"/>
  <c r="G95" i="103"/>
  <c r="F95" i="103"/>
  <c r="G94" i="103"/>
  <c r="F94" i="103"/>
  <c r="G93" i="103"/>
  <c r="F93" i="103"/>
  <c r="G92" i="103"/>
  <c r="F92" i="103"/>
  <c r="G91" i="103"/>
  <c r="F91" i="103"/>
  <c r="G90" i="103"/>
  <c r="F90" i="103"/>
  <c r="G89" i="103"/>
  <c r="F89" i="103"/>
  <c r="G88" i="103"/>
  <c r="F88" i="103"/>
  <c r="G87" i="103"/>
  <c r="F87" i="103"/>
  <c r="G86" i="103"/>
  <c r="F86" i="103"/>
  <c r="G85" i="103"/>
  <c r="F85" i="103"/>
  <c r="G84" i="103"/>
  <c r="F84" i="103"/>
  <c r="G83" i="103"/>
  <c r="F83" i="103"/>
  <c r="G82" i="103"/>
  <c r="F82" i="103"/>
  <c r="G81" i="103"/>
  <c r="F81" i="103"/>
  <c r="G80" i="103"/>
  <c r="F80" i="103"/>
  <c r="G79" i="103"/>
  <c r="F79" i="103"/>
  <c r="G78" i="103"/>
  <c r="F78" i="103"/>
  <c r="G77" i="103"/>
  <c r="F77" i="103"/>
  <c r="G76" i="103"/>
  <c r="F76" i="103"/>
  <c r="G75" i="103"/>
  <c r="F75" i="103"/>
  <c r="G74" i="103"/>
  <c r="F74" i="103"/>
  <c r="G73" i="103"/>
  <c r="F73" i="103"/>
  <c r="G72" i="103"/>
  <c r="F72" i="103"/>
  <c r="G71" i="103"/>
  <c r="F71" i="103"/>
  <c r="G70" i="103"/>
  <c r="F70" i="103"/>
  <c r="G69" i="103"/>
  <c r="F69" i="103"/>
  <c r="G68" i="103"/>
  <c r="F68" i="103"/>
  <c r="G67" i="103"/>
  <c r="F67" i="103"/>
  <c r="G66" i="103"/>
  <c r="F66" i="103"/>
  <c r="G65" i="103"/>
  <c r="F65" i="103"/>
  <c r="G64" i="103"/>
  <c r="F64" i="103"/>
  <c r="G63" i="103"/>
  <c r="F63" i="103"/>
  <c r="G62" i="103"/>
  <c r="F62" i="103"/>
  <c r="G61" i="103"/>
  <c r="F61" i="103"/>
  <c r="G60" i="103"/>
  <c r="F60" i="103"/>
  <c r="G59" i="103"/>
  <c r="F59" i="103"/>
  <c r="G58" i="103"/>
  <c r="F58" i="103"/>
  <c r="G57" i="103"/>
  <c r="F57" i="103"/>
  <c r="G56" i="103"/>
  <c r="F56" i="103"/>
  <c r="G55" i="103"/>
  <c r="F55" i="103"/>
  <c r="G54" i="103"/>
  <c r="F54" i="103"/>
  <c r="G53" i="103"/>
  <c r="F53" i="103"/>
  <c r="G52" i="103"/>
  <c r="F52" i="103"/>
  <c r="G51" i="103"/>
  <c r="F51" i="103"/>
  <c r="G50" i="103"/>
  <c r="F50" i="103"/>
  <c r="G49" i="103"/>
  <c r="F49" i="103"/>
  <c r="G48" i="103"/>
  <c r="F48" i="103"/>
  <c r="G47" i="103"/>
  <c r="F47" i="103"/>
  <c r="G46" i="103"/>
  <c r="F46" i="103"/>
  <c r="G45" i="103"/>
  <c r="F45" i="103"/>
  <c r="G44" i="103"/>
  <c r="F44" i="103"/>
  <c r="G43" i="103"/>
  <c r="F43" i="103"/>
  <c r="G42" i="103"/>
  <c r="F42" i="103"/>
  <c r="G41" i="103"/>
  <c r="F41" i="103"/>
  <c r="G40" i="103"/>
  <c r="F40" i="103"/>
  <c r="G39" i="103"/>
  <c r="F39" i="103"/>
  <c r="G38" i="103"/>
  <c r="F38" i="103"/>
  <c r="G37" i="103"/>
  <c r="F37" i="103"/>
  <c r="G36" i="103"/>
  <c r="F36" i="103"/>
  <c r="G35" i="103"/>
  <c r="F35" i="103"/>
  <c r="G34" i="103"/>
  <c r="F34" i="103"/>
  <c r="G33" i="103"/>
  <c r="F33" i="103"/>
  <c r="G32" i="103"/>
  <c r="F32" i="103"/>
  <c r="G31" i="103"/>
  <c r="F31" i="103"/>
  <c r="G30" i="103"/>
  <c r="F30" i="103"/>
  <c r="G29" i="103"/>
  <c r="F29" i="103"/>
  <c r="G28" i="103"/>
  <c r="F28" i="103"/>
  <c r="G27" i="103"/>
  <c r="F27" i="103"/>
  <c r="G26" i="103"/>
  <c r="F26" i="103"/>
  <c r="G25" i="103"/>
  <c r="F25" i="103"/>
  <c r="G24" i="103"/>
  <c r="F24" i="103"/>
  <c r="G23" i="103"/>
  <c r="F23" i="103"/>
  <c r="G22" i="103"/>
  <c r="F22" i="103"/>
  <c r="G21" i="103"/>
  <c r="F21" i="103"/>
  <c r="G20" i="103"/>
  <c r="F20" i="103"/>
  <c r="G19" i="103"/>
  <c r="F19" i="103"/>
  <c r="G18" i="103"/>
  <c r="F18" i="103"/>
  <c r="G17" i="103"/>
  <c r="F17" i="103"/>
  <c r="G16" i="103"/>
  <c r="F16" i="103"/>
  <c r="G15" i="103"/>
  <c r="F15" i="103"/>
  <c r="G14" i="103"/>
  <c r="F14" i="103"/>
  <c r="G13" i="103"/>
  <c r="F13" i="103"/>
  <c r="G12" i="103"/>
  <c r="F12" i="103"/>
  <c r="G11" i="103"/>
  <c r="F11" i="103"/>
  <c r="G10" i="103"/>
  <c r="F10" i="103"/>
  <c r="G9" i="103"/>
  <c r="F9" i="103"/>
  <c r="G8" i="103"/>
  <c r="F8" i="103"/>
  <c r="G7" i="103"/>
  <c r="F7" i="103"/>
  <c r="G6" i="103"/>
  <c r="F6" i="103"/>
  <c r="G5" i="103"/>
  <c r="F5" i="103"/>
  <c r="G4" i="103"/>
  <c r="F4" i="103"/>
  <c r="G3" i="103"/>
  <c r="F3" i="103"/>
  <c r="G2" i="103"/>
  <c r="F2" i="103"/>
  <c r="H93" i="103"/>
  <c r="H92" i="103"/>
  <c r="H91" i="103"/>
  <c r="G18" i="104"/>
  <c r="F18" i="104"/>
  <c r="C18" i="104"/>
  <c r="I16" i="104"/>
  <c r="I15" i="104"/>
  <c r="I14" i="104"/>
  <c r="I13" i="104"/>
  <c r="I12" i="104"/>
  <c r="I11" i="104"/>
  <c r="I10" i="104"/>
  <c r="I9" i="104"/>
  <c r="I8" i="104"/>
  <c r="I7" i="104"/>
  <c r="I6" i="104"/>
  <c r="I5" i="104"/>
  <c r="I4" i="104"/>
  <c r="I3" i="104"/>
  <c r="I2" i="104"/>
  <c r="E104" i="103"/>
  <c r="B104" i="103"/>
  <c r="H96" i="103"/>
  <c r="H95" i="103"/>
  <c r="H94" i="103"/>
  <c r="H90" i="103"/>
  <c r="H89" i="103"/>
  <c r="H88" i="103"/>
  <c r="H87" i="103"/>
  <c r="H86" i="103"/>
  <c r="H85" i="103"/>
  <c r="H84" i="103"/>
  <c r="H83" i="103"/>
  <c r="H82" i="103"/>
  <c r="H81" i="103"/>
  <c r="H80" i="103"/>
  <c r="H79" i="103"/>
  <c r="H78" i="103"/>
  <c r="H77" i="103"/>
  <c r="H76" i="103"/>
  <c r="H75" i="103"/>
  <c r="H74" i="103"/>
  <c r="H73" i="103"/>
  <c r="H72" i="103"/>
  <c r="H71" i="103"/>
  <c r="H70" i="103"/>
  <c r="H69" i="103"/>
  <c r="H68" i="103"/>
  <c r="H67" i="103"/>
  <c r="H66" i="103"/>
  <c r="H65" i="103"/>
  <c r="H64" i="103"/>
  <c r="H63" i="103"/>
  <c r="H62" i="103"/>
  <c r="H61" i="103"/>
  <c r="H60" i="103"/>
  <c r="H59" i="103"/>
  <c r="H58" i="103"/>
  <c r="H57" i="103"/>
  <c r="H56" i="103"/>
  <c r="H55" i="103"/>
  <c r="H54" i="103"/>
  <c r="H53" i="103"/>
  <c r="H52" i="103"/>
  <c r="H51" i="103"/>
  <c r="H50" i="103"/>
  <c r="H49" i="103"/>
  <c r="H48" i="103"/>
  <c r="H47" i="103"/>
  <c r="H46" i="103"/>
  <c r="H45" i="103"/>
  <c r="H44" i="103"/>
  <c r="H43" i="103"/>
  <c r="H42" i="103"/>
  <c r="H41" i="103"/>
  <c r="H40" i="103"/>
  <c r="H39" i="103"/>
  <c r="H38" i="103"/>
  <c r="H37" i="103"/>
  <c r="H36" i="103"/>
  <c r="H35" i="103"/>
  <c r="H34" i="103"/>
  <c r="H33" i="103"/>
  <c r="H32" i="103"/>
  <c r="H31" i="103"/>
  <c r="H30" i="103"/>
  <c r="H29" i="103"/>
  <c r="H28" i="103"/>
  <c r="H27" i="103"/>
  <c r="H26" i="103"/>
  <c r="H25" i="103"/>
  <c r="H24" i="103"/>
  <c r="H23" i="103"/>
  <c r="H22" i="103"/>
  <c r="H21" i="103"/>
  <c r="H20" i="103"/>
  <c r="H19" i="103"/>
  <c r="H18" i="103"/>
  <c r="H17" i="103"/>
  <c r="H16" i="103"/>
  <c r="H14" i="103"/>
  <c r="H13" i="103"/>
  <c r="H12" i="103"/>
  <c r="H11" i="103"/>
  <c r="H10" i="103"/>
  <c r="H9" i="103"/>
  <c r="H8" i="103"/>
  <c r="H7" i="103"/>
  <c r="H6" i="103"/>
  <c r="H5" i="103"/>
  <c r="H4" i="103"/>
  <c r="H3" i="103"/>
  <c r="AX77" i="2"/>
  <c r="AX76" i="2"/>
  <c r="AX75" i="2"/>
  <c r="AX74" i="2"/>
  <c r="AX39" i="2"/>
  <c r="AX53" i="2"/>
  <c r="AX30" i="2"/>
  <c r="AX14" i="2"/>
  <c r="AX12" i="2"/>
  <c r="AX9" i="2"/>
  <c r="AX8" i="2"/>
  <c r="AX7" i="2"/>
  <c r="AX6" i="2"/>
  <c r="AX5" i="2"/>
  <c r="AX4" i="2"/>
  <c r="H97" i="101"/>
  <c r="G18" i="102"/>
  <c r="F18" i="102"/>
  <c r="C18" i="102"/>
  <c r="I16" i="102"/>
  <c r="I15" i="102"/>
  <c r="I14" i="102"/>
  <c r="I13" i="102"/>
  <c r="I12" i="102"/>
  <c r="I11" i="102"/>
  <c r="I10" i="102"/>
  <c r="I9" i="102"/>
  <c r="I8" i="102"/>
  <c r="I7" i="102"/>
  <c r="I6" i="102"/>
  <c r="I5" i="102"/>
  <c r="I4" i="102"/>
  <c r="I3" i="102"/>
  <c r="I2" i="102"/>
  <c r="F104" i="101"/>
  <c r="E104" i="101"/>
  <c r="B104" i="101"/>
  <c r="G97" i="101"/>
  <c r="G96" i="101"/>
  <c r="H96" i="101"/>
  <c r="G95" i="101"/>
  <c r="H95" i="101"/>
  <c r="G94" i="101"/>
  <c r="H94" i="101"/>
  <c r="G93" i="101"/>
  <c r="H93" i="101"/>
  <c r="G92" i="101"/>
  <c r="H92" i="101"/>
  <c r="G91" i="101"/>
  <c r="H91" i="101"/>
  <c r="G90" i="101"/>
  <c r="H90" i="101"/>
  <c r="G89" i="101"/>
  <c r="H89" i="101"/>
  <c r="G88" i="101"/>
  <c r="H88" i="101"/>
  <c r="G87" i="101"/>
  <c r="H87" i="101"/>
  <c r="G86" i="101"/>
  <c r="H86" i="101"/>
  <c r="G85" i="101"/>
  <c r="H85" i="101"/>
  <c r="G84" i="101"/>
  <c r="H84" i="101"/>
  <c r="G83" i="101"/>
  <c r="H83" i="101"/>
  <c r="G82" i="101"/>
  <c r="H82" i="101"/>
  <c r="G81" i="101"/>
  <c r="H81" i="101"/>
  <c r="G80" i="101"/>
  <c r="H80" i="101"/>
  <c r="G79" i="101"/>
  <c r="H79" i="101"/>
  <c r="G78" i="101"/>
  <c r="H78" i="101"/>
  <c r="G77" i="101"/>
  <c r="H77" i="101"/>
  <c r="G76" i="101"/>
  <c r="H76" i="101"/>
  <c r="G75" i="101"/>
  <c r="H75" i="101"/>
  <c r="G74" i="101"/>
  <c r="H74" i="101"/>
  <c r="G73" i="101"/>
  <c r="H73" i="101"/>
  <c r="G72" i="101"/>
  <c r="H72" i="101"/>
  <c r="G71" i="101"/>
  <c r="H71" i="101"/>
  <c r="G70" i="101"/>
  <c r="H70" i="101"/>
  <c r="G69" i="101"/>
  <c r="H69" i="101"/>
  <c r="G68" i="101"/>
  <c r="H68" i="101"/>
  <c r="G67" i="101"/>
  <c r="H67" i="101"/>
  <c r="G66" i="101"/>
  <c r="H66" i="101"/>
  <c r="G65" i="101"/>
  <c r="H65" i="101"/>
  <c r="G64" i="101"/>
  <c r="H64" i="101"/>
  <c r="G63" i="101"/>
  <c r="H63" i="101"/>
  <c r="G62" i="101"/>
  <c r="H62" i="101"/>
  <c r="G61" i="101"/>
  <c r="H61" i="101"/>
  <c r="G60" i="101"/>
  <c r="H60" i="101"/>
  <c r="G59" i="101"/>
  <c r="H59" i="101"/>
  <c r="G58" i="101"/>
  <c r="H58" i="101"/>
  <c r="G57" i="101"/>
  <c r="H57" i="101"/>
  <c r="G56" i="101"/>
  <c r="H56" i="101"/>
  <c r="G55" i="101"/>
  <c r="H55" i="101"/>
  <c r="G54" i="101"/>
  <c r="H54" i="101"/>
  <c r="G53" i="101"/>
  <c r="H53" i="101"/>
  <c r="G52" i="101"/>
  <c r="H52" i="101"/>
  <c r="G51" i="101"/>
  <c r="H51" i="101"/>
  <c r="G50" i="101"/>
  <c r="H50" i="101"/>
  <c r="G49" i="101"/>
  <c r="H49" i="101"/>
  <c r="G48" i="101"/>
  <c r="H48" i="101"/>
  <c r="G47" i="101"/>
  <c r="H47" i="101"/>
  <c r="G46" i="101"/>
  <c r="H46" i="101"/>
  <c r="G45" i="101"/>
  <c r="H45" i="101"/>
  <c r="G44" i="101"/>
  <c r="H44" i="101"/>
  <c r="G43" i="101"/>
  <c r="H43" i="101"/>
  <c r="G42" i="101"/>
  <c r="H42" i="101"/>
  <c r="G41" i="101"/>
  <c r="H41" i="101"/>
  <c r="G40" i="101"/>
  <c r="H40" i="101"/>
  <c r="G39" i="101"/>
  <c r="H39" i="101"/>
  <c r="G38" i="101"/>
  <c r="H38" i="101"/>
  <c r="G37" i="101"/>
  <c r="H37" i="101"/>
  <c r="G36" i="101"/>
  <c r="H36" i="101"/>
  <c r="G35" i="101"/>
  <c r="H35" i="101"/>
  <c r="G34" i="101"/>
  <c r="H34" i="101"/>
  <c r="G33" i="101"/>
  <c r="H33" i="101"/>
  <c r="G32" i="101"/>
  <c r="H32" i="101"/>
  <c r="G31" i="101"/>
  <c r="H31" i="101"/>
  <c r="G30" i="101"/>
  <c r="H30" i="101"/>
  <c r="G29" i="101"/>
  <c r="H29" i="101"/>
  <c r="G28" i="101"/>
  <c r="H28" i="101"/>
  <c r="G27" i="101"/>
  <c r="H27" i="101"/>
  <c r="G26" i="101"/>
  <c r="H26" i="101"/>
  <c r="G25" i="101"/>
  <c r="H25" i="101"/>
  <c r="G24" i="101"/>
  <c r="H24" i="101"/>
  <c r="G23" i="101"/>
  <c r="H23" i="101"/>
  <c r="G22" i="101"/>
  <c r="H22" i="101"/>
  <c r="G21" i="101"/>
  <c r="H21" i="101"/>
  <c r="G20" i="101"/>
  <c r="H20" i="101"/>
  <c r="G19" i="101"/>
  <c r="H19" i="101"/>
  <c r="G18" i="101"/>
  <c r="H18" i="101"/>
  <c r="G17" i="101"/>
  <c r="H17" i="101"/>
  <c r="G16" i="101"/>
  <c r="H16" i="101"/>
  <c r="G15" i="101"/>
  <c r="G14" i="101"/>
  <c r="H14" i="101"/>
  <c r="G13" i="101"/>
  <c r="H13" i="101"/>
  <c r="G12" i="101"/>
  <c r="H12" i="101"/>
  <c r="G11" i="101"/>
  <c r="H11" i="101"/>
  <c r="G10" i="101"/>
  <c r="H10" i="101"/>
  <c r="G9" i="101"/>
  <c r="H9" i="101"/>
  <c r="G8" i="101"/>
  <c r="H8" i="101"/>
  <c r="G7" i="101"/>
  <c r="H7" i="101"/>
  <c r="G6" i="101"/>
  <c r="H6" i="101"/>
  <c r="G5" i="101"/>
  <c r="H5" i="101"/>
  <c r="G4" i="101"/>
  <c r="H4" i="101"/>
  <c r="G3" i="101"/>
  <c r="H3" i="101"/>
  <c r="G2" i="101"/>
  <c r="AW14" i="2"/>
  <c r="G18" i="100"/>
  <c r="F18" i="100"/>
  <c r="C18" i="100"/>
  <c r="I17" i="100"/>
  <c r="I16" i="100"/>
  <c r="I15" i="100"/>
  <c r="I14" i="100"/>
  <c r="I13" i="100"/>
  <c r="I12" i="100"/>
  <c r="I11" i="100"/>
  <c r="I10" i="100"/>
  <c r="I9" i="100"/>
  <c r="I8" i="100"/>
  <c r="I7" i="100"/>
  <c r="I6" i="100"/>
  <c r="I5" i="100"/>
  <c r="I4" i="100"/>
  <c r="I3" i="100"/>
  <c r="I2" i="100"/>
  <c r="F104" i="99"/>
  <c r="E104" i="99"/>
  <c r="B104" i="99"/>
  <c r="G97" i="99"/>
  <c r="G96" i="99"/>
  <c r="H96" i="99"/>
  <c r="G95" i="99"/>
  <c r="H95" i="99"/>
  <c r="G94" i="99"/>
  <c r="H94" i="99"/>
  <c r="G93" i="99"/>
  <c r="H93" i="99"/>
  <c r="G92" i="99"/>
  <c r="H92" i="99"/>
  <c r="G91" i="99"/>
  <c r="H91" i="99"/>
  <c r="G90" i="99"/>
  <c r="H90" i="99"/>
  <c r="G89" i="99"/>
  <c r="H89" i="99"/>
  <c r="G88" i="99"/>
  <c r="H88" i="99"/>
  <c r="G87" i="99"/>
  <c r="H87" i="99"/>
  <c r="G86" i="99"/>
  <c r="H86" i="99"/>
  <c r="G85" i="99"/>
  <c r="H85" i="99"/>
  <c r="G84" i="99"/>
  <c r="H84" i="99"/>
  <c r="G83" i="99"/>
  <c r="H83" i="99"/>
  <c r="G82" i="99"/>
  <c r="H82" i="99"/>
  <c r="G81" i="99"/>
  <c r="H81" i="99"/>
  <c r="G80" i="99"/>
  <c r="H80" i="99"/>
  <c r="G79" i="99"/>
  <c r="H79" i="99"/>
  <c r="G78" i="99"/>
  <c r="H78" i="99"/>
  <c r="G77" i="99"/>
  <c r="H77" i="99"/>
  <c r="G76" i="99"/>
  <c r="H76" i="99"/>
  <c r="G75" i="99"/>
  <c r="H75" i="99"/>
  <c r="G74" i="99"/>
  <c r="H74" i="99"/>
  <c r="G73" i="99"/>
  <c r="H73" i="99"/>
  <c r="G72" i="99"/>
  <c r="H72" i="99"/>
  <c r="G71" i="99"/>
  <c r="H71" i="99"/>
  <c r="G70" i="99"/>
  <c r="H70" i="99"/>
  <c r="G69" i="99"/>
  <c r="H69" i="99"/>
  <c r="G68" i="99"/>
  <c r="H68" i="99"/>
  <c r="G67" i="99"/>
  <c r="H67" i="99"/>
  <c r="G66" i="99"/>
  <c r="H66" i="99"/>
  <c r="G65" i="99"/>
  <c r="H65" i="99"/>
  <c r="G64" i="99"/>
  <c r="H64" i="99"/>
  <c r="G63" i="99"/>
  <c r="H63" i="99"/>
  <c r="G62" i="99"/>
  <c r="H62" i="99"/>
  <c r="G61" i="99"/>
  <c r="H61" i="99"/>
  <c r="G60" i="99"/>
  <c r="H60" i="99"/>
  <c r="G59" i="99"/>
  <c r="H59" i="99"/>
  <c r="G58" i="99"/>
  <c r="H58" i="99"/>
  <c r="G57" i="99"/>
  <c r="H57" i="99"/>
  <c r="G56" i="99"/>
  <c r="H56" i="99"/>
  <c r="G55" i="99"/>
  <c r="H55" i="99"/>
  <c r="G54" i="99"/>
  <c r="H54" i="99"/>
  <c r="G53" i="99"/>
  <c r="H53" i="99"/>
  <c r="G52" i="99"/>
  <c r="H52" i="99"/>
  <c r="G51" i="99"/>
  <c r="H51" i="99"/>
  <c r="G50" i="99"/>
  <c r="H50" i="99"/>
  <c r="G49" i="99"/>
  <c r="H49" i="99"/>
  <c r="G48" i="99"/>
  <c r="H48" i="99"/>
  <c r="G47" i="99"/>
  <c r="H47" i="99"/>
  <c r="G46" i="99"/>
  <c r="H46" i="99"/>
  <c r="G45" i="99"/>
  <c r="H45" i="99"/>
  <c r="G44" i="99"/>
  <c r="H44" i="99"/>
  <c r="G43" i="99"/>
  <c r="H43" i="99"/>
  <c r="G42" i="99"/>
  <c r="H42" i="99"/>
  <c r="G41" i="99"/>
  <c r="H41" i="99"/>
  <c r="G40" i="99"/>
  <c r="H40" i="99"/>
  <c r="G39" i="99"/>
  <c r="H39" i="99"/>
  <c r="G38" i="99"/>
  <c r="H38" i="99"/>
  <c r="G37" i="99"/>
  <c r="H37" i="99"/>
  <c r="G36" i="99"/>
  <c r="H36" i="99"/>
  <c r="G35" i="99"/>
  <c r="H35" i="99"/>
  <c r="G34" i="99"/>
  <c r="H34" i="99"/>
  <c r="G33" i="99"/>
  <c r="H33" i="99"/>
  <c r="G32" i="99"/>
  <c r="H32" i="99"/>
  <c r="G31" i="99"/>
  <c r="H31" i="99"/>
  <c r="G30" i="99"/>
  <c r="H30" i="99"/>
  <c r="G29" i="99"/>
  <c r="H29" i="99"/>
  <c r="G28" i="99"/>
  <c r="H28" i="99"/>
  <c r="G27" i="99"/>
  <c r="H27" i="99"/>
  <c r="G26" i="99"/>
  <c r="H26" i="99"/>
  <c r="G25" i="99"/>
  <c r="H25" i="99"/>
  <c r="G24" i="99"/>
  <c r="H24" i="99"/>
  <c r="G23" i="99"/>
  <c r="H23" i="99"/>
  <c r="G22" i="99"/>
  <c r="H22" i="99"/>
  <c r="G21" i="99"/>
  <c r="H21" i="99"/>
  <c r="G20" i="99"/>
  <c r="H20" i="99"/>
  <c r="G19" i="99"/>
  <c r="H19" i="99"/>
  <c r="G18" i="99"/>
  <c r="H18" i="99"/>
  <c r="G17" i="99"/>
  <c r="H17" i="99"/>
  <c r="G16" i="99"/>
  <c r="H16" i="99"/>
  <c r="G15" i="99"/>
  <c r="G14" i="99"/>
  <c r="H14" i="99"/>
  <c r="G13" i="99"/>
  <c r="H13" i="99"/>
  <c r="G12" i="99"/>
  <c r="H12" i="99"/>
  <c r="G11" i="99"/>
  <c r="H11" i="99"/>
  <c r="G10" i="99"/>
  <c r="H10" i="99"/>
  <c r="G9" i="99"/>
  <c r="H9" i="99"/>
  <c r="G8" i="99"/>
  <c r="H8" i="99"/>
  <c r="G7" i="99"/>
  <c r="H7" i="99"/>
  <c r="G6" i="99"/>
  <c r="H6" i="99"/>
  <c r="G5" i="99"/>
  <c r="H5" i="99"/>
  <c r="G4" i="99"/>
  <c r="H4" i="99"/>
  <c r="G3" i="99"/>
  <c r="H3" i="99"/>
  <c r="G2" i="99"/>
  <c r="AW77" i="2"/>
  <c r="AW76" i="2"/>
  <c r="AW75" i="2"/>
  <c r="AW74" i="2"/>
  <c r="AW39" i="2"/>
  <c r="AW53" i="2"/>
  <c r="AW30" i="2"/>
  <c r="AW12" i="2"/>
  <c r="AW9" i="2"/>
  <c r="AW8" i="2"/>
  <c r="AW7" i="2"/>
  <c r="AW6" i="2"/>
  <c r="AW5" i="2"/>
  <c r="AW4" i="2"/>
  <c r="AV12" i="2"/>
  <c r="AU12" i="2"/>
  <c r="AT12" i="2"/>
  <c r="AV77" i="2"/>
  <c r="AV76" i="2"/>
  <c r="AV75" i="2"/>
  <c r="AV74" i="2"/>
  <c r="AV39" i="2"/>
  <c r="AV53" i="2"/>
  <c r="AV30" i="2"/>
  <c r="AV14" i="2"/>
  <c r="AV9" i="2"/>
  <c r="AV8" i="2"/>
  <c r="AV7" i="2"/>
  <c r="AV6" i="2"/>
  <c r="AV5" i="2"/>
  <c r="AV4" i="2"/>
  <c r="H18" i="98"/>
  <c r="H17" i="98"/>
  <c r="H16" i="98"/>
  <c r="H15" i="98"/>
  <c r="H14" i="98"/>
  <c r="H13" i="98"/>
  <c r="H12" i="98"/>
  <c r="H11" i="98"/>
  <c r="H10" i="98"/>
  <c r="H9" i="98"/>
  <c r="H8" i="98"/>
  <c r="H7" i="98"/>
  <c r="H6" i="98"/>
  <c r="H5" i="98"/>
  <c r="H4" i="98"/>
  <c r="H3" i="98"/>
  <c r="H2" i="98"/>
  <c r="G18" i="98"/>
  <c r="F18" i="98"/>
  <c r="C18" i="98"/>
  <c r="I17" i="98"/>
  <c r="I16" i="98"/>
  <c r="I15" i="98"/>
  <c r="I14" i="98"/>
  <c r="I13" i="98"/>
  <c r="I12" i="98"/>
  <c r="I11" i="98"/>
  <c r="I10" i="98"/>
  <c r="I9" i="98"/>
  <c r="I8" i="98"/>
  <c r="I7" i="98"/>
  <c r="I6" i="98"/>
  <c r="I5" i="98"/>
  <c r="I4" i="98"/>
  <c r="I3" i="98"/>
  <c r="I2" i="98"/>
  <c r="F104" i="97"/>
  <c r="E104" i="97"/>
  <c r="B104" i="97"/>
  <c r="G97" i="97"/>
  <c r="G96" i="97"/>
  <c r="H96" i="97"/>
  <c r="G95" i="97"/>
  <c r="H95" i="97"/>
  <c r="G94" i="97"/>
  <c r="H94" i="97"/>
  <c r="G93" i="97"/>
  <c r="H93" i="97"/>
  <c r="G92" i="97"/>
  <c r="H92" i="97"/>
  <c r="G91" i="97"/>
  <c r="H91" i="97"/>
  <c r="G90" i="97"/>
  <c r="H90" i="97"/>
  <c r="G89" i="97"/>
  <c r="H89" i="97"/>
  <c r="G88" i="97"/>
  <c r="H88" i="97"/>
  <c r="G87" i="97"/>
  <c r="H87" i="97"/>
  <c r="G86" i="97"/>
  <c r="H86" i="97"/>
  <c r="G85" i="97"/>
  <c r="H85" i="97"/>
  <c r="G84" i="97"/>
  <c r="H84" i="97"/>
  <c r="G83" i="97"/>
  <c r="H83" i="97"/>
  <c r="G82" i="97"/>
  <c r="H82" i="97"/>
  <c r="G81" i="97"/>
  <c r="H81" i="97"/>
  <c r="G80" i="97"/>
  <c r="H80" i="97"/>
  <c r="G79" i="97"/>
  <c r="H79" i="97"/>
  <c r="G78" i="97"/>
  <c r="H78" i="97"/>
  <c r="G77" i="97"/>
  <c r="H77" i="97"/>
  <c r="G76" i="97"/>
  <c r="H76" i="97"/>
  <c r="G75" i="97"/>
  <c r="H75" i="97"/>
  <c r="G74" i="97"/>
  <c r="H74" i="97"/>
  <c r="G73" i="97"/>
  <c r="H73" i="97"/>
  <c r="G72" i="97"/>
  <c r="H72" i="97"/>
  <c r="G71" i="97"/>
  <c r="H71" i="97"/>
  <c r="G70" i="97"/>
  <c r="H70" i="97"/>
  <c r="G69" i="97"/>
  <c r="H69" i="97"/>
  <c r="G68" i="97"/>
  <c r="H68" i="97"/>
  <c r="G67" i="97"/>
  <c r="H67" i="97"/>
  <c r="G66" i="97"/>
  <c r="H66" i="97"/>
  <c r="G65" i="97"/>
  <c r="H65" i="97"/>
  <c r="G64" i="97"/>
  <c r="H64" i="97"/>
  <c r="G63" i="97"/>
  <c r="H63" i="97"/>
  <c r="G62" i="97"/>
  <c r="H62" i="97"/>
  <c r="G61" i="97"/>
  <c r="H61" i="97"/>
  <c r="G60" i="97"/>
  <c r="H60" i="97"/>
  <c r="G59" i="97"/>
  <c r="H59" i="97"/>
  <c r="G58" i="97"/>
  <c r="H58" i="97"/>
  <c r="G57" i="97"/>
  <c r="H57" i="97"/>
  <c r="G56" i="97"/>
  <c r="H56" i="97"/>
  <c r="G55" i="97"/>
  <c r="H55" i="97"/>
  <c r="G54" i="97"/>
  <c r="H54" i="97"/>
  <c r="G53" i="97"/>
  <c r="H53" i="97"/>
  <c r="G52" i="97"/>
  <c r="H52" i="97"/>
  <c r="G51" i="97"/>
  <c r="H51" i="97"/>
  <c r="G50" i="97"/>
  <c r="H50" i="97"/>
  <c r="G49" i="97"/>
  <c r="H49" i="97"/>
  <c r="G48" i="97"/>
  <c r="H48" i="97"/>
  <c r="G47" i="97"/>
  <c r="H47" i="97"/>
  <c r="G46" i="97"/>
  <c r="H46" i="97"/>
  <c r="G45" i="97"/>
  <c r="H45" i="97"/>
  <c r="G44" i="97"/>
  <c r="H44" i="97"/>
  <c r="G43" i="97"/>
  <c r="H43" i="97"/>
  <c r="G42" i="97"/>
  <c r="H42" i="97"/>
  <c r="G41" i="97"/>
  <c r="H41" i="97"/>
  <c r="G40" i="97"/>
  <c r="H40" i="97"/>
  <c r="G39" i="97"/>
  <c r="H39" i="97"/>
  <c r="G38" i="97"/>
  <c r="H38" i="97"/>
  <c r="G37" i="97"/>
  <c r="H37" i="97"/>
  <c r="G36" i="97"/>
  <c r="H36" i="97"/>
  <c r="G35" i="97"/>
  <c r="H35" i="97"/>
  <c r="G34" i="97"/>
  <c r="H34" i="97"/>
  <c r="G33" i="97"/>
  <c r="H33" i="97"/>
  <c r="G32" i="97"/>
  <c r="H32" i="97"/>
  <c r="G31" i="97"/>
  <c r="H31" i="97"/>
  <c r="G30" i="97"/>
  <c r="H30" i="97"/>
  <c r="G29" i="97"/>
  <c r="H29" i="97"/>
  <c r="G28" i="97"/>
  <c r="H28" i="97"/>
  <c r="G27" i="97"/>
  <c r="H27" i="97"/>
  <c r="G26" i="97"/>
  <c r="H26" i="97"/>
  <c r="G25" i="97"/>
  <c r="H25" i="97"/>
  <c r="G24" i="97"/>
  <c r="H24" i="97"/>
  <c r="G23" i="97"/>
  <c r="H23" i="97"/>
  <c r="G22" i="97"/>
  <c r="H22" i="97"/>
  <c r="G21" i="97"/>
  <c r="H21" i="97"/>
  <c r="G20" i="97"/>
  <c r="H20" i="97"/>
  <c r="G19" i="97"/>
  <c r="H19" i="97"/>
  <c r="G18" i="97"/>
  <c r="H18" i="97"/>
  <c r="G17" i="97"/>
  <c r="H17" i="97"/>
  <c r="G16" i="97"/>
  <c r="H16" i="97"/>
  <c r="G15" i="97"/>
  <c r="G14" i="97"/>
  <c r="H14" i="97"/>
  <c r="G13" i="97"/>
  <c r="H13" i="97"/>
  <c r="G12" i="97"/>
  <c r="H12" i="97"/>
  <c r="G11" i="97"/>
  <c r="H11" i="97"/>
  <c r="G10" i="97"/>
  <c r="H10" i="97"/>
  <c r="G9" i="97"/>
  <c r="H9" i="97"/>
  <c r="G8" i="97"/>
  <c r="H8" i="97"/>
  <c r="G7" i="97"/>
  <c r="H7" i="97"/>
  <c r="G6" i="97"/>
  <c r="H6" i="97"/>
  <c r="G5" i="97"/>
  <c r="H5" i="97"/>
  <c r="G4" i="97"/>
  <c r="H4" i="97"/>
  <c r="G3" i="97"/>
  <c r="H3" i="97"/>
  <c r="G2" i="97"/>
  <c r="AU39" i="2"/>
  <c r="AU53" i="2"/>
  <c r="G96" i="95"/>
  <c r="G95" i="95"/>
  <c r="G94" i="95"/>
  <c r="H96" i="95"/>
  <c r="H95" i="95"/>
  <c r="H94" i="95"/>
  <c r="I17" i="96"/>
  <c r="H18" i="96"/>
  <c r="G18" i="96"/>
  <c r="F18" i="96"/>
  <c r="C18" i="96"/>
  <c r="I16" i="96"/>
  <c r="I15" i="96"/>
  <c r="I14" i="96"/>
  <c r="I13" i="96"/>
  <c r="I12" i="96"/>
  <c r="I11" i="96"/>
  <c r="I10" i="96"/>
  <c r="I9" i="96"/>
  <c r="I8" i="96"/>
  <c r="I7" i="96"/>
  <c r="I6" i="96"/>
  <c r="I5" i="96"/>
  <c r="I4" i="96"/>
  <c r="I3" i="96"/>
  <c r="I2" i="96"/>
  <c r="B104" i="95"/>
  <c r="G97" i="95"/>
  <c r="G93" i="95"/>
  <c r="G92" i="95"/>
  <c r="H92" i="95"/>
  <c r="G91" i="95"/>
  <c r="H91" i="95"/>
  <c r="G90" i="95"/>
  <c r="H90" i="95"/>
  <c r="G89" i="95"/>
  <c r="H89" i="95"/>
  <c r="G88" i="95"/>
  <c r="H88" i="95"/>
  <c r="G87" i="95"/>
  <c r="H87" i="95"/>
  <c r="G86" i="95"/>
  <c r="H86" i="95"/>
  <c r="G85" i="95"/>
  <c r="H85" i="95"/>
  <c r="G84" i="95"/>
  <c r="H84" i="95"/>
  <c r="G83" i="95"/>
  <c r="H83" i="95"/>
  <c r="G82" i="95"/>
  <c r="H82" i="95"/>
  <c r="G81" i="95"/>
  <c r="H81" i="95"/>
  <c r="G80" i="95"/>
  <c r="H80" i="95"/>
  <c r="G79" i="95"/>
  <c r="H79" i="95"/>
  <c r="G78" i="95"/>
  <c r="H78" i="95"/>
  <c r="G77" i="95"/>
  <c r="H77" i="95"/>
  <c r="G76" i="95"/>
  <c r="H76" i="95"/>
  <c r="G75" i="95"/>
  <c r="H75" i="95"/>
  <c r="G74" i="95"/>
  <c r="H74" i="95"/>
  <c r="G73" i="95"/>
  <c r="H73" i="95"/>
  <c r="G72" i="95"/>
  <c r="H72" i="95"/>
  <c r="G71" i="95"/>
  <c r="H71" i="95"/>
  <c r="G70" i="95"/>
  <c r="H70" i="95"/>
  <c r="G69" i="95"/>
  <c r="H69" i="95"/>
  <c r="G68" i="95"/>
  <c r="H68" i="95"/>
  <c r="G67" i="95"/>
  <c r="H67" i="95"/>
  <c r="G66" i="95"/>
  <c r="H66" i="95"/>
  <c r="G65" i="95"/>
  <c r="H65" i="95"/>
  <c r="G64" i="95"/>
  <c r="H64" i="95"/>
  <c r="G63" i="95"/>
  <c r="H63" i="95"/>
  <c r="G62" i="95"/>
  <c r="H62" i="95"/>
  <c r="G61" i="95"/>
  <c r="H61" i="95"/>
  <c r="G60" i="95"/>
  <c r="H60" i="95"/>
  <c r="G59" i="95"/>
  <c r="H59" i="95"/>
  <c r="G58" i="95"/>
  <c r="H58" i="95"/>
  <c r="G57" i="95"/>
  <c r="H57" i="95"/>
  <c r="G56" i="95"/>
  <c r="H56" i="95"/>
  <c r="G55" i="95"/>
  <c r="H55" i="95"/>
  <c r="G54" i="95"/>
  <c r="H54" i="95"/>
  <c r="G53" i="95"/>
  <c r="H53" i="95"/>
  <c r="G52" i="95"/>
  <c r="H52" i="95"/>
  <c r="G51" i="95"/>
  <c r="H51" i="95"/>
  <c r="G50" i="95"/>
  <c r="H50" i="95"/>
  <c r="G49" i="95"/>
  <c r="H49" i="95"/>
  <c r="G48" i="95"/>
  <c r="H48" i="95"/>
  <c r="G47" i="95"/>
  <c r="H47" i="95"/>
  <c r="G46" i="95"/>
  <c r="H46" i="95"/>
  <c r="G45" i="95"/>
  <c r="H45" i="95"/>
  <c r="G44" i="95"/>
  <c r="H44" i="95"/>
  <c r="G43" i="95"/>
  <c r="H43" i="95"/>
  <c r="G42" i="95"/>
  <c r="H42" i="95"/>
  <c r="G41" i="95"/>
  <c r="H41" i="95"/>
  <c r="G40" i="95"/>
  <c r="H40" i="95"/>
  <c r="G39" i="95"/>
  <c r="H39" i="95"/>
  <c r="G38" i="95"/>
  <c r="H38" i="95"/>
  <c r="G37" i="95"/>
  <c r="H37" i="95"/>
  <c r="G36" i="95"/>
  <c r="H36" i="95"/>
  <c r="G35" i="95"/>
  <c r="H35" i="95"/>
  <c r="G34" i="95"/>
  <c r="H34" i="95"/>
  <c r="G33" i="95"/>
  <c r="H33" i="95"/>
  <c r="G32" i="95"/>
  <c r="H32" i="95"/>
  <c r="G31" i="95"/>
  <c r="H31" i="95"/>
  <c r="G30" i="95"/>
  <c r="H30" i="95"/>
  <c r="G29" i="95"/>
  <c r="H29" i="95"/>
  <c r="G28" i="95"/>
  <c r="H28" i="95"/>
  <c r="G27" i="95"/>
  <c r="H27" i="95"/>
  <c r="G26" i="95"/>
  <c r="H26" i="95"/>
  <c r="G25" i="95"/>
  <c r="H25" i="95"/>
  <c r="G24" i="95"/>
  <c r="H24" i="95"/>
  <c r="G23" i="95"/>
  <c r="H23" i="95"/>
  <c r="G22" i="95"/>
  <c r="H22" i="95"/>
  <c r="G21" i="95"/>
  <c r="H21" i="95"/>
  <c r="G20" i="95"/>
  <c r="H20" i="95"/>
  <c r="G19" i="95"/>
  <c r="H19" i="95"/>
  <c r="G18" i="95"/>
  <c r="H18" i="95"/>
  <c r="G17" i="95"/>
  <c r="H17" i="95"/>
  <c r="G16" i="95"/>
  <c r="H16" i="95"/>
  <c r="G15" i="95"/>
  <c r="G14" i="95"/>
  <c r="H14" i="95"/>
  <c r="G13" i="95"/>
  <c r="H13" i="95"/>
  <c r="G12" i="95"/>
  <c r="H12" i="95"/>
  <c r="G11" i="95"/>
  <c r="H11" i="95"/>
  <c r="G10" i="95"/>
  <c r="H10" i="95"/>
  <c r="G9" i="95"/>
  <c r="H9" i="95"/>
  <c r="G8" i="95"/>
  <c r="H8" i="95"/>
  <c r="G7" i="95"/>
  <c r="H7" i="95"/>
  <c r="G6" i="95"/>
  <c r="H6" i="95"/>
  <c r="G5" i="95"/>
  <c r="H5" i="95"/>
  <c r="G4" i="95"/>
  <c r="H4" i="95"/>
  <c r="G3" i="95"/>
  <c r="H3" i="95"/>
  <c r="G2" i="95"/>
  <c r="AU77" i="2"/>
  <c r="AU76" i="2"/>
  <c r="AU75" i="2"/>
  <c r="AU74" i="2"/>
  <c r="AU30" i="2"/>
  <c r="AU14" i="2"/>
  <c r="AU9" i="2"/>
  <c r="AU8" i="2"/>
  <c r="AU7" i="2"/>
  <c r="AU6" i="2"/>
  <c r="AU5" i="2"/>
  <c r="AU4" i="2"/>
  <c r="F93" i="93"/>
  <c r="G93" i="93"/>
  <c r="E93" i="93"/>
  <c r="H93" i="93"/>
  <c r="G93" i="91"/>
  <c r="H93" i="91"/>
  <c r="H18" i="94"/>
  <c r="G18" i="94"/>
  <c r="F18" i="94"/>
  <c r="C18" i="94"/>
  <c r="I16" i="94"/>
  <c r="I15" i="94"/>
  <c r="I14" i="94"/>
  <c r="I13" i="94"/>
  <c r="I12" i="94"/>
  <c r="I11" i="94"/>
  <c r="I10" i="94"/>
  <c r="I9" i="94"/>
  <c r="I8" i="94"/>
  <c r="I7" i="94"/>
  <c r="I6" i="94"/>
  <c r="I5" i="94"/>
  <c r="I4" i="94"/>
  <c r="I3" i="94"/>
  <c r="I2" i="94"/>
  <c r="F104" i="93"/>
  <c r="E104" i="93"/>
  <c r="B104" i="93"/>
  <c r="G97" i="93"/>
  <c r="G96" i="93"/>
  <c r="G95" i="93"/>
  <c r="G92" i="93"/>
  <c r="H92" i="93"/>
  <c r="G91" i="93"/>
  <c r="H91" i="93"/>
  <c r="G90" i="93"/>
  <c r="H90" i="93"/>
  <c r="G89" i="93"/>
  <c r="H89" i="93"/>
  <c r="G88" i="93"/>
  <c r="H88" i="93"/>
  <c r="G87" i="93"/>
  <c r="H87" i="93"/>
  <c r="G86" i="93"/>
  <c r="H86" i="93"/>
  <c r="G85" i="93"/>
  <c r="H85" i="93"/>
  <c r="G84" i="93"/>
  <c r="H84" i="93"/>
  <c r="G83" i="93"/>
  <c r="H83" i="93"/>
  <c r="G82" i="93"/>
  <c r="H82" i="93"/>
  <c r="G81" i="93"/>
  <c r="H81" i="93"/>
  <c r="G80" i="93"/>
  <c r="H80" i="93"/>
  <c r="G79" i="93"/>
  <c r="H79" i="93"/>
  <c r="G78" i="93"/>
  <c r="H78" i="93"/>
  <c r="G77" i="93"/>
  <c r="H77" i="93"/>
  <c r="G76" i="93"/>
  <c r="H76" i="93"/>
  <c r="G75" i="93"/>
  <c r="H75" i="93"/>
  <c r="G74" i="93"/>
  <c r="H74" i="93"/>
  <c r="G73" i="93"/>
  <c r="H73" i="93"/>
  <c r="G72" i="93"/>
  <c r="H72" i="93"/>
  <c r="G71" i="93"/>
  <c r="H71" i="93"/>
  <c r="G70" i="93"/>
  <c r="H70" i="93"/>
  <c r="G69" i="93"/>
  <c r="H69" i="93"/>
  <c r="G68" i="93"/>
  <c r="H68" i="93"/>
  <c r="G67" i="93"/>
  <c r="H67" i="93"/>
  <c r="G66" i="93"/>
  <c r="H66" i="93"/>
  <c r="G65" i="93"/>
  <c r="H65" i="93"/>
  <c r="G64" i="93"/>
  <c r="H64" i="93"/>
  <c r="G63" i="93"/>
  <c r="H63" i="93"/>
  <c r="G62" i="93"/>
  <c r="H62" i="93"/>
  <c r="G61" i="93"/>
  <c r="H61" i="93"/>
  <c r="G60" i="93"/>
  <c r="H60" i="93"/>
  <c r="G59" i="93"/>
  <c r="H59" i="93"/>
  <c r="G58" i="93"/>
  <c r="H58" i="93"/>
  <c r="G57" i="93"/>
  <c r="H57" i="93"/>
  <c r="G56" i="93"/>
  <c r="H56" i="93"/>
  <c r="G55" i="93"/>
  <c r="H55" i="93"/>
  <c r="G54" i="93"/>
  <c r="H54" i="93"/>
  <c r="G53" i="93"/>
  <c r="H53" i="93"/>
  <c r="G52" i="93"/>
  <c r="H52" i="93"/>
  <c r="G51" i="93"/>
  <c r="H51" i="93"/>
  <c r="G50" i="93"/>
  <c r="H50" i="93"/>
  <c r="G49" i="93"/>
  <c r="H49" i="93"/>
  <c r="G48" i="93"/>
  <c r="H48" i="93"/>
  <c r="G47" i="93"/>
  <c r="H47" i="93"/>
  <c r="G46" i="93"/>
  <c r="H46" i="93"/>
  <c r="G45" i="93"/>
  <c r="H45" i="93"/>
  <c r="G44" i="93"/>
  <c r="H44" i="93"/>
  <c r="G43" i="93"/>
  <c r="H43" i="93"/>
  <c r="G42" i="93"/>
  <c r="H42" i="93"/>
  <c r="G41" i="93"/>
  <c r="H41" i="93"/>
  <c r="G40" i="93"/>
  <c r="H40" i="93"/>
  <c r="G39" i="93"/>
  <c r="H39" i="93"/>
  <c r="G38" i="93"/>
  <c r="H38" i="93"/>
  <c r="G37" i="93"/>
  <c r="H37" i="93"/>
  <c r="G36" i="93"/>
  <c r="H36" i="93"/>
  <c r="G35" i="93"/>
  <c r="H35" i="93"/>
  <c r="G34" i="93"/>
  <c r="H34" i="93"/>
  <c r="G33" i="93"/>
  <c r="H33" i="93"/>
  <c r="G32" i="93"/>
  <c r="H32" i="93"/>
  <c r="G31" i="93"/>
  <c r="H31" i="93"/>
  <c r="G30" i="93"/>
  <c r="H30" i="93"/>
  <c r="G29" i="93"/>
  <c r="H29" i="93"/>
  <c r="G28" i="93"/>
  <c r="H28" i="93"/>
  <c r="G27" i="93"/>
  <c r="H27" i="93"/>
  <c r="G26" i="93"/>
  <c r="H26" i="93"/>
  <c r="G25" i="93"/>
  <c r="H25" i="93"/>
  <c r="G24" i="93"/>
  <c r="H24" i="93"/>
  <c r="G23" i="93"/>
  <c r="H23" i="93"/>
  <c r="G22" i="93"/>
  <c r="H22" i="93"/>
  <c r="G21" i="93"/>
  <c r="H21" i="93"/>
  <c r="G20" i="93"/>
  <c r="H20" i="93"/>
  <c r="G19" i="93"/>
  <c r="H19" i="93"/>
  <c r="G18" i="93"/>
  <c r="H18" i="93"/>
  <c r="G17" i="93"/>
  <c r="H17" i="93"/>
  <c r="G16" i="93"/>
  <c r="H16" i="93"/>
  <c r="G15" i="93"/>
  <c r="G14" i="93"/>
  <c r="H14" i="93"/>
  <c r="G13" i="93"/>
  <c r="H13" i="93"/>
  <c r="G12" i="93"/>
  <c r="H12" i="93"/>
  <c r="G11" i="93"/>
  <c r="H11" i="93"/>
  <c r="G10" i="93"/>
  <c r="H10" i="93"/>
  <c r="G9" i="93"/>
  <c r="H9" i="93"/>
  <c r="G8" i="93"/>
  <c r="H8" i="93"/>
  <c r="G7" i="93"/>
  <c r="H7" i="93"/>
  <c r="G6" i="93"/>
  <c r="H6" i="93"/>
  <c r="G5" i="93"/>
  <c r="H5" i="93"/>
  <c r="G4" i="93"/>
  <c r="H4" i="93"/>
  <c r="G3" i="93"/>
  <c r="H3" i="93"/>
  <c r="G2" i="93"/>
  <c r="AT77" i="2"/>
  <c r="AT76" i="2"/>
  <c r="AT75" i="2"/>
  <c r="AT74" i="2"/>
  <c r="AT39" i="2"/>
  <c r="AT53" i="2"/>
  <c r="AT14" i="2"/>
  <c r="AT9" i="2"/>
  <c r="AT8" i="2"/>
  <c r="AT7" i="2"/>
  <c r="AT6" i="2"/>
  <c r="AT5" i="2"/>
  <c r="I16" i="92"/>
  <c r="H18" i="92"/>
  <c r="G18" i="92"/>
  <c r="F18" i="92"/>
  <c r="C18" i="92"/>
  <c r="I15" i="92"/>
  <c r="I14" i="92"/>
  <c r="I13" i="92"/>
  <c r="I12" i="92"/>
  <c r="I11" i="92"/>
  <c r="I10" i="92"/>
  <c r="I9" i="92"/>
  <c r="I8" i="92"/>
  <c r="I7" i="92"/>
  <c r="I6" i="92"/>
  <c r="I5" i="92"/>
  <c r="I4" i="92"/>
  <c r="I3" i="92"/>
  <c r="I2" i="92"/>
  <c r="F104" i="91"/>
  <c r="E104" i="91"/>
  <c r="B104" i="91"/>
  <c r="G97" i="91"/>
  <c r="G96" i="91"/>
  <c r="G95" i="91"/>
  <c r="G92" i="91"/>
  <c r="H92" i="91"/>
  <c r="G91" i="91"/>
  <c r="H91" i="91"/>
  <c r="G90" i="91"/>
  <c r="H90" i="91"/>
  <c r="G89" i="91"/>
  <c r="H89" i="91"/>
  <c r="G88" i="91"/>
  <c r="H88" i="91"/>
  <c r="G87" i="91"/>
  <c r="H87" i="91"/>
  <c r="G86" i="91"/>
  <c r="H86" i="91"/>
  <c r="G85" i="91"/>
  <c r="H85" i="91"/>
  <c r="G84" i="91"/>
  <c r="H84" i="91"/>
  <c r="G83" i="91"/>
  <c r="H83" i="91"/>
  <c r="G82" i="91"/>
  <c r="H82" i="91"/>
  <c r="G81" i="91"/>
  <c r="H81" i="91"/>
  <c r="G80" i="91"/>
  <c r="H80" i="91"/>
  <c r="G79" i="91"/>
  <c r="H79" i="91"/>
  <c r="G78" i="91"/>
  <c r="H78" i="91"/>
  <c r="G77" i="91"/>
  <c r="H77" i="91"/>
  <c r="G76" i="91"/>
  <c r="H76" i="91"/>
  <c r="G75" i="91"/>
  <c r="H75" i="91"/>
  <c r="G74" i="91"/>
  <c r="H74" i="91"/>
  <c r="G73" i="91"/>
  <c r="H73" i="91"/>
  <c r="G72" i="91"/>
  <c r="H72" i="91"/>
  <c r="G71" i="91"/>
  <c r="H71" i="91"/>
  <c r="G70" i="91"/>
  <c r="H70" i="91"/>
  <c r="G69" i="91"/>
  <c r="H69" i="91"/>
  <c r="G68" i="91"/>
  <c r="H68" i="91"/>
  <c r="G67" i="91"/>
  <c r="H67" i="91"/>
  <c r="G66" i="91"/>
  <c r="H66" i="91"/>
  <c r="G65" i="91"/>
  <c r="H65" i="91"/>
  <c r="G64" i="91"/>
  <c r="H64" i="91"/>
  <c r="G63" i="91"/>
  <c r="H63" i="91"/>
  <c r="G62" i="91"/>
  <c r="H62" i="91"/>
  <c r="G61" i="91"/>
  <c r="H61" i="91"/>
  <c r="G60" i="91"/>
  <c r="H60" i="91"/>
  <c r="G59" i="91"/>
  <c r="H59" i="91"/>
  <c r="G58" i="91"/>
  <c r="H58" i="91"/>
  <c r="G57" i="91"/>
  <c r="H57" i="91"/>
  <c r="G56" i="91"/>
  <c r="H56" i="91"/>
  <c r="G55" i="91"/>
  <c r="H55" i="91"/>
  <c r="G54" i="91"/>
  <c r="H54" i="91"/>
  <c r="G53" i="91"/>
  <c r="H53" i="91"/>
  <c r="G52" i="91"/>
  <c r="H52" i="91"/>
  <c r="G51" i="91"/>
  <c r="H51" i="91"/>
  <c r="G50" i="91"/>
  <c r="H50" i="91"/>
  <c r="G49" i="91"/>
  <c r="H49" i="91"/>
  <c r="G48" i="91"/>
  <c r="H48" i="91"/>
  <c r="G47" i="91"/>
  <c r="H47" i="91"/>
  <c r="G46" i="91"/>
  <c r="H46" i="91"/>
  <c r="G45" i="91"/>
  <c r="H45" i="91"/>
  <c r="G44" i="91"/>
  <c r="H44" i="91"/>
  <c r="G43" i="91"/>
  <c r="H43" i="91"/>
  <c r="G42" i="91"/>
  <c r="H42" i="91"/>
  <c r="G41" i="91"/>
  <c r="H41" i="91"/>
  <c r="G40" i="91"/>
  <c r="H40" i="91"/>
  <c r="G39" i="91"/>
  <c r="H39" i="91"/>
  <c r="G38" i="91"/>
  <c r="H38" i="91"/>
  <c r="G37" i="91"/>
  <c r="H37" i="91"/>
  <c r="G36" i="91"/>
  <c r="H36" i="91"/>
  <c r="G35" i="91"/>
  <c r="H35" i="91"/>
  <c r="G34" i="91"/>
  <c r="H34" i="91"/>
  <c r="G33" i="91"/>
  <c r="H33" i="91"/>
  <c r="G32" i="91"/>
  <c r="H32" i="91"/>
  <c r="G31" i="91"/>
  <c r="H31" i="91"/>
  <c r="G30" i="91"/>
  <c r="H30" i="91"/>
  <c r="G29" i="91"/>
  <c r="H29" i="91"/>
  <c r="G28" i="91"/>
  <c r="H28" i="91"/>
  <c r="G27" i="91"/>
  <c r="H27" i="91"/>
  <c r="G26" i="91"/>
  <c r="H26" i="91"/>
  <c r="G25" i="91"/>
  <c r="H25" i="91"/>
  <c r="G24" i="91"/>
  <c r="H24" i="91"/>
  <c r="G23" i="91"/>
  <c r="H23" i="91"/>
  <c r="G22" i="91"/>
  <c r="H22" i="91"/>
  <c r="G21" i="91"/>
  <c r="H21" i="91"/>
  <c r="G20" i="91"/>
  <c r="H20" i="91"/>
  <c r="G19" i="91"/>
  <c r="H19" i="91"/>
  <c r="G18" i="91"/>
  <c r="H18" i="91"/>
  <c r="G17" i="91"/>
  <c r="H17" i="91"/>
  <c r="G16" i="91"/>
  <c r="H16" i="91"/>
  <c r="G15" i="91"/>
  <c r="G14" i="91"/>
  <c r="H14" i="91"/>
  <c r="G13" i="91"/>
  <c r="H13" i="91"/>
  <c r="G12" i="91"/>
  <c r="H12" i="91"/>
  <c r="G11" i="91"/>
  <c r="H11" i="91"/>
  <c r="G10" i="91"/>
  <c r="H10" i="91"/>
  <c r="G9" i="91"/>
  <c r="H9" i="91"/>
  <c r="G8" i="91"/>
  <c r="H8" i="91"/>
  <c r="G7" i="91"/>
  <c r="H7" i="91"/>
  <c r="G6" i="91"/>
  <c r="H6" i="91"/>
  <c r="G5" i="91"/>
  <c r="H5" i="91"/>
  <c r="G4" i="91"/>
  <c r="H4" i="91"/>
  <c r="G3" i="91"/>
  <c r="H3" i="91"/>
  <c r="G2" i="91"/>
  <c r="AS38" i="2"/>
  <c r="AS52" i="2"/>
  <c r="AS77" i="2"/>
  <c r="AS76" i="2"/>
  <c r="AS75" i="2"/>
  <c r="AS74" i="2"/>
  <c r="AS39" i="2"/>
  <c r="AS53" i="2"/>
  <c r="AS31" i="2"/>
  <c r="AS30" i="2"/>
  <c r="AS14" i="2"/>
  <c r="AS9" i="2"/>
  <c r="AS8" i="2"/>
  <c r="AS7" i="2"/>
  <c r="AS6" i="2"/>
  <c r="AS5" i="2"/>
  <c r="AS4" i="2"/>
  <c r="H18" i="90"/>
  <c r="G18" i="90"/>
  <c r="F18" i="90"/>
  <c r="C18" i="90"/>
  <c r="I15" i="90"/>
  <c r="I14" i="90"/>
  <c r="I13" i="90"/>
  <c r="I12" i="90"/>
  <c r="I11" i="90"/>
  <c r="I10" i="90"/>
  <c r="I9" i="90"/>
  <c r="I8" i="90"/>
  <c r="I7" i="90"/>
  <c r="I6" i="90"/>
  <c r="I5" i="90"/>
  <c r="I4" i="90"/>
  <c r="I3" i="90"/>
  <c r="I2" i="90"/>
  <c r="F104" i="89"/>
  <c r="E104" i="89"/>
  <c r="B104" i="89"/>
  <c r="G97" i="89"/>
  <c r="G96" i="89"/>
  <c r="G95" i="89"/>
  <c r="G93" i="89"/>
  <c r="H93" i="89"/>
  <c r="G92" i="89"/>
  <c r="H92" i="89"/>
  <c r="G91" i="89"/>
  <c r="H91" i="89"/>
  <c r="G90" i="89"/>
  <c r="H90" i="89"/>
  <c r="G89" i="89"/>
  <c r="H89" i="89"/>
  <c r="G88" i="89"/>
  <c r="H88" i="89"/>
  <c r="G87" i="89"/>
  <c r="H87" i="89"/>
  <c r="G86" i="89"/>
  <c r="H86" i="89"/>
  <c r="G85" i="89"/>
  <c r="H85" i="89"/>
  <c r="G84" i="89"/>
  <c r="H84" i="89"/>
  <c r="G83" i="89"/>
  <c r="H83" i="89"/>
  <c r="G82" i="89"/>
  <c r="H82" i="89"/>
  <c r="G81" i="89"/>
  <c r="H81" i="89"/>
  <c r="G80" i="89"/>
  <c r="H80" i="89"/>
  <c r="G79" i="89"/>
  <c r="H79" i="89"/>
  <c r="G78" i="89"/>
  <c r="H78" i="89"/>
  <c r="G77" i="89"/>
  <c r="H77" i="89"/>
  <c r="G76" i="89"/>
  <c r="H76" i="89"/>
  <c r="G75" i="89"/>
  <c r="H75" i="89"/>
  <c r="G74" i="89"/>
  <c r="H74" i="89"/>
  <c r="G73" i="89"/>
  <c r="H73" i="89"/>
  <c r="G72" i="89"/>
  <c r="H72" i="89"/>
  <c r="G71" i="89"/>
  <c r="H71" i="89"/>
  <c r="G70" i="89"/>
  <c r="H70" i="89"/>
  <c r="G69" i="89"/>
  <c r="H69" i="89"/>
  <c r="G68" i="89"/>
  <c r="H68" i="89"/>
  <c r="G67" i="89"/>
  <c r="H67" i="89"/>
  <c r="G66" i="89"/>
  <c r="H66" i="89"/>
  <c r="G65" i="89"/>
  <c r="H65" i="89"/>
  <c r="G64" i="89"/>
  <c r="H64" i="89"/>
  <c r="G63" i="89"/>
  <c r="H63" i="89"/>
  <c r="G62" i="89"/>
  <c r="H62" i="89"/>
  <c r="G61" i="89"/>
  <c r="H61" i="89"/>
  <c r="G60" i="89"/>
  <c r="H60" i="89"/>
  <c r="G59" i="89"/>
  <c r="H59" i="89"/>
  <c r="G58" i="89"/>
  <c r="H58" i="89"/>
  <c r="G57" i="89"/>
  <c r="H57" i="89"/>
  <c r="G56" i="89"/>
  <c r="H56" i="89"/>
  <c r="G55" i="89"/>
  <c r="H55" i="89"/>
  <c r="G54" i="89"/>
  <c r="H54" i="89"/>
  <c r="G53" i="89"/>
  <c r="H53" i="89"/>
  <c r="G52" i="89"/>
  <c r="H52" i="89"/>
  <c r="G51" i="89"/>
  <c r="H51" i="89"/>
  <c r="G50" i="89"/>
  <c r="H50" i="89"/>
  <c r="G49" i="89"/>
  <c r="H49" i="89"/>
  <c r="G48" i="89"/>
  <c r="H48" i="89"/>
  <c r="G47" i="89"/>
  <c r="H47" i="89"/>
  <c r="G46" i="89"/>
  <c r="H46" i="89"/>
  <c r="G45" i="89"/>
  <c r="H45" i="89"/>
  <c r="G44" i="89"/>
  <c r="H44" i="89"/>
  <c r="G43" i="89"/>
  <c r="H43" i="89"/>
  <c r="G42" i="89"/>
  <c r="H42" i="89"/>
  <c r="G41" i="89"/>
  <c r="H41" i="89"/>
  <c r="G40" i="89"/>
  <c r="H40" i="89"/>
  <c r="G39" i="89"/>
  <c r="H39" i="89"/>
  <c r="G38" i="89"/>
  <c r="H38" i="89"/>
  <c r="G37" i="89"/>
  <c r="H37" i="89"/>
  <c r="G36" i="89"/>
  <c r="H36" i="89"/>
  <c r="G35" i="89"/>
  <c r="H35" i="89"/>
  <c r="G34" i="89"/>
  <c r="H34" i="89"/>
  <c r="G33" i="89"/>
  <c r="H33" i="89"/>
  <c r="G32" i="89"/>
  <c r="H32" i="89"/>
  <c r="G31" i="89"/>
  <c r="H31" i="89"/>
  <c r="G30" i="89"/>
  <c r="H30" i="89"/>
  <c r="G29" i="89"/>
  <c r="H29" i="89"/>
  <c r="G28" i="89"/>
  <c r="H28" i="89"/>
  <c r="G27" i="89"/>
  <c r="H27" i="89"/>
  <c r="G26" i="89"/>
  <c r="H26" i="89"/>
  <c r="G25" i="89"/>
  <c r="H25" i="89"/>
  <c r="G24" i="89"/>
  <c r="H24" i="89"/>
  <c r="G23" i="89"/>
  <c r="H23" i="89"/>
  <c r="G22" i="89"/>
  <c r="H22" i="89"/>
  <c r="G21" i="89"/>
  <c r="H21" i="89"/>
  <c r="G20" i="89"/>
  <c r="H20" i="89"/>
  <c r="G19" i="89"/>
  <c r="H19" i="89"/>
  <c r="G18" i="89"/>
  <c r="H18" i="89"/>
  <c r="G17" i="89"/>
  <c r="G16" i="89"/>
  <c r="H16" i="89"/>
  <c r="G15" i="89"/>
  <c r="G14" i="89"/>
  <c r="H14" i="89"/>
  <c r="G13" i="89"/>
  <c r="H13" i="89"/>
  <c r="G12" i="89"/>
  <c r="H12" i="89"/>
  <c r="G11" i="89"/>
  <c r="H11" i="89"/>
  <c r="G10" i="89"/>
  <c r="H10" i="89"/>
  <c r="G9" i="89"/>
  <c r="H9" i="89"/>
  <c r="G8" i="89"/>
  <c r="H8" i="89"/>
  <c r="G7" i="89"/>
  <c r="H7" i="89"/>
  <c r="G6" i="89"/>
  <c r="H6" i="89"/>
  <c r="G5" i="89"/>
  <c r="H5" i="89"/>
  <c r="G4" i="89"/>
  <c r="H4" i="89"/>
  <c r="G3" i="89"/>
  <c r="H3" i="89"/>
  <c r="G2" i="89"/>
  <c r="AR79" i="2"/>
  <c r="AR77" i="2"/>
  <c r="AR76" i="2"/>
  <c r="AR75" i="2"/>
  <c r="AR74" i="2"/>
  <c r="AR39" i="2"/>
  <c r="AR30" i="2"/>
  <c r="AR14" i="2"/>
  <c r="AR9" i="2"/>
  <c r="AR8" i="2"/>
  <c r="AR7" i="2"/>
  <c r="AR6" i="2"/>
  <c r="AR5" i="2"/>
  <c r="AR4" i="2"/>
  <c r="H18" i="88"/>
  <c r="G18" i="88"/>
  <c r="F18" i="88"/>
  <c r="C18" i="88"/>
  <c r="I15" i="88"/>
  <c r="I14" i="88"/>
  <c r="I13" i="88"/>
  <c r="I12" i="88"/>
  <c r="I11" i="88"/>
  <c r="I10" i="88"/>
  <c r="I9" i="88"/>
  <c r="I8" i="88"/>
  <c r="I7" i="88"/>
  <c r="I6" i="88"/>
  <c r="I5" i="88"/>
  <c r="I4" i="88"/>
  <c r="I3" i="88"/>
  <c r="I2" i="88"/>
  <c r="F104" i="87"/>
  <c r="E104" i="87"/>
  <c r="B104" i="87"/>
  <c r="G97" i="87"/>
  <c r="G96" i="87"/>
  <c r="G95" i="87"/>
  <c r="G93" i="87"/>
  <c r="H93" i="87"/>
  <c r="G92" i="87"/>
  <c r="H92" i="87"/>
  <c r="G91" i="87"/>
  <c r="H91" i="87"/>
  <c r="G90" i="87"/>
  <c r="H90" i="87"/>
  <c r="G89" i="87"/>
  <c r="H89" i="87"/>
  <c r="G88" i="87"/>
  <c r="H88" i="87"/>
  <c r="G87" i="87"/>
  <c r="H87" i="87"/>
  <c r="G86" i="87"/>
  <c r="H86" i="87"/>
  <c r="G85" i="87"/>
  <c r="H85" i="87"/>
  <c r="G84" i="87"/>
  <c r="H84" i="87"/>
  <c r="G83" i="87"/>
  <c r="H83" i="87"/>
  <c r="G82" i="87"/>
  <c r="H82" i="87"/>
  <c r="G81" i="87"/>
  <c r="H81" i="87"/>
  <c r="G80" i="87"/>
  <c r="H80" i="87"/>
  <c r="G79" i="87"/>
  <c r="H79" i="87"/>
  <c r="G78" i="87"/>
  <c r="H78" i="87"/>
  <c r="G77" i="87"/>
  <c r="H77" i="87"/>
  <c r="G76" i="87"/>
  <c r="H76" i="87"/>
  <c r="G75" i="87"/>
  <c r="H75" i="87"/>
  <c r="G74" i="87"/>
  <c r="H74" i="87"/>
  <c r="G73" i="87"/>
  <c r="H73" i="87"/>
  <c r="G72" i="87"/>
  <c r="H72" i="87"/>
  <c r="G71" i="87"/>
  <c r="H71" i="87"/>
  <c r="G70" i="87"/>
  <c r="H70" i="87"/>
  <c r="G69" i="87"/>
  <c r="H69" i="87"/>
  <c r="G68" i="87"/>
  <c r="H68" i="87"/>
  <c r="G67" i="87"/>
  <c r="H67" i="87"/>
  <c r="G66" i="87"/>
  <c r="H66" i="87"/>
  <c r="G65" i="87"/>
  <c r="H65" i="87"/>
  <c r="G64" i="87"/>
  <c r="H64" i="87"/>
  <c r="G63" i="87"/>
  <c r="H63" i="87"/>
  <c r="G62" i="87"/>
  <c r="H62" i="87"/>
  <c r="G61" i="87"/>
  <c r="H61" i="87"/>
  <c r="G60" i="87"/>
  <c r="H60" i="87"/>
  <c r="G59" i="87"/>
  <c r="H59" i="87"/>
  <c r="G58" i="87"/>
  <c r="H58" i="87"/>
  <c r="G57" i="87"/>
  <c r="H57" i="87"/>
  <c r="G56" i="87"/>
  <c r="H56" i="87"/>
  <c r="G55" i="87"/>
  <c r="H55" i="87"/>
  <c r="G54" i="87"/>
  <c r="H54" i="87"/>
  <c r="G53" i="87"/>
  <c r="H53" i="87"/>
  <c r="G52" i="87"/>
  <c r="H52" i="87"/>
  <c r="G51" i="87"/>
  <c r="H51" i="87"/>
  <c r="G50" i="87"/>
  <c r="H50" i="87"/>
  <c r="G49" i="87"/>
  <c r="H49" i="87"/>
  <c r="G48" i="87"/>
  <c r="H48" i="87"/>
  <c r="G47" i="87"/>
  <c r="H47" i="87"/>
  <c r="G46" i="87"/>
  <c r="H46" i="87"/>
  <c r="G45" i="87"/>
  <c r="H45" i="87"/>
  <c r="G44" i="87"/>
  <c r="H44" i="87"/>
  <c r="G43" i="87"/>
  <c r="H43" i="87"/>
  <c r="G42" i="87"/>
  <c r="H42" i="87"/>
  <c r="G41" i="87"/>
  <c r="H41" i="87"/>
  <c r="G40" i="87"/>
  <c r="H40" i="87"/>
  <c r="G39" i="87"/>
  <c r="H39" i="87"/>
  <c r="G38" i="87"/>
  <c r="H38" i="87"/>
  <c r="G37" i="87"/>
  <c r="H37" i="87"/>
  <c r="G36" i="87"/>
  <c r="H36" i="87"/>
  <c r="G35" i="87"/>
  <c r="H35" i="87"/>
  <c r="G34" i="87"/>
  <c r="H34" i="87"/>
  <c r="G33" i="87"/>
  <c r="H33" i="87"/>
  <c r="G32" i="87"/>
  <c r="H32" i="87"/>
  <c r="G31" i="87"/>
  <c r="H31" i="87"/>
  <c r="G30" i="87"/>
  <c r="H30" i="87"/>
  <c r="G29" i="87"/>
  <c r="H29" i="87"/>
  <c r="G28" i="87"/>
  <c r="H28" i="87"/>
  <c r="G27" i="87"/>
  <c r="H27" i="87"/>
  <c r="G26" i="87"/>
  <c r="H26" i="87"/>
  <c r="G25" i="87"/>
  <c r="H25" i="87"/>
  <c r="G24" i="87"/>
  <c r="H24" i="87"/>
  <c r="G23" i="87"/>
  <c r="H23" i="87"/>
  <c r="G22" i="87"/>
  <c r="H22" i="87"/>
  <c r="G21" i="87"/>
  <c r="H21" i="87"/>
  <c r="G20" i="87"/>
  <c r="H20" i="87"/>
  <c r="G19" i="87"/>
  <c r="H19" i="87"/>
  <c r="G18" i="87"/>
  <c r="H18" i="87"/>
  <c r="G17" i="87"/>
  <c r="G16" i="87"/>
  <c r="H16" i="87"/>
  <c r="G15" i="87"/>
  <c r="G14" i="87"/>
  <c r="H14" i="87"/>
  <c r="G13" i="87"/>
  <c r="H13" i="87"/>
  <c r="G12" i="87"/>
  <c r="H12" i="87"/>
  <c r="G11" i="87"/>
  <c r="H11" i="87"/>
  <c r="G10" i="87"/>
  <c r="H10" i="87"/>
  <c r="G9" i="87"/>
  <c r="H9" i="87"/>
  <c r="G8" i="87"/>
  <c r="H8" i="87"/>
  <c r="G7" i="87"/>
  <c r="H7" i="87"/>
  <c r="G6" i="87"/>
  <c r="H6" i="87"/>
  <c r="G5" i="87"/>
  <c r="H5" i="87"/>
  <c r="G4" i="87"/>
  <c r="H4" i="87"/>
  <c r="G3" i="87"/>
  <c r="H3" i="87"/>
  <c r="G2" i="87"/>
  <c r="AQ39" i="2"/>
  <c r="AQ30" i="2"/>
  <c r="AQ10" i="2"/>
  <c r="AQ36" i="2"/>
  <c r="AR10" i="2"/>
  <c r="AR36" i="2"/>
  <c r="AS10" i="2"/>
  <c r="AS36" i="2"/>
  <c r="AT10" i="2"/>
  <c r="AQ14" i="2"/>
  <c r="AQ12" i="2"/>
  <c r="AQ9" i="2"/>
  <c r="AQ8" i="2"/>
  <c r="AQ7" i="2"/>
  <c r="AQ6" i="2"/>
  <c r="AQ5" i="2"/>
  <c r="AQ4" i="2"/>
  <c r="AQ79" i="2"/>
  <c r="AQ77" i="2"/>
  <c r="AQ76" i="2"/>
  <c r="AQ75" i="2"/>
  <c r="AQ74" i="2"/>
  <c r="AP12" i="2"/>
  <c r="AP79" i="2"/>
  <c r="AP77" i="2"/>
  <c r="AP76" i="2"/>
  <c r="AP75" i="2"/>
  <c r="AP74" i="2"/>
  <c r="AP39" i="2"/>
  <c r="AP53" i="2"/>
  <c r="AP30" i="2"/>
  <c r="AP14" i="2"/>
  <c r="AP9" i="2"/>
  <c r="AP8" i="2"/>
  <c r="AP7" i="2"/>
  <c r="AP6" i="2"/>
  <c r="AP5" i="2"/>
  <c r="AP4" i="2"/>
  <c r="F104" i="86"/>
  <c r="E104" i="86"/>
  <c r="B104" i="86"/>
  <c r="G97" i="86"/>
  <c r="G96" i="86"/>
  <c r="G95" i="86"/>
  <c r="G94" i="86"/>
  <c r="G93" i="86"/>
  <c r="H93" i="86"/>
  <c r="G92" i="86"/>
  <c r="H92" i="86"/>
  <c r="G91" i="86"/>
  <c r="H91" i="86"/>
  <c r="G90" i="86"/>
  <c r="H90" i="86"/>
  <c r="G89" i="86"/>
  <c r="H89" i="86"/>
  <c r="G88" i="86"/>
  <c r="H88" i="86"/>
  <c r="G87" i="86"/>
  <c r="H87" i="86"/>
  <c r="G86" i="86"/>
  <c r="H86" i="86"/>
  <c r="G85" i="86"/>
  <c r="H85" i="86"/>
  <c r="G84" i="86"/>
  <c r="H84" i="86"/>
  <c r="G83" i="86"/>
  <c r="H83" i="86"/>
  <c r="G82" i="86"/>
  <c r="H82" i="86"/>
  <c r="G81" i="86"/>
  <c r="H81" i="86"/>
  <c r="G80" i="86"/>
  <c r="H80" i="86"/>
  <c r="G79" i="86"/>
  <c r="H79" i="86"/>
  <c r="G78" i="86"/>
  <c r="H78" i="86"/>
  <c r="G77" i="86"/>
  <c r="H77" i="86"/>
  <c r="G76" i="86"/>
  <c r="H76" i="86"/>
  <c r="G75" i="86"/>
  <c r="H75" i="86"/>
  <c r="G74" i="86"/>
  <c r="H74" i="86"/>
  <c r="G73" i="86"/>
  <c r="H73" i="86"/>
  <c r="G72" i="86"/>
  <c r="H72" i="86"/>
  <c r="G71" i="86"/>
  <c r="H71" i="86"/>
  <c r="G70" i="86"/>
  <c r="H70" i="86"/>
  <c r="G69" i="86"/>
  <c r="H69" i="86"/>
  <c r="G68" i="86"/>
  <c r="H68" i="86"/>
  <c r="G67" i="86"/>
  <c r="H67" i="86"/>
  <c r="G66" i="86"/>
  <c r="H66" i="86"/>
  <c r="G65" i="86"/>
  <c r="H65" i="86"/>
  <c r="G64" i="86"/>
  <c r="H64" i="86"/>
  <c r="G63" i="86"/>
  <c r="H63" i="86"/>
  <c r="G62" i="86"/>
  <c r="H62" i="86"/>
  <c r="G61" i="86"/>
  <c r="H61" i="86"/>
  <c r="G60" i="86"/>
  <c r="H60" i="86"/>
  <c r="G59" i="86"/>
  <c r="H59" i="86"/>
  <c r="G58" i="86"/>
  <c r="H58" i="86"/>
  <c r="G57" i="86"/>
  <c r="H57" i="86"/>
  <c r="G56" i="86"/>
  <c r="H56" i="86"/>
  <c r="G55" i="86"/>
  <c r="H55" i="86"/>
  <c r="G54" i="86"/>
  <c r="H54" i="86"/>
  <c r="G53" i="86"/>
  <c r="H53" i="86"/>
  <c r="G52" i="86"/>
  <c r="H52" i="86"/>
  <c r="G51" i="86"/>
  <c r="H51" i="86"/>
  <c r="G50" i="86"/>
  <c r="H50" i="86"/>
  <c r="G49" i="86"/>
  <c r="H49" i="86"/>
  <c r="G48" i="86"/>
  <c r="H48" i="86"/>
  <c r="G47" i="86"/>
  <c r="H47" i="86"/>
  <c r="G46" i="86"/>
  <c r="H46" i="86"/>
  <c r="G45" i="86"/>
  <c r="H45" i="86"/>
  <c r="G44" i="86"/>
  <c r="H44" i="86"/>
  <c r="G43" i="86"/>
  <c r="H43" i="86"/>
  <c r="G42" i="86"/>
  <c r="H42" i="86"/>
  <c r="G41" i="86"/>
  <c r="H41" i="86"/>
  <c r="G40" i="86"/>
  <c r="H40" i="86"/>
  <c r="G39" i="86"/>
  <c r="H39" i="86"/>
  <c r="G38" i="86"/>
  <c r="H38" i="86"/>
  <c r="G37" i="86"/>
  <c r="H37" i="86"/>
  <c r="G36" i="86"/>
  <c r="H36" i="86"/>
  <c r="G35" i="86"/>
  <c r="H35" i="86"/>
  <c r="G34" i="86"/>
  <c r="H34" i="86"/>
  <c r="G33" i="86"/>
  <c r="H33" i="86"/>
  <c r="G32" i="86"/>
  <c r="H32" i="86"/>
  <c r="G31" i="86"/>
  <c r="H31" i="86"/>
  <c r="G30" i="86"/>
  <c r="H30" i="86"/>
  <c r="G29" i="86"/>
  <c r="H29" i="86"/>
  <c r="G28" i="86"/>
  <c r="H28" i="86"/>
  <c r="G27" i="86"/>
  <c r="H27" i="86"/>
  <c r="G26" i="86"/>
  <c r="H26" i="86"/>
  <c r="G25" i="86"/>
  <c r="H25" i="86"/>
  <c r="G24" i="86"/>
  <c r="H24" i="86"/>
  <c r="G23" i="86"/>
  <c r="H23" i="86"/>
  <c r="G22" i="86"/>
  <c r="H22" i="86"/>
  <c r="G21" i="86"/>
  <c r="H21" i="86"/>
  <c r="G20" i="86"/>
  <c r="H20" i="86"/>
  <c r="G19" i="86"/>
  <c r="H19" i="86"/>
  <c r="G18" i="86"/>
  <c r="H18" i="86"/>
  <c r="G17" i="86"/>
  <c r="G16" i="86"/>
  <c r="H16" i="86"/>
  <c r="G15" i="86"/>
  <c r="G14" i="86"/>
  <c r="H14" i="86"/>
  <c r="G13" i="86"/>
  <c r="H13" i="86"/>
  <c r="G12" i="86"/>
  <c r="H12" i="86"/>
  <c r="G11" i="86"/>
  <c r="H11" i="86"/>
  <c r="G10" i="86"/>
  <c r="H10" i="86"/>
  <c r="G9" i="86"/>
  <c r="H9" i="86"/>
  <c r="G8" i="86"/>
  <c r="H8" i="86"/>
  <c r="G7" i="86"/>
  <c r="H7" i="86"/>
  <c r="G6" i="86"/>
  <c r="H6" i="86"/>
  <c r="G5" i="86"/>
  <c r="H5" i="86"/>
  <c r="G4" i="86"/>
  <c r="H4" i="86"/>
  <c r="G3" i="86"/>
  <c r="H3" i="86"/>
  <c r="G2" i="86"/>
  <c r="H18" i="85"/>
  <c r="G18" i="85"/>
  <c r="F18" i="85"/>
  <c r="C18" i="85"/>
  <c r="I16" i="85"/>
  <c r="I15" i="85"/>
  <c r="I14" i="85"/>
  <c r="I13" i="85"/>
  <c r="I12" i="85"/>
  <c r="I11" i="85"/>
  <c r="I10" i="85"/>
  <c r="I9" i="85"/>
  <c r="I8" i="85"/>
  <c r="I7" i="85"/>
  <c r="I6" i="85"/>
  <c r="I5" i="85"/>
  <c r="I4" i="85"/>
  <c r="I3" i="85"/>
  <c r="I2" i="85"/>
  <c r="AO39" i="2"/>
  <c r="AO53" i="2"/>
  <c r="AO38" i="2"/>
  <c r="AO52" i="2"/>
  <c r="I16" i="84"/>
  <c r="H18" i="84"/>
  <c r="G18" i="84"/>
  <c r="F18" i="84"/>
  <c r="C18" i="84"/>
  <c r="I15" i="84"/>
  <c r="I14" i="84"/>
  <c r="I13" i="84"/>
  <c r="I12" i="84"/>
  <c r="I11" i="84"/>
  <c r="I10" i="84"/>
  <c r="I9" i="84"/>
  <c r="I8" i="84"/>
  <c r="I7" i="84"/>
  <c r="I6" i="84"/>
  <c r="I5" i="84"/>
  <c r="I4" i="84"/>
  <c r="I3" i="84"/>
  <c r="I2" i="84"/>
  <c r="F104" i="83"/>
  <c r="E104" i="83"/>
  <c r="B104" i="83"/>
  <c r="G97" i="83"/>
  <c r="G96" i="83"/>
  <c r="G95" i="83"/>
  <c r="G94" i="83"/>
  <c r="G93" i="83"/>
  <c r="H93" i="83"/>
  <c r="G92" i="83"/>
  <c r="H92" i="83"/>
  <c r="G91" i="83"/>
  <c r="H91" i="83"/>
  <c r="G90" i="83"/>
  <c r="H90" i="83"/>
  <c r="G89" i="83"/>
  <c r="H89" i="83"/>
  <c r="G88" i="83"/>
  <c r="H88" i="83"/>
  <c r="G87" i="83"/>
  <c r="H87" i="83"/>
  <c r="G86" i="83"/>
  <c r="H86" i="83"/>
  <c r="G85" i="83"/>
  <c r="H85" i="83"/>
  <c r="G84" i="83"/>
  <c r="H84" i="83"/>
  <c r="G83" i="83"/>
  <c r="H83" i="83"/>
  <c r="G82" i="83"/>
  <c r="H82" i="83"/>
  <c r="G81" i="83"/>
  <c r="H81" i="83"/>
  <c r="G80" i="83"/>
  <c r="H80" i="83"/>
  <c r="G79" i="83"/>
  <c r="H79" i="83"/>
  <c r="G78" i="83"/>
  <c r="H78" i="83"/>
  <c r="G77" i="83"/>
  <c r="H77" i="83"/>
  <c r="G76" i="83"/>
  <c r="H76" i="83"/>
  <c r="G75" i="83"/>
  <c r="H75" i="83"/>
  <c r="G74" i="83"/>
  <c r="H74" i="83"/>
  <c r="G73" i="83"/>
  <c r="H73" i="83"/>
  <c r="G72" i="83"/>
  <c r="H72" i="83"/>
  <c r="G71" i="83"/>
  <c r="H71" i="83"/>
  <c r="G70" i="83"/>
  <c r="H70" i="83"/>
  <c r="G69" i="83"/>
  <c r="H69" i="83"/>
  <c r="G68" i="83"/>
  <c r="H68" i="83"/>
  <c r="G67" i="83"/>
  <c r="H67" i="83"/>
  <c r="G66" i="83"/>
  <c r="H66" i="83"/>
  <c r="G65" i="83"/>
  <c r="H65" i="83"/>
  <c r="G64" i="83"/>
  <c r="H64" i="83"/>
  <c r="G63" i="83"/>
  <c r="H63" i="83"/>
  <c r="G62" i="83"/>
  <c r="H62" i="83"/>
  <c r="G61" i="83"/>
  <c r="H61" i="83"/>
  <c r="G60" i="83"/>
  <c r="H60" i="83"/>
  <c r="G59" i="83"/>
  <c r="H59" i="83"/>
  <c r="G58" i="83"/>
  <c r="H58" i="83"/>
  <c r="G57" i="83"/>
  <c r="H57" i="83"/>
  <c r="G56" i="83"/>
  <c r="H56" i="83"/>
  <c r="G55" i="83"/>
  <c r="H55" i="83"/>
  <c r="G54" i="83"/>
  <c r="H54" i="83"/>
  <c r="G53" i="83"/>
  <c r="H53" i="83"/>
  <c r="G52" i="83"/>
  <c r="H52" i="83"/>
  <c r="G51" i="83"/>
  <c r="H51" i="83"/>
  <c r="G50" i="83"/>
  <c r="H50" i="83"/>
  <c r="G49" i="83"/>
  <c r="H49" i="83"/>
  <c r="G48" i="83"/>
  <c r="H48" i="83"/>
  <c r="G47" i="83"/>
  <c r="H47" i="83"/>
  <c r="G46" i="83"/>
  <c r="H46" i="83"/>
  <c r="G45" i="83"/>
  <c r="H45" i="83"/>
  <c r="G44" i="83"/>
  <c r="H44" i="83"/>
  <c r="G43" i="83"/>
  <c r="H43" i="83"/>
  <c r="G42" i="83"/>
  <c r="H42" i="83"/>
  <c r="G41" i="83"/>
  <c r="H41" i="83"/>
  <c r="G40" i="83"/>
  <c r="H40" i="83"/>
  <c r="G39" i="83"/>
  <c r="H39" i="83"/>
  <c r="G38" i="83"/>
  <c r="H38" i="83"/>
  <c r="G37" i="83"/>
  <c r="H37" i="83"/>
  <c r="G36" i="83"/>
  <c r="H36" i="83"/>
  <c r="G35" i="83"/>
  <c r="H35" i="83"/>
  <c r="G34" i="83"/>
  <c r="H34" i="83"/>
  <c r="G33" i="83"/>
  <c r="H33" i="83"/>
  <c r="G32" i="83"/>
  <c r="H32" i="83"/>
  <c r="G31" i="83"/>
  <c r="H31" i="83"/>
  <c r="G30" i="83"/>
  <c r="H30" i="83"/>
  <c r="G29" i="83"/>
  <c r="H29" i="83"/>
  <c r="G28" i="83"/>
  <c r="H28" i="83"/>
  <c r="G27" i="83"/>
  <c r="H27" i="83"/>
  <c r="G26" i="83"/>
  <c r="H26" i="83"/>
  <c r="G25" i="83"/>
  <c r="H25" i="83"/>
  <c r="G24" i="83"/>
  <c r="H24" i="83"/>
  <c r="G23" i="83"/>
  <c r="H23" i="83"/>
  <c r="G22" i="83"/>
  <c r="H22" i="83"/>
  <c r="G21" i="83"/>
  <c r="H21" i="83"/>
  <c r="G20" i="83"/>
  <c r="H20" i="83"/>
  <c r="G19" i="83"/>
  <c r="H19" i="83"/>
  <c r="G18" i="83"/>
  <c r="H18" i="83"/>
  <c r="G17" i="83"/>
  <c r="G16" i="83"/>
  <c r="H16" i="83"/>
  <c r="G15" i="83"/>
  <c r="G14" i="83"/>
  <c r="H14" i="83"/>
  <c r="G13" i="83"/>
  <c r="H13" i="83"/>
  <c r="G12" i="83"/>
  <c r="H12" i="83"/>
  <c r="G11" i="83"/>
  <c r="H11" i="83"/>
  <c r="G10" i="83"/>
  <c r="H10" i="83"/>
  <c r="G9" i="83"/>
  <c r="H9" i="83"/>
  <c r="G8" i="83"/>
  <c r="H8" i="83"/>
  <c r="G7" i="83"/>
  <c r="H7" i="83"/>
  <c r="G6" i="83"/>
  <c r="H6" i="83"/>
  <c r="G5" i="83"/>
  <c r="H5" i="83"/>
  <c r="G4" i="83"/>
  <c r="H4" i="83"/>
  <c r="G3" i="83"/>
  <c r="H3" i="83"/>
  <c r="G2" i="83"/>
  <c r="AO77" i="2"/>
  <c r="AO76" i="2"/>
  <c r="AO75" i="2"/>
  <c r="AO74" i="2"/>
  <c r="AO31" i="2"/>
  <c r="AO30" i="2"/>
  <c r="AO14" i="2"/>
  <c r="AO9" i="2"/>
  <c r="AO8" i="2"/>
  <c r="AO7" i="2"/>
  <c r="AO6" i="2"/>
  <c r="AO5" i="2"/>
  <c r="AO4" i="2"/>
  <c r="H93" i="82"/>
  <c r="F104" i="82"/>
  <c r="E104" i="82"/>
  <c r="B104" i="82"/>
  <c r="G97" i="82"/>
  <c r="G96" i="82"/>
  <c r="G95" i="82"/>
  <c r="G94" i="82"/>
  <c r="G93" i="82"/>
  <c r="G92" i="82"/>
  <c r="H92" i="82"/>
  <c r="G91" i="82"/>
  <c r="H91" i="82"/>
  <c r="G90" i="82"/>
  <c r="H90" i="82"/>
  <c r="G89" i="82"/>
  <c r="H89" i="82"/>
  <c r="G88" i="82"/>
  <c r="H88" i="82"/>
  <c r="G87" i="82"/>
  <c r="H87" i="82"/>
  <c r="G86" i="82"/>
  <c r="H86" i="82"/>
  <c r="G85" i="82"/>
  <c r="H85" i="82"/>
  <c r="G84" i="82"/>
  <c r="H84" i="82"/>
  <c r="G83" i="82"/>
  <c r="H83" i="82"/>
  <c r="G82" i="82"/>
  <c r="H82" i="82"/>
  <c r="G81" i="82"/>
  <c r="H81" i="82"/>
  <c r="G80" i="82"/>
  <c r="H80" i="82"/>
  <c r="G79" i="82"/>
  <c r="H79" i="82"/>
  <c r="G78" i="82"/>
  <c r="H78" i="82"/>
  <c r="G77" i="82"/>
  <c r="H77" i="82"/>
  <c r="G76" i="82"/>
  <c r="H76" i="82"/>
  <c r="G75" i="82"/>
  <c r="H75" i="82"/>
  <c r="G74" i="82"/>
  <c r="H74" i="82"/>
  <c r="G73" i="82"/>
  <c r="H73" i="82"/>
  <c r="G72" i="82"/>
  <c r="H72" i="82"/>
  <c r="G71" i="82"/>
  <c r="H71" i="82"/>
  <c r="G70" i="82"/>
  <c r="H70" i="82"/>
  <c r="G69" i="82"/>
  <c r="H69" i="82"/>
  <c r="G68" i="82"/>
  <c r="H68" i="82"/>
  <c r="G67" i="82"/>
  <c r="H67" i="82"/>
  <c r="G66" i="82"/>
  <c r="H66" i="82"/>
  <c r="G65" i="82"/>
  <c r="H65" i="82"/>
  <c r="G64" i="82"/>
  <c r="H64" i="82"/>
  <c r="G63" i="82"/>
  <c r="H63" i="82"/>
  <c r="G62" i="82"/>
  <c r="H62" i="82"/>
  <c r="G61" i="82"/>
  <c r="H61" i="82"/>
  <c r="G60" i="82"/>
  <c r="H60" i="82"/>
  <c r="G59" i="82"/>
  <c r="H59" i="82"/>
  <c r="G58" i="82"/>
  <c r="H58" i="82"/>
  <c r="G57" i="82"/>
  <c r="H57" i="82"/>
  <c r="G56" i="82"/>
  <c r="H56" i="82"/>
  <c r="G55" i="82"/>
  <c r="H55" i="82"/>
  <c r="G54" i="82"/>
  <c r="H54" i="82"/>
  <c r="G53" i="82"/>
  <c r="H53" i="82"/>
  <c r="G52" i="82"/>
  <c r="H52" i="82"/>
  <c r="G51" i="82"/>
  <c r="H51" i="82"/>
  <c r="G50" i="82"/>
  <c r="H50" i="82"/>
  <c r="G49" i="82"/>
  <c r="H49" i="82"/>
  <c r="G48" i="82"/>
  <c r="H48" i="82"/>
  <c r="G47" i="82"/>
  <c r="H47" i="82"/>
  <c r="G46" i="82"/>
  <c r="H46" i="82"/>
  <c r="G45" i="82"/>
  <c r="H45" i="82"/>
  <c r="G44" i="82"/>
  <c r="H44" i="82"/>
  <c r="G43" i="82"/>
  <c r="H43" i="82"/>
  <c r="G42" i="82"/>
  <c r="H42" i="82"/>
  <c r="G41" i="82"/>
  <c r="H41" i="82"/>
  <c r="G40" i="82"/>
  <c r="H40" i="82"/>
  <c r="G39" i="82"/>
  <c r="H39" i="82"/>
  <c r="G38" i="82"/>
  <c r="H38" i="82"/>
  <c r="G37" i="82"/>
  <c r="H37" i="82"/>
  <c r="G36" i="82"/>
  <c r="H36" i="82"/>
  <c r="G35" i="82"/>
  <c r="H35" i="82"/>
  <c r="G34" i="82"/>
  <c r="H34" i="82"/>
  <c r="G33" i="82"/>
  <c r="H33" i="82"/>
  <c r="G32" i="82"/>
  <c r="H32" i="82"/>
  <c r="G31" i="82"/>
  <c r="H31" i="82"/>
  <c r="G30" i="82"/>
  <c r="H30" i="82"/>
  <c r="G29" i="82"/>
  <c r="H29" i="82"/>
  <c r="G28" i="82"/>
  <c r="H28" i="82"/>
  <c r="G27" i="82"/>
  <c r="H27" i="82"/>
  <c r="G26" i="82"/>
  <c r="H26" i="82"/>
  <c r="G25" i="82"/>
  <c r="H25" i="82"/>
  <c r="G24" i="82"/>
  <c r="H24" i="82"/>
  <c r="G23" i="82"/>
  <c r="H23" i="82"/>
  <c r="G22" i="82"/>
  <c r="H22" i="82"/>
  <c r="G21" i="82"/>
  <c r="H21" i="82"/>
  <c r="G20" i="82"/>
  <c r="H20" i="82"/>
  <c r="G19" i="82"/>
  <c r="H19" i="82"/>
  <c r="G18" i="82"/>
  <c r="H18" i="82"/>
  <c r="G17" i="82"/>
  <c r="G16" i="82"/>
  <c r="H16" i="82"/>
  <c r="G15" i="82"/>
  <c r="G14" i="82"/>
  <c r="H14" i="82"/>
  <c r="G13" i="82"/>
  <c r="H13" i="82"/>
  <c r="G12" i="82"/>
  <c r="H12" i="82"/>
  <c r="G11" i="82"/>
  <c r="H11" i="82"/>
  <c r="G10" i="82"/>
  <c r="H10" i="82"/>
  <c r="G9" i="82"/>
  <c r="H9" i="82"/>
  <c r="G8" i="82"/>
  <c r="H8" i="82"/>
  <c r="G7" i="82"/>
  <c r="H7" i="82"/>
  <c r="G6" i="82"/>
  <c r="H6" i="82"/>
  <c r="G5" i="82"/>
  <c r="H5" i="82"/>
  <c r="G4" i="82"/>
  <c r="H4" i="82"/>
  <c r="G3" i="82"/>
  <c r="H3" i="82"/>
  <c r="G2" i="82"/>
  <c r="H18" i="81"/>
  <c r="G18" i="81"/>
  <c r="F18" i="81"/>
  <c r="C18" i="81"/>
  <c r="I15" i="81"/>
  <c r="I14" i="81"/>
  <c r="I13" i="81"/>
  <c r="I12" i="81"/>
  <c r="I11" i="81"/>
  <c r="I10" i="81"/>
  <c r="I9" i="81"/>
  <c r="I8" i="81"/>
  <c r="I7" i="81"/>
  <c r="I6" i="81"/>
  <c r="I5" i="81"/>
  <c r="I4" i="81"/>
  <c r="I3" i="81"/>
  <c r="I2" i="81"/>
  <c r="AN38" i="2"/>
  <c r="AN52" i="2"/>
  <c r="AN82" i="2"/>
  <c r="AN77" i="2"/>
  <c r="AN76" i="2"/>
  <c r="AN75" i="2"/>
  <c r="AN74" i="2"/>
  <c r="AN39" i="2"/>
  <c r="AN80" i="2"/>
  <c r="AN31" i="2"/>
  <c r="AN73" i="2"/>
  <c r="AN30" i="2"/>
  <c r="AN14" i="2"/>
  <c r="AN9" i="2"/>
  <c r="AN8" i="2"/>
  <c r="AN7" i="2"/>
  <c r="AN6" i="2"/>
  <c r="AN5" i="2"/>
  <c r="AN4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AG81" i="2"/>
  <c r="AF81" i="2"/>
  <c r="AE81" i="2"/>
  <c r="AD81" i="2"/>
  <c r="M81" i="2"/>
  <c r="AG79" i="2"/>
  <c r="AF79" i="2"/>
  <c r="AE79" i="2"/>
  <c r="AD79" i="2"/>
  <c r="R79" i="2"/>
  <c r="F79" i="2"/>
  <c r="AD78" i="2"/>
  <c r="R78" i="2"/>
  <c r="F78" i="2"/>
  <c r="BO77" i="2"/>
  <c r="AM77" i="2"/>
  <c r="AL77" i="2"/>
  <c r="AK77" i="2"/>
  <c r="AJ77" i="2"/>
  <c r="AI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BO76" i="2"/>
  <c r="AM76" i="2"/>
  <c r="AL76" i="2"/>
  <c r="AK76" i="2"/>
  <c r="AJ76" i="2"/>
  <c r="AI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BO75" i="2"/>
  <c r="AM75" i="2"/>
  <c r="AL75" i="2"/>
  <c r="AK75" i="2"/>
  <c r="AJ75" i="2"/>
  <c r="AI75" i="2"/>
  <c r="AG75" i="2"/>
  <c r="AF75" i="2"/>
  <c r="AE75" i="2"/>
  <c r="AD75" i="2"/>
  <c r="AC75" i="2"/>
  <c r="AB75" i="2"/>
  <c r="AA75" i="2"/>
  <c r="Z75" i="2"/>
  <c r="Y75" i="2"/>
  <c r="X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BO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K73" i="2"/>
  <c r="J73" i="2"/>
  <c r="I73" i="2"/>
  <c r="H73" i="2"/>
  <c r="F73" i="2"/>
  <c r="E73" i="2"/>
  <c r="AJ72" i="2"/>
  <c r="AI72" i="2"/>
  <c r="K72" i="2"/>
  <c r="J72" i="2"/>
  <c r="H72" i="2"/>
  <c r="G72" i="2"/>
  <c r="F72" i="2"/>
  <c r="D77" i="2"/>
  <c r="D76" i="2"/>
  <c r="D75" i="2"/>
  <c r="D74" i="2"/>
  <c r="D73" i="2"/>
  <c r="AM38" i="2"/>
  <c r="AM80" i="2"/>
  <c r="AL38" i="2"/>
  <c r="AL80" i="2"/>
  <c r="AK38" i="2"/>
  <c r="AK80" i="2"/>
  <c r="AJ38" i="2"/>
  <c r="AJ80" i="2"/>
  <c r="AI38" i="2"/>
  <c r="AI80" i="2"/>
  <c r="AH38" i="2"/>
  <c r="AH80" i="2"/>
  <c r="AG38" i="2"/>
  <c r="AG80" i="2"/>
  <c r="AF38" i="2"/>
  <c r="AF80" i="2"/>
  <c r="AE38" i="2"/>
  <c r="AE80" i="2"/>
  <c r="AD38" i="2"/>
  <c r="AD80" i="2"/>
  <c r="AC38" i="2"/>
  <c r="AC80" i="2"/>
  <c r="AB38" i="2"/>
  <c r="AB80" i="2"/>
  <c r="AA38" i="2"/>
  <c r="AA80" i="2"/>
  <c r="Z38" i="2"/>
  <c r="Z80" i="2"/>
  <c r="Y38" i="2"/>
  <c r="Y80" i="2"/>
  <c r="X38" i="2"/>
  <c r="X80" i="2"/>
  <c r="W38" i="2"/>
  <c r="W80" i="2"/>
  <c r="V38" i="2"/>
  <c r="E38" i="2"/>
  <c r="E80" i="2"/>
  <c r="C97" i="2"/>
  <c r="C74" i="2"/>
  <c r="C75" i="2"/>
  <c r="C76" i="2"/>
  <c r="C77" i="2"/>
  <c r="C78" i="2"/>
  <c r="C79" i="2"/>
  <c r="C80" i="2"/>
  <c r="C81" i="2"/>
  <c r="C82" i="2"/>
  <c r="F104" i="80"/>
  <c r="E104" i="80"/>
  <c r="B104" i="80"/>
  <c r="G97" i="80"/>
  <c r="G96" i="80"/>
  <c r="G95" i="80"/>
  <c r="G94" i="80"/>
  <c r="G93" i="80"/>
  <c r="G92" i="80"/>
  <c r="H92" i="80"/>
  <c r="G91" i="80"/>
  <c r="H91" i="80"/>
  <c r="G90" i="80"/>
  <c r="H90" i="80"/>
  <c r="G89" i="80"/>
  <c r="H89" i="80"/>
  <c r="G88" i="80"/>
  <c r="H88" i="80"/>
  <c r="G87" i="80"/>
  <c r="H87" i="80"/>
  <c r="G86" i="80"/>
  <c r="H86" i="80"/>
  <c r="G85" i="80"/>
  <c r="H85" i="80"/>
  <c r="G84" i="80"/>
  <c r="H84" i="80"/>
  <c r="G83" i="80"/>
  <c r="H83" i="80"/>
  <c r="G82" i="80"/>
  <c r="H82" i="80"/>
  <c r="G81" i="80"/>
  <c r="H81" i="80"/>
  <c r="G80" i="80"/>
  <c r="H80" i="80"/>
  <c r="G79" i="80"/>
  <c r="H79" i="80"/>
  <c r="G78" i="80"/>
  <c r="H78" i="80"/>
  <c r="G77" i="80"/>
  <c r="H77" i="80"/>
  <c r="G76" i="80"/>
  <c r="H76" i="80"/>
  <c r="G75" i="80"/>
  <c r="H75" i="80"/>
  <c r="G74" i="80"/>
  <c r="H74" i="80"/>
  <c r="G73" i="80"/>
  <c r="H73" i="80"/>
  <c r="G72" i="80"/>
  <c r="H72" i="80"/>
  <c r="G71" i="80"/>
  <c r="H71" i="80"/>
  <c r="G70" i="80"/>
  <c r="H70" i="80"/>
  <c r="G69" i="80"/>
  <c r="H69" i="80"/>
  <c r="G68" i="80"/>
  <c r="H68" i="80"/>
  <c r="G67" i="80"/>
  <c r="H67" i="80"/>
  <c r="G66" i="80"/>
  <c r="H66" i="80"/>
  <c r="G65" i="80"/>
  <c r="H65" i="80"/>
  <c r="G64" i="80"/>
  <c r="H64" i="80"/>
  <c r="G63" i="80"/>
  <c r="H63" i="80"/>
  <c r="G62" i="80"/>
  <c r="H62" i="80"/>
  <c r="G61" i="80"/>
  <c r="H61" i="80"/>
  <c r="G60" i="80"/>
  <c r="H60" i="80"/>
  <c r="G59" i="80"/>
  <c r="H59" i="80"/>
  <c r="G58" i="80"/>
  <c r="H58" i="80"/>
  <c r="G57" i="80"/>
  <c r="H57" i="80"/>
  <c r="G56" i="80"/>
  <c r="H56" i="80"/>
  <c r="G55" i="80"/>
  <c r="H55" i="80"/>
  <c r="G54" i="80"/>
  <c r="H54" i="80"/>
  <c r="G53" i="80"/>
  <c r="H53" i="80"/>
  <c r="G52" i="80"/>
  <c r="H52" i="80"/>
  <c r="G51" i="80"/>
  <c r="H51" i="80"/>
  <c r="G50" i="80"/>
  <c r="H50" i="80"/>
  <c r="G49" i="80"/>
  <c r="H49" i="80"/>
  <c r="G48" i="80"/>
  <c r="H48" i="80"/>
  <c r="G47" i="80"/>
  <c r="H47" i="80"/>
  <c r="G46" i="80"/>
  <c r="H46" i="80"/>
  <c r="G45" i="80"/>
  <c r="H45" i="80"/>
  <c r="G44" i="80"/>
  <c r="H44" i="80"/>
  <c r="G43" i="80"/>
  <c r="H43" i="80"/>
  <c r="G42" i="80"/>
  <c r="H42" i="80"/>
  <c r="G41" i="80"/>
  <c r="H41" i="80"/>
  <c r="G40" i="80"/>
  <c r="H40" i="80"/>
  <c r="G39" i="80"/>
  <c r="H39" i="80"/>
  <c r="G38" i="80"/>
  <c r="H38" i="80"/>
  <c r="G37" i="80"/>
  <c r="H37" i="80"/>
  <c r="G36" i="80"/>
  <c r="H36" i="80"/>
  <c r="G35" i="80"/>
  <c r="H35" i="80"/>
  <c r="G34" i="80"/>
  <c r="H34" i="80"/>
  <c r="G33" i="80"/>
  <c r="H33" i="80"/>
  <c r="G32" i="80"/>
  <c r="H32" i="80"/>
  <c r="G31" i="80"/>
  <c r="H31" i="80"/>
  <c r="G30" i="80"/>
  <c r="H30" i="80"/>
  <c r="G29" i="80"/>
  <c r="H29" i="80"/>
  <c r="G28" i="80"/>
  <c r="H28" i="80"/>
  <c r="G27" i="80"/>
  <c r="H27" i="80"/>
  <c r="G26" i="80"/>
  <c r="H26" i="80"/>
  <c r="G25" i="80"/>
  <c r="H25" i="80"/>
  <c r="G24" i="80"/>
  <c r="H24" i="80"/>
  <c r="G23" i="80"/>
  <c r="H23" i="80"/>
  <c r="G22" i="80"/>
  <c r="H22" i="80"/>
  <c r="G21" i="80"/>
  <c r="H21" i="80"/>
  <c r="G20" i="80"/>
  <c r="H20" i="80"/>
  <c r="G19" i="80"/>
  <c r="H19" i="80"/>
  <c r="G18" i="80"/>
  <c r="H18" i="80"/>
  <c r="G17" i="80"/>
  <c r="G16" i="80"/>
  <c r="H16" i="80"/>
  <c r="G15" i="80"/>
  <c r="G14" i="80"/>
  <c r="H14" i="80"/>
  <c r="G13" i="80"/>
  <c r="H13" i="80"/>
  <c r="G12" i="80"/>
  <c r="H12" i="80"/>
  <c r="G11" i="80"/>
  <c r="H11" i="80"/>
  <c r="G10" i="80"/>
  <c r="H10" i="80"/>
  <c r="G9" i="80"/>
  <c r="H9" i="80"/>
  <c r="G8" i="80"/>
  <c r="H8" i="80"/>
  <c r="G7" i="80"/>
  <c r="H7" i="80"/>
  <c r="G6" i="80"/>
  <c r="H6" i="80"/>
  <c r="G5" i="80"/>
  <c r="H5" i="80"/>
  <c r="G4" i="80"/>
  <c r="H4" i="80"/>
  <c r="G3" i="80"/>
  <c r="H3" i="80"/>
  <c r="G2" i="80"/>
  <c r="H18" i="79"/>
  <c r="G18" i="79"/>
  <c r="F18" i="79"/>
  <c r="C18" i="79"/>
  <c r="I15" i="79"/>
  <c r="I14" i="79"/>
  <c r="I13" i="79"/>
  <c r="I12" i="79"/>
  <c r="I11" i="79"/>
  <c r="I10" i="79"/>
  <c r="I9" i="79"/>
  <c r="I8" i="79"/>
  <c r="I7" i="79"/>
  <c r="I6" i="79"/>
  <c r="I5" i="79"/>
  <c r="I4" i="79"/>
  <c r="I3" i="79"/>
  <c r="I2" i="79"/>
  <c r="AM31" i="2"/>
  <c r="AM73" i="2"/>
  <c r="AM30" i="2"/>
  <c r="AM72" i="2"/>
  <c r="AM14" i="2"/>
  <c r="AM9" i="2"/>
  <c r="AM8" i="2"/>
  <c r="AM7" i="2"/>
  <c r="AM6" i="2"/>
  <c r="AM5" i="2"/>
  <c r="AM4" i="2"/>
  <c r="AM39" i="2"/>
  <c r="AM81" i="2"/>
  <c r="N39" i="2"/>
  <c r="H16" i="77"/>
  <c r="G2" i="77"/>
  <c r="G3" i="77"/>
  <c r="G4" i="77"/>
  <c r="G5" i="77"/>
  <c r="G6" i="77"/>
  <c r="G7" i="77"/>
  <c r="G8" i="77"/>
  <c r="G9" i="77"/>
  <c r="G10" i="77"/>
  <c r="G11" i="77"/>
  <c r="G12" i="77"/>
  <c r="G13" i="77"/>
  <c r="G14" i="77"/>
  <c r="G15" i="77"/>
  <c r="G16" i="77"/>
  <c r="G17" i="77"/>
  <c r="G18" i="77"/>
  <c r="G19" i="77"/>
  <c r="G20" i="77"/>
  <c r="G21" i="77"/>
  <c r="G22" i="77"/>
  <c r="G23" i="77"/>
  <c r="G24" i="77"/>
  <c r="G25" i="77"/>
  <c r="G26" i="77"/>
  <c r="G27" i="77"/>
  <c r="G28" i="77"/>
  <c r="G29" i="77"/>
  <c r="G30" i="77"/>
  <c r="G31" i="77"/>
  <c r="G32" i="77"/>
  <c r="G33" i="77"/>
  <c r="G34" i="77"/>
  <c r="G35" i="77"/>
  <c r="G36" i="77"/>
  <c r="G37" i="77"/>
  <c r="G38" i="77"/>
  <c r="G39" i="77"/>
  <c r="G40" i="77"/>
  <c r="G41" i="77"/>
  <c r="G42" i="77"/>
  <c r="G43" i="77"/>
  <c r="G44" i="77"/>
  <c r="G45" i="77"/>
  <c r="G46" i="77"/>
  <c r="G47" i="77"/>
  <c r="G48" i="77"/>
  <c r="G49" i="77"/>
  <c r="G50" i="77"/>
  <c r="G51" i="77"/>
  <c r="G52" i="77"/>
  <c r="G53" i="77"/>
  <c r="G54" i="77"/>
  <c r="G55" i="77"/>
  <c r="G56" i="77"/>
  <c r="G57" i="77"/>
  <c r="G58" i="77"/>
  <c r="G59" i="77"/>
  <c r="G60" i="77"/>
  <c r="G61" i="77"/>
  <c r="G62" i="77"/>
  <c r="G63" i="77"/>
  <c r="G64" i="77"/>
  <c r="G65" i="77"/>
  <c r="G66" i="77"/>
  <c r="G67" i="77"/>
  <c r="G68" i="77"/>
  <c r="G69" i="77"/>
  <c r="G70" i="77"/>
  <c r="G71" i="77"/>
  <c r="G72" i="77"/>
  <c r="G73" i="77"/>
  <c r="G74" i="77"/>
  <c r="G75" i="77"/>
  <c r="G76" i="77"/>
  <c r="G77" i="77"/>
  <c r="G78" i="77"/>
  <c r="G79" i="77"/>
  <c r="G80" i="77"/>
  <c r="G81" i="77"/>
  <c r="G82" i="77"/>
  <c r="G83" i="77"/>
  <c r="G84" i="77"/>
  <c r="G85" i="77"/>
  <c r="G86" i="77"/>
  <c r="G87" i="77"/>
  <c r="G88" i="77"/>
  <c r="G89" i="77"/>
  <c r="G90" i="77"/>
  <c r="G91" i="77"/>
  <c r="G92" i="77"/>
  <c r="G93" i="77"/>
  <c r="G94" i="77"/>
  <c r="G95" i="77"/>
  <c r="G96" i="77"/>
  <c r="G97" i="77"/>
  <c r="H18" i="78"/>
  <c r="G18" i="78"/>
  <c r="F18" i="78"/>
  <c r="C18" i="78"/>
  <c r="I15" i="78"/>
  <c r="I14" i="78"/>
  <c r="I13" i="78"/>
  <c r="I12" i="78"/>
  <c r="I11" i="78"/>
  <c r="I10" i="78"/>
  <c r="I9" i="78"/>
  <c r="I8" i="78"/>
  <c r="I7" i="78"/>
  <c r="I6" i="78"/>
  <c r="I5" i="78"/>
  <c r="I4" i="78"/>
  <c r="I3" i="78"/>
  <c r="I2" i="78"/>
  <c r="F104" i="77"/>
  <c r="E104" i="77"/>
  <c r="B104" i="77"/>
  <c r="H92" i="77"/>
  <c r="H91" i="77"/>
  <c r="H90" i="77"/>
  <c r="H89" i="77"/>
  <c r="H88" i="77"/>
  <c r="H87" i="77"/>
  <c r="H86" i="77"/>
  <c r="H85" i="77"/>
  <c r="H84" i="77"/>
  <c r="H83" i="77"/>
  <c r="H82" i="77"/>
  <c r="H81" i="77"/>
  <c r="H80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H17" i="77"/>
  <c r="H14" i="77"/>
  <c r="H13" i="77"/>
  <c r="H12" i="77"/>
  <c r="H11" i="77"/>
  <c r="H10" i="77"/>
  <c r="H9" i="77"/>
  <c r="H8" i="77"/>
  <c r="H7" i="77"/>
  <c r="H6" i="77"/>
  <c r="H5" i="77"/>
  <c r="H4" i="77"/>
  <c r="H3" i="77"/>
  <c r="AL31" i="2"/>
  <c r="AL73" i="2"/>
  <c r="AL30" i="2"/>
  <c r="AL72" i="2"/>
  <c r="AL14" i="2"/>
  <c r="AL9" i="2"/>
  <c r="AL8" i="2"/>
  <c r="AL7" i="2"/>
  <c r="AL6" i="2"/>
  <c r="AL5" i="2"/>
  <c r="AL39" i="2"/>
  <c r="AL81" i="2"/>
  <c r="AK31" i="2"/>
  <c r="AK73" i="2"/>
  <c r="H17" i="76"/>
  <c r="H15" i="76"/>
  <c r="F104" i="76"/>
  <c r="E104" i="76"/>
  <c r="B104" i="76"/>
  <c r="G97" i="76"/>
  <c r="H97" i="76"/>
  <c r="G96" i="76"/>
  <c r="H96" i="76"/>
  <c r="G95" i="76"/>
  <c r="H95" i="76"/>
  <c r="G94" i="76"/>
  <c r="H94" i="76"/>
  <c r="G93" i="76"/>
  <c r="H93" i="76"/>
  <c r="G92" i="76"/>
  <c r="H92" i="76"/>
  <c r="G91" i="76"/>
  <c r="H91" i="76"/>
  <c r="G90" i="76"/>
  <c r="H90" i="76"/>
  <c r="G89" i="76"/>
  <c r="H89" i="76"/>
  <c r="G88" i="76"/>
  <c r="H88" i="76"/>
  <c r="G87" i="76"/>
  <c r="H87" i="76"/>
  <c r="G86" i="76"/>
  <c r="H86" i="76"/>
  <c r="G85" i="76"/>
  <c r="H85" i="76"/>
  <c r="G84" i="76"/>
  <c r="H84" i="76"/>
  <c r="G83" i="76"/>
  <c r="H83" i="76"/>
  <c r="G82" i="76"/>
  <c r="H82" i="76"/>
  <c r="G81" i="76"/>
  <c r="H81" i="76"/>
  <c r="G80" i="76"/>
  <c r="H80" i="76"/>
  <c r="G79" i="76"/>
  <c r="H79" i="76"/>
  <c r="G78" i="76"/>
  <c r="H78" i="76"/>
  <c r="G77" i="76"/>
  <c r="H77" i="76"/>
  <c r="G76" i="76"/>
  <c r="H76" i="76"/>
  <c r="G75" i="76"/>
  <c r="H75" i="76"/>
  <c r="G74" i="76"/>
  <c r="H74" i="76"/>
  <c r="G73" i="76"/>
  <c r="H73" i="76"/>
  <c r="G72" i="76"/>
  <c r="H72" i="76"/>
  <c r="G71" i="76"/>
  <c r="H71" i="76"/>
  <c r="G70" i="76"/>
  <c r="H70" i="76"/>
  <c r="G69" i="76"/>
  <c r="H69" i="76"/>
  <c r="G68" i="76"/>
  <c r="H68" i="76"/>
  <c r="G67" i="76"/>
  <c r="H67" i="76"/>
  <c r="G66" i="76"/>
  <c r="H66" i="76"/>
  <c r="G65" i="76"/>
  <c r="H65" i="76"/>
  <c r="G64" i="76"/>
  <c r="H64" i="76"/>
  <c r="G63" i="76"/>
  <c r="H63" i="76"/>
  <c r="G62" i="76"/>
  <c r="H62" i="76"/>
  <c r="G61" i="76"/>
  <c r="H61" i="76"/>
  <c r="G60" i="76"/>
  <c r="H60" i="76"/>
  <c r="G59" i="76"/>
  <c r="H59" i="76"/>
  <c r="G58" i="76"/>
  <c r="H58" i="76"/>
  <c r="G57" i="76"/>
  <c r="H57" i="76"/>
  <c r="G56" i="76"/>
  <c r="H56" i="76"/>
  <c r="G55" i="76"/>
  <c r="H55" i="76"/>
  <c r="G54" i="76"/>
  <c r="H54" i="76"/>
  <c r="G53" i="76"/>
  <c r="H53" i="76"/>
  <c r="G52" i="76"/>
  <c r="H52" i="76"/>
  <c r="G51" i="76"/>
  <c r="H51" i="76"/>
  <c r="G50" i="76"/>
  <c r="H50" i="76"/>
  <c r="G49" i="76"/>
  <c r="H49" i="76"/>
  <c r="G48" i="76"/>
  <c r="H48" i="76"/>
  <c r="G47" i="76"/>
  <c r="H47" i="76"/>
  <c r="G46" i="76"/>
  <c r="H46" i="76"/>
  <c r="G45" i="76"/>
  <c r="H45" i="76"/>
  <c r="G44" i="76"/>
  <c r="H44" i="76"/>
  <c r="G43" i="76"/>
  <c r="H43" i="76"/>
  <c r="G42" i="76"/>
  <c r="H42" i="76"/>
  <c r="G41" i="76"/>
  <c r="H41" i="76"/>
  <c r="G40" i="76"/>
  <c r="H40" i="76"/>
  <c r="G39" i="76"/>
  <c r="H39" i="76"/>
  <c r="G38" i="76"/>
  <c r="H38" i="76"/>
  <c r="G37" i="76"/>
  <c r="H37" i="76"/>
  <c r="G36" i="76"/>
  <c r="H36" i="76"/>
  <c r="G35" i="76"/>
  <c r="H35" i="76"/>
  <c r="G34" i="76"/>
  <c r="H34" i="76"/>
  <c r="G33" i="76"/>
  <c r="H33" i="76"/>
  <c r="G32" i="76"/>
  <c r="H32" i="76"/>
  <c r="G31" i="76"/>
  <c r="H31" i="76"/>
  <c r="G30" i="76"/>
  <c r="H30" i="76"/>
  <c r="G29" i="76"/>
  <c r="H29" i="76"/>
  <c r="G28" i="76"/>
  <c r="H28" i="76"/>
  <c r="G27" i="76"/>
  <c r="H27" i="76"/>
  <c r="G26" i="76"/>
  <c r="H26" i="76"/>
  <c r="G25" i="76"/>
  <c r="H25" i="76"/>
  <c r="G24" i="76"/>
  <c r="H24" i="76"/>
  <c r="G23" i="76"/>
  <c r="H23" i="76"/>
  <c r="G22" i="76"/>
  <c r="H22" i="76"/>
  <c r="G21" i="76"/>
  <c r="H21" i="76"/>
  <c r="G20" i="76"/>
  <c r="H20" i="76"/>
  <c r="G19" i="76"/>
  <c r="H19" i="76"/>
  <c r="G18" i="76"/>
  <c r="H18" i="76"/>
  <c r="G17" i="76"/>
  <c r="G16" i="76"/>
  <c r="G15" i="76"/>
  <c r="G14" i="76"/>
  <c r="H14" i="76"/>
  <c r="G13" i="76"/>
  <c r="H13" i="76"/>
  <c r="G12" i="76"/>
  <c r="H12" i="76"/>
  <c r="G11" i="76"/>
  <c r="H11" i="76"/>
  <c r="G10" i="76"/>
  <c r="H10" i="76"/>
  <c r="G9" i="76"/>
  <c r="H9" i="76"/>
  <c r="G8" i="76"/>
  <c r="H8" i="76"/>
  <c r="G7" i="76"/>
  <c r="H7" i="76"/>
  <c r="G6" i="76"/>
  <c r="H6" i="76"/>
  <c r="G5" i="76"/>
  <c r="H5" i="76"/>
  <c r="G4" i="76"/>
  <c r="H4" i="76"/>
  <c r="G3" i="76"/>
  <c r="H3" i="76"/>
  <c r="G2" i="76"/>
  <c r="H18" i="75"/>
  <c r="G18" i="75"/>
  <c r="F18" i="75"/>
  <c r="C18" i="75"/>
  <c r="I15" i="75"/>
  <c r="I14" i="75"/>
  <c r="I13" i="75"/>
  <c r="I12" i="75"/>
  <c r="I11" i="75"/>
  <c r="I10" i="75"/>
  <c r="I9" i="75"/>
  <c r="I8" i="75"/>
  <c r="I7" i="75"/>
  <c r="I6" i="75"/>
  <c r="I5" i="75"/>
  <c r="I4" i="75"/>
  <c r="I3" i="75"/>
  <c r="I2" i="75"/>
  <c r="AK30" i="2"/>
  <c r="AK72" i="2"/>
  <c r="AK14" i="2"/>
  <c r="AK9" i="2"/>
  <c r="AK8" i="2"/>
  <c r="AL48" i="2"/>
  <c r="AK7" i="2"/>
  <c r="AK6" i="2"/>
  <c r="AK5" i="2"/>
  <c r="AK39" i="2"/>
  <c r="AK81" i="2"/>
  <c r="G15" i="73"/>
  <c r="AJ31" i="2"/>
  <c r="AJ73" i="2"/>
  <c r="AJ14" i="2"/>
  <c r="AJ9" i="2"/>
  <c r="AK49" i="2"/>
  <c r="AJ8" i="2"/>
  <c r="AK48" i="2"/>
  <c r="AJ7" i="2"/>
  <c r="AJ6" i="2"/>
  <c r="AJ46" i="2"/>
  <c r="AJ5" i="2"/>
  <c r="H18" i="74"/>
  <c r="G18" i="74"/>
  <c r="F18" i="74"/>
  <c r="C18" i="74"/>
  <c r="I15" i="74"/>
  <c r="I14" i="74"/>
  <c r="I13" i="74"/>
  <c r="I12" i="74"/>
  <c r="I11" i="74"/>
  <c r="I10" i="74"/>
  <c r="I9" i="74"/>
  <c r="I8" i="74"/>
  <c r="I7" i="74"/>
  <c r="I6" i="74"/>
  <c r="I5" i="74"/>
  <c r="I4" i="74"/>
  <c r="I3" i="74"/>
  <c r="I2" i="74"/>
  <c r="F104" i="73"/>
  <c r="E104" i="73"/>
  <c r="B104" i="73"/>
  <c r="G97" i="73"/>
  <c r="H97" i="73"/>
  <c r="G96" i="73"/>
  <c r="H96" i="73"/>
  <c r="G95" i="73"/>
  <c r="H95" i="73"/>
  <c r="G94" i="73"/>
  <c r="H94" i="73"/>
  <c r="G93" i="73"/>
  <c r="H93" i="73"/>
  <c r="G92" i="73"/>
  <c r="H92" i="73"/>
  <c r="G91" i="73"/>
  <c r="H91" i="73"/>
  <c r="G90" i="73"/>
  <c r="H90" i="73"/>
  <c r="G89" i="73"/>
  <c r="H89" i="73"/>
  <c r="G88" i="73"/>
  <c r="H88" i="73"/>
  <c r="G87" i="73"/>
  <c r="H87" i="73"/>
  <c r="G86" i="73"/>
  <c r="H86" i="73"/>
  <c r="G85" i="73"/>
  <c r="H85" i="73"/>
  <c r="G84" i="73"/>
  <c r="H84" i="73"/>
  <c r="G83" i="73"/>
  <c r="H83" i="73"/>
  <c r="G82" i="73"/>
  <c r="H82" i="73"/>
  <c r="G81" i="73"/>
  <c r="H81" i="73"/>
  <c r="G80" i="73"/>
  <c r="H80" i="73"/>
  <c r="G79" i="73"/>
  <c r="H79" i="73"/>
  <c r="G78" i="73"/>
  <c r="H78" i="73"/>
  <c r="G77" i="73"/>
  <c r="H77" i="73"/>
  <c r="G76" i="73"/>
  <c r="H76" i="73"/>
  <c r="G75" i="73"/>
  <c r="H75" i="73"/>
  <c r="G74" i="73"/>
  <c r="H74" i="73"/>
  <c r="G73" i="73"/>
  <c r="H73" i="73"/>
  <c r="G72" i="73"/>
  <c r="H72" i="73"/>
  <c r="G71" i="73"/>
  <c r="H71" i="73"/>
  <c r="G70" i="73"/>
  <c r="H70" i="73"/>
  <c r="G69" i="73"/>
  <c r="H69" i="73"/>
  <c r="G68" i="73"/>
  <c r="H68" i="73"/>
  <c r="G67" i="73"/>
  <c r="H67" i="73"/>
  <c r="G66" i="73"/>
  <c r="H66" i="73"/>
  <c r="G65" i="73"/>
  <c r="H65" i="73"/>
  <c r="G64" i="73"/>
  <c r="H64" i="73"/>
  <c r="G63" i="73"/>
  <c r="H63" i="73"/>
  <c r="G62" i="73"/>
  <c r="H62" i="73"/>
  <c r="G61" i="73"/>
  <c r="H61" i="73"/>
  <c r="G60" i="73"/>
  <c r="H60" i="73"/>
  <c r="G59" i="73"/>
  <c r="H59" i="73"/>
  <c r="G58" i="73"/>
  <c r="H58" i="73"/>
  <c r="G57" i="73"/>
  <c r="H57" i="73"/>
  <c r="G56" i="73"/>
  <c r="H56" i="73"/>
  <c r="G55" i="73"/>
  <c r="H55" i="73"/>
  <c r="G54" i="73"/>
  <c r="H54" i="73"/>
  <c r="G53" i="73"/>
  <c r="H53" i="73"/>
  <c r="G52" i="73"/>
  <c r="H52" i="73"/>
  <c r="G51" i="73"/>
  <c r="H51" i="73"/>
  <c r="G50" i="73"/>
  <c r="H50" i="73"/>
  <c r="G49" i="73"/>
  <c r="H49" i="73"/>
  <c r="G48" i="73"/>
  <c r="H48" i="73"/>
  <c r="G47" i="73"/>
  <c r="H47" i="73"/>
  <c r="G46" i="73"/>
  <c r="H46" i="73"/>
  <c r="G45" i="73"/>
  <c r="H45" i="73"/>
  <c r="G44" i="73"/>
  <c r="H44" i="73"/>
  <c r="G43" i="73"/>
  <c r="H43" i="73"/>
  <c r="G42" i="73"/>
  <c r="H42" i="73"/>
  <c r="G41" i="73"/>
  <c r="H41" i="73"/>
  <c r="G40" i="73"/>
  <c r="H40" i="73"/>
  <c r="G39" i="73"/>
  <c r="H39" i="73"/>
  <c r="G38" i="73"/>
  <c r="H38" i="73"/>
  <c r="G37" i="73"/>
  <c r="H37" i="73"/>
  <c r="G36" i="73"/>
  <c r="H36" i="73"/>
  <c r="G35" i="73"/>
  <c r="H35" i="73"/>
  <c r="G34" i="73"/>
  <c r="H34" i="73"/>
  <c r="G33" i="73"/>
  <c r="H33" i="73"/>
  <c r="G32" i="73"/>
  <c r="H32" i="73"/>
  <c r="G31" i="73"/>
  <c r="H31" i="73"/>
  <c r="G30" i="73"/>
  <c r="H30" i="73"/>
  <c r="G29" i="73"/>
  <c r="H29" i="73"/>
  <c r="G28" i="73"/>
  <c r="H28" i="73"/>
  <c r="G27" i="73"/>
  <c r="H27" i="73"/>
  <c r="G26" i="73"/>
  <c r="H26" i="73"/>
  <c r="G25" i="73"/>
  <c r="H25" i="73"/>
  <c r="G24" i="73"/>
  <c r="H24" i="73"/>
  <c r="G23" i="73"/>
  <c r="H23" i="73"/>
  <c r="G22" i="73"/>
  <c r="H22" i="73"/>
  <c r="G21" i="73"/>
  <c r="H21" i="73"/>
  <c r="G20" i="73"/>
  <c r="H20" i="73"/>
  <c r="G19" i="73"/>
  <c r="H19" i="73"/>
  <c r="G18" i="73"/>
  <c r="H18" i="73"/>
  <c r="G17" i="73"/>
  <c r="H17" i="73"/>
  <c r="G16" i="73"/>
  <c r="H16" i="73"/>
  <c r="G14" i="73"/>
  <c r="H14" i="73"/>
  <c r="G13" i="73"/>
  <c r="H13" i="73"/>
  <c r="G12" i="73"/>
  <c r="H12" i="73"/>
  <c r="G11" i="73"/>
  <c r="H11" i="73"/>
  <c r="G10" i="73"/>
  <c r="H10" i="73"/>
  <c r="G9" i="73"/>
  <c r="H9" i="73"/>
  <c r="G8" i="73"/>
  <c r="H8" i="73"/>
  <c r="G7" i="73"/>
  <c r="H7" i="73"/>
  <c r="G6" i="73"/>
  <c r="H6" i="73"/>
  <c r="G5" i="73"/>
  <c r="H5" i="73"/>
  <c r="G4" i="73"/>
  <c r="H4" i="73"/>
  <c r="G3" i="73"/>
  <c r="H3" i="73"/>
  <c r="G2" i="73"/>
  <c r="AJ54" i="2"/>
  <c r="AJ39" i="2"/>
  <c r="AJ81" i="2"/>
  <c r="BO1" i="1"/>
  <c r="H18" i="72"/>
  <c r="G18" i="72"/>
  <c r="F18" i="72"/>
  <c r="C18" i="72"/>
  <c r="I15" i="72"/>
  <c r="I14" i="72"/>
  <c r="I13" i="72"/>
  <c r="I12" i="72"/>
  <c r="I11" i="72"/>
  <c r="I10" i="72"/>
  <c r="I9" i="72"/>
  <c r="I8" i="72"/>
  <c r="I7" i="72"/>
  <c r="I6" i="72"/>
  <c r="I5" i="72"/>
  <c r="I4" i="72"/>
  <c r="I3" i="72"/>
  <c r="I2" i="72"/>
  <c r="H19" i="71"/>
  <c r="H18" i="71"/>
  <c r="H17" i="71"/>
  <c r="H16" i="71"/>
  <c r="F104" i="71"/>
  <c r="E104" i="71"/>
  <c r="B104" i="71"/>
  <c r="G97" i="71"/>
  <c r="H97" i="71"/>
  <c r="G96" i="71"/>
  <c r="H96" i="71"/>
  <c r="G95" i="71"/>
  <c r="H95" i="71"/>
  <c r="G94" i="71"/>
  <c r="H94" i="71"/>
  <c r="G93" i="71"/>
  <c r="H93" i="71"/>
  <c r="G92" i="71"/>
  <c r="H92" i="71"/>
  <c r="G91" i="71"/>
  <c r="H91" i="71"/>
  <c r="G90" i="71"/>
  <c r="H90" i="71"/>
  <c r="G89" i="71"/>
  <c r="H89" i="71"/>
  <c r="G88" i="71"/>
  <c r="H88" i="71"/>
  <c r="G87" i="71"/>
  <c r="H87" i="71"/>
  <c r="G86" i="71"/>
  <c r="H86" i="71"/>
  <c r="G85" i="71"/>
  <c r="H85" i="71"/>
  <c r="G84" i="71"/>
  <c r="H84" i="71"/>
  <c r="G83" i="71"/>
  <c r="H83" i="71"/>
  <c r="G82" i="71"/>
  <c r="H82" i="71"/>
  <c r="G81" i="71"/>
  <c r="H81" i="71"/>
  <c r="G80" i="71"/>
  <c r="H80" i="71"/>
  <c r="G79" i="71"/>
  <c r="H79" i="71"/>
  <c r="G78" i="71"/>
  <c r="H78" i="71"/>
  <c r="G77" i="71"/>
  <c r="H77" i="71"/>
  <c r="G76" i="71"/>
  <c r="H76" i="71"/>
  <c r="G75" i="71"/>
  <c r="H75" i="71"/>
  <c r="G74" i="71"/>
  <c r="H74" i="71"/>
  <c r="G73" i="71"/>
  <c r="H73" i="71"/>
  <c r="G72" i="71"/>
  <c r="H72" i="71"/>
  <c r="G71" i="71"/>
  <c r="H71" i="71"/>
  <c r="G70" i="71"/>
  <c r="H70" i="71"/>
  <c r="G69" i="71"/>
  <c r="H69" i="71"/>
  <c r="G68" i="71"/>
  <c r="H68" i="71"/>
  <c r="G67" i="71"/>
  <c r="H67" i="71"/>
  <c r="G66" i="71"/>
  <c r="H66" i="71"/>
  <c r="G65" i="71"/>
  <c r="H65" i="71"/>
  <c r="G64" i="71"/>
  <c r="H64" i="71"/>
  <c r="G63" i="71"/>
  <c r="H63" i="71"/>
  <c r="G62" i="71"/>
  <c r="H62" i="71"/>
  <c r="G61" i="71"/>
  <c r="H61" i="71"/>
  <c r="G60" i="71"/>
  <c r="H60" i="71"/>
  <c r="G59" i="71"/>
  <c r="H59" i="71"/>
  <c r="G58" i="71"/>
  <c r="H58" i="71"/>
  <c r="G57" i="71"/>
  <c r="H57" i="71"/>
  <c r="G56" i="71"/>
  <c r="H56" i="71"/>
  <c r="G55" i="71"/>
  <c r="H55" i="71"/>
  <c r="G54" i="71"/>
  <c r="H54" i="71"/>
  <c r="G53" i="71"/>
  <c r="H53" i="71"/>
  <c r="G52" i="71"/>
  <c r="H52" i="71"/>
  <c r="G51" i="71"/>
  <c r="H51" i="71"/>
  <c r="G50" i="71"/>
  <c r="H50" i="71"/>
  <c r="G49" i="71"/>
  <c r="H49" i="71"/>
  <c r="G48" i="71"/>
  <c r="H48" i="71"/>
  <c r="G47" i="71"/>
  <c r="H47" i="71"/>
  <c r="G46" i="71"/>
  <c r="H46" i="71"/>
  <c r="G45" i="71"/>
  <c r="H45" i="71"/>
  <c r="G44" i="71"/>
  <c r="H44" i="71"/>
  <c r="G43" i="71"/>
  <c r="H43" i="71"/>
  <c r="G42" i="71"/>
  <c r="H42" i="71"/>
  <c r="G41" i="71"/>
  <c r="H41" i="71"/>
  <c r="G40" i="71"/>
  <c r="H40" i="71"/>
  <c r="G39" i="71"/>
  <c r="H39" i="71"/>
  <c r="G38" i="71"/>
  <c r="H38" i="71"/>
  <c r="G37" i="71"/>
  <c r="H37" i="71"/>
  <c r="G36" i="71"/>
  <c r="H36" i="71"/>
  <c r="G35" i="71"/>
  <c r="H35" i="71"/>
  <c r="G34" i="71"/>
  <c r="H34" i="71"/>
  <c r="G33" i="71"/>
  <c r="H33" i="71"/>
  <c r="G32" i="71"/>
  <c r="H32" i="71"/>
  <c r="G31" i="71"/>
  <c r="H31" i="71"/>
  <c r="G30" i="71"/>
  <c r="H30" i="71"/>
  <c r="G29" i="71"/>
  <c r="H29" i="71"/>
  <c r="G28" i="71"/>
  <c r="H28" i="71"/>
  <c r="G27" i="71"/>
  <c r="H27" i="71"/>
  <c r="G26" i="71"/>
  <c r="H26" i="71"/>
  <c r="G25" i="71"/>
  <c r="H25" i="71"/>
  <c r="G24" i="71"/>
  <c r="H24" i="71"/>
  <c r="G23" i="71"/>
  <c r="H23" i="71"/>
  <c r="G22" i="71"/>
  <c r="H22" i="71"/>
  <c r="G21" i="71"/>
  <c r="H21" i="71"/>
  <c r="G20" i="71"/>
  <c r="H20" i="71"/>
  <c r="G19" i="71"/>
  <c r="G18" i="71"/>
  <c r="G17" i="71"/>
  <c r="G16" i="71"/>
  <c r="G14" i="71"/>
  <c r="H14" i="71"/>
  <c r="G13" i="71"/>
  <c r="H13" i="71"/>
  <c r="G12" i="71"/>
  <c r="H12" i="71"/>
  <c r="G11" i="71"/>
  <c r="H11" i="71"/>
  <c r="G10" i="71"/>
  <c r="H10" i="71"/>
  <c r="G9" i="71"/>
  <c r="H9" i="71"/>
  <c r="G8" i="71"/>
  <c r="H8" i="71"/>
  <c r="G7" i="71"/>
  <c r="H7" i="71"/>
  <c r="G6" i="71"/>
  <c r="H6" i="71"/>
  <c r="G5" i="71"/>
  <c r="H5" i="71"/>
  <c r="G4" i="71"/>
  <c r="H4" i="71"/>
  <c r="G3" i="71"/>
  <c r="H3" i="71"/>
  <c r="G2" i="71"/>
  <c r="AI9" i="2"/>
  <c r="AI8" i="2"/>
  <c r="AI7" i="2"/>
  <c r="AI39" i="2"/>
  <c r="AI81" i="2"/>
  <c r="H18" i="70"/>
  <c r="G18" i="70"/>
  <c r="F18" i="70"/>
  <c r="C18" i="70"/>
  <c r="I15" i="70"/>
  <c r="I14" i="70"/>
  <c r="I13" i="70"/>
  <c r="I12" i="70"/>
  <c r="I11" i="70"/>
  <c r="I10" i="70"/>
  <c r="I9" i="70"/>
  <c r="I8" i="70"/>
  <c r="I7" i="70"/>
  <c r="I6" i="70"/>
  <c r="I5" i="70"/>
  <c r="I4" i="70"/>
  <c r="I3" i="70"/>
  <c r="I2" i="70"/>
  <c r="AH39" i="2"/>
  <c r="AH35" i="2"/>
  <c r="AH77" i="2"/>
  <c r="AH34" i="2"/>
  <c r="AH76" i="2"/>
  <c r="AH33" i="2"/>
  <c r="AH75" i="2"/>
  <c r="AH31" i="2"/>
  <c r="AH73" i="2"/>
  <c r="AH30" i="2"/>
  <c r="AH72" i="2"/>
  <c r="AH14" i="2"/>
  <c r="AH11" i="2"/>
  <c r="AI11" i="2"/>
  <c r="AJ11" i="2"/>
  <c r="AK11" i="2"/>
  <c r="AO11" i="2"/>
  <c r="AP11" i="2"/>
  <c r="AQ11" i="2"/>
  <c r="AN11" i="2"/>
  <c r="AH9" i="2"/>
  <c r="AI49" i="2"/>
  <c r="AH8" i="2"/>
  <c r="AH7" i="2"/>
  <c r="AH6" i="2"/>
  <c r="AH4" i="2"/>
  <c r="AH5" i="2"/>
  <c r="AG31" i="2"/>
  <c r="AG73" i="2"/>
  <c r="AG30" i="2"/>
  <c r="AG72" i="2"/>
  <c r="AG6" i="2"/>
  <c r="AG5" i="2"/>
  <c r="AG14" i="2"/>
  <c r="AG9" i="2"/>
  <c r="AH49" i="2"/>
  <c r="AG8" i="2"/>
  <c r="AG7" i="2"/>
  <c r="AG53" i="2"/>
  <c r="AG51" i="2"/>
  <c r="H18" i="68"/>
  <c r="G18" i="68"/>
  <c r="F18" i="68"/>
  <c r="C18" i="68"/>
  <c r="I15" i="68"/>
  <c r="I14" i="68"/>
  <c r="I13" i="68"/>
  <c r="I12" i="68"/>
  <c r="I11" i="68"/>
  <c r="I10" i="68"/>
  <c r="I9" i="68"/>
  <c r="I8" i="68"/>
  <c r="I7" i="68"/>
  <c r="I6" i="68"/>
  <c r="I5" i="68"/>
  <c r="I4" i="68"/>
  <c r="I3" i="68"/>
  <c r="I2" i="68"/>
  <c r="F104" i="67"/>
  <c r="E104" i="67"/>
  <c r="B104" i="67"/>
  <c r="G96" i="67"/>
  <c r="H96" i="67"/>
  <c r="G95" i="67"/>
  <c r="H95" i="67"/>
  <c r="G94" i="67"/>
  <c r="H94" i="67"/>
  <c r="G93" i="67"/>
  <c r="H93" i="67"/>
  <c r="G92" i="67"/>
  <c r="H92" i="67"/>
  <c r="G91" i="67"/>
  <c r="H91" i="67"/>
  <c r="G90" i="67"/>
  <c r="H90" i="67"/>
  <c r="G89" i="67"/>
  <c r="H89" i="67"/>
  <c r="G88" i="67"/>
  <c r="H88" i="67"/>
  <c r="G87" i="67"/>
  <c r="H87" i="67"/>
  <c r="G86" i="67"/>
  <c r="H86" i="67"/>
  <c r="G85" i="67"/>
  <c r="H85" i="67"/>
  <c r="G84" i="67"/>
  <c r="H84" i="67"/>
  <c r="G83" i="67"/>
  <c r="H83" i="67"/>
  <c r="G82" i="67"/>
  <c r="H82" i="67"/>
  <c r="G81" i="67"/>
  <c r="H81" i="67"/>
  <c r="G80" i="67"/>
  <c r="H80" i="67"/>
  <c r="G79" i="67"/>
  <c r="H79" i="67"/>
  <c r="G78" i="67"/>
  <c r="H78" i="67"/>
  <c r="G77" i="67"/>
  <c r="H77" i="67"/>
  <c r="G76" i="67"/>
  <c r="H76" i="67"/>
  <c r="G75" i="67"/>
  <c r="H75" i="67"/>
  <c r="G74" i="67"/>
  <c r="H74" i="67"/>
  <c r="G73" i="67"/>
  <c r="H73" i="67"/>
  <c r="G72" i="67"/>
  <c r="H72" i="67"/>
  <c r="G71" i="67"/>
  <c r="H71" i="67"/>
  <c r="G70" i="67"/>
  <c r="H70" i="67"/>
  <c r="G69" i="67"/>
  <c r="H69" i="67"/>
  <c r="G68" i="67"/>
  <c r="H68" i="67"/>
  <c r="G67" i="67"/>
  <c r="H67" i="67"/>
  <c r="G66" i="67"/>
  <c r="H66" i="67"/>
  <c r="G65" i="67"/>
  <c r="H65" i="67"/>
  <c r="G64" i="67"/>
  <c r="H64" i="67"/>
  <c r="G63" i="67"/>
  <c r="H63" i="67"/>
  <c r="G62" i="67"/>
  <c r="H62" i="67"/>
  <c r="G61" i="67"/>
  <c r="H61" i="67"/>
  <c r="G60" i="67"/>
  <c r="H60" i="67"/>
  <c r="G59" i="67"/>
  <c r="H59" i="67"/>
  <c r="G58" i="67"/>
  <c r="H58" i="67"/>
  <c r="G57" i="67"/>
  <c r="H57" i="67"/>
  <c r="G56" i="67"/>
  <c r="H56" i="67"/>
  <c r="G55" i="67"/>
  <c r="H55" i="67"/>
  <c r="G54" i="67"/>
  <c r="H54" i="67"/>
  <c r="G53" i="67"/>
  <c r="H53" i="67"/>
  <c r="G52" i="67"/>
  <c r="H52" i="67"/>
  <c r="G51" i="67"/>
  <c r="H51" i="67"/>
  <c r="G50" i="67"/>
  <c r="H50" i="67"/>
  <c r="G49" i="67"/>
  <c r="H49" i="67"/>
  <c r="G48" i="67"/>
  <c r="H48" i="67"/>
  <c r="G47" i="67"/>
  <c r="H47" i="67"/>
  <c r="G46" i="67"/>
  <c r="H46" i="67"/>
  <c r="G45" i="67"/>
  <c r="H45" i="67"/>
  <c r="G44" i="67"/>
  <c r="H44" i="67"/>
  <c r="G43" i="67"/>
  <c r="H43" i="67"/>
  <c r="G42" i="67"/>
  <c r="H42" i="67"/>
  <c r="G41" i="67"/>
  <c r="H41" i="67"/>
  <c r="G40" i="67"/>
  <c r="H40" i="67"/>
  <c r="G39" i="67"/>
  <c r="H39" i="67"/>
  <c r="G38" i="67"/>
  <c r="H38" i="67"/>
  <c r="G37" i="67"/>
  <c r="H37" i="67"/>
  <c r="G36" i="67"/>
  <c r="H36" i="67"/>
  <c r="G35" i="67"/>
  <c r="H35" i="67"/>
  <c r="G34" i="67"/>
  <c r="H34" i="67"/>
  <c r="G33" i="67"/>
  <c r="H33" i="67"/>
  <c r="G32" i="67"/>
  <c r="H32" i="67"/>
  <c r="G31" i="67"/>
  <c r="H31" i="67"/>
  <c r="G30" i="67"/>
  <c r="H30" i="67"/>
  <c r="G29" i="67"/>
  <c r="H29" i="67"/>
  <c r="G28" i="67"/>
  <c r="H28" i="67"/>
  <c r="G27" i="67"/>
  <c r="H27" i="67"/>
  <c r="G26" i="67"/>
  <c r="H26" i="67"/>
  <c r="G25" i="67"/>
  <c r="H25" i="67"/>
  <c r="G24" i="67"/>
  <c r="H24" i="67"/>
  <c r="G23" i="67"/>
  <c r="H23" i="67"/>
  <c r="G22" i="67"/>
  <c r="H22" i="67"/>
  <c r="G21" i="67"/>
  <c r="H21" i="67"/>
  <c r="G20" i="67"/>
  <c r="H20" i="67"/>
  <c r="G19" i="67"/>
  <c r="H19" i="67"/>
  <c r="G18" i="67"/>
  <c r="G17" i="67"/>
  <c r="H17" i="67"/>
  <c r="G16" i="67"/>
  <c r="G15" i="67"/>
  <c r="H15" i="67"/>
  <c r="G14" i="67"/>
  <c r="H14" i="67"/>
  <c r="G13" i="67"/>
  <c r="H13" i="67"/>
  <c r="G12" i="67"/>
  <c r="H12" i="67"/>
  <c r="G11" i="67"/>
  <c r="H11" i="67"/>
  <c r="G10" i="67"/>
  <c r="H10" i="67"/>
  <c r="G9" i="67"/>
  <c r="H9" i="67"/>
  <c r="G8" i="67"/>
  <c r="H8" i="67"/>
  <c r="G7" i="67"/>
  <c r="H7" i="67"/>
  <c r="G6" i="67"/>
  <c r="H6" i="67"/>
  <c r="G5" i="67"/>
  <c r="H5" i="67"/>
  <c r="G4" i="67"/>
  <c r="H4" i="67"/>
  <c r="G3" i="67"/>
  <c r="H3" i="67"/>
  <c r="G2" i="67"/>
  <c r="I15" i="66"/>
  <c r="H14" i="65"/>
  <c r="H96" i="65"/>
  <c r="H95" i="65"/>
  <c r="G96" i="65"/>
  <c r="G95" i="65"/>
  <c r="H18" i="66"/>
  <c r="G18" i="66"/>
  <c r="F18" i="66"/>
  <c r="C18" i="66"/>
  <c r="I14" i="66"/>
  <c r="I13" i="66"/>
  <c r="I12" i="66"/>
  <c r="I11" i="66"/>
  <c r="I10" i="66"/>
  <c r="I9" i="66"/>
  <c r="I8" i="66"/>
  <c r="I7" i="66"/>
  <c r="I6" i="66"/>
  <c r="I5" i="66"/>
  <c r="I4" i="66"/>
  <c r="I3" i="66"/>
  <c r="I2" i="66"/>
  <c r="F104" i="65"/>
  <c r="E104" i="65"/>
  <c r="B104" i="65"/>
  <c r="G94" i="65"/>
  <c r="H94" i="65"/>
  <c r="G93" i="65"/>
  <c r="H93" i="65"/>
  <c r="G92" i="65"/>
  <c r="H92" i="65"/>
  <c r="G91" i="65"/>
  <c r="H91" i="65"/>
  <c r="G90" i="65"/>
  <c r="H90" i="65"/>
  <c r="G89" i="65"/>
  <c r="H89" i="65"/>
  <c r="G88" i="65"/>
  <c r="H88" i="65"/>
  <c r="G87" i="65"/>
  <c r="H87" i="65"/>
  <c r="G86" i="65"/>
  <c r="H86" i="65"/>
  <c r="G85" i="65"/>
  <c r="H85" i="65"/>
  <c r="G84" i="65"/>
  <c r="H84" i="65"/>
  <c r="G83" i="65"/>
  <c r="H83" i="65"/>
  <c r="G82" i="65"/>
  <c r="H82" i="65"/>
  <c r="G81" i="65"/>
  <c r="H81" i="65"/>
  <c r="G80" i="65"/>
  <c r="H80" i="65"/>
  <c r="G79" i="65"/>
  <c r="H79" i="65"/>
  <c r="G78" i="65"/>
  <c r="H78" i="65"/>
  <c r="G77" i="65"/>
  <c r="H77" i="65"/>
  <c r="G76" i="65"/>
  <c r="H76" i="65"/>
  <c r="G75" i="65"/>
  <c r="H75" i="65"/>
  <c r="G74" i="65"/>
  <c r="G73" i="65"/>
  <c r="H73" i="65"/>
  <c r="G72" i="65"/>
  <c r="H72" i="65"/>
  <c r="G71" i="65"/>
  <c r="H71" i="65"/>
  <c r="G70" i="65"/>
  <c r="H70" i="65"/>
  <c r="G69" i="65"/>
  <c r="H69" i="65"/>
  <c r="G68" i="65"/>
  <c r="H68" i="65"/>
  <c r="G67" i="65"/>
  <c r="H67" i="65"/>
  <c r="G66" i="65"/>
  <c r="H66" i="65"/>
  <c r="G65" i="65"/>
  <c r="H65" i="65"/>
  <c r="G64" i="65"/>
  <c r="H64" i="65"/>
  <c r="G63" i="65"/>
  <c r="H63" i="65"/>
  <c r="G62" i="65"/>
  <c r="H62" i="65"/>
  <c r="G61" i="65"/>
  <c r="H61" i="65"/>
  <c r="G60" i="65"/>
  <c r="H60" i="65"/>
  <c r="G59" i="65"/>
  <c r="H59" i="65"/>
  <c r="G58" i="65"/>
  <c r="H58" i="65"/>
  <c r="G57" i="65"/>
  <c r="H57" i="65"/>
  <c r="G56" i="65"/>
  <c r="H56" i="65"/>
  <c r="G55" i="65"/>
  <c r="H55" i="65"/>
  <c r="G54" i="65"/>
  <c r="H54" i="65"/>
  <c r="G53" i="65"/>
  <c r="H53" i="65"/>
  <c r="G52" i="65"/>
  <c r="H52" i="65"/>
  <c r="G51" i="65"/>
  <c r="H51" i="65"/>
  <c r="G50" i="65"/>
  <c r="H50" i="65"/>
  <c r="G49" i="65"/>
  <c r="H49" i="65"/>
  <c r="G48" i="65"/>
  <c r="H48" i="65"/>
  <c r="G47" i="65"/>
  <c r="H47" i="65"/>
  <c r="G46" i="65"/>
  <c r="H46" i="65"/>
  <c r="G45" i="65"/>
  <c r="H45" i="65"/>
  <c r="G44" i="65"/>
  <c r="H44" i="65"/>
  <c r="G43" i="65"/>
  <c r="H43" i="65"/>
  <c r="G42" i="65"/>
  <c r="H42" i="65"/>
  <c r="G41" i="65"/>
  <c r="H41" i="65"/>
  <c r="G40" i="65"/>
  <c r="H40" i="65"/>
  <c r="G39" i="65"/>
  <c r="H39" i="65"/>
  <c r="G38" i="65"/>
  <c r="H38" i="65"/>
  <c r="G37" i="65"/>
  <c r="H37" i="65"/>
  <c r="G36" i="65"/>
  <c r="H36" i="65"/>
  <c r="G35" i="65"/>
  <c r="H35" i="65"/>
  <c r="G34" i="65"/>
  <c r="H34" i="65"/>
  <c r="G33" i="65"/>
  <c r="H33" i="65"/>
  <c r="G32" i="65"/>
  <c r="H32" i="65"/>
  <c r="G31" i="65"/>
  <c r="H31" i="65"/>
  <c r="G30" i="65"/>
  <c r="H30" i="65"/>
  <c r="G29" i="65"/>
  <c r="H29" i="65"/>
  <c r="G28" i="65"/>
  <c r="H28" i="65"/>
  <c r="G27" i="65"/>
  <c r="H27" i="65"/>
  <c r="G26" i="65"/>
  <c r="H26" i="65"/>
  <c r="G25" i="65"/>
  <c r="H25" i="65"/>
  <c r="G24" i="65"/>
  <c r="H24" i="65"/>
  <c r="G23" i="65"/>
  <c r="H23" i="65"/>
  <c r="G22" i="65"/>
  <c r="H22" i="65"/>
  <c r="G21" i="65"/>
  <c r="H21" i="65"/>
  <c r="G20" i="65"/>
  <c r="H20" i="65"/>
  <c r="G19" i="65"/>
  <c r="H19" i="65"/>
  <c r="G18" i="65"/>
  <c r="G17" i="65"/>
  <c r="H17" i="65"/>
  <c r="G16" i="65"/>
  <c r="G15" i="65"/>
  <c r="H15" i="65"/>
  <c r="G14" i="65"/>
  <c r="G13" i="65"/>
  <c r="H13" i="65"/>
  <c r="G12" i="65"/>
  <c r="H12" i="65"/>
  <c r="G11" i="65"/>
  <c r="H11" i="65"/>
  <c r="G10" i="65"/>
  <c r="H10" i="65"/>
  <c r="G9" i="65"/>
  <c r="H9" i="65"/>
  <c r="G8" i="65"/>
  <c r="H8" i="65"/>
  <c r="G7" i="65"/>
  <c r="H7" i="65"/>
  <c r="G6" i="65"/>
  <c r="H6" i="65"/>
  <c r="G5" i="65"/>
  <c r="H5" i="65"/>
  <c r="G4" i="65"/>
  <c r="H4" i="65"/>
  <c r="G3" i="65"/>
  <c r="H3" i="65"/>
  <c r="G2" i="65"/>
  <c r="AF31" i="2"/>
  <c r="AF73" i="2"/>
  <c r="AF30" i="2"/>
  <c r="AF72" i="2"/>
  <c r="AF14" i="2"/>
  <c r="AF9" i="2"/>
  <c r="AG49" i="2"/>
  <c r="AF8" i="2"/>
  <c r="AG48" i="2"/>
  <c r="AF7" i="2"/>
  <c r="AF6" i="2"/>
  <c r="AF5" i="2"/>
  <c r="AF4" i="2"/>
  <c r="AF53" i="2"/>
  <c r="AF51" i="2"/>
  <c r="AD10" i="2"/>
  <c r="AE10" i="2"/>
  <c r="H18" i="64"/>
  <c r="G18" i="64"/>
  <c r="F18" i="64"/>
  <c r="C18" i="64"/>
  <c r="I14" i="64"/>
  <c r="I13" i="64"/>
  <c r="I12" i="64"/>
  <c r="I11" i="64"/>
  <c r="I10" i="64"/>
  <c r="I9" i="64"/>
  <c r="I8" i="64"/>
  <c r="I7" i="64"/>
  <c r="I6" i="64"/>
  <c r="I5" i="64"/>
  <c r="I4" i="64"/>
  <c r="I3" i="64"/>
  <c r="I2" i="64"/>
  <c r="F104" i="63"/>
  <c r="E104" i="63"/>
  <c r="B104" i="63"/>
  <c r="G94" i="63"/>
  <c r="H94" i="63"/>
  <c r="G93" i="63"/>
  <c r="H93" i="63"/>
  <c r="G92" i="63"/>
  <c r="H92" i="63"/>
  <c r="G91" i="63"/>
  <c r="H91" i="63"/>
  <c r="G90" i="63"/>
  <c r="H90" i="63"/>
  <c r="G89" i="63"/>
  <c r="H89" i="63"/>
  <c r="G88" i="63"/>
  <c r="H88" i="63"/>
  <c r="G87" i="63"/>
  <c r="H87" i="63"/>
  <c r="G86" i="63"/>
  <c r="H86" i="63"/>
  <c r="G85" i="63"/>
  <c r="H85" i="63"/>
  <c r="G84" i="63"/>
  <c r="H84" i="63"/>
  <c r="G83" i="63"/>
  <c r="H83" i="63"/>
  <c r="G82" i="63"/>
  <c r="H82" i="63"/>
  <c r="G81" i="63"/>
  <c r="H81" i="63"/>
  <c r="G80" i="63"/>
  <c r="H80" i="63"/>
  <c r="G79" i="63"/>
  <c r="H79" i="63"/>
  <c r="G78" i="63"/>
  <c r="H78" i="63"/>
  <c r="G77" i="63"/>
  <c r="H77" i="63"/>
  <c r="G76" i="63"/>
  <c r="H76" i="63"/>
  <c r="G75" i="63"/>
  <c r="H75" i="63"/>
  <c r="G74" i="63"/>
  <c r="H74" i="63"/>
  <c r="G73" i="63"/>
  <c r="H73" i="63"/>
  <c r="G72" i="63"/>
  <c r="H72" i="63"/>
  <c r="G71" i="63"/>
  <c r="H71" i="63"/>
  <c r="G70" i="63"/>
  <c r="H70" i="63"/>
  <c r="G69" i="63"/>
  <c r="H69" i="63"/>
  <c r="G68" i="63"/>
  <c r="H68" i="63"/>
  <c r="G67" i="63"/>
  <c r="H67" i="63"/>
  <c r="G66" i="63"/>
  <c r="H66" i="63"/>
  <c r="G65" i="63"/>
  <c r="H65" i="63"/>
  <c r="G64" i="63"/>
  <c r="H64" i="63"/>
  <c r="G63" i="63"/>
  <c r="H63" i="63"/>
  <c r="G62" i="63"/>
  <c r="H62" i="63"/>
  <c r="G61" i="63"/>
  <c r="H61" i="63"/>
  <c r="G60" i="63"/>
  <c r="H60" i="63"/>
  <c r="G59" i="63"/>
  <c r="H59" i="63"/>
  <c r="G58" i="63"/>
  <c r="H58" i="63"/>
  <c r="G57" i="63"/>
  <c r="H57" i="63"/>
  <c r="G56" i="63"/>
  <c r="H56" i="63"/>
  <c r="G55" i="63"/>
  <c r="H55" i="63"/>
  <c r="G54" i="63"/>
  <c r="H54" i="63"/>
  <c r="G53" i="63"/>
  <c r="H53" i="63"/>
  <c r="G52" i="63"/>
  <c r="H52" i="63"/>
  <c r="G51" i="63"/>
  <c r="H51" i="63"/>
  <c r="G50" i="63"/>
  <c r="H50" i="63"/>
  <c r="G49" i="63"/>
  <c r="H49" i="63"/>
  <c r="G48" i="63"/>
  <c r="H48" i="63"/>
  <c r="G47" i="63"/>
  <c r="H47" i="63"/>
  <c r="G46" i="63"/>
  <c r="H46" i="63"/>
  <c r="G45" i="63"/>
  <c r="H45" i="63"/>
  <c r="G44" i="63"/>
  <c r="H44" i="63"/>
  <c r="G43" i="63"/>
  <c r="H43" i="63"/>
  <c r="G42" i="63"/>
  <c r="H42" i="63"/>
  <c r="G41" i="63"/>
  <c r="H41" i="63"/>
  <c r="G40" i="63"/>
  <c r="H40" i="63"/>
  <c r="G39" i="63"/>
  <c r="H39" i="63"/>
  <c r="G38" i="63"/>
  <c r="H38" i="63"/>
  <c r="G37" i="63"/>
  <c r="H37" i="63"/>
  <c r="G36" i="63"/>
  <c r="H36" i="63"/>
  <c r="G35" i="63"/>
  <c r="H35" i="63"/>
  <c r="G34" i="63"/>
  <c r="H34" i="63"/>
  <c r="G33" i="63"/>
  <c r="H33" i="63"/>
  <c r="G32" i="63"/>
  <c r="H32" i="63"/>
  <c r="G31" i="63"/>
  <c r="H31" i="63"/>
  <c r="G30" i="63"/>
  <c r="H30" i="63"/>
  <c r="G29" i="63"/>
  <c r="H29" i="63"/>
  <c r="G28" i="63"/>
  <c r="H28" i="63"/>
  <c r="G27" i="63"/>
  <c r="H27" i="63"/>
  <c r="G26" i="63"/>
  <c r="H26" i="63"/>
  <c r="G25" i="63"/>
  <c r="H25" i="63"/>
  <c r="G24" i="63"/>
  <c r="H24" i="63"/>
  <c r="G23" i="63"/>
  <c r="H23" i="63"/>
  <c r="G22" i="63"/>
  <c r="H22" i="63"/>
  <c r="G21" i="63"/>
  <c r="H21" i="63"/>
  <c r="G20" i="63"/>
  <c r="H20" i="63"/>
  <c r="G19" i="63"/>
  <c r="H19" i="63"/>
  <c r="G18" i="63"/>
  <c r="H18" i="63"/>
  <c r="G17" i="63"/>
  <c r="H17" i="63"/>
  <c r="G16" i="63"/>
  <c r="G15" i="63"/>
  <c r="H15" i="63"/>
  <c r="G14" i="63"/>
  <c r="G13" i="63"/>
  <c r="H13" i="63"/>
  <c r="G12" i="63"/>
  <c r="H12" i="63"/>
  <c r="G11" i="63"/>
  <c r="H11" i="63"/>
  <c r="G10" i="63"/>
  <c r="H10" i="63"/>
  <c r="G9" i="63"/>
  <c r="H9" i="63"/>
  <c r="G8" i="63"/>
  <c r="H8" i="63"/>
  <c r="G7" i="63"/>
  <c r="H7" i="63"/>
  <c r="G6" i="63"/>
  <c r="H6" i="63"/>
  <c r="G5" i="63"/>
  <c r="H5" i="63"/>
  <c r="G4" i="63"/>
  <c r="H4" i="63"/>
  <c r="G3" i="63"/>
  <c r="H3" i="63"/>
  <c r="G2" i="63"/>
  <c r="AE31" i="2"/>
  <c r="AE73" i="2"/>
  <c r="AE30" i="2"/>
  <c r="AE72" i="2"/>
  <c r="AE14" i="2"/>
  <c r="AE9" i="2"/>
  <c r="AF49" i="2"/>
  <c r="AE8" i="2"/>
  <c r="AE7" i="2"/>
  <c r="AE6" i="2"/>
  <c r="AE5" i="2"/>
  <c r="AE53" i="2"/>
  <c r="AE67" i="2"/>
  <c r="AE51" i="2"/>
  <c r="AD53" i="2"/>
  <c r="AD31" i="2"/>
  <c r="AD73" i="2"/>
  <c r="AD30" i="2"/>
  <c r="AD72" i="2"/>
  <c r="AD14" i="2"/>
  <c r="AD9" i="2"/>
  <c r="AD8" i="2"/>
  <c r="AE48" i="2"/>
  <c r="AD7" i="2"/>
  <c r="AD6" i="2"/>
  <c r="AD5" i="2"/>
  <c r="AD4" i="2"/>
  <c r="H18" i="62"/>
  <c r="G18" i="62"/>
  <c r="F18" i="62"/>
  <c r="C18" i="62"/>
  <c r="I14" i="62"/>
  <c r="I13" i="62"/>
  <c r="I12" i="62"/>
  <c r="I11" i="62"/>
  <c r="I10" i="62"/>
  <c r="I9" i="62"/>
  <c r="I8" i="62"/>
  <c r="I7" i="62"/>
  <c r="I6" i="62"/>
  <c r="I5" i="62"/>
  <c r="I4" i="62"/>
  <c r="I3" i="62"/>
  <c r="I2" i="62"/>
  <c r="F104" i="61"/>
  <c r="E104" i="61"/>
  <c r="B104" i="61"/>
  <c r="G101" i="61"/>
  <c r="H101" i="61"/>
  <c r="G100" i="61"/>
  <c r="H100" i="61"/>
  <c r="G99" i="61"/>
  <c r="H99" i="61"/>
  <c r="G98" i="61"/>
  <c r="H98" i="61"/>
  <c r="G97" i="61"/>
  <c r="H97" i="61"/>
  <c r="G96" i="61"/>
  <c r="H96" i="61"/>
  <c r="G95" i="61"/>
  <c r="H95" i="61"/>
  <c r="G94" i="61"/>
  <c r="H94" i="61"/>
  <c r="G93" i="61"/>
  <c r="H93" i="61"/>
  <c r="G92" i="61"/>
  <c r="H92" i="61"/>
  <c r="G91" i="61"/>
  <c r="H91" i="61"/>
  <c r="G90" i="61"/>
  <c r="H90" i="61"/>
  <c r="G89" i="61"/>
  <c r="H89" i="61"/>
  <c r="G88" i="61"/>
  <c r="H88" i="61"/>
  <c r="G87" i="61"/>
  <c r="H87" i="61"/>
  <c r="G86" i="61"/>
  <c r="H86" i="61"/>
  <c r="G85" i="61"/>
  <c r="H85" i="61"/>
  <c r="G84" i="61"/>
  <c r="H84" i="61"/>
  <c r="G83" i="61"/>
  <c r="H83" i="61"/>
  <c r="G82" i="61"/>
  <c r="H82" i="61"/>
  <c r="G81" i="61"/>
  <c r="H81" i="61"/>
  <c r="G80" i="61"/>
  <c r="H80" i="61"/>
  <c r="G79" i="61"/>
  <c r="H79" i="61"/>
  <c r="G78" i="61"/>
  <c r="H78" i="61"/>
  <c r="G77" i="61"/>
  <c r="H77" i="61"/>
  <c r="G76" i="61"/>
  <c r="H76" i="61"/>
  <c r="G75" i="61"/>
  <c r="H75" i="61"/>
  <c r="G74" i="61"/>
  <c r="H74" i="61"/>
  <c r="G73" i="61"/>
  <c r="H73" i="61"/>
  <c r="G72" i="61"/>
  <c r="H72" i="61"/>
  <c r="G71" i="61"/>
  <c r="H71" i="61"/>
  <c r="G70" i="61"/>
  <c r="H70" i="61"/>
  <c r="G69" i="61"/>
  <c r="H69" i="61"/>
  <c r="G68" i="61"/>
  <c r="H68" i="61"/>
  <c r="G67" i="61"/>
  <c r="H67" i="61"/>
  <c r="G66" i="61"/>
  <c r="H66" i="61"/>
  <c r="G65" i="61"/>
  <c r="H65" i="61"/>
  <c r="G64" i="61"/>
  <c r="H64" i="61"/>
  <c r="G63" i="61"/>
  <c r="H63" i="61"/>
  <c r="G62" i="61"/>
  <c r="H62" i="61"/>
  <c r="G61" i="61"/>
  <c r="H61" i="61"/>
  <c r="G60" i="61"/>
  <c r="H60" i="61"/>
  <c r="G59" i="61"/>
  <c r="H59" i="61"/>
  <c r="G58" i="61"/>
  <c r="H58" i="61"/>
  <c r="G57" i="61"/>
  <c r="H57" i="61"/>
  <c r="G56" i="61"/>
  <c r="H56" i="61"/>
  <c r="G55" i="61"/>
  <c r="H55" i="61"/>
  <c r="G54" i="61"/>
  <c r="H54" i="61"/>
  <c r="G53" i="61"/>
  <c r="H53" i="61"/>
  <c r="G52" i="61"/>
  <c r="H52" i="61"/>
  <c r="G51" i="61"/>
  <c r="H51" i="61"/>
  <c r="G50" i="61"/>
  <c r="H50" i="61"/>
  <c r="G49" i="61"/>
  <c r="H49" i="61"/>
  <c r="G48" i="61"/>
  <c r="H48" i="61"/>
  <c r="G47" i="61"/>
  <c r="H47" i="61"/>
  <c r="G46" i="61"/>
  <c r="H46" i="61"/>
  <c r="G45" i="61"/>
  <c r="H45" i="61"/>
  <c r="G44" i="61"/>
  <c r="H44" i="61"/>
  <c r="G43" i="61"/>
  <c r="H43" i="61"/>
  <c r="G42" i="61"/>
  <c r="H42" i="61"/>
  <c r="G41" i="61"/>
  <c r="H41" i="61"/>
  <c r="G40" i="61"/>
  <c r="H40" i="61"/>
  <c r="G39" i="61"/>
  <c r="H39" i="61"/>
  <c r="G38" i="61"/>
  <c r="H38" i="61"/>
  <c r="G37" i="61"/>
  <c r="H37" i="61"/>
  <c r="G36" i="61"/>
  <c r="H36" i="61"/>
  <c r="G35" i="61"/>
  <c r="H35" i="61"/>
  <c r="G34" i="61"/>
  <c r="H34" i="61"/>
  <c r="G33" i="61"/>
  <c r="H33" i="61"/>
  <c r="G32" i="61"/>
  <c r="H32" i="61"/>
  <c r="G31" i="61"/>
  <c r="H31" i="61"/>
  <c r="G30" i="61"/>
  <c r="H30" i="61"/>
  <c r="G29" i="61"/>
  <c r="H29" i="61"/>
  <c r="G28" i="61"/>
  <c r="H28" i="61"/>
  <c r="G27" i="61"/>
  <c r="H27" i="61"/>
  <c r="G26" i="61"/>
  <c r="H26" i="61"/>
  <c r="G25" i="61"/>
  <c r="H25" i="61"/>
  <c r="G24" i="61"/>
  <c r="H24" i="61"/>
  <c r="G23" i="61"/>
  <c r="H23" i="61"/>
  <c r="G22" i="61"/>
  <c r="H22" i="61"/>
  <c r="G21" i="61"/>
  <c r="H21" i="61"/>
  <c r="G20" i="61"/>
  <c r="H20" i="61"/>
  <c r="G19" i="61"/>
  <c r="H19" i="61"/>
  <c r="G18" i="61"/>
  <c r="H18" i="61"/>
  <c r="G17" i="61"/>
  <c r="H17" i="61"/>
  <c r="G16" i="61"/>
  <c r="G15" i="61"/>
  <c r="H15" i="61"/>
  <c r="G14" i="61"/>
  <c r="G13" i="61"/>
  <c r="H13" i="61"/>
  <c r="G12" i="61"/>
  <c r="H12" i="61"/>
  <c r="G11" i="61"/>
  <c r="H11" i="61"/>
  <c r="G10" i="61"/>
  <c r="H10" i="61"/>
  <c r="G9" i="61"/>
  <c r="H9" i="61"/>
  <c r="G8" i="61"/>
  <c r="H8" i="61"/>
  <c r="G7" i="61"/>
  <c r="H7" i="61"/>
  <c r="G6" i="61"/>
  <c r="H6" i="61"/>
  <c r="G5" i="61"/>
  <c r="H5" i="61"/>
  <c r="G4" i="61"/>
  <c r="H4" i="61"/>
  <c r="G3" i="61"/>
  <c r="H3" i="61"/>
  <c r="G2" i="61"/>
  <c r="G101" i="59"/>
  <c r="H101" i="59"/>
  <c r="AC14" i="2"/>
  <c r="AC9" i="2"/>
  <c r="AC8" i="2"/>
  <c r="AC7" i="2"/>
  <c r="AC6" i="2"/>
  <c r="AC5" i="2"/>
  <c r="AC39" i="2"/>
  <c r="AC81" i="2"/>
  <c r="AC31" i="2"/>
  <c r="AC73" i="2"/>
  <c r="AC30" i="2"/>
  <c r="AC72" i="2"/>
  <c r="H18" i="60"/>
  <c r="G18" i="60"/>
  <c r="F18" i="60"/>
  <c r="C18" i="60"/>
  <c r="I14" i="60"/>
  <c r="I13" i="60"/>
  <c r="I12" i="60"/>
  <c r="I11" i="60"/>
  <c r="I10" i="60"/>
  <c r="I9" i="60"/>
  <c r="I8" i="60"/>
  <c r="I7" i="60"/>
  <c r="I6" i="60"/>
  <c r="I5" i="60"/>
  <c r="I4" i="60"/>
  <c r="I3" i="60"/>
  <c r="I2" i="60"/>
  <c r="F104" i="59"/>
  <c r="E104" i="59"/>
  <c r="B104" i="59"/>
  <c r="G100" i="59"/>
  <c r="H100" i="59"/>
  <c r="G99" i="59"/>
  <c r="H99" i="59"/>
  <c r="G98" i="59"/>
  <c r="H98" i="59"/>
  <c r="G97" i="59"/>
  <c r="H97" i="59"/>
  <c r="G96" i="59"/>
  <c r="H96" i="59"/>
  <c r="G95" i="59"/>
  <c r="H95" i="59"/>
  <c r="G94" i="59"/>
  <c r="H94" i="59"/>
  <c r="G93" i="59"/>
  <c r="H93" i="59"/>
  <c r="G92" i="59"/>
  <c r="H92" i="59"/>
  <c r="G91" i="59"/>
  <c r="H91" i="59"/>
  <c r="G90" i="59"/>
  <c r="H90" i="59"/>
  <c r="G89" i="59"/>
  <c r="H89" i="59"/>
  <c r="G88" i="59"/>
  <c r="H88" i="59"/>
  <c r="G87" i="59"/>
  <c r="H87" i="59"/>
  <c r="G86" i="59"/>
  <c r="H86" i="59"/>
  <c r="G85" i="59"/>
  <c r="H85" i="59"/>
  <c r="G84" i="59"/>
  <c r="H84" i="59"/>
  <c r="G83" i="59"/>
  <c r="H83" i="59"/>
  <c r="G82" i="59"/>
  <c r="H82" i="59"/>
  <c r="G81" i="59"/>
  <c r="H81" i="59"/>
  <c r="G80" i="59"/>
  <c r="H80" i="59"/>
  <c r="G79" i="59"/>
  <c r="H79" i="59"/>
  <c r="G78" i="59"/>
  <c r="H78" i="59"/>
  <c r="G77" i="59"/>
  <c r="H77" i="59"/>
  <c r="G76" i="59"/>
  <c r="H76" i="59"/>
  <c r="G75" i="59"/>
  <c r="H75" i="59"/>
  <c r="G74" i="59"/>
  <c r="H74" i="59"/>
  <c r="G73" i="59"/>
  <c r="H73" i="59"/>
  <c r="G72" i="59"/>
  <c r="H72" i="59"/>
  <c r="G71" i="59"/>
  <c r="H71" i="59"/>
  <c r="G70" i="59"/>
  <c r="H70" i="59"/>
  <c r="G69" i="59"/>
  <c r="H69" i="59"/>
  <c r="G68" i="59"/>
  <c r="H68" i="59"/>
  <c r="G67" i="59"/>
  <c r="H67" i="59"/>
  <c r="G66" i="59"/>
  <c r="H66" i="59"/>
  <c r="G65" i="59"/>
  <c r="H65" i="59"/>
  <c r="G64" i="59"/>
  <c r="H64" i="59"/>
  <c r="G63" i="59"/>
  <c r="H63" i="59"/>
  <c r="G62" i="59"/>
  <c r="H62" i="59"/>
  <c r="G61" i="59"/>
  <c r="H61" i="59"/>
  <c r="G60" i="59"/>
  <c r="H60" i="59"/>
  <c r="G59" i="59"/>
  <c r="H59" i="59"/>
  <c r="G58" i="59"/>
  <c r="H58" i="59"/>
  <c r="G57" i="59"/>
  <c r="H57" i="59"/>
  <c r="G56" i="59"/>
  <c r="H56" i="59"/>
  <c r="G55" i="59"/>
  <c r="H55" i="59"/>
  <c r="G54" i="59"/>
  <c r="H54" i="59"/>
  <c r="G53" i="59"/>
  <c r="H53" i="59"/>
  <c r="G52" i="59"/>
  <c r="H52" i="59"/>
  <c r="G51" i="59"/>
  <c r="H51" i="59"/>
  <c r="G50" i="59"/>
  <c r="H50" i="59"/>
  <c r="G49" i="59"/>
  <c r="H49" i="59"/>
  <c r="G48" i="59"/>
  <c r="H48" i="59"/>
  <c r="G47" i="59"/>
  <c r="H47" i="59"/>
  <c r="G46" i="59"/>
  <c r="H46" i="59"/>
  <c r="G45" i="59"/>
  <c r="H45" i="59"/>
  <c r="G44" i="59"/>
  <c r="H44" i="59"/>
  <c r="G43" i="59"/>
  <c r="H43" i="59"/>
  <c r="G42" i="59"/>
  <c r="H42" i="59"/>
  <c r="G41" i="59"/>
  <c r="H41" i="59"/>
  <c r="G40" i="59"/>
  <c r="H40" i="59"/>
  <c r="G39" i="59"/>
  <c r="H39" i="59"/>
  <c r="G38" i="59"/>
  <c r="H38" i="59"/>
  <c r="G37" i="59"/>
  <c r="H37" i="59"/>
  <c r="G36" i="59"/>
  <c r="H36" i="59"/>
  <c r="G35" i="59"/>
  <c r="H35" i="59"/>
  <c r="G34" i="59"/>
  <c r="H34" i="59"/>
  <c r="G33" i="59"/>
  <c r="H33" i="59"/>
  <c r="G32" i="59"/>
  <c r="H32" i="59"/>
  <c r="G31" i="59"/>
  <c r="H31" i="59"/>
  <c r="G30" i="59"/>
  <c r="H30" i="59"/>
  <c r="G29" i="59"/>
  <c r="H29" i="59"/>
  <c r="G28" i="59"/>
  <c r="H28" i="59"/>
  <c r="G27" i="59"/>
  <c r="H27" i="59"/>
  <c r="G26" i="59"/>
  <c r="H26" i="59"/>
  <c r="G25" i="59"/>
  <c r="H25" i="59"/>
  <c r="G24" i="59"/>
  <c r="H24" i="59"/>
  <c r="G23" i="59"/>
  <c r="H23" i="59"/>
  <c r="G22" i="59"/>
  <c r="H22" i="59"/>
  <c r="G21" i="59"/>
  <c r="H21" i="59"/>
  <c r="G20" i="59"/>
  <c r="H20" i="59"/>
  <c r="G19" i="59"/>
  <c r="H19" i="59"/>
  <c r="G18" i="59"/>
  <c r="H18" i="59"/>
  <c r="G17" i="59"/>
  <c r="H17" i="59"/>
  <c r="G16" i="59"/>
  <c r="G15" i="59"/>
  <c r="H15" i="59"/>
  <c r="G14" i="59"/>
  <c r="G13" i="59"/>
  <c r="H13" i="59"/>
  <c r="G12" i="59"/>
  <c r="H12" i="59"/>
  <c r="G11" i="59"/>
  <c r="H11" i="59"/>
  <c r="G10" i="59"/>
  <c r="H10" i="59"/>
  <c r="G9" i="59"/>
  <c r="H9" i="59"/>
  <c r="G8" i="59"/>
  <c r="H8" i="59"/>
  <c r="G7" i="59"/>
  <c r="H7" i="59"/>
  <c r="G6" i="59"/>
  <c r="H6" i="59"/>
  <c r="G5" i="59"/>
  <c r="H5" i="59"/>
  <c r="G4" i="59"/>
  <c r="H4" i="59"/>
  <c r="G3" i="59"/>
  <c r="H3" i="59"/>
  <c r="G2" i="59"/>
  <c r="AB6" i="2"/>
  <c r="AB39" i="2"/>
  <c r="AB81" i="2"/>
  <c r="AB31" i="2"/>
  <c r="AB73" i="2"/>
  <c r="AB30" i="2"/>
  <c r="AB72" i="2"/>
  <c r="AB14" i="2"/>
  <c r="AB9" i="2"/>
  <c r="AB8" i="2"/>
  <c r="AB7" i="2"/>
  <c r="AB5" i="2"/>
  <c r="AB4" i="2"/>
  <c r="H18" i="58"/>
  <c r="G18" i="58"/>
  <c r="F18" i="58"/>
  <c r="C18" i="58"/>
  <c r="I14" i="58"/>
  <c r="I13" i="58"/>
  <c r="I12" i="58"/>
  <c r="I11" i="58"/>
  <c r="I10" i="58"/>
  <c r="I9" i="58"/>
  <c r="I8" i="58"/>
  <c r="I7" i="58"/>
  <c r="I6" i="58"/>
  <c r="I5" i="58"/>
  <c r="I4" i="58"/>
  <c r="I3" i="58"/>
  <c r="I2" i="58"/>
  <c r="F104" i="57"/>
  <c r="E104" i="57"/>
  <c r="B104" i="57"/>
  <c r="G100" i="57"/>
  <c r="H100" i="57"/>
  <c r="G99" i="57"/>
  <c r="H99" i="57"/>
  <c r="G98" i="57"/>
  <c r="H98" i="57"/>
  <c r="G97" i="57"/>
  <c r="H97" i="57"/>
  <c r="G96" i="57"/>
  <c r="H96" i="57"/>
  <c r="G95" i="57"/>
  <c r="H95" i="57"/>
  <c r="G94" i="57"/>
  <c r="H94" i="57"/>
  <c r="G93" i="57"/>
  <c r="H93" i="57"/>
  <c r="G92" i="57"/>
  <c r="H92" i="57"/>
  <c r="G91" i="57"/>
  <c r="H91" i="57"/>
  <c r="G90" i="57"/>
  <c r="H90" i="57"/>
  <c r="G89" i="57"/>
  <c r="H89" i="57"/>
  <c r="G88" i="57"/>
  <c r="H88" i="57"/>
  <c r="G87" i="57"/>
  <c r="H87" i="57"/>
  <c r="G86" i="57"/>
  <c r="H86" i="57"/>
  <c r="G85" i="57"/>
  <c r="H85" i="57"/>
  <c r="G84" i="57"/>
  <c r="H84" i="57"/>
  <c r="G83" i="57"/>
  <c r="H83" i="57"/>
  <c r="G82" i="57"/>
  <c r="H82" i="57"/>
  <c r="G81" i="57"/>
  <c r="H81" i="57"/>
  <c r="G80" i="57"/>
  <c r="H80" i="57"/>
  <c r="G79" i="57"/>
  <c r="H79" i="57"/>
  <c r="G78" i="57"/>
  <c r="H78" i="57"/>
  <c r="G77" i="57"/>
  <c r="H77" i="57"/>
  <c r="G76" i="57"/>
  <c r="H76" i="57"/>
  <c r="G75" i="57"/>
  <c r="H75" i="57"/>
  <c r="G74" i="57"/>
  <c r="H74" i="57"/>
  <c r="G73" i="57"/>
  <c r="H73" i="57"/>
  <c r="G72" i="57"/>
  <c r="H72" i="57"/>
  <c r="G71" i="57"/>
  <c r="H71" i="57"/>
  <c r="G70" i="57"/>
  <c r="H70" i="57"/>
  <c r="G69" i="57"/>
  <c r="H69" i="57"/>
  <c r="G68" i="57"/>
  <c r="H68" i="57"/>
  <c r="G67" i="57"/>
  <c r="H67" i="57"/>
  <c r="G66" i="57"/>
  <c r="H66" i="57"/>
  <c r="G65" i="57"/>
  <c r="H65" i="57"/>
  <c r="G64" i="57"/>
  <c r="H64" i="57"/>
  <c r="G63" i="57"/>
  <c r="H63" i="57"/>
  <c r="G62" i="57"/>
  <c r="H62" i="57"/>
  <c r="G61" i="57"/>
  <c r="H61" i="57"/>
  <c r="G60" i="57"/>
  <c r="H60" i="57"/>
  <c r="G59" i="57"/>
  <c r="H59" i="57"/>
  <c r="G58" i="57"/>
  <c r="H58" i="57"/>
  <c r="G57" i="57"/>
  <c r="H57" i="57"/>
  <c r="G56" i="57"/>
  <c r="H56" i="57"/>
  <c r="G55" i="57"/>
  <c r="H55" i="57"/>
  <c r="G54" i="57"/>
  <c r="H54" i="57"/>
  <c r="G53" i="57"/>
  <c r="H53" i="57"/>
  <c r="G52" i="57"/>
  <c r="H52" i="57"/>
  <c r="G51" i="57"/>
  <c r="H51" i="57"/>
  <c r="G50" i="57"/>
  <c r="H50" i="57"/>
  <c r="G49" i="57"/>
  <c r="H49" i="57"/>
  <c r="G48" i="57"/>
  <c r="H48" i="57"/>
  <c r="G47" i="57"/>
  <c r="H47" i="57"/>
  <c r="G46" i="57"/>
  <c r="H46" i="57"/>
  <c r="G45" i="57"/>
  <c r="H45" i="57"/>
  <c r="G44" i="57"/>
  <c r="H44" i="57"/>
  <c r="G43" i="57"/>
  <c r="H43" i="57"/>
  <c r="G42" i="57"/>
  <c r="H42" i="57"/>
  <c r="G41" i="57"/>
  <c r="H41" i="57"/>
  <c r="G40" i="57"/>
  <c r="H40" i="57"/>
  <c r="G39" i="57"/>
  <c r="H39" i="57"/>
  <c r="G38" i="57"/>
  <c r="H38" i="57"/>
  <c r="G37" i="57"/>
  <c r="H37" i="57"/>
  <c r="G36" i="57"/>
  <c r="H36" i="57"/>
  <c r="G35" i="57"/>
  <c r="H35" i="57"/>
  <c r="G34" i="57"/>
  <c r="H34" i="57"/>
  <c r="G33" i="57"/>
  <c r="H33" i="57"/>
  <c r="G32" i="57"/>
  <c r="H32" i="57"/>
  <c r="G31" i="57"/>
  <c r="H31" i="57"/>
  <c r="G30" i="57"/>
  <c r="H30" i="57"/>
  <c r="G29" i="57"/>
  <c r="H29" i="57"/>
  <c r="G28" i="57"/>
  <c r="H28" i="57"/>
  <c r="G27" i="57"/>
  <c r="H27" i="57"/>
  <c r="G26" i="57"/>
  <c r="H26" i="57"/>
  <c r="G25" i="57"/>
  <c r="H25" i="57"/>
  <c r="G24" i="57"/>
  <c r="H24" i="57"/>
  <c r="G23" i="57"/>
  <c r="H23" i="57"/>
  <c r="G22" i="57"/>
  <c r="H22" i="57"/>
  <c r="G21" i="57"/>
  <c r="H21" i="57"/>
  <c r="G20" i="57"/>
  <c r="H20" i="57"/>
  <c r="G19" i="57"/>
  <c r="H19" i="57"/>
  <c r="G18" i="57"/>
  <c r="H18" i="57"/>
  <c r="G17" i="57"/>
  <c r="H17" i="57"/>
  <c r="G16" i="57"/>
  <c r="G15" i="57"/>
  <c r="H15" i="57"/>
  <c r="G14" i="57"/>
  <c r="G13" i="57"/>
  <c r="H13" i="57"/>
  <c r="G12" i="57"/>
  <c r="H12" i="57"/>
  <c r="G11" i="57"/>
  <c r="H11" i="57"/>
  <c r="G10" i="57"/>
  <c r="H10" i="57"/>
  <c r="G9" i="57"/>
  <c r="H9" i="57"/>
  <c r="G8" i="57"/>
  <c r="H8" i="57"/>
  <c r="G7" i="57"/>
  <c r="H7" i="57"/>
  <c r="G6" i="57"/>
  <c r="H6" i="57"/>
  <c r="G5" i="57"/>
  <c r="H5" i="57"/>
  <c r="G4" i="57"/>
  <c r="H4" i="57"/>
  <c r="G3" i="57"/>
  <c r="H3" i="57"/>
  <c r="G2" i="57"/>
  <c r="H18" i="56"/>
  <c r="G18" i="56"/>
  <c r="F18" i="56"/>
  <c r="C18" i="56"/>
  <c r="I14" i="56"/>
  <c r="I13" i="56"/>
  <c r="I12" i="56"/>
  <c r="I11" i="56"/>
  <c r="I10" i="56"/>
  <c r="I9" i="56"/>
  <c r="I8" i="56"/>
  <c r="I7" i="56"/>
  <c r="I6" i="56"/>
  <c r="I5" i="56"/>
  <c r="I4" i="56"/>
  <c r="I3" i="56"/>
  <c r="I2" i="56"/>
  <c r="F104" i="55"/>
  <c r="E104" i="55"/>
  <c r="B104" i="55"/>
  <c r="G100" i="55"/>
  <c r="H100" i="55"/>
  <c r="G99" i="55"/>
  <c r="H99" i="55"/>
  <c r="G98" i="55"/>
  <c r="H98" i="55"/>
  <c r="G97" i="55"/>
  <c r="H97" i="55"/>
  <c r="G96" i="55"/>
  <c r="H96" i="55"/>
  <c r="G95" i="55"/>
  <c r="H95" i="55"/>
  <c r="G94" i="55"/>
  <c r="H94" i="55"/>
  <c r="G93" i="55"/>
  <c r="H93" i="55"/>
  <c r="G92" i="55"/>
  <c r="H92" i="55"/>
  <c r="G91" i="55"/>
  <c r="H91" i="55"/>
  <c r="G90" i="55"/>
  <c r="H90" i="55"/>
  <c r="G89" i="55"/>
  <c r="H89" i="55"/>
  <c r="G88" i="55"/>
  <c r="H88" i="55"/>
  <c r="G87" i="55"/>
  <c r="H87" i="55"/>
  <c r="G86" i="55"/>
  <c r="H86" i="55"/>
  <c r="G85" i="55"/>
  <c r="H85" i="55"/>
  <c r="G84" i="55"/>
  <c r="H84" i="55"/>
  <c r="G83" i="55"/>
  <c r="H83" i="55"/>
  <c r="G82" i="55"/>
  <c r="H82" i="55"/>
  <c r="G81" i="55"/>
  <c r="H81" i="55"/>
  <c r="G80" i="55"/>
  <c r="H80" i="55"/>
  <c r="G79" i="55"/>
  <c r="H79" i="55"/>
  <c r="G78" i="55"/>
  <c r="H78" i="55"/>
  <c r="G77" i="55"/>
  <c r="H77" i="55"/>
  <c r="G76" i="55"/>
  <c r="H76" i="55"/>
  <c r="G75" i="55"/>
  <c r="H75" i="55"/>
  <c r="G74" i="55"/>
  <c r="H74" i="55"/>
  <c r="G73" i="55"/>
  <c r="H73" i="55"/>
  <c r="G72" i="55"/>
  <c r="H72" i="55"/>
  <c r="G71" i="55"/>
  <c r="H71" i="55"/>
  <c r="G70" i="55"/>
  <c r="H70" i="55"/>
  <c r="G69" i="55"/>
  <c r="H69" i="55"/>
  <c r="G68" i="55"/>
  <c r="H68" i="55"/>
  <c r="G67" i="55"/>
  <c r="H67" i="55"/>
  <c r="G66" i="55"/>
  <c r="H66" i="55"/>
  <c r="G65" i="55"/>
  <c r="H65" i="55"/>
  <c r="G64" i="55"/>
  <c r="H64" i="55"/>
  <c r="G63" i="55"/>
  <c r="H63" i="55"/>
  <c r="G62" i="55"/>
  <c r="H62" i="55"/>
  <c r="G61" i="55"/>
  <c r="H61" i="55"/>
  <c r="G60" i="55"/>
  <c r="H60" i="55"/>
  <c r="G59" i="55"/>
  <c r="H59" i="55"/>
  <c r="G58" i="55"/>
  <c r="H58" i="55"/>
  <c r="G57" i="55"/>
  <c r="H57" i="55"/>
  <c r="G56" i="55"/>
  <c r="H56" i="55"/>
  <c r="G55" i="55"/>
  <c r="H55" i="55"/>
  <c r="G54" i="55"/>
  <c r="H54" i="55"/>
  <c r="G53" i="55"/>
  <c r="H53" i="55"/>
  <c r="G52" i="55"/>
  <c r="H52" i="55"/>
  <c r="G51" i="55"/>
  <c r="H51" i="55"/>
  <c r="G50" i="55"/>
  <c r="H50" i="55"/>
  <c r="G49" i="55"/>
  <c r="H49" i="55"/>
  <c r="G48" i="55"/>
  <c r="H48" i="55"/>
  <c r="G47" i="55"/>
  <c r="H47" i="55"/>
  <c r="G46" i="55"/>
  <c r="H46" i="55"/>
  <c r="G45" i="55"/>
  <c r="H45" i="55"/>
  <c r="G44" i="55"/>
  <c r="H44" i="55"/>
  <c r="G43" i="55"/>
  <c r="H43" i="55"/>
  <c r="G42" i="55"/>
  <c r="H42" i="55"/>
  <c r="G41" i="55"/>
  <c r="H41" i="55"/>
  <c r="G40" i="55"/>
  <c r="H40" i="55"/>
  <c r="G39" i="55"/>
  <c r="H39" i="55"/>
  <c r="G38" i="55"/>
  <c r="H38" i="55"/>
  <c r="G37" i="55"/>
  <c r="H37" i="55"/>
  <c r="G36" i="55"/>
  <c r="H36" i="55"/>
  <c r="G35" i="55"/>
  <c r="H35" i="55"/>
  <c r="G34" i="55"/>
  <c r="H34" i="55"/>
  <c r="G33" i="55"/>
  <c r="H33" i="55"/>
  <c r="G32" i="55"/>
  <c r="H32" i="55"/>
  <c r="G31" i="55"/>
  <c r="H31" i="55"/>
  <c r="G30" i="55"/>
  <c r="H30" i="55"/>
  <c r="G29" i="55"/>
  <c r="H29" i="55"/>
  <c r="G28" i="55"/>
  <c r="H28" i="55"/>
  <c r="G27" i="55"/>
  <c r="H27" i="55"/>
  <c r="G26" i="55"/>
  <c r="H26" i="55"/>
  <c r="G25" i="55"/>
  <c r="H25" i="55"/>
  <c r="G24" i="55"/>
  <c r="H24" i="55"/>
  <c r="G23" i="55"/>
  <c r="H23" i="55"/>
  <c r="G22" i="55"/>
  <c r="H22" i="55"/>
  <c r="G21" i="55"/>
  <c r="H21" i="55"/>
  <c r="G20" i="55"/>
  <c r="H20" i="55"/>
  <c r="G19" i="55"/>
  <c r="H19" i="55"/>
  <c r="G18" i="55"/>
  <c r="H18" i="55"/>
  <c r="G17" i="55"/>
  <c r="H17" i="55"/>
  <c r="G16" i="55"/>
  <c r="G15" i="55"/>
  <c r="H15" i="55"/>
  <c r="G14" i="55"/>
  <c r="G13" i="55"/>
  <c r="H13" i="55"/>
  <c r="G12" i="55"/>
  <c r="H12" i="55"/>
  <c r="G11" i="55"/>
  <c r="H11" i="55"/>
  <c r="G10" i="55"/>
  <c r="H10" i="55"/>
  <c r="G9" i="55"/>
  <c r="H9" i="55"/>
  <c r="G8" i="55"/>
  <c r="H8" i="55"/>
  <c r="G7" i="55"/>
  <c r="H7" i="55"/>
  <c r="G6" i="55"/>
  <c r="H6" i="55"/>
  <c r="G5" i="55"/>
  <c r="H5" i="55"/>
  <c r="G4" i="55"/>
  <c r="H4" i="55"/>
  <c r="G3" i="55"/>
  <c r="H3" i="55"/>
  <c r="G2" i="55"/>
  <c r="AA39" i="2"/>
  <c r="AA81" i="2"/>
  <c r="AA31" i="2"/>
  <c r="AA73" i="2"/>
  <c r="AA30" i="2"/>
  <c r="AA72" i="2"/>
  <c r="AA14" i="2"/>
  <c r="AA9" i="2"/>
  <c r="AB49" i="2"/>
  <c r="AA8" i="2"/>
  <c r="AA7" i="2"/>
  <c r="AA6" i="2"/>
  <c r="AA4" i="2"/>
  <c r="AA5" i="2"/>
  <c r="Z14" i="2"/>
  <c r="Z9" i="2"/>
  <c r="Z8" i="2"/>
  <c r="Z7" i="2"/>
  <c r="Z6" i="2"/>
  <c r="Z5" i="2"/>
  <c r="Z4" i="2"/>
  <c r="Z39" i="2"/>
  <c r="Z81" i="2"/>
  <c r="Z31" i="2"/>
  <c r="Z73" i="2"/>
  <c r="Z30" i="2"/>
  <c r="Z72" i="2"/>
  <c r="F104" i="53"/>
  <c r="E104" i="53"/>
  <c r="B104" i="53"/>
  <c r="G100" i="53"/>
  <c r="H100" i="53"/>
  <c r="G99" i="53"/>
  <c r="H99" i="53"/>
  <c r="G98" i="53"/>
  <c r="H98" i="53"/>
  <c r="G97" i="53"/>
  <c r="H97" i="53"/>
  <c r="G96" i="53"/>
  <c r="H96" i="53"/>
  <c r="G95" i="53"/>
  <c r="H95" i="53"/>
  <c r="G94" i="53"/>
  <c r="H94" i="53"/>
  <c r="G93" i="53"/>
  <c r="H93" i="53"/>
  <c r="G92" i="53"/>
  <c r="H92" i="53"/>
  <c r="G91" i="53"/>
  <c r="H91" i="53"/>
  <c r="G90" i="53"/>
  <c r="H90" i="53"/>
  <c r="G89" i="53"/>
  <c r="H89" i="53"/>
  <c r="G88" i="53"/>
  <c r="H88" i="53"/>
  <c r="G87" i="53"/>
  <c r="H87" i="53"/>
  <c r="G86" i="53"/>
  <c r="H86" i="53"/>
  <c r="G85" i="53"/>
  <c r="H85" i="53"/>
  <c r="G84" i="53"/>
  <c r="H84" i="53"/>
  <c r="G83" i="53"/>
  <c r="H83" i="53"/>
  <c r="G82" i="53"/>
  <c r="H82" i="53"/>
  <c r="G81" i="53"/>
  <c r="H81" i="53"/>
  <c r="G80" i="53"/>
  <c r="H80" i="53"/>
  <c r="G79" i="53"/>
  <c r="H79" i="53"/>
  <c r="G78" i="53"/>
  <c r="H78" i="53"/>
  <c r="G77" i="53"/>
  <c r="H77" i="53"/>
  <c r="G76" i="53"/>
  <c r="H76" i="53"/>
  <c r="G75" i="53"/>
  <c r="H75" i="53"/>
  <c r="G74" i="53"/>
  <c r="H74" i="53"/>
  <c r="G73" i="53"/>
  <c r="H73" i="53"/>
  <c r="G72" i="53"/>
  <c r="H72" i="53"/>
  <c r="G71" i="53"/>
  <c r="H71" i="53"/>
  <c r="G70" i="53"/>
  <c r="H70" i="53"/>
  <c r="G69" i="53"/>
  <c r="H69" i="53"/>
  <c r="G68" i="53"/>
  <c r="H68" i="53"/>
  <c r="G67" i="53"/>
  <c r="H67" i="53"/>
  <c r="G66" i="53"/>
  <c r="H66" i="53"/>
  <c r="G65" i="53"/>
  <c r="H65" i="53"/>
  <c r="G64" i="53"/>
  <c r="H64" i="53"/>
  <c r="G63" i="53"/>
  <c r="H63" i="53"/>
  <c r="G62" i="53"/>
  <c r="H62" i="53"/>
  <c r="G61" i="53"/>
  <c r="H61" i="53"/>
  <c r="G60" i="53"/>
  <c r="H60" i="53"/>
  <c r="G59" i="53"/>
  <c r="H59" i="53"/>
  <c r="G58" i="53"/>
  <c r="H58" i="53"/>
  <c r="G57" i="53"/>
  <c r="H57" i="53"/>
  <c r="G56" i="53"/>
  <c r="H56" i="53"/>
  <c r="G55" i="53"/>
  <c r="H55" i="53"/>
  <c r="G54" i="53"/>
  <c r="H54" i="53"/>
  <c r="G53" i="53"/>
  <c r="H53" i="53"/>
  <c r="G52" i="53"/>
  <c r="H52" i="53"/>
  <c r="G51" i="53"/>
  <c r="H51" i="53"/>
  <c r="G50" i="53"/>
  <c r="H50" i="53"/>
  <c r="G49" i="53"/>
  <c r="H49" i="53"/>
  <c r="G48" i="53"/>
  <c r="H48" i="53"/>
  <c r="G47" i="53"/>
  <c r="H47" i="53"/>
  <c r="G46" i="53"/>
  <c r="H46" i="53"/>
  <c r="G45" i="53"/>
  <c r="H45" i="53"/>
  <c r="G44" i="53"/>
  <c r="H44" i="53"/>
  <c r="G43" i="53"/>
  <c r="H43" i="53"/>
  <c r="G42" i="53"/>
  <c r="H42" i="53"/>
  <c r="G41" i="53"/>
  <c r="H41" i="53"/>
  <c r="G40" i="53"/>
  <c r="H40" i="53"/>
  <c r="G39" i="53"/>
  <c r="H39" i="53"/>
  <c r="G38" i="53"/>
  <c r="H38" i="53"/>
  <c r="G37" i="53"/>
  <c r="H37" i="53"/>
  <c r="G36" i="53"/>
  <c r="H36" i="53"/>
  <c r="G35" i="53"/>
  <c r="H35" i="53"/>
  <c r="G34" i="53"/>
  <c r="H34" i="53"/>
  <c r="G33" i="53"/>
  <c r="H33" i="53"/>
  <c r="G32" i="53"/>
  <c r="H32" i="53"/>
  <c r="G31" i="53"/>
  <c r="H31" i="53"/>
  <c r="G30" i="53"/>
  <c r="H30" i="53"/>
  <c r="G29" i="53"/>
  <c r="H29" i="53"/>
  <c r="G28" i="53"/>
  <c r="H28" i="53"/>
  <c r="G27" i="53"/>
  <c r="H27" i="53"/>
  <c r="G26" i="53"/>
  <c r="H26" i="53"/>
  <c r="G25" i="53"/>
  <c r="H25" i="53"/>
  <c r="G24" i="53"/>
  <c r="H24" i="53"/>
  <c r="G23" i="53"/>
  <c r="H23" i="53"/>
  <c r="G22" i="53"/>
  <c r="H22" i="53"/>
  <c r="G21" i="53"/>
  <c r="H21" i="53"/>
  <c r="G20" i="53"/>
  <c r="H20" i="53"/>
  <c r="G19" i="53"/>
  <c r="H19" i="53"/>
  <c r="G18" i="53"/>
  <c r="H18" i="53"/>
  <c r="G17" i="53"/>
  <c r="H17" i="53"/>
  <c r="G16" i="53"/>
  <c r="G15" i="53"/>
  <c r="H15" i="53"/>
  <c r="G14" i="53"/>
  <c r="G13" i="53"/>
  <c r="H13" i="53"/>
  <c r="G12" i="53"/>
  <c r="H12" i="53"/>
  <c r="G11" i="53"/>
  <c r="H11" i="53"/>
  <c r="G10" i="53"/>
  <c r="H10" i="53"/>
  <c r="G9" i="53"/>
  <c r="H9" i="53"/>
  <c r="G8" i="53"/>
  <c r="H8" i="53"/>
  <c r="G7" i="53"/>
  <c r="H7" i="53"/>
  <c r="G6" i="53"/>
  <c r="H6" i="53"/>
  <c r="G5" i="53"/>
  <c r="H5" i="53"/>
  <c r="G4" i="53"/>
  <c r="H4" i="53"/>
  <c r="G3" i="53"/>
  <c r="H3" i="53"/>
  <c r="G2" i="53"/>
  <c r="F14" i="52"/>
  <c r="F13" i="52"/>
  <c r="F12" i="52"/>
  <c r="F11" i="52"/>
  <c r="F10" i="52"/>
  <c r="F8" i="52"/>
  <c r="F7" i="52"/>
  <c r="F6" i="52"/>
  <c r="F5" i="52"/>
  <c r="F4" i="52"/>
  <c r="F3" i="52"/>
  <c r="F2" i="52"/>
  <c r="F9" i="52"/>
  <c r="G14" i="52"/>
  <c r="H14" i="52"/>
  <c r="G13" i="52"/>
  <c r="H13" i="52"/>
  <c r="G12" i="52"/>
  <c r="H12" i="52"/>
  <c r="G11" i="52"/>
  <c r="H11" i="52"/>
  <c r="G10" i="52"/>
  <c r="H10" i="52"/>
  <c r="G8" i="52"/>
  <c r="H8" i="52"/>
  <c r="G7" i="52"/>
  <c r="H7" i="52"/>
  <c r="G6" i="52"/>
  <c r="H6" i="52"/>
  <c r="G5" i="52"/>
  <c r="H5" i="52"/>
  <c r="G4" i="52"/>
  <c r="G3" i="52"/>
  <c r="H3" i="52"/>
  <c r="G2" i="52"/>
  <c r="H2" i="52"/>
  <c r="G9" i="52"/>
  <c r="H9" i="52"/>
  <c r="H4" i="52"/>
  <c r="I4" i="52"/>
  <c r="C4" i="52"/>
  <c r="H18" i="52"/>
  <c r="G18" i="52"/>
  <c r="F18" i="52"/>
  <c r="C18" i="52"/>
  <c r="I14" i="52"/>
  <c r="I13" i="52"/>
  <c r="I12" i="52"/>
  <c r="I11" i="52"/>
  <c r="I10" i="52"/>
  <c r="I9" i="52"/>
  <c r="I8" i="52"/>
  <c r="I7" i="52"/>
  <c r="I6" i="52"/>
  <c r="I5" i="52"/>
  <c r="I3" i="52"/>
  <c r="I2" i="52"/>
  <c r="F104" i="51"/>
  <c r="E104" i="51"/>
  <c r="B104" i="51"/>
  <c r="G100" i="51"/>
  <c r="H100" i="51"/>
  <c r="G99" i="51"/>
  <c r="H99" i="51"/>
  <c r="G98" i="51"/>
  <c r="H98" i="51"/>
  <c r="G96" i="51"/>
  <c r="H96" i="51"/>
  <c r="G95" i="51"/>
  <c r="H95" i="51"/>
  <c r="G94" i="51"/>
  <c r="H94" i="51"/>
  <c r="G93" i="51"/>
  <c r="H93" i="51"/>
  <c r="G92" i="51"/>
  <c r="H92" i="51"/>
  <c r="G91" i="51"/>
  <c r="H91" i="51"/>
  <c r="G90" i="51"/>
  <c r="H90" i="51"/>
  <c r="G89" i="51"/>
  <c r="H89" i="51"/>
  <c r="G88" i="51"/>
  <c r="H88" i="51"/>
  <c r="G87" i="51"/>
  <c r="H87" i="51"/>
  <c r="G86" i="51"/>
  <c r="H86" i="51"/>
  <c r="G85" i="51"/>
  <c r="H85" i="51"/>
  <c r="G84" i="51"/>
  <c r="H84" i="51"/>
  <c r="G83" i="51"/>
  <c r="H83" i="51"/>
  <c r="G82" i="51"/>
  <c r="H82" i="51"/>
  <c r="G81" i="51"/>
  <c r="H81" i="51"/>
  <c r="G80" i="51"/>
  <c r="H80" i="51"/>
  <c r="G79" i="51"/>
  <c r="H79" i="51"/>
  <c r="G78" i="51"/>
  <c r="H78" i="51"/>
  <c r="G77" i="51"/>
  <c r="H77" i="51"/>
  <c r="G76" i="51"/>
  <c r="H76" i="51"/>
  <c r="G75" i="51"/>
  <c r="H75" i="51"/>
  <c r="G74" i="51"/>
  <c r="H74" i="51"/>
  <c r="G73" i="51"/>
  <c r="H73" i="51"/>
  <c r="G72" i="51"/>
  <c r="H72" i="51"/>
  <c r="G71" i="51"/>
  <c r="H71" i="51"/>
  <c r="G70" i="51"/>
  <c r="H70" i="51"/>
  <c r="G69" i="51"/>
  <c r="H69" i="51"/>
  <c r="G68" i="51"/>
  <c r="H68" i="51"/>
  <c r="G67" i="51"/>
  <c r="H67" i="51"/>
  <c r="G66" i="51"/>
  <c r="H66" i="51"/>
  <c r="G65" i="51"/>
  <c r="H65" i="51"/>
  <c r="G64" i="51"/>
  <c r="H64" i="51"/>
  <c r="G63" i="51"/>
  <c r="H63" i="51"/>
  <c r="G62" i="51"/>
  <c r="H62" i="51"/>
  <c r="G61" i="51"/>
  <c r="H61" i="51"/>
  <c r="G60" i="51"/>
  <c r="H60" i="51"/>
  <c r="G97" i="51"/>
  <c r="H97" i="51"/>
  <c r="G59" i="51"/>
  <c r="H59" i="51"/>
  <c r="G58" i="51"/>
  <c r="H58" i="51"/>
  <c r="G57" i="51"/>
  <c r="H57" i="51"/>
  <c r="G56" i="51"/>
  <c r="H56" i="51"/>
  <c r="G55" i="51"/>
  <c r="H55" i="51"/>
  <c r="G54" i="51"/>
  <c r="H54" i="51"/>
  <c r="G53" i="51"/>
  <c r="H53" i="51"/>
  <c r="G52" i="51"/>
  <c r="H52" i="51"/>
  <c r="G51" i="51"/>
  <c r="H51" i="51"/>
  <c r="G50" i="51"/>
  <c r="H50" i="51"/>
  <c r="G49" i="51"/>
  <c r="H49" i="51"/>
  <c r="G48" i="51"/>
  <c r="H48" i="51"/>
  <c r="G47" i="51"/>
  <c r="H47" i="51"/>
  <c r="G46" i="51"/>
  <c r="H46" i="51"/>
  <c r="G45" i="51"/>
  <c r="H45" i="51"/>
  <c r="G44" i="51"/>
  <c r="H44" i="51"/>
  <c r="G43" i="51"/>
  <c r="H43" i="51"/>
  <c r="G42" i="51"/>
  <c r="H42" i="51"/>
  <c r="G41" i="51"/>
  <c r="H41" i="51"/>
  <c r="G40" i="51"/>
  <c r="H40" i="51"/>
  <c r="G39" i="51"/>
  <c r="H39" i="51"/>
  <c r="G38" i="51"/>
  <c r="H38" i="51"/>
  <c r="G37" i="51"/>
  <c r="H37" i="51"/>
  <c r="G36" i="51"/>
  <c r="H36" i="51"/>
  <c r="G35" i="51"/>
  <c r="H35" i="51"/>
  <c r="G34" i="51"/>
  <c r="H34" i="51"/>
  <c r="G33" i="51"/>
  <c r="H33" i="51"/>
  <c r="G32" i="51"/>
  <c r="H32" i="51"/>
  <c r="G31" i="51"/>
  <c r="H31" i="51"/>
  <c r="G30" i="51"/>
  <c r="H30" i="51"/>
  <c r="G29" i="51"/>
  <c r="H29" i="51"/>
  <c r="G28" i="51"/>
  <c r="H28" i="51"/>
  <c r="G27" i="51"/>
  <c r="H27" i="51"/>
  <c r="G26" i="51"/>
  <c r="H26" i="51"/>
  <c r="G25" i="51"/>
  <c r="H25" i="51"/>
  <c r="G24" i="51"/>
  <c r="H24" i="51"/>
  <c r="G23" i="51"/>
  <c r="H23" i="51"/>
  <c r="G22" i="51"/>
  <c r="H22" i="51"/>
  <c r="G21" i="51"/>
  <c r="H21" i="51"/>
  <c r="G20" i="51"/>
  <c r="H20" i="51"/>
  <c r="G19" i="51"/>
  <c r="H19" i="51"/>
  <c r="G18" i="51"/>
  <c r="H18" i="51"/>
  <c r="G17" i="51"/>
  <c r="H17" i="51"/>
  <c r="G15" i="51"/>
  <c r="H15" i="51"/>
  <c r="G14" i="51"/>
  <c r="H14" i="51"/>
  <c r="G16" i="51"/>
  <c r="G13" i="51"/>
  <c r="H13" i="51"/>
  <c r="G12" i="51"/>
  <c r="H12" i="51"/>
  <c r="G11" i="51"/>
  <c r="H11" i="51"/>
  <c r="G10" i="51"/>
  <c r="H10" i="51"/>
  <c r="G9" i="51"/>
  <c r="H9" i="51"/>
  <c r="G8" i="51"/>
  <c r="H8" i="51"/>
  <c r="G7" i="51"/>
  <c r="H7" i="51"/>
  <c r="G6" i="51"/>
  <c r="H6" i="51"/>
  <c r="G5" i="51"/>
  <c r="H5" i="51"/>
  <c r="G4" i="51"/>
  <c r="H4" i="51"/>
  <c r="G3" i="51"/>
  <c r="H3" i="51"/>
  <c r="G2" i="51"/>
  <c r="BQ2" i="2"/>
  <c r="BQ8" i="2"/>
  <c r="Y39" i="2"/>
  <c r="Y52" i="2"/>
  <c r="Y31" i="2"/>
  <c r="Y73" i="2"/>
  <c r="Y30" i="2"/>
  <c r="Y72" i="2"/>
  <c r="Y14" i="2"/>
  <c r="Y9" i="2"/>
  <c r="Y8" i="2"/>
  <c r="Z48" i="2"/>
  <c r="Y7" i="2"/>
  <c r="Y6" i="2"/>
  <c r="Y5" i="2"/>
  <c r="Y4" i="2"/>
  <c r="H1" i="30"/>
  <c r="X1" i="25"/>
  <c r="G3" i="49"/>
  <c r="G4" i="49"/>
  <c r="G5" i="49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34" i="49"/>
  <c r="G35" i="49"/>
  <c r="G36" i="49"/>
  <c r="G37" i="49"/>
  <c r="G38" i="49"/>
  <c r="G39" i="49"/>
  <c r="G40" i="49"/>
  <c r="G41" i="49"/>
  <c r="G42" i="49"/>
  <c r="G43" i="49"/>
  <c r="G44" i="49"/>
  <c r="G45" i="49"/>
  <c r="G46" i="49"/>
  <c r="G47" i="49"/>
  <c r="G48" i="49"/>
  <c r="G49" i="49"/>
  <c r="G50" i="49"/>
  <c r="G51" i="49"/>
  <c r="G52" i="49"/>
  <c r="G53" i="49"/>
  <c r="G54" i="49"/>
  <c r="G55" i="49"/>
  <c r="G56" i="49"/>
  <c r="G57" i="49"/>
  <c r="G58" i="49"/>
  <c r="G59" i="49"/>
  <c r="G60" i="49"/>
  <c r="G61" i="49"/>
  <c r="G62" i="49"/>
  <c r="G63" i="49"/>
  <c r="G64" i="49"/>
  <c r="G65" i="49"/>
  <c r="G66" i="49"/>
  <c r="G67" i="49"/>
  <c r="G68" i="49"/>
  <c r="G69" i="49"/>
  <c r="G70" i="49"/>
  <c r="G71" i="49"/>
  <c r="G72" i="49"/>
  <c r="G73" i="49"/>
  <c r="G74" i="49"/>
  <c r="G75" i="49"/>
  <c r="G76" i="49"/>
  <c r="G77" i="49"/>
  <c r="G78" i="49"/>
  <c r="G79" i="49"/>
  <c r="G80" i="49"/>
  <c r="G81" i="49"/>
  <c r="G82" i="49"/>
  <c r="G83" i="49"/>
  <c r="G84" i="49"/>
  <c r="G85" i="49"/>
  <c r="G86" i="49"/>
  <c r="G87" i="49"/>
  <c r="G88" i="49"/>
  <c r="G89" i="49"/>
  <c r="G90" i="49"/>
  <c r="G91" i="49"/>
  <c r="G92" i="49"/>
  <c r="G93" i="49"/>
  <c r="G94" i="49"/>
  <c r="G95" i="49"/>
  <c r="G96" i="49"/>
  <c r="G97" i="49"/>
  <c r="G98" i="49"/>
  <c r="G99" i="49"/>
  <c r="G100" i="49"/>
  <c r="G101" i="49"/>
  <c r="G2" i="49"/>
  <c r="H17" i="50"/>
  <c r="G17" i="50"/>
  <c r="F17" i="50"/>
  <c r="C17" i="50"/>
  <c r="I13" i="50"/>
  <c r="I12" i="50"/>
  <c r="I11" i="50"/>
  <c r="I10" i="50"/>
  <c r="I9" i="50"/>
  <c r="I8" i="50"/>
  <c r="I7" i="50"/>
  <c r="I6" i="50"/>
  <c r="I5" i="50"/>
  <c r="I4" i="50"/>
  <c r="I3" i="50"/>
  <c r="I2" i="50"/>
  <c r="F104" i="49"/>
  <c r="E104" i="49"/>
  <c r="B104" i="49"/>
  <c r="H101" i="49"/>
  <c r="H100" i="49"/>
  <c r="H99" i="49"/>
  <c r="H98" i="49"/>
  <c r="H97" i="49"/>
  <c r="H96" i="49"/>
  <c r="H95" i="49"/>
  <c r="H94" i="49"/>
  <c r="H93" i="49"/>
  <c r="H92" i="49"/>
  <c r="H91" i="49"/>
  <c r="H90" i="49"/>
  <c r="H89" i="49"/>
  <c r="H88" i="49"/>
  <c r="H87" i="49"/>
  <c r="H86" i="49"/>
  <c r="H85" i="49"/>
  <c r="H84" i="49"/>
  <c r="H83" i="49"/>
  <c r="H82" i="49"/>
  <c r="H81" i="49"/>
  <c r="H80" i="49"/>
  <c r="H79" i="49"/>
  <c r="H78" i="49"/>
  <c r="H77" i="49"/>
  <c r="H76" i="49"/>
  <c r="H75" i="49"/>
  <c r="H74" i="49"/>
  <c r="H73" i="49"/>
  <c r="H72" i="49"/>
  <c r="H71" i="49"/>
  <c r="H70" i="49"/>
  <c r="H69" i="49"/>
  <c r="H68" i="49"/>
  <c r="H67" i="49"/>
  <c r="H66" i="49"/>
  <c r="H65" i="49"/>
  <c r="H64" i="49"/>
  <c r="H63" i="49"/>
  <c r="H62" i="49"/>
  <c r="H61" i="49"/>
  <c r="H60" i="49"/>
  <c r="H59" i="49"/>
  <c r="H58" i="49"/>
  <c r="H57" i="49"/>
  <c r="H56" i="49"/>
  <c r="H55" i="49"/>
  <c r="H54" i="49"/>
  <c r="H53" i="49"/>
  <c r="H52" i="49"/>
  <c r="H51" i="49"/>
  <c r="H50" i="49"/>
  <c r="H49" i="49"/>
  <c r="H48" i="49"/>
  <c r="H47" i="49"/>
  <c r="H46" i="49"/>
  <c r="H45" i="49"/>
  <c r="H44" i="49"/>
  <c r="H43" i="49"/>
  <c r="H42" i="49"/>
  <c r="H41" i="49"/>
  <c r="H40" i="49"/>
  <c r="H39" i="49"/>
  <c r="H38" i="49"/>
  <c r="H37" i="49"/>
  <c r="H36" i="49"/>
  <c r="H35" i="49"/>
  <c r="H34" i="49"/>
  <c r="H33" i="49"/>
  <c r="H32" i="49"/>
  <c r="H31" i="49"/>
  <c r="H30" i="49"/>
  <c r="H29" i="49"/>
  <c r="H28" i="49"/>
  <c r="H27" i="49"/>
  <c r="H26" i="49"/>
  <c r="H25" i="49"/>
  <c r="H24" i="49"/>
  <c r="H23" i="49"/>
  <c r="H22" i="49"/>
  <c r="H21" i="49"/>
  <c r="H20" i="49"/>
  <c r="H19" i="49"/>
  <c r="H18" i="49"/>
  <c r="H17" i="49"/>
  <c r="H16" i="49"/>
  <c r="H15" i="49"/>
  <c r="H13" i="49"/>
  <c r="H12" i="49"/>
  <c r="H11" i="49"/>
  <c r="H10" i="49"/>
  <c r="H9" i="49"/>
  <c r="H8" i="49"/>
  <c r="H7" i="49"/>
  <c r="H6" i="49"/>
  <c r="H5" i="49"/>
  <c r="H4" i="49"/>
  <c r="H3" i="49"/>
  <c r="X39" i="2"/>
  <c r="X81" i="2"/>
  <c r="W39" i="2"/>
  <c r="X31" i="2"/>
  <c r="X73" i="2"/>
  <c r="X30" i="2"/>
  <c r="X72" i="2"/>
  <c r="X14" i="2"/>
  <c r="X9" i="2"/>
  <c r="X8" i="2"/>
  <c r="X7" i="2"/>
  <c r="X6" i="2"/>
  <c r="X5" i="2"/>
  <c r="H17" i="48"/>
  <c r="G17" i="48"/>
  <c r="F17" i="48"/>
  <c r="C17" i="48"/>
  <c r="I13" i="48"/>
  <c r="I12" i="48"/>
  <c r="I11" i="48"/>
  <c r="I10" i="48"/>
  <c r="I9" i="48"/>
  <c r="I8" i="48"/>
  <c r="I7" i="48"/>
  <c r="I6" i="48"/>
  <c r="I5" i="48"/>
  <c r="I4" i="48"/>
  <c r="I3" i="48"/>
  <c r="I2" i="48"/>
  <c r="F104" i="47"/>
  <c r="E104" i="47"/>
  <c r="B104" i="47"/>
  <c r="G101" i="47"/>
  <c r="H101" i="47"/>
  <c r="G100" i="47"/>
  <c r="H100" i="47"/>
  <c r="G99" i="47"/>
  <c r="H99" i="47"/>
  <c r="G98" i="47"/>
  <c r="H98" i="47"/>
  <c r="G97" i="47"/>
  <c r="H97" i="47"/>
  <c r="G96" i="47"/>
  <c r="H96" i="47"/>
  <c r="G95" i="47"/>
  <c r="H95" i="47"/>
  <c r="G94" i="47"/>
  <c r="H94" i="47"/>
  <c r="G93" i="47"/>
  <c r="H93" i="47"/>
  <c r="G92" i="47"/>
  <c r="H92" i="47"/>
  <c r="G91" i="47"/>
  <c r="H91" i="47"/>
  <c r="G90" i="47"/>
  <c r="H90" i="47"/>
  <c r="G89" i="47"/>
  <c r="H89" i="47"/>
  <c r="G88" i="47"/>
  <c r="H88" i="47"/>
  <c r="G87" i="47"/>
  <c r="H87" i="47"/>
  <c r="G86" i="47"/>
  <c r="H86" i="47"/>
  <c r="G85" i="47"/>
  <c r="H85" i="47"/>
  <c r="G84" i="47"/>
  <c r="H84" i="47"/>
  <c r="G83" i="47"/>
  <c r="H83" i="47"/>
  <c r="G82" i="47"/>
  <c r="H82" i="47"/>
  <c r="G81" i="47"/>
  <c r="H81" i="47"/>
  <c r="G80" i="47"/>
  <c r="H80" i="47"/>
  <c r="G79" i="47"/>
  <c r="H79" i="47"/>
  <c r="G78" i="47"/>
  <c r="H78" i="47"/>
  <c r="G77" i="47"/>
  <c r="H77" i="47"/>
  <c r="G76" i="47"/>
  <c r="H76" i="47"/>
  <c r="G75" i="47"/>
  <c r="H75" i="47"/>
  <c r="G74" i="47"/>
  <c r="H74" i="47"/>
  <c r="G73" i="47"/>
  <c r="H73" i="47"/>
  <c r="G72" i="47"/>
  <c r="H72" i="47"/>
  <c r="G71" i="47"/>
  <c r="H71" i="47"/>
  <c r="G70" i="47"/>
  <c r="H70" i="47"/>
  <c r="G69" i="47"/>
  <c r="H69" i="47"/>
  <c r="G68" i="47"/>
  <c r="H68" i="47"/>
  <c r="G67" i="47"/>
  <c r="H67" i="47"/>
  <c r="G66" i="47"/>
  <c r="H66" i="47"/>
  <c r="G65" i="47"/>
  <c r="H65" i="47"/>
  <c r="G64" i="47"/>
  <c r="H64" i="47"/>
  <c r="G63" i="47"/>
  <c r="H63" i="47"/>
  <c r="G62" i="47"/>
  <c r="H62" i="47"/>
  <c r="G61" i="47"/>
  <c r="H61" i="47"/>
  <c r="G60" i="47"/>
  <c r="H60" i="47"/>
  <c r="G59" i="47"/>
  <c r="H59" i="47"/>
  <c r="G58" i="47"/>
  <c r="H58" i="47"/>
  <c r="G57" i="47"/>
  <c r="H57" i="47"/>
  <c r="G56" i="47"/>
  <c r="H56" i="47"/>
  <c r="G55" i="47"/>
  <c r="H55" i="47"/>
  <c r="G54" i="47"/>
  <c r="H54" i="47"/>
  <c r="G53" i="47"/>
  <c r="H53" i="47"/>
  <c r="G52" i="47"/>
  <c r="H52" i="47"/>
  <c r="G51" i="47"/>
  <c r="H51" i="47"/>
  <c r="G50" i="47"/>
  <c r="H50" i="47"/>
  <c r="G49" i="47"/>
  <c r="H49" i="47"/>
  <c r="G48" i="47"/>
  <c r="H48" i="47"/>
  <c r="G47" i="47"/>
  <c r="H47" i="47"/>
  <c r="G46" i="47"/>
  <c r="H46" i="47"/>
  <c r="G45" i="47"/>
  <c r="H45" i="47"/>
  <c r="G44" i="47"/>
  <c r="H44" i="47"/>
  <c r="G43" i="47"/>
  <c r="H43" i="47"/>
  <c r="G42" i="47"/>
  <c r="H42" i="47"/>
  <c r="G41" i="47"/>
  <c r="H41" i="47"/>
  <c r="G40" i="47"/>
  <c r="H40" i="47"/>
  <c r="G39" i="47"/>
  <c r="H39" i="47"/>
  <c r="G38" i="47"/>
  <c r="H38" i="47"/>
  <c r="G37" i="47"/>
  <c r="H37" i="47"/>
  <c r="G36" i="47"/>
  <c r="H36" i="47"/>
  <c r="G35" i="47"/>
  <c r="H35" i="47"/>
  <c r="G34" i="47"/>
  <c r="H34" i="47"/>
  <c r="G33" i="47"/>
  <c r="H33" i="47"/>
  <c r="G32" i="47"/>
  <c r="H32" i="47"/>
  <c r="G31" i="47"/>
  <c r="H31" i="47"/>
  <c r="G30" i="47"/>
  <c r="H30" i="47"/>
  <c r="G29" i="47"/>
  <c r="H29" i="47"/>
  <c r="G28" i="47"/>
  <c r="H28" i="47"/>
  <c r="G27" i="47"/>
  <c r="H27" i="47"/>
  <c r="G26" i="47"/>
  <c r="H26" i="47"/>
  <c r="G25" i="47"/>
  <c r="H25" i="47"/>
  <c r="G24" i="47"/>
  <c r="H24" i="47"/>
  <c r="G23" i="47"/>
  <c r="H23" i="47"/>
  <c r="G22" i="47"/>
  <c r="H22" i="47"/>
  <c r="G21" i="47"/>
  <c r="H21" i="47"/>
  <c r="G20" i="47"/>
  <c r="H20" i="47"/>
  <c r="G19" i="47"/>
  <c r="H19" i="47"/>
  <c r="G18" i="47"/>
  <c r="H18" i="47"/>
  <c r="G17" i="47"/>
  <c r="H17" i="47"/>
  <c r="G16" i="47"/>
  <c r="H16" i="47"/>
  <c r="G15" i="47"/>
  <c r="H15" i="47"/>
  <c r="G14" i="47"/>
  <c r="G13" i="47"/>
  <c r="H13" i="47"/>
  <c r="G12" i="47"/>
  <c r="H12" i="47"/>
  <c r="G11" i="47"/>
  <c r="H11" i="47"/>
  <c r="G10" i="47"/>
  <c r="H10" i="47"/>
  <c r="G9" i="47"/>
  <c r="H9" i="47"/>
  <c r="G8" i="47"/>
  <c r="H8" i="47"/>
  <c r="G7" i="47"/>
  <c r="H7" i="47"/>
  <c r="G6" i="47"/>
  <c r="H6" i="47"/>
  <c r="G5" i="47"/>
  <c r="H5" i="47"/>
  <c r="G4" i="47"/>
  <c r="H4" i="47"/>
  <c r="G3" i="47"/>
  <c r="H3" i="47"/>
  <c r="G2" i="47"/>
  <c r="W52" i="2"/>
  <c r="W66" i="2"/>
  <c r="W30" i="2"/>
  <c r="W72" i="2"/>
  <c r="W33" i="2"/>
  <c r="W31" i="2"/>
  <c r="W73" i="2"/>
  <c r="W14" i="2"/>
  <c r="W9" i="2"/>
  <c r="X49" i="2"/>
  <c r="X107" i="2"/>
  <c r="W8" i="2"/>
  <c r="X48" i="2"/>
  <c r="X106" i="2"/>
  <c r="W7" i="2"/>
  <c r="W6" i="2"/>
  <c r="W5" i="2"/>
  <c r="W4" i="2"/>
  <c r="G76" i="45"/>
  <c r="V14" i="2"/>
  <c r="V30" i="2"/>
  <c r="V72" i="2"/>
  <c r="V9" i="2"/>
  <c r="V8" i="2"/>
  <c r="V7" i="2"/>
  <c r="V6" i="2"/>
  <c r="V5" i="2"/>
  <c r="V39" i="2"/>
  <c r="V81" i="2"/>
  <c r="H17" i="46"/>
  <c r="G17" i="46"/>
  <c r="F17" i="46"/>
  <c r="C17" i="46"/>
  <c r="I13" i="46"/>
  <c r="I12" i="46"/>
  <c r="I11" i="46"/>
  <c r="I10" i="46"/>
  <c r="I9" i="46"/>
  <c r="I8" i="46"/>
  <c r="I7" i="46"/>
  <c r="I6" i="46"/>
  <c r="I5" i="46"/>
  <c r="I4" i="46"/>
  <c r="I3" i="46"/>
  <c r="I2" i="46"/>
  <c r="B104" i="45"/>
  <c r="G101" i="45"/>
  <c r="H101" i="45"/>
  <c r="G100" i="45"/>
  <c r="H100" i="45"/>
  <c r="G99" i="45"/>
  <c r="H99" i="45"/>
  <c r="G98" i="45"/>
  <c r="H98" i="45"/>
  <c r="G97" i="45"/>
  <c r="H97" i="45"/>
  <c r="G96" i="45"/>
  <c r="H96" i="45"/>
  <c r="G95" i="45"/>
  <c r="H95" i="45"/>
  <c r="G94" i="45"/>
  <c r="H94" i="45"/>
  <c r="G93" i="45"/>
  <c r="H93" i="45"/>
  <c r="G92" i="45"/>
  <c r="H92" i="45"/>
  <c r="G91" i="45"/>
  <c r="H91" i="45"/>
  <c r="G90" i="45"/>
  <c r="H90" i="45"/>
  <c r="G89" i="45"/>
  <c r="H89" i="45"/>
  <c r="G88" i="45"/>
  <c r="H88" i="45"/>
  <c r="G87" i="45"/>
  <c r="H87" i="45"/>
  <c r="G86" i="45"/>
  <c r="H86" i="45"/>
  <c r="G85" i="45"/>
  <c r="H85" i="45"/>
  <c r="G84" i="45"/>
  <c r="H84" i="45"/>
  <c r="G83" i="45"/>
  <c r="H83" i="45"/>
  <c r="G82" i="45"/>
  <c r="H82" i="45"/>
  <c r="G81" i="45"/>
  <c r="H81" i="45"/>
  <c r="G80" i="45"/>
  <c r="H80" i="45"/>
  <c r="G79" i="45"/>
  <c r="H79" i="45"/>
  <c r="G78" i="45"/>
  <c r="H78" i="45"/>
  <c r="G77" i="45"/>
  <c r="H77" i="45"/>
  <c r="G75" i="45"/>
  <c r="H75" i="45"/>
  <c r="G74" i="45"/>
  <c r="H74" i="45"/>
  <c r="G73" i="45"/>
  <c r="H73" i="45"/>
  <c r="G72" i="45"/>
  <c r="H72" i="45"/>
  <c r="G71" i="45"/>
  <c r="H71" i="45"/>
  <c r="G70" i="45"/>
  <c r="H70" i="45"/>
  <c r="G69" i="45"/>
  <c r="H69" i="45"/>
  <c r="G68" i="45"/>
  <c r="H68" i="45"/>
  <c r="G67" i="45"/>
  <c r="H67" i="45"/>
  <c r="G66" i="45"/>
  <c r="H66" i="45"/>
  <c r="G65" i="45"/>
  <c r="H65" i="45"/>
  <c r="G64" i="45"/>
  <c r="H64" i="45"/>
  <c r="G63" i="45"/>
  <c r="H63" i="45"/>
  <c r="G62" i="45"/>
  <c r="H62" i="45"/>
  <c r="G61" i="45"/>
  <c r="H61" i="45"/>
  <c r="G60" i="45"/>
  <c r="H60" i="45"/>
  <c r="G59" i="45"/>
  <c r="H59" i="45"/>
  <c r="G58" i="45"/>
  <c r="H58" i="45"/>
  <c r="G57" i="45"/>
  <c r="H57" i="45"/>
  <c r="G56" i="45"/>
  <c r="H56" i="45"/>
  <c r="G55" i="45"/>
  <c r="H55" i="45"/>
  <c r="G54" i="45"/>
  <c r="H54" i="45"/>
  <c r="G53" i="45"/>
  <c r="H53" i="45"/>
  <c r="G52" i="45"/>
  <c r="H52" i="45"/>
  <c r="G51" i="45"/>
  <c r="H51" i="45"/>
  <c r="G50" i="45"/>
  <c r="H50" i="45"/>
  <c r="G49" i="45"/>
  <c r="H49" i="45"/>
  <c r="G48" i="45"/>
  <c r="H48" i="45"/>
  <c r="G47" i="45"/>
  <c r="H47" i="45"/>
  <c r="G46" i="45"/>
  <c r="H46" i="45"/>
  <c r="G45" i="45"/>
  <c r="H45" i="45"/>
  <c r="G44" i="45"/>
  <c r="H44" i="45"/>
  <c r="G43" i="45"/>
  <c r="H43" i="45"/>
  <c r="G42" i="45"/>
  <c r="H42" i="45"/>
  <c r="G41" i="45"/>
  <c r="H41" i="45"/>
  <c r="G40" i="45"/>
  <c r="H40" i="45"/>
  <c r="G39" i="45"/>
  <c r="H39" i="45"/>
  <c r="G38" i="45"/>
  <c r="H38" i="45"/>
  <c r="G37" i="45"/>
  <c r="H37" i="45"/>
  <c r="G36" i="45"/>
  <c r="H36" i="45"/>
  <c r="G35" i="45"/>
  <c r="H35" i="45"/>
  <c r="G34" i="45"/>
  <c r="H34" i="45"/>
  <c r="G33" i="45"/>
  <c r="H33" i="45"/>
  <c r="G32" i="45"/>
  <c r="H32" i="45"/>
  <c r="G31" i="45"/>
  <c r="H31" i="45"/>
  <c r="G30" i="45"/>
  <c r="H30" i="45"/>
  <c r="G29" i="45"/>
  <c r="H29" i="45"/>
  <c r="G28" i="45"/>
  <c r="H28" i="45"/>
  <c r="G27" i="45"/>
  <c r="H27" i="45"/>
  <c r="G26" i="45"/>
  <c r="H26" i="45"/>
  <c r="G25" i="45"/>
  <c r="H25" i="45"/>
  <c r="G24" i="45"/>
  <c r="H24" i="45"/>
  <c r="G23" i="45"/>
  <c r="H23" i="45"/>
  <c r="G22" i="45"/>
  <c r="H22" i="45"/>
  <c r="G21" i="45"/>
  <c r="H21" i="45"/>
  <c r="G20" i="45"/>
  <c r="H20" i="45"/>
  <c r="G19" i="45"/>
  <c r="H19" i="45"/>
  <c r="G18" i="45"/>
  <c r="H18" i="45"/>
  <c r="G17" i="45"/>
  <c r="H17" i="45"/>
  <c r="G16" i="45"/>
  <c r="H16" i="45"/>
  <c r="G15" i="45"/>
  <c r="H15" i="45"/>
  <c r="G14" i="45"/>
  <c r="G13" i="45"/>
  <c r="H13" i="45"/>
  <c r="G12" i="45"/>
  <c r="H12" i="45"/>
  <c r="G11" i="45"/>
  <c r="H11" i="45"/>
  <c r="G10" i="45"/>
  <c r="H10" i="45"/>
  <c r="G9" i="45"/>
  <c r="H9" i="45"/>
  <c r="G8" i="45"/>
  <c r="H8" i="45"/>
  <c r="G7" i="45"/>
  <c r="H7" i="45"/>
  <c r="G6" i="45"/>
  <c r="H6" i="45"/>
  <c r="G5" i="45"/>
  <c r="H5" i="45"/>
  <c r="G4" i="45"/>
  <c r="H4" i="45"/>
  <c r="G3" i="45"/>
  <c r="H3" i="45"/>
  <c r="G2" i="45"/>
  <c r="E104" i="45"/>
  <c r="F76" i="43"/>
  <c r="H91" i="43"/>
  <c r="H92" i="43"/>
  <c r="H93" i="43"/>
  <c r="H94" i="43"/>
  <c r="H95" i="43"/>
  <c r="H96" i="43"/>
  <c r="H97" i="43"/>
  <c r="H98" i="43"/>
  <c r="H99" i="43"/>
  <c r="H100" i="43"/>
  <c r="H101" i="43"/>
  <c r="H3" i="43"/>
  <c r="H4" i="43"/>
  <c r="H5" i="43"/>
  <c r="H6" i="43"/>
  <c r="H7" i="43"/>
  <c r="H8" i="43"/>
  <c r="H9" i="43"/>
  <c r="H10" i="43"/>
  <c r="H11" i="43"/>
  <c r="H12" i="43"/>
  <c r="H13" i="43"/>
  <c r="H15" i="43"/>
  <c r="H16" i="43"/>
  <c r="H17" i="43"/>
  <c r="H18" i="43"/>
  <c r="H19" i="43"/>
  <c r="H20" i="43"/>
  <c r="H21" i="43"/>
  <c r="H22" i="43"/>
  <c r="H23" i="43"/>
  <c r="H24" i="43"/>
  <c r="H25" i="43"/>
  <c r="H26" i="43"/>
  <c r="H27" i="43"/>
  <c r="H28" i="43"/>
  <c r="H29" i="43"/>
  <c r="H30" i="43"/>
  <c r="H31" i="43"/>
  <c r="H32" i="43"/>
  <c r="H33" i="43"/>
  <c r="H34" i="43"/>
  <c r="H35" i="43"/>
  <c r="H36" i="43"/>
  <c r="H37" i="43"/>
  <c r="H38" i="43"/>
  <c r="H39" i="43"/>
  <c r="H40" i="43"/>
  <c r="H41" i="43"/>
  <c r="H42" i="43"/>
  <c r="H43" i="43"/>
  <c r="H44" i="43"/>
  <c r="H45" i="43"/>
  <c r="H46" i="43"/>
  <c r="H47" i="43"/>
  <c r="H48" i="43"/>
  <c r="H49" i="43"/>
  <c r="H50" i="43"/>
  <c r="H51" i="43"/>
  <c r="H52" i="43"/>
  <c r="H53" i="43"/>
  <c r="H54" i="43"/>
  <c r="H55" i="43"/>
  <c r="H56" i="43"/>
  <c r="H57" i="43"/>
  <c r="H58" i="43"/>
  <c r="H59" i="43"/>
  <c r="H60" i="43"/>
  <c r="H61" i="43"/>
  <c r="H62" i="43"/>
  <c r="H63" i="43"/>
  <c r="H64" i="43"/>
  <c r="H65" i="43"/>
  <c r="H66" i="43"/>
  <c r="H67" i="43"/>
  <c r="H68" i="43"/>
  <c r="H69" i="43"/>
  <c r="H70" i="43"/>
  <c r="H71" i="43"/>
  <c r="H72" i="43"/>
  <c r="H73" i="43"/>
  <c r="H74" i="43"/>
  <c r="H75" i="43"/>
  <c r="H77" i="43"/>
  <c r="H78" i="43"/>
  <c r="H79" i="43"/>
  <c r="H80" i="43"/>
  <c r="H81" i="43"/>
  <c r="H82" i="43"/>
  <c r="H83" i="43"/>
  <c r="H84" i="43"/>
  <c r="H85" i="43"/>
  <c r="H86" i="43"/>
  <c r="H87" i="43"/>
  <c r="H88" i="43"/>
  <c r="H89" i="43"/>
  <c r="H90" i="43"/>
  <c r="H2" i="43"/>
  <c r="G91" i="43"/>
  <c r="G92" i="43"/>
  <c r="G93" i="43"/>
  <c r="G94" i="43"/>
  <c r="G95" i="43"/>
  <c r="G96" i="43"/>
  <c r="G97" i="43"/>
  <c r="G98" i="43"/>
  <c r="G99" i="43"/>
  <c r="G100" i="43"/>
  <c r="G101" i="43"/>
  <c r="G3" i="43"/>
  <c r="G4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G88" i="43"/>
  <c r="G89" i="43"/>
  <c r="G90" i="43"/>
  <c r="E2" i="43"/>
  <c r="G2" i="43"/>
  <c r="H15" i="44"/>
  <c r="G15" i="44"/>
  <c r="F15" i="44"/>
  <c r="C15" i="44"/>
  <c r="I14" i="44"/>
  <c r="I13" i="44"/>
  <c r="I12" i="44"/>
  <c r="I11" i="44"/>
  <c r="I10" i="44"/>
  <c r="I9" i="44"/>
  <c r="I8" i="44"/>
  <c r="I7" i="44"/>
  <c r="I6" i="44"/>
  <c r="I5" i="44"/>
  <c r="I4" i="44"/>
  <c r="I3" i="44"/>
  <c r="I2" i="44"/>
  <c r="G104" i="43"/>
  <c r="F104" i="43"/>
  <c r="E104" i="43"/>
  <c r="B104" i="43"/>
  <c r="U30" i="2"/>
  <c r="U72" i="2"/>
  <c r="U9" i="2"/>
  <c r="U8" i="2"/>
  <c r="U7" i="2"/>
  <c r="U6" i="2"/>
  <c r="V32" i="2"/>
  <c r="U5" i="2"/>
  <c r="U4" i="2"/>
  <c r="U39" i="2"/>
  <c r="U81" i="2"/>
  <c r="T39" i="2"/>
  <c r="T81" i="2"/>
  <c r="T53" i="2"/>
  <c r="T30" i="2"/>
  <c r="T72" i="2"/>
  <c r="T12" i="2"/>
  <c r="T9" i="2"/>
  <c r="U49" i="2"/>
  <c r="T8" i="2"/>
  <c r="U48" i="2"/>
  <c r="U62" i="2"/>
  <c r="T7" i="2"/>
  <c r="T6" i="2"/>
  <c r="T4" i="2"/>
  <c r="I14" i="42"/>
  <c r="H15" i="42"/>
  <c r="G15" i="42"/>
  <c r="F15" i="42"/>
  <c r="C15" i="42"/>
  <c r="I13" i="42"/>
  <c r="I12" i="42"/>
  <c r="I11" i="42"/>
  <c r="I10" i="42"/>
  <c r="I9" i="42"/>
  <c r="I8" i="42"/>
  <c r="I7" i="42"/>
  <c r="I6" i="42"/>
  <c r="I5" i="42"/>
  <c r="I4" i="42"/>
  <c r="I3" i="42"/>
  <c r="I2" i="42"/>
  <c r="G94" i="41"/>
  <c r="F94" i="41"/>
  <c r="E94" i="41"/>
  <c r="B94" i="41"/>
  <c r="H90" i="41"/>
  <c r="H89" i="41"/>
  <c r="H88" i="41"/>
  <c r="H87" i="41"/>
  <c r="H86" i="41"/>
  <c r="H85" i="41"/>
  <c r="H84" i="41"/>
  <c r="H83" i="41"/>
  <c r="H82" i="41"/>
  <c r="H81" i="41"/>
  <c r="H80" i="41"/>
  <c r="H79" i="41"/>
  <c r="H78" i="41"/>
  <c r="H77" i="41"/>
  <c r="H76" i="41"/>
  <c r="H75" i="41"/>
  <c r="H74" i="41"/>
  <c r="H73" i="41"/>
  <c r="H72" i="41"/>
  <c r="H71" i="41"/>
  <c r="H70" i="41"/>
  <c r="H69" i="41"/>
  <c r="H68" i="41"/>
  <c r="H67" i="41"/>
  <c r="H66" i="41"/>
  <c r="H65" i="41"/>
  <c r="H64" i="41"/>
  <c r="H63" i="41"/>
  <c r="H62" i="41"/>
  <c r="H61" i="41"/>
  <c r="H60" i="41"/>
  <c r="H59" i="41"/>
  <c r="H58" i="41"/>
  <c r="H57" i="41"/>
  <c r="H56" i="41"/>
  <c r="H55" i="41"/>
  <c r="H54" i="41"/>
  <c r="H53" i="41"/>
  <c r="H52" i="41"/>
  <c r="H51" i="41"/>
  <c r="H50" i="41"/>
  <c r="H49" i="41"/>
  <c r="H48" i="41"/>
  <c r="H47" i="41"/>
  <c r="H46" i="41"/>
  <c r="H45" i="41"/>
  <c r="H44" i="41"/>
  <c r="H43" i="41"/>
  <c r="H42" i="41"/>
  <c r="H41" i="41"/>
  <c r="H40" i="41"/>
  <c r="H39" i="41"/>
  <c r="H38" i="41"/>
  <c r="H37" i="41"/>
  <c r="H36" i="41"/>
  <c r="H35" i="41"/>
  <c r="H34" i="41"/>
  <c r="H33" i="41"/>
  <c r="H32" i="41"/>
  <c r="H31" i="41"/>
  <c r="H30" i="41"/>
  <c r="H29" i="41"/>
  <c r="H28" i="41"/>
  <c r="H27" i="41"/>
  <c r="H26" i="41"/>
  <c r="H25" i="41"/>
  <c r="H24" i="41"/>
  <c r="H23" i="41"/>
  <c r="H22" i="41"/>
  <c r="H21" i="41"/>
  <c r="H20" i="41"/>
  <c r="H19" i="41"/>
  <c r="H18" i="41"/>
  <c r="H17" i="41"/>
  <c r="H16" i="41"/>
  <c r="H15" i="41"/>
  <c r="H14" i="41"/>
  <c r="H13" i="41"/>
  <c r="H12" i="41"/>
  <c r="H11" i="41"/>
  <c r="H10" i="41"/>
  <c r="H9" i="41"/>
  <c r="H8" i="41"/>
  <c r="H7" i="41"/>
  <c r="H6" i="41"/>
  <c r="H5" i="41"/>
  <c r="H4" i="41"/>
  <c r="H3" i="41"/>
  <c r="H2" i="41"/>
  <c r="S30" i="2"/>
  <c r="S72" i="2"/>
  <c r="S12" i="2"/>
  <c r="S5" i="2"/>
  <c r="S9" i="2"/>
  <c r="S8" i="2"/>
  <c r="S7" i="2"/>
  <c r="S6" i="2"/>
  <c r="S4" i="2"/>
  <c r="S39" i="2"/>
  <c r="S81" i="2"/>
  <c r="H14" i="40"/>
  <c r="I14" i="40"/>
  <c r="G14" i="40"/>
  <c r="F14" i="40"/>
  <c r="C14" i="40"/>
  <c r="I13" i="40"/>
  <c r="I12" i="40"/>
  <c r="I11" i="40"/>
  <c r="I10" i="40"/>
  <c r="I9" i="40"/>
  <c r="I8" i="40"/>
  <c r="I7" i="40"/>
  <c r="I6" i="40"/>
  <c r="I5" i="40"/>
  <c r="I4" i="40"/>
  <c r="I3" i="40"/>
  <c r="I2" i="40"/>
  <c r="G94" i="39"/>
  <c r="F94" i="39"/>
  <c r="E94" i="39"/>
  <c r="B94" i="39"/>
  <c r="H93" i="39"/>
  <c r="H92" i="39"/>
  <c r="H91" i="39"/>
  <c r="H90" i="39"/>
  <c r="H89" i="39"/>
  <c r="H88" i="39"/>
  <c r="H87" i="39"/>
  <c r="H86" i="39"/>
  <c r="H85" i="39"/>
  <c r="H84" i="39"/>
  <c r="H83" i="39"/>
  <c r="H82" i="39"/>
  <c r="H81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61" i="39"/>
  <c r="H60" i="39"/>
  <c r="H59" i="39"/>
  <c r="H58" i="39"/>
  <c r="H57" i="39"/>
  <c r="H56" i="39"/>
  <c r="H55" i="39"/>
  <c r="H54" i="39"/>
  <c r="H53" i="39"/>
  <c r="H52" i="39"/>
  <c r="H51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5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17" i="39"/>
  <c r="H16" i="39"/>
  <c r="H15" i="39"/>
  <c r="H14" i="39"/>
  <c r="H13" i="39"/>
  <c r="H12" i="39"/>
  <c r="H11" i="39"/>
  <c r="H10" i="39"/>
  <c r="H9" i="39"/>
  <c r="H8" i="39"/>
  <c r="H7" i="39"/>
  <c r="H6" i="39"/>
  <c r="H5" i="39"/>
  <c r="H4" i="39"/>
  <c r="H3" i="39"/>
  <c r="H2" i="39"/>
  <c r="H14" i="38"/>
  <c r="G14" i="38"/>
  <c r="F14" i="38"/>
  <c r="C14" i="38"/>
  <c r="I13" i="38"/>
  <c r="I12" i="38"/>
  <c r="I11" i="38"/>
  <c r="I10" i="38"/>
  <c r="I9" i="38"/>
  <c r="I8" i="38"/>
  <c r="I7" i="38"/>
  <c r="I6" i="38"/>
  <c r="I5" i="38"/>
  <c r="I4" i="38"/>
  <c r="I3" i="38"/>
  <c r="I2" i="38"/>
  <c r="G94" i="37"/>
  <c r="F94" i="37"/>
  <c r="E94" i="37"/>
  <c r="B94" i="37"/>
  <c r="H93" i="37"/>
  <c r="H92" i="37"/>
  <c r="H91" i="37"/>
  <c r="H90" i="37"/>
  <c r="H89" i="37"/>
  <c r="H88" i="37"/>
  <c r="H87" i="37"/>
  <c r="H86" i="37"/>
  <c r="H85" i="37"/>
  <c r="H84" i="37"/>
  <c r="H83" i="37"/>
  <c r="H82" i="37"/>
  <c r="H81" i="37"/>
  <c r="H80" i="37"/>
  <c r="H79" i="37"/>
  <c r="H78" i="37"/>
  <c r="H77" i="37"/>
  <c r="H76" i="37"/>
  <c r="H75" i="37"/>
  <c r="H74" i="37"/>
  <c r="H73" i="37"/>
  <c r="H72" i="37"/>
  <c r="H71" i="37"/>
  <c r="H70" i="37"/>
  <c r="H69" i="37"/>
  <c r="H68" i="37"/>
  <c r="H67" i="37"/>
  <c r="H66" i="37"/>
  <c r="H65" i="37"/>
  <c r="H64" i="37"/>
  <c r="H63" i="37"/>
  <c r="H62" i="37"/>
  <c r="H61" i="37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10" i="37"/>
  <c r="H9" i="37"/>
  <c r="H8" i="37"/>
  <c r="H7" i="37"/>
  <c r="H6" i="37"/>
  <c r="H5" i="37"/>
  <c r="H4" i="37"/>
  <c r="H3" i="37"/>
  <c r="H2" i="37"/>
  <c r="R39" i="2"/>
  <c r="R81" i="2"/>
  <c r="R53" i="2"/>
  <c r="R30" i="2"/>
  <c r="R72" i="2"/>
  <c r="R12" i="2"/>
  <c r="R9" i="2"/>
  <c r="R8" i="2"/>
  <c r="R7" i="2"/>
  <c r="R6" i="2"/>
  <c r="R4" i="2"/>
  <c r="B33" i="25"/>
  <c r="B25" i="25"/>
  <c r="Q30" i="2"/>
  <c r="Q72" i="2"/>
  <c r="Q12" i="2"/>
  <c r="Q5" i="2"/>
  <c r="Q9" i="2"/>
  <c r="Q8" i="2"/>
  <c r="Q7" i="2"/>
  <c r="Q6" i="2"/>
  <c r="Q4" i="2"/>
  <c r="Q39" i="2"/>
  <c r="Q81" i="2"/>
  <c r="H14" i="36"/>
  <c r="G14" i="36"/>
  <c r="F14" i="36"/>
  <c r="C14" i="36"/>
  <c r="I13" i="36"/>
  <c r="I12" i="36"/>
  <c r="I11" i="36"/>
  <c r="I10" i="36"/>
  <c r="I9" i="36"/>
  <c r="I8" i="36"/>
  <c r="I7" i="36"/>
  <c r="I6" i="36"/>
  <c r="I5" i="36"/>
  <c r="I4" i="36"/>
  <c r="I3" i="36"/>
  <c r="I2" i="36"/>
  <c r="G94" i="35"/>
  <c r="F94" i="35"/>
  <c r="E94" i="35"/>
  <c r="B94" i="35"/>
  <c r="H94" i="35"/>
  <c r="H93" i="35"/>
  <c r="H92" i="35"/>
  <c r="H91" i="35"/>
  <c r="H90" i="35"/>
  <c r="H89" i="35"/>
  <c r="H88" i="35"/>
  <c r="H87" i="35"/>
  <c r="H86" i="35"/>
  <c r="H85" i="35"/>
  <c r="H84" i="35"/>
  <c r="H83" i="35"/>
  <c r="H82" i="35"/>
  <c r="H81" i="35"/>
  <c r="H80" i="35"/>
  <c r="H79" i="35"/>
  <c r="H78" i="35"/>
  <c r="H77" i="35"/>
  <c r="H76" i="35"/>
  <c r="H75" i="35"/>
  <c r="H74" i="35"/>
  <c r="H73" i="35"/>
  <c r="H72" i="35"/>
  <c r="H71" i="35"/>
  <c r="H70" i="35"/>
  <c r="H69" i="35"/>
  <c r="H68" i="35"/>
  <c r="H67" i="35"/>
  <c r="H66" i="35"/>
  <c r="H65" i="35"/>
  <c r="H64" i="35"/>
  <c r="H63" i="35"/>
  <c r="H62" i="35"/>
  <c r="H61" i="35"/>
  <c r="H60" i="35"/>
  <c r="H59" i="35"/>
  <c r="H58" i="35"/>
  <c r="H57" i="35"/>
  <c r="H56" i="35"/>
  <c r="H55" i="35"/>
  <c r="H54" i="35"/>
  <c r="H53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H6" i="35"/>
  <c r="H5" i="35"/>
  <c r="H4" i="35"/>
  <c r="H3" i="35"/>
  <c r="H2" i="35"/>
  <c r="P39" i="2"/>
  <c r="P30" i="2"/>
  <c r="P72" i="2"/>
  <c r="P12" i="2"/>
  <c r="P9" i="2"/>
  <c r="P8" i="2"/>
  <c r="Q48" i="2"/>
  <c r="P7" i="2"/>
  <c r="P6" i="2"/>
  <c r="P4" i="2"/>
  <c r="H14" i="34"/>
  <c r="G14" i="34"/>
  <c r="F14" i="34"/>
  <c r="C14" i="34"/>
  <c r="I13" i="34"/>
  <c r="I12" i="34"/>
  <c r="I11" i="34"/>
  <c r="I10" i="34"/>
  <c r="I9" i="34"/>
  <c r="I8" i="34"/>
  <c r="I7" i="34"/>
  <c r="I6" i="34"/>
  <c r="I5" i="34"/>
  <c r="I4" i="34"/>
  <c r="I3" i="34"/>
  <c r="I2" i="34"/>
  <c r="G92" i="33"/>
  <c r="F92" i="33"/>
  <c r="E92" i="33"/>
  <c r="B92" i="33"/>
  <c r="H91" i="33"/>
  <c r="H90" i="33"/>
  <c r="H89" i="33"/>
  <c r="H88" i="33"/>
  <c r="H87" i="33"/>
  <c r="H86" i="33"/>
  <c r="H85" i="33"/>
  <c r="H84" i="33"/>
  <c r="H83" i="33"/>
  <c r="H82" i="33"/>
  <c r="H81" i="33"/>
  <c r="H80" i="33"/>
  <c r="H79" i="33"/>
  <c r="H78" i="33"/>
  <c r="H77" i="33"/>
  <c r="H76" i="33"/>
  <c r="H75" i="33"/>
  <c r="H74" i="33"/>
  <c r="H73" i="33"/>
  <c r="H72" i="33"/>
  <c r="H71" i="33"/>
  <c r="H70" i="33"/>
  <c r="H69" i="33"/>
  <c r="H68" i="33"/>
  <c r="H67" i="33"/>
  <c r="H66" i="33"/>
  <c r="H65" i="33"/>
  <c r="H64" i="33"/>
  <c r="H63" i="33"/>
  <c r="H62" i="33"/>
  <c r="H61" i="33"/>
  <c r="H60" i="33"/>
  <c r="H59" i="33"/>
  <c r="H58" i="33"/>
  <c r="H57" i="33"/>
  <c r="H56" i="33"/>
  <c r="H55" i="33"/>
  <c r="H54" i="33"/>
  <c r="H53" i="33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H8" i="33"/>
  <c r="H7" i="33"/>
  <c r="H6" i="33"/>
  <c r="H5" i="33"/>
  <c r="H4" i="33"/>
  <c r="H3" i="33"/>
  <c r="H2" i="33"/>
  <c r="O30" i="2"/>
  <c r="O72" i="2"/>
  <c r="G92" i="31"/>
  <c r="F92" i="31"/>
  <c r="E92" i="31"/>
  <c r="H92" i="31"/>
  <c r="B92" i="31"/>
  <c r="H91" i="31"/>
  <c r="H90" i="31"/>
  <c r="H14" i="32"/>
  <c r="G14" i="32"/>
  <c r="F14" i="32"/>
  <c r="C14" i="32"/>
  <c r="I13" i="32"/>
  <c r="I12" i="32"/>
  <c r="I11" i="32"/>
  <c r="I10" i="32"/>
  <c r="I9" i="32"/>
  <c r="I8" i="32"/>
  <c r="I7" i="32"/>
  <c r="I6" i="32"/>
  <c r="I5" i="32"/>
  <c r="I4" i="32"/>
  <c r="I3" i="32"/>
  <c r="I2" i="32"/>
  <c r="H89" i="31"/>
  <c r="H88" i="31"/>
  <c r="H87" i="31"/>
  <c r="H86" i="31"/>
  <c r="H85" i="31"/>
  <c r="H84" i="31"/>
  <c r="H83" i="31"/>
  <c r="H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H69" i="31"/>
  <c r="H68" i="31"/>
  <c r="H67" i="31"/>
  <c r="H66" i="31"/>
  <c r="H65" i="31"/>
  <c r="H64" i="31"/>
  <c r="H63" i="31"/>
  <c r="H62" i="31"/>
  <c r="H61" i="3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H4" i="31"/>
  <c r="H3" i="31"/>
  <c r="H2" i="31"/>
  <c r="O39" i="2"/>
  <c r="O53" i="2"/>
  <c r="O12" i="2"/>
  <c r="O9" i="2"/>
  <c r="O8" i="2"/>
  <c r="O7" i="2"/>
  <c r="O6" i="2"/>
  <c r="O4" i="2"/>
  <c r="K39" i="2"/>
  <c r="L39" i="2"/>
  <c r="N30" i="2"/>
  <c r="N12" i="2"/>
  <c r="N9" i="2"/>
  <c r="N8" i="2"/>
  <c r="N7" i="2"/>
  <c r="N6" i="2"/>
  <c r="N4" i="2"/>
  <c r="G90" i="28"/>
  <c r="H90" i="28"/>
  <c r="F90" i="28"/>
  <c r="E90" i="28"/>
  <c r="B90" i="28"/>
  <c r="H14" i="29"/>
  <c r="G14" i="29"/>
  <c r="F14" i="29"/>
  <c r="C14" i="29"/>
  <c r="I13" i="29"/>
  <c r="I12" i="29"/>
  <c r="I11" i="29"/>
  <c r="I10" i="29"/>
  <c r="I9" i="29"/>
  <c r="I8" i="29"/>
  <c r="I7" i="29"/>
  <c r="I6" i="29"/>
  <c r="I5" i="29"/>
  <c r="I4" i="29"/>
  <c r="I3" i="29"/>
  <c r="I2" i="29"/>
  <c r="H89" i="28"/>
  <c r="H88" i="28"/>
  <c r="H87" i="28"/>
  <c r="H86" i="28"/>
  <c r="H85" i="28"/>
  <c r="H84" i="28"/>
  <c r="H83" i="28"/>
  <c r="H82" i="28"/>
  <c r="H81" i="28"/>
  <c r="H80" i="28"/>
  <c r="H79" i="28"/>
  <c r="H78" i="28"/>
  <c r="H77" i="28"/>
  <c r="H76" i="28"/>
  <c r="H75" i="28"/>
  <c r="H74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2" i="28"/>
  <c r="L30" i="2"/>
  <c r="L72" i="2"/>
  <c r="M30" i="2"/>
  <c r="M72" i="2"/>
  <c r="M53" i="2"/>
  <c r="M67" i="2"/>
  <c r="M111" i="2"/>
  <c r="M12" i="2"/>
  <c r="M9" i="2"/>
  <c r="M8" i="2"/>
  <c r="M7" i="2"/>
  <c r="M6" i="2"/>
  <c r="M4" i="2"/>
  <c r="H14" i="27"/>
  <c r="G14" i="27"/>
  <c r="F14" i="27"/>
  <c r="C14" i="27"/>
  <c r="I13" i="27"/>
  <c r="I12" i="27"/>
  <c r="I11" i="27"/>
  <c r="I10" i="27"/>
  <c r="I9" i="27"/>
  <c r="I8" i="27"/>
  <c r="I7" i="27"/>
  <c r="I6" i="27"/>
  <c r="I5" i="27"/>
  <c r="I4" i="27"/>
  <c r="I3" i="27"/>
  <c r="I2" i="27"/>
  <c r="G90" i="26"/>
  <c r="F90" i="26"/>
  <c r="E90" i="26"/>
  <c r="B90" i="26"/>
  <c r="H89" i="26"/>
  <c r="H88" i="26"/>
  <c r="H87" i="26"/>
  <c r="H86" i="26"/>
  <c r="H85" i="26"/>
  <c r="H84" i="26"/>
  <c r="H83" i="26"/>
  <c r="H82" i="26"/>
  <c r="H81" i="26"/>
  <c r="H80" i="26"/>
  <c r="H79" i="26"/>
  <c r="H78" i="26"/>
  <c r="H77" i="26"/>
  <c r="H76" i="26"/>
  <c r="H75" i="26"/>
  <c r="H74" i="26"/>
  <c r="H73" i="26"/>
  <c r="H72" i="26"/>
  <c r="H71" i="26"/>
  <c r="H70" i="26"/>
  <c r="H69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3" i="26"/>
  <c r="H2" i="26"/>
  <c r="D30" i="2"/>
  <c r="E36" i="2"/>
  <c r="E78" i="2"/>
  <c r="E50" i="2"/>
  <c r="E108" i="2"/>
  <c r="H14" i="24"/>
  <c r="G14" i="24"/>
  <c r="F14" i="24"/>
  <c r="I14" i="24"/>
  <c r="C14" i="24"/>
  <c r="I13" i="24"/>
  <c r="I12" i="24"/>
  <c r="I11" i="24"/>
  <c r="I10" i="24"/>
  <c r="I9" i="24"/>
  <c r="I8" i="24"/>
  <c r="I7" i="24"/>
  <c r="I6" i="24"/>
  <c r="I5" i="24"/>
  <c r="I4" i="24"/>
  <c r="I3" i="24"/>
  <c r="I2" i="24"/>
  <c r="G85" i="23"/>
  <c r="H85" i="23"/>
  <c r="F85" i="23"/>
  <c r="E85" i="23"/>
  <c r="B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" i="23"/>
  <c r="L9" i="2"/>
  <c r="L8" i="2"/>
  <c r="L7" i="2"/>
  <c r="L6" i="2"/>
  <c r="L12" i="2"/>
  <c r="G85" i="21"/>
  <c r="F85" i="21"/>
  <c r="B85" i="21"/>
  <c r="E85" i="21"/>
  <c r="L4" i="2"/>
  <c r="K12" i="2"/>
  <c r="K11" i="2"/>
  <c r="K9" i="2"/>
  <c r="K8" i="2"/>
  <c r="L48" i="2"/>
  <c r="K7" i="2"/>
  <c r="K6" i="2"/>
  <c r="K4" i="2"/>
  <c r="I13" i="22"/>
  <c r="I12" i="22"/>
  <c r="I11" i="22"/>
  <c r="I10" i="22"/>
  <c r="I9" i="22"/>
  <c r="I8" i="22"/>
  <c r="I7" i="22"/>
  <c r="I6" i="22"/>
  <c r="I5" i="22"/>
  <c r="I4" i="22"/>
  <c r="I3" i="22"/>
  <c r="I2" i="22"/>
  <c r="H85" i="21"/>
  <c r="H84" i="21"/>
  <c r="H83" i="21"/>
  <c r="H13" i="22"/>
  <c r="G13" i="22"/>
  <c r="F13" i="22"/>
  <c r="C13" i="22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J39" i="2"/>
  <c r="J81" i="2"/>
  <c r="I39" i="2"/>
  <c r="I81" i="2"/>
  <c r="H39" i="2"/>
  <c r="G39" i="2"/>
  <c r="G81" i="2"/>
  <c r="F39" i="2"/>
  <c r="E39" i="2"/>
  <c r="D39" i="2"/>
  <c r="D81" i="2"/>
  <c r="D53" i="2"/>
  <c r="D67" i="2"/>
  <c r="I11" i="20"/>
  <c r="H13" i="20"/>
  <c r="G13" i="20"/>
  <c r="F13" i="20"/>
  <c r="C13" i="20"/>
  <c r="I12" i="20"/>
  <c r="I10" i="20"/>
  <c r="I9" i="20"/>
  <c r="I8" i="20"/>
  <c r="I7" i="20"/>
  <c r="I6" i="20"/>
  <c r="I5" i="20"/>
  <c r="I4" i="20"/>
  <c r="I3" i="20"/>
  <c r="I2" i="20"/>
  <c r="G82" i="19"/>
  <c r="F82" i="19"/>
  <c r="E82" i="19"/>
  <c r="B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J12" i="2"/>
  <c r="J11" i="2"/>
  <c r="J9" i="2"/>
  <c r="J8" i="2"/>
  <c r="J7" i="2"/>
  <c r="J6" i="2"/>
  <c r="J4" i="2"/>
  <c r="G31" i="2"/>
  <c r="G73" i="2"/>
  <c r="E30" i="2"/>
  <c r="F51" i="2"/>
  <c r="I30" i="2"/>
  <c r="I72" i="2"/>
  <c r="E37" i="2"/>
  <c r="E51" i="2"/>
  <c r="E109" i="2"/>
  <c r="D36" i="2"/>
  <c r="D78" i="2"/>
  <c r="D37" i="2"/>
  <c r="D40" i="2"/>
  <c r="D38" i="2"/>
  <c r="D80" i="2"/>
  <c r="D52" i="2"/>
  <c r="F12" i="2"/>
  <c r="F38" i="2"/>
  <c r="F80" i="2"/>
  <c r="I12" i="2"/>
  <c r="I9" i="2"/>
  <c r="I8" i="2"/>
  <c r="I7" i="2"/>
  <c r="I6" i="2"/>
  <c r="I4" i="2"/>
  <c r="J44" i="2"/>
  <c r="J58" i="2"/>
  <c r="H12" i="18"/>
  <c r="G12" i="18"/>
  <c r="F12" i="18"/>
  <c r="C12" i="18"/>
  <c r="I11" i="18"/>
  <c r="I10" i="18"/>
  <c r="I9" i="18"/>
  <c r="I8" i="18"/>
  <c r="I7" i="18"/>
  <c r="I6" i="18"/>
  <c r="I5" i="18"/>
  <c r="I4" i="18"/>
  <c r="I3" i="18"/>
  <c r="I2" i="18"/>
  <c r="E82" i="17"/>
  <c r="B82" i="17"/>
  <c r="H81" i="17"/>
  <c r="H80" i="17"/>
  <c r="H79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12" i="14"/>
  <c r="G12" i="14"/>
  <c r="F12" i="14"/>
  <c r="C12" i="14"/>
  <c r="H12" i="16"/>
  <c r="G12" i="16"/>
  <c r="F12" i="16"/>
  <c r="C12" i="16"/>
  <c r="F78" i="15"/>
  <c r="F82" i="15"/>
  <c r="I11" i="16"/>
  <c r="I10" i="16"/>
  <c r="I9" i="16"/>
  <c r="I8" i="16"/>
  <c r="I7" i="16"/>
  <c r="I6" i="16"/>
  <c r="I5" i="16"/>
  <c r="I4" i="16"/>
  <c r="I3" i="16"/>
  <c r="I2" i="16"/>
  <c r="E82" i="15"/>
  <c r="H80" i="15"/>
  <c r="B82" i="15"/>
  <c r="H81" i="15"/>
  <c r="H79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C4" i="2"/>
  <c r="D4" i="2"/>
  <c r="E4" i="2"/>
  <c r="F4" i="2"/>
  <c r="C5" i="2"/>
  <c r="C73" i="2"/>
  <c r="D5" i="2"/>
  <c r="E5" i="2"/>
  <c r="E45" i="2"/>
  <c r="E103" i="2"/>
  <c r="D6" i="2"/>
  <c r="D46" i="2"/>
  <c r="D60" i="2"/>
  <c r="E6" i="2"/>
  <c r="F6" i="2"/>
  <c r="D7" i="2"/>
  <c r="D47" i="2"/>
  <c r="E7" i="2"/>
  <c r="F7" i="2"/>
  <c r="D8" i="2"/>
  <c r="D48" i="2"/>
  <c r="D62" i="2"/>
  <c r="D106" i="2"/>
  <c r="E8" i="2"/>
  <c r="E48" i="2"/>
  <c r="F8" i="2"/>
  <c r="D9" i="2"/>
  <c r="E9" i="2"/>
  <c r="F9" i="2"/>
  <c r="F49" i="2"/>
  <c r="F107" i="2"/>
  <c r="E14" i="2"/>
  <c r="E40" i="2"/>
  <c r="E82" i="2"/>
  <c r="H9" i="2"/>
  <c r="H8" i="2"/>
  <c r="H7" i="2"/>
  <c r="H12" i="2"/>
  <c r="H10" i="2"/>
  <c r="I10" i="2"/>
  <c r="H6" i="2"/>
  <c r="H4" i="2"/>
  <c r="G12" i="2"/>
  <c r="G38" i="2"/>
  <c r="G80" i="2"/>
  <c r="G11" i="2"/>
  <c r="G37" i="2"/>
  <c r="G79" i="2"/>
  <c r="G4" i="2"/>
  <c r="G10" i="2"/>
  <c r="G36" i="2"/>
  <c r="G78" i="2"/>
  <c r="G9" i="2"/>
  <c r="G8" i="2"/>
  <c r="G7" i="2"/>
  <c r="G6" i="2"/>
  <c r="I11" i="14"/>
  <c r="I10" i="14"/>
  <c r="I9" i="14"/>
  <c r="I8" i="14"/>
  <c r="I7" i="14"/>
  <c r="I6" i="14"/>
  <c r="I5" i="14"/>
  <c r="I4" i="14"/>
  <c r="I3" i="14"/>
  <c r="I2" i="14"/>
  <c r="G72" i="13"/>
  <c r="H72" i="13"/>
  <c r="F72" i="13"/>
  <c r="E72" i="13"/>
  <c r="B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11" i="2"/>
  <c r="H12" i="12"/>
  <c r="G12" i="12"/>
  <c r="F12" i="12"/>
  <c r="C12" i="12"/>
  <c r="I2" i="12"/>
  <c r="I3" i="12"/>
  <c r="I4" i="12"/>
  <c r="I5" i="12"/>
  <c r="I6" i="12"/>
  <c r="I7" i="12"/>
  <c r="I8" i="12"/>
  <c r="I9" i="12"/>
  <c r="I10" i="12"/>
  <c r="I11" i="12"/>
  <c r="B72" i="11"/>
  <c r="E72" i="11"/>
  <c r="F72" i="11"/>
  <c r="G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11" i="8"/>
  <c r="G11" i="8"/>
  <c r="F11" i="8"/>
  <c r="C11" i="8"/>
  <c r="C11" i="10"/>
  <c r="F11" i="10"/>
  <c r="G11" i="10"/>
  <c r="H11" i="10"/>
  <c r="I10" i="10"/>
  <c r="I9" i="10"/>
  <c r="I8" i="10"/>
  <c r="I7" i="10"/>
  <c r="I6" i="10"/>
  <c r="I5" i="10"/>
  <c r="I4" i="10"/>
  <c r="I3" i="10"/>
  <c r="I2" i="10"/>
  <c r="G72" i="9"/>
  <c r="H72" i="9"/>
  <c r="F72" i="9"/>
  <c r="E72" i="9"/>
  <c r="B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I10" i="8"/>
  <c r="I9" i="8"/>
  <c r="I8" i="8"/>
  <c r="I7" i="8"/>
  <c r="I6" i="8"/>
  <c r="I5" i="8"/>
  <c r="I4" i="8"/>
  <c r="I3" i="8"/>
  <c r="I2" i="8"/>
  <c r="I11" i="8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G71" i="7"/>
  <c r="F71" i="7"/>
  <c r="E71" i="7"/>
  <c r="B71" i="7"/>
  <c r="G10" i="6"/>
  <c r="F72" i="5"/>
  <c r="H10" i="6"/>
  <c r="F10" i="6"/>
  <c r="I10" i="6"/>
  <c r="C10" i="6"/>
  <c r="I9" i="6"/>
  <c r="I8" i="6"/>
  <c r="I7" i="6"/>
  <c r="I6" i="6"/>
  <c r="I5" i="6"/>
  <c r="I4" i="6"/>
  <c r="I3" i="6"/>
  <c r="I2" i="6"/>
  <c r="G72" i="5"/>
  <c r="E72" i="5"/>
  <c r="H72" i="5"/>
  <c r="B7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2" i="5"/>
  <c r="G2" i="4"/>
  <c r="F2" i="4"/>
  <c r="H2" i="4"/>
  <c r="G3" i="4"/>
  <c r="F3" i="4"/>
  <c r="H3" i="4"/>
  <c r="G4" i="4"/>
  <c r="F4" i="4"/>
  <c r="H4" i="4"/>
  <c r="G5" i="4"/>
  <c r="F5" i="4"/>
  <c r="H5" i="4"/>
  <c r="G6" i="4"/>
  <c r="F6" i="4"/>
  <c r="H6" i="4"/>
  <c r="G7" i="4"/>
  <c r="F7" i="4"/>
  <c r="H7" i="4"/>
  <c r="G8" i="4"/>
  <c r="F8" i="4"/>
  <c r="H8" i="4"/>
  <c r="H9" i="4"/>
  <c r="F9" i="4"/>
  <c r="I9" i="4"/>
  <c r="F3" i="3"/>
  <c r="E3" i="3"/>
  <c r="G3" i="3"/>
  <c r="H3" i="3"/>
  <c r="F4" i="3"/>
  <c r="E4" i="3"/>
  <c r="G4" i="3"/>
  <c r="H4" i="3"/>
  <c r="F5" i="3"/>
  <c r="E5" i="3"/>
  <c r="G5" i="3"/>
  <c r="H5" i="3"/>
  <c r="F6" i="3"/>
  <c r="E6" i="3"/>
  <c r="G6" i="3"/>
  <c r="H6" i="3"/>
  <c r="F7" i="3"/>
  <c r="E7" i="3"/>
  <c r="G7" i="3"/>
  <c r="H7" i="3"/>
  <c r="F8" i="3"/>
  <c r="E8" i="3"/>
  <c r="G8" i="3"/>
  <c r="H8" i="3"/>
  <c r="F9" i="3"/>
  <c r="E9" i="3"/>
  <c r="G9" i="3"/>
  <c r="H9" i="3"/>
  <c r="F10" i="3"/>
  <c r="E10" i="3"/>
  <c r="G10" i="3"/>
  <c r="H10" i="3"/>
  <c r="F11" i="3"/>
  <c r="E11" i="3"/>
  <c r="G11" i="3"/>
  <c r="H11" i="3"/>
  <c r="F12" i="3"/>
  <c r="E12" i="3"/>
  <c r="G12" i="3"/>
  <c r="H12" i="3"/>
  <c r="F13" i="3"/>
  <c r="E13" i="3"/>
  <c r="G13" i="3"/>
  <c r="H13" i="3"/>
  <c r="F14" i="3"/>
  <c r="E14" i="3"/>
  <c r="G14" i="3"/>
  <c r="H14" i="3"/>
  <c r="F15" i="3"/>
  <c r="E15" i="3"/>
  <c r="G15" i="3"/>
  <c r="H15" i="3"/>
  <c r="F16" i="3"/>
  <c r="E16" i="3"/>
  <c r="G16" i="3"/>
  <c r="H16" i="3"/>
  <c r="F17" i="3"/>
  <c r="E17" i="3"/>
  <c r="G17" i="3"/>
  <c r="H17" i="3"/>
  <c r="F18" i="3"/>
  <c r="E18" i="3"/>
  <c r="G18" i="3"/>
  <c r="H18" i="3"/>
  <c r="F19" i="3"/>
  <c r="E19" i="3"/>
  <c r="G19" i="3"/>
  <c r="H19" i="3"/>
  <c r="F20" i="3"/>
  <c r="E20" i="3"/>
  <c r="G20" i="3"/>
  <c r="H20" i="3"/>
  <c r="F21" i="3"/>
  <c r="E21" i="3"/>
  <c r="G21" i="3"/>
  <c r="H21" i="3"/>
  <c r="F22" i="3"/>
  <c r="E22" i="3"/>
  <c r="G22" i="3"/>
  <c r="H22" i="3"/>
  <c r="F23" i="3"/>
  <c r="E23" i="3"/>
  <c r="G23" i="3"/>
  <c r="H23" i="3"/>
  <c r="F24" i="3"/>
  <c r="E24" i="3"/>
  <c r="G24" i="3"/>
  <c r="H24" i="3"/>
  <c r="F25" i="3"/>
  <c r="E25" i="3"/>
  <c r="G25" i="3"/>
  <c r="H25" i="3"/>
  <c r="F26" i="3"/>
  <c r="E26" i="3"/>
  <c r="G26" i="3"/>
  <c r="H26" i="3"/>
  <c r="F27" i="3"/>
  <c r="E27" i="3"/>
  <c r="G27" i="3"/>
  <c r="H27" i="3"/>
  <c r="F28" i="3"/>
  <c r="E28" i="3"/>
  <c r="G28" i="3"/>
  <c r="H28" i="3"/>
  <c r="F29" i="3"/>
  <c r="E29" i="3"/>
  <c r="G29" i="3"/>
  <c r="H29" i="3"/>
  <c r="F30" i="3"/>
  <c r="E30" i="3"/>
  <c r="G30" i="3"/>
  <c r="H30" i="3"/>
  <c r="F31" i="3"/>
  <c r="E31" i="3"/>
  <c r="G31" i="3"/>
  <c r="H31" i="3"/>
  <c r="F32" i="3"/>
  <c r="E32" i="3"/>
  <c r="G32" i="3"/>
  <c r="H32" i="3"/>
  <c r="F33" i="3"/>
  <c r="E33" i="3"/>
  <c r="G33" i="3"/>
  <c r="H33" i="3"/>
  <c r="F34" i="3"/>
  <c r="E34" i="3"/>
  <c r="G34" i="3"/>
  <c r="H34" i="3"/>
  <c r="F35" i="3"/>
  <c r="E35" i="3"/>
  <c r="G35" i="3"/>
  <c r="H35" i="3"/>
  <c r="F36" i="3"/>
  <c r="E36" i="3"/>
  <c r="G36" i="3"/>
  <c r="H36" i="3"/>
  <c r="F37" i="3"/>
  <c r="E37" i="3"/>
  <c r="G37" i="3"/>
  <c r="H37" i="3"/>
  <c r="F38" i="3"/>
  <c r="E38" i="3"/>
  <c r="G38" i="3"/>
  <c r="H38" i="3"/>
  <c r="F39" i="3"/>
  <c r="E39" i="3"/>
  <c r="G39" i="3"/>
  <c r="H39" i="3"/>
  <c r="F40" i="3"/>
  <c r="E40" i="3"/>
  <c r="G40" i="3"/>
  <c r="H40" i="3"/>
  <c r="F41" i="3"/>
  <c r="E41" i="3"/>
  <c r="G41" i="3"/>
  <c r="H41" i="3"/>
  <c r="F42" i="3"/>
  <c r="E42" i="3"/>
  <c r="G42" i="3"/>
  <c r="H42" i="3"/>
  <c r="F43" i="3"/>
  <c r="E43" i="3"/>
  <c r="G43" i="3"/>
  <c r="H43" i="3"/>
  <c r="F44" i="3"/>
  <c r="E44" i="3"/>
  <c r="G44" i="3"/>
  <c r="H44" i="3"/>
  <c r="F45" i="3"/>
  <c r="E45" i="3"/>
  <c r="G45" i="3"/>
  <c r="H45" i="3"/>
  <c r="F46" i="3"/>
  <c r="E46" i="3"/>
  <c r="G46" i="3"/>
  <c r="H46" i="3"/>
  <c r="F47" i="3"/>
  <c r="E47" i="3"/>
  <c r="G47" i="3"/>
  <c r="H47" i="3"/>
  <c r="F48" i="3"/>
  <c r="E48" i="3"/>
  <c r="G48" i="3"/>
  <c r="H48" i="3"/>
  <c r="F49" i="3"/>
  <c r="E49" i="3"/>
  <c r="G49" i="3"/>
  <c r="H49" i="3"/>
  <c r="F50" i="3"/>
  <c r="E50" i="3"/>
  <c r="G50" i="3"/>
  <c r="H50" i="3"/>
  <c r="F51" i="3"/>
  <c r="E51" i="3"/>
  <c r="G51" i="3"/>
  <c r="H51" i="3"/>
  <c r="F52" i="3"/>
  <c r="E52" i="3"/>
  <c r="G52" i="3"/>
  <c r="H52" i="3"/>
  <c r="F53" i="3"/>
  <c r="E53" i="3"/>
  <c r="G53" i="3"/>
  <c r="H53" i="3"/>
  <c r="F54" i="3"/>
  <c r="E54" i="3"/>
  <c r="G54" i="3"/>
  <c r="H54" i="3"/>
  <c r="F55" i="3"/>
  <c r="E55" i="3"/>
  <c r="G55" i="3"/>
  <c r="H55" i="3"/>
  <c r="F56" i="3"/>
  <c r="E56" i="3"/>
  <c r="G56" i="3"/>
  <c r="H56" i="3"/>
  <c r="F57" i="3"/>
  <c r="E57" i="3"/>
  <c r="G57" i="3"/>
  <c r="H57" i="3"/>
  <c r="F58" i="3"/>
  <c r="E58" i="3"/>
  <c r="G58" i="3"/>
  <c r="H58" i="3"/>
  <c r="F59" i="3"/>
  <c r="E59" i="3"/>
  <c r="G59" i="3"/>
  <c r="H59" i="3"/>
  <c r="F60" i="3"/>
  <c r="E60" i="3"/>
  <c r="G60" i="3"/>
  <c r="H60" i="3"/>
  <c r="F61" i="3"/>
  <c r="E61" i="3"/>
  <c r="G61" i="3"/>
  <c r="H61" i="3"/>
  <c r="F62" i="3"/>
  <c r="E62" i="3"/>
  <c r="G62" i="3"/>
  <c r="H62" i="3"/>
  <c r="F63" i="3"/>
  <c r="E63" i="3"/>
  <c r="G63" i="3"/>
  <c r="H63" i="3"/>
  <c r="F64" i="3"/>
  <c r="E64" i="3"/>
  <c r="G64" i="3"/>
  <c r="H64" i="3"/>
  <c r="F65" i="3"/>
  <c r="E65" i="3"/>
  <c r="G65" i="3"/>
  <c r="H65" i="3"/>
  <c r="F66" i="3"/>
  <c r="E66" i="3"/>
  <c r="G66" i="3"/>
  <c r="H66" i="3"/>
  <c r="F67" i="3"/>
  <c r="E67" i="3"/>
  <c r="G67" i="3"/>
  <c r="H67" i="3"/>
  <c r="F68" i="3"/>
  <c r="E68" i="3"/>
  <c r="G68" i="3"/>
  <c r="H68" i="3"/>
  <c r="F69" i="3"/>
  <c r="E69" i="3"/>
  <c r="G69" i="3"/>
  <c r="H69" i="3"/>
  <c r="F70" i="3"/>
  <c r="E70" i="3"/>
  <c r="G70" i="3"/>
  <c r="H70" i="3"/>
  <c r="F71" i="3"/>
  <c r="E71" i="3"/>
  <c r="G71" i="3"/>
  <c r="H71" i="3"/>
  <c r="F2" i="3"/>
  <c r="E2" i="3"/>
  <c r="G2" i="3"/>
  <c r="G72" i="3"/>
  <c r="E72" i="3"/>
  <c r="H72" i="3"/>
  <c r="H2" i="3"/>
  <c r="I3" i="4"/>
  <c r="I4" i="4"/>
  <c r="I5" i="4"/>
  <c r="I6" i="4"/>
  <c r="I7" i="4"/>
  <c r="I8" i="4"/>
  <c r="I2" i="4"/>
  <c r="G9" i="4"/>
  <c r="F72" i="3"/>
  <c r="I12" i="14"/>
  <c r="I12" i="12"/>
  <c r="H72" i="11"/>
  <c r="I11" i="10"/>
  <c r="G78" i="15"/>
  <c r="I12" i="16"/>
  <c r="G82" i="15"/>
  <c r="H82" i="15"/>
  <c r="H78" i="15"/>
  <c r="I12" i="18"/>
  <c r="H78" i="17"/>
  <c r="G82" i="17"/>
  <c r="H82" i="17"/>
  <c r="F82" i="17"/>
  <c r="I13" i="20"/>
  <c r="H82" i="19"/>
  <c r="B8" i="1"/>
  <c r="B8" i="25"/>
  <c r="H82" i="21"/>
  <c r="BQ9" i="2"/>
  <c r="C15" i="2"/>
  <c r="C23" i="2"/>
  <c r="I14" i="34"/>
  <c r="I14" i="32"/>
  <c r="H92" i="33"/>
  <c r="M48" i="2"/>
  <c r="M62" i="2"/>
  <c r="B5" i="1"/>
  <c r="F14" i="2"/>
  <c r="M44" i="2"/>
  <c r="B7" i="1"/>
  <c r="I14" i="29"/>
  <c r="M5" i="2"/>
  <c r="I53" i="2"/>
  <c r="D49" i="2"/>
  <c r="D105" i="2"/>
  <c r="L44" i="2"/>
  <c r="L102" i="2"/>
  <c r="I14" i="27"/>
  <c r="H90" i="26"/>
  <c r="G5" i="2"/>
  <c r="D51" i="2"/>
  <c r="D109" i="2"/>
  <c r="I11" i="2"/>
  <c r="J37" i="2"/>
  <c r="J10" i="2"/>
  <c r="G48" i="2"/>
  <c r="C24" i="2"/>
  <c r="H14" i="2"/>
  <c r="J14" i="2"/>
  <c r="K14" i="2"/>
  <c r="G14" i="2"/>
  <c r="F40" i="2"/>
  <c r="F82" i="2"/>
  <c r="F54" i="2"/>
  <c r="M58" i="2"/>
  <c r="F50" i="2"/>
  <c r="F64" i="2"/>
  <c r="I14" i="2"/>
  <c r="I36" i="2"/>
  <c r="I17" i="48"/>
  <c r="G104" i="47"/>
  <c r="H2" i="47"/>
  <c r="H104" i="47"/>
  <c r="V47" i="2"/>
  <c r="V52" i="2"/>
  <c r="V53" i="2"/>
  <c r="V67" i="2"/>
  <c r="I17" i="46"/>
  <c r="G104" i="45"/>
  <c r="H2" i="45"/>
  <c r="F104" i="45"/>
  <c r="H104" i="45"/>
  <c r="H76" i="45"/>
  <c r="H104" i="43"/>
  <c r="H76" i="43"/>
  <c r="I15" i="44"/>
  <c r="U44" i="2"/>
  <c r="U32" i="2"/>
  <c r="U47" i="2"/>
  <c r="U61" i="2"/>
  <c r="U106" i="2"/>
  <c r="U107" i="2"/>
  <c r="U63" i="2"/>
  <c r="U58" i="2"/>
  <c r="T44" i="2"/>
  <c r="T32" i="2"/>
  <c r="T74" i="2"/>
  <c r="T48" i="2"/>
  <c r="T106" i="2"/>
  <c r="T62" i="2"/>
  <c r="T67" i="2"/>
  <c r="H47" i="2"/>
  <c r="H61" i="2"/>
  <c r="J48" i="2"/>
  <c r="K49" i="2"/>
  <c r="K63" i="2"/>
  <c r="K107" i="2"/>
  <c r="P44" i="2"/>
  <c r="P102" i="2"/>
  <c r="R47" i="2"/>
  <c r="R105" i="2"/>
  <c r="I15" i="42"/>
  <c r="H94" i="41"/>
  <c r="S47" i="2"/>
  <c r="S105" i="2"/>
  <c r="S44" i="2"/>
  <c r="S102" i="2"/>
  <c r="S53" i="2"/>
  <c r="S67" i="2"/>
  <c r="J102" i="2"/>
  <c r="G46" i="2"/>
  <c r="G60" i="2"/>
  <c r="E44" i="2"/>
  <c r="E102" i="2"/>
  <c r="J49" i="2"/>
  <c r="O48" i="2"/>
  <c r="O62" i="2"/>
  <c r="O106" i="2"/>
  <c r="P49" i="2"/>
  <c r="R44" i="2"/>
  <c r="R102" i="2"/>
  <c r="H36" i="2"/>
  <c r="H50" i="2"/>
  <c r="N44" i="2"/>
  <c r="P48" i="2"/>
  <c r="P106" i="2"/>
  <c r="C20" i="2"/>
  <c r="D15" i="2"/>
  <c r="D61" i="2"/>
  <c r="K40" i="2"/>
  <c r="K82" i="2"/>
  <c r="E64" i="2"/>
  <c r="C22" i="2"/>
  <c r="M49" i="2"/>
  <c r="M107" i="2"/>
  <c r="J53" i="2"/>
  <c r="K48" i="2"/>
  <c r="K62" i="2"/>
  <c r="Q49" i="2"/>
  <c r="Q107" i="2"/>
  <c r="R35" i="2"/>
  <c r="R77" i="2"/>
  <c r="BP35" i="2"/>
  <c r="BR35" i="2"/>
  <c r="H94" i="39"/>
  <c r="I14" i="38"/>
  <c r="H94" i="37"/>
  <c r="R67" i="2"/>
  <c r="R61" i="2"/>
  <c r="E58" i="2"/>
  <c r="K106" i="2"/>
  <c r="G104" i="2"/>
  <c r="P62" i="2"/>
  <c r="J36" i="2"/>
  <c r="J78" i="2"/>
  <c r="F108" i="2"/>
  <c r="K54" i="2"/>
  <c r="K68" i="2"/>
  <c r="K112" i="2"/>
  <c r="H105" i="2"/>
  <c r="D24" i="2"/>
  <c r="I5" i="2"/>
  <c r="M47" i="2"/>
  <c r="M61" i="2"/>
  <c r="I50" i="2"/>
  <c r="I108" i="2"/>
  <c r="C26" i="2"/>
  <c r="M63" i="2"/>
  <c r="C4" i="1"/>
  <c r="B4" i="1"/>
  <c r="B4" i="25"/>
  <c r="D45" i="2"/>
  <c r="L47" i="2"/>
  <c r="K5" i="2"/>
  <c r="N48" i="2"/>
  <c r="N106" i="2"/>
  <c r="O46" i="2"/>
  <c r="D66" i="2"/>
  <c r="C5" i="1"/>
  <c r="C6" i="1"/>
  <c r="J5" i="2"/>
  <c r="B6" i="1"/>
  <c r="B6" i="25"/>
  <c r="E49" i="2"/>
  <c r="E107" i="2"/>
  <c r="J46" i="2"/>
  <c r="P47" i="2"/>
  <c r="P105" i="2"/>
  <c r="P61" i="2"/>
  <c r="Q106" i="2"/>
  <c r="Q62" i="2"/>
  <c r="Q44" i="2"/>
  <c r="Q53" i="2"/>
  <c r="Q67" i="2"/>
  <c r="D107" i="2"/>
  <c r="D63" i="2"/>
  <c r="O44" i="2"/>
  <c r="O102" i="2"/>
  <c r="P46" i="2"/>
  <c r="P107" i="2"/>
  <c r="P63" i="2"/>
  <c r="BQ7" i="2"/>
  <c r="O5" i="2"/>
  <c r="M14" i="2"/>
  <c r="N14" i="2"/>
  <c r="G40" i="2"/>
  <c r="L14" i="2"/>
  <c r="G106" i="2"/>
  <c r="G62" i="2"/>
  <c r="G54" i="2"/>
  <c r="G112" i="2"/>
  <c r="L58" i="2"/>
  <c r="E52" i="2"/>
  <c r="E66" i="2"/>
  <c r="L46" i="2"/>
  <c r="E59" i="2"/>
  <c r="D26" i="2"/>
  <c r="D20" i="2"/>
  <c r="H44" i="2"/>
  <c r="H102" i="2"/>
  <c r="I44" i="2"/>
  <c r="I58" i="2"/>
  <c r="I47" i="2"/>
  <c r="I105" i="2"/>
  <c r="F48" i="2"/>
  <c r="N62" i="2"/>
  <c r="K37" i="2"/>
  <c r="K79" i="2"/>
  <c r="H46" i="2"/>
  <c r="H60" i="2"/>
  <c r="I46" i="2"/>
  <c r="I104" i="2"/>
  <c r="D104" i="2"/>
  <c r="F5" i="2"/>
  <c r="J104" i="2"/>
  <c r="J60" i="2"/>
  <c r="C18" i="2"/>
  <c r="C21" i="2"/>
  <c r="C19" i="2"/>
  <c r="C25" i="2"/>
  <c r="F109" i="2"/>
  <c r="F65" i="2"/>
  <c r="F53" i="2"/>
  <c r="F67" i="2"/>
  <c r="N47" i="2"/>
  <c r="O47" i="2"/>
  <c r="O105" i="2"/>
  <c r="P58" i="2"/>
  <c r="G50" i="2"/>
  <c r="G108" i="2"/>
  <c r="H5" i="2"/>
  <c r="E54" i="2"/>
  <c r="F47" i="2"/>
  <c r="F61" i="2"/>
  <c r="F46" i="2"/>
  <c r="C8" i="1"/>
  <c r="D6" i="1"/>
  <c r="D7" i="1"/>
  <c r="D44" i="2"/>
  <c r="E41" i="2"/>
  <c r="G53" i="2"/>
  <c r="G67" i="2"/>
  <c r="I67" i="2"/>
  <c r="K46" i="2"/>
  <c r="N49" i="2"/>
  <c r="N63" i="2"/>
  <c r="O49" i="2"/>
  <c r="O107" i="2"/>
  <c r="M102" i="2"/>
  <c r="I14" i="36"/>
  <c r="V66" i="2"/>
  <c r="V105" i="2"/>
  <c r="V61" i="2"/>
  <c r="V46" i="2"/>
  <c r="U105" i="2"/>
  <c r="U102" i="2"/>
  <c r="O58" i="2"/>
  <c r="S61" i="2"/>
  <c r="S48" i="2"/>
  <c r="S58" i="2"/>
  <c r="S49" i="2"/>
  <c r="Q63" i="2"/>
  <c r="N102" i="2"/>
  <c r="G64" i="2"/>
  <c r="R49" i="2"/>
  <c r="M105" i="2"/>
  <c r="O104" i="2"/>
  <c r="O60" i="2"/>
  <c r="D59" i="2"/>
  <c r="D103" i="2"/>
  <c r="F52" i="2"/>
  <c r="E63" i="2"/>
  <c r="Q102" i="2"/>
  <c r="Q58" i="2"/>
  <c r="I60" i="2"/>
  <c r="O63" i="2"/>
  <c r="O61" i="2"/>
  <c r="F45" i="2"/>
  <c r="E7" i="1"/>
  <c r="F63" i="2"/>
  <c r="L40" i="2"/>
  <c r="L82" i="2"/>
  <c r="K60" i="2"/>
  <c r="K104" i="2"/>
  <c r="E112" i="2"/>
  <c r="I102" i="2"/>
  <c r="F105" i="2"/>
  <c r="H104" i="2"/>
  <c r="H58" i="2"/>
  <c r="N107" i="2"/>
  <c r="D58" i="2"/>
  <c r="D102" i="2"/>
  <c r="E68" i="2"/>
  <c r="G52" i="2"/>
  <c r="F66" i="2"/>
  <c r="P104" i="2"/>
  <c r="P60" i="2"/>
  <c r="V104" i="2"/>
  <c r="R107" i="2"/>
  <c r="R63" i="2"/>
  <c r="G66" i="2"/>
  <c r="F103" i="2"/>
  <c r="F59" i="2"/>
  <c r="L54" i="2"/>
  <c r="L112" i="2"/>
  <c r="L68" i="2"/>
  <c r="I18" i="64"/>
  <c r="G104" i="63"/>
  <c r="H2" i="63"/>
  <c r="H104" i="63"/>
  <c r="AE45" i="2"/>
  <c r="AE46" i="2"/>
  <c r="AE47" i="2"/>
  <c r="AE61" i="2"/>
  <c r="AE62" i="2"/>
  <c r="AE54" i="2"/>
  <c r="AE52" i="2"/>
  <c r="AE65" i="2"/>
  <c r="AD45" i="2"/>
  <c r="AD103" i="2"/>
  <c r="AD46" i="2"/>
  <c r="AD47" i="2"/>
  <c r="AD48" i="2"/>
  <c r="AD49" i="2"/>
  <c r="AD54" i="2"/>
  <c r="AD15" i="2"/>
  <c r="AD62" i="2"/>
  <c r="AD63" i="2"/>
  <c r="AD41" i="2"/>
  <c r="AD59" i="2"/>
  <c r="AD67" i="2"/>
  <c r="AC49" i="2"/>
  <c r="AC63" i="2"/>
  <c r="I18" i="62"/>
  <c r="G104" i="61"/>
  <c r="H2" i="61"/>
  <c r="H104" i="61"/>
  <c r="AC45" i="2"/>
  <c r="AC103" i="2"/>
  <c r="AC46" i="2"/>
  <c r="AC104" i="2"/>
  <c r="AC47" i="2"/>
  <c r="AC107" i="2"/>
  <c r="AC54" i="2"/>
  <c r="AC59" i="2"/>
  <c r="AC52" i="2"/>
  <c r="AC53" i="2"/>
  <c r="I18" i="60"/>
  <c r="G104" i="59"/>
  <c r="H2" i="59"/>
  <c r="H104" i="59"/>
  <c r="AB44" i="2"/>
  <c r="AB45" i="2"/>
  <c r="AB103" i="2"/>
  <c r="AB46" i="2"/>
  <c r="AB47" i="2"/>
  <c r="AB107" i="2"/>
  <c r="AB63" i="2"/>
  <c r="AB59" i="2"/>
  <c r="AB52" i="2"/>
  <c r="AB53" i="2"/>
  <c r="AB67" i="2"/>
  <c r="AA44" i="2"/>
  <c r="AA102" i="2"/>
  <c r="AA45" i="2"/>
  <c r="AA103" i="2"/>
  <c r="AA46" i="2"/>
  <c r="AA47" i="2"/>
  <c r="AA48" i="2"/>
  <c r="AA49" i="2"/>
  <c r="AA58" i="2"/>
  <c r="AA59" i="2"/>
  <c r="AA52" i="2"/>
  <c r="AA53" i="2"/>
  <c r="I18" i="58"/>
  <c r="G104" i="57"/>
  <c r="H2" i="57"/>
  <c r="H104" i="57"/>
  <c r="I18" i="56"/>
  <c r="G104" i="55"/>
  <c r="H2" i="55"/>
  <c r="H104" i="55"/>
  <c r="Z44" i="2"/>
  <c r="Z45" i="2"/>
  <c r="Z59" i="2"/>
  <c r="Z103" i="2"/>
  <c r="Z46" i="2"/>
  <c r="Z47" i="2"/>
  <c r="Z106" i="2"/>
  <c r="Z62" i="2"/>
  <c r="Z40" i="2"/>
  <c r="Z82" i="2"/>
  <c r="Z58" i="2"/>
  <c r="Z52" i="2"/>
  <c r="Z53" i="2"/>
  <c r="Z67" i="2"/>
  <c r="Y45" i="2"/>
  <c r="Y103" i="2"/>
  <c r="Y46" i="2"/>
  <c r="Y60" i="2"/>
  <c r="Y47" i="2"/>
  <c r="Y105" i="2"/>
  <c r="Y48" i="2"/>
  <c r="Y49" i="2"/>
  <c r="Y40" i="2"/>
  <c r="Y82" i="2"/>
  <c r="I3" i="54"/>
  <c r="C18" i="54"/>
  <c r="F18" i="54"/>
  <c r="I5" i="54"/>
  <c r="I6" i="54"/>
  <c r="I7" i="54"/>
  <c r="I8" i="54"/>
  <c r="I9" i="54"/>
  <c r="I10" i="54"/>
  <c r="I11" i="54"/>
  <c r="I12" i="54"/>
  <c r="I13" i="54"/>
  <c r="I14" i="54"/>
  <c r="G104" i="53"/>
  <c r="H2" i="53"/>
  <c r="H104" i="53"/>
  <c r="I18" i="52"/>
  <c r="G104" i="51"/>
  <c r="H2" i="51"/>
  <c r="H104" i="51"/>
  <c r="Y62" i="2"/>
  <c r="Y59" i="2"/>
  <c r="W40" i="2"/>
  <c r="W82" i="2"/>
  <c r="X40" i="2"/>
  <c r="X82" i="2"/>
  <c r="I17" i="50"/>
  <c r="G104" i="49"/>
  <c r="H2" i="49"/>
  <c r="H104" i="49"/>
  <c r="X45" i="2"/>
  <c r="X103" i="2"/>
  <c r="X46" i="2"/>
  <c r="X60" i="2"/>
  <c r="X47" i="2"/>
  <c r="X105" i="2"/>
  <c r="X62" i="2"/>
  <c r="X63" i="2"/>
  <c r="X61" i="2"/>
  <c r="X52" i="2"/>
  <c r="X66" i="2"/>
  <c r="X53" i="2"/>
  <c r="X67" i="2"/>
  <c r="W45" i="2"/>
  <c r="W103" i="2"/>
  <c r="W46" i="2"/>
  <c r="W104" i="2"/>
  <c r="W47" i="2"/>
  <c r="W105" i="2"/>
  <c r="W48" i="2"/>
  <c r="W106" i="2"/>
  <c r="W49" i="2"/>
  <c r="W107" i="2"/>
  <c r="W54" i="2"/>
  <c r="W112" i="2"/>
  <c r="AE66" i="2"/>
  <c r="AE68" i="2"/>
  <c r="AE60" i="2"/>
  <c r="AD68" i="2"/>
  <c r="AD61" i="2"/>
  <c r="AD60" i="2"/>
  <c r="AD23" i="2"/>
  <c r="AC67" i="2"/>
  <c r="AC66" i="2"/>
  <c r="AC112" i="2"/>
  <c r="AC68" i="2"/>
  <c r="AC105" i="2"/>
  <c r="AC61" i="2"/>
  <c r="AB66" i="2"/>
  <c r="AB54" i="2"/>
  <c r="AB105" i="2"/>
  <c r="AB61" i="2"/>
  <c r="AB104" i="2"/>
  <c r="AB60" i="2"/>
  <c r="AA67" i="2"/>
  <c r="AA66" i="2"/>
  <c r="AA54" i="2"/>
  <c r="AA107" i="2"/>
  <c r="AA63" i="2"/>
  <c r="AA106" i="2"/>
  <c r="AA62" i="2"/>
  <c r="AA105" i="2"/>
  <c r="AA61" i="2"/>
  <c r="AA104" i="2"/>
  <c r="AA60" i="2"/>
  <c r="Z66" i="2"/>
  <c r="Z54" i="2"/>
  <c r="Z112" i="2"/>
  <c r="Z104" i="2"/>
  <c r="Z60" i="2"/>
  <c r="Z102" i="2"/>
  <c r="X104" i="2"/>
  <c r="Y54" i="2"/>
  <c r="Y112" i="2"/>
  <c r="Y106" i="2"/>
  <c r="Y104" i="2"/>
  <c r="I4" i="54"/>
  <c r="G18" i="54"/>
  <c r="H18" i="54"/>
  <c r="I18" i="54"/>
  <c r="I2" i="54"/>
  <c r="Y66" i="2"/>
  <c r="Y61" i="2"/>
  <c r="X54" i="2"/>
  <c r="X112" i="2"/>
  <c r="W68" i="2"/>
  <c r="W63" i="2"/>
  <c r="W61" i="2"/>
  <c r="W60" i="2"/>
  <c r="W59" i="2"/>
  <c r="AB112" i="2"/>
  <c r="AB68" i="2"/>
  <c r="AA112" i="2"/>
  <c r="AA68" i="2"/>
  <c r="Z68" i="2"/>
  <c r="Y68" i="2"/>
  <c r="X68" i="2"/>
  <c r="I18" i="84"/>
  <c r="G104" i="83"/>
  <c r="H2" i="83"/>
  <c r="H104" i="83"/>
  <c r="AO72" i="2"/>
  <c r="AO73" i="2"/>
  <c r="AO80" i="2"/>
  <c r="AO66" i="2"/>
  <c r="AO81" i="2"/>
  <c r="AO67" i="2"/>
  <c r="H38" i="2"/>
  <c r="H48" i="2"/>
  <c r="G47" i="2"/>
  <c r="C72" i="2"/>
  <c r="J47" i="2"/>
  <c r="J38" i="2"/>
  <c r="K44" i="2"/>
  <c r="K47" i="2"/>
  <c r="K38" i="2"/>
  <c r="L49" i="2"/>
  <c r="D72" i="2"/>
  <c r="M46" i="2"/>
  <c r="M104" i="2"/>
  <c r="M38" i="2"/>
  <c r="M52" i="2"/>
  <c r="M66" i="2"/>
  <c r="Q46" i="2"/>
  <c r="Q47" i="2"/>
  <c r="Q38" i="2"/>
  <c r="R34" i="2"/>
  <c r="T47" i="2"/>
  <c r="T38" i="2"/>
  <c r="V49" i="2"/>
  <c r="V4" i="2"/>
  <c r="Z49" i="2"/>
  <c r="AN37" i="2"/>
  <c r="BO81" i="2"/>
  <c r="AL4" i="2"/>
  <c r="AN91" i="2" a="1"/>
  <c r="AN91" i="2"/>
  <c r="AN44" i="2"/>
  <c r="AN45" i="2"/>
  <c r="AN103" i="2"/>
  <c r="AN46" i="2"/>
  <c r="AN104" i="2"/>
  <c r="AN47" i="2"/>
  <c r="AN105" i="2"/>
  <c r="AN48" i="2"/>
  <c r="AN106" i="2"/>
  <c r="AN49" i="2"/>
  <c r="AN107" i="2"/>
  <c r="AN54" i="2"/>
  <c r="AN112" i="2"/>
  <c r="AN72" i="2"/>
  <c r="BP39" i="2"/>
  <c r="BR39" i="2"/>
  <c r="AN53" i="2"/>
  <c r="AN81" i="2"/>
  <c r="AN67" i="2"/>
  <c r="C7" i="25"/>
  <c r="B7" i="25"/>
  <c r="B7" i="30"/>
  <c r="G104" i="82"/>
  <c r="H2" i="82"/>
  <c r="H104" i="82"/>
  <c r="I18" i="81"/>
  <c r="AN61" i="2"/>
  <c r="AN79" i="2"/>
  <c r="AN59" i="2"/>
  <c r="AN63" i="2"/>
  <c r="BQ14" i="2"/>
  <c r="BQ6" i="2"/>
  <c r="AN66" i="2"/>
  <c r="AN58" i="2"/>
  <c r="H49" i="2"/>
  <c r="G49" i="2"/>
  <c r="Z105" i="2"/>
  <c r="Z61" i="2"/>
  <c r="U74" i="2"/>
  <c r="AB102" i="2"/>
  <c r="F106" i="2"/>
  <c r="F62" i="2"/>
  <c r="E62" i="2"/>
  <c r="E106" i="2"/>
  <c r="Y107" i="2"/>
  <c r="Y63" i="2"/>
  <c r="AD19" i="2"/>
  <c r="AD18" i="2"/>
  <c r="AD20" i="2"/>
  <c r="AD22" i="2"/>
  <c r="AD25" i="2"/>
  <c r="AD21" i="2"/>
  <c r="AD26" i="2"/>
  <c r="AD24" i="2"/>
  <c r="AE103" i="2"/>
  <c r="AE59" i="2"/>
  <c r="J51" i="2"/>
  <c r="J109" i="2"/>
  <c r="G61" i="2"/>
  <c r="G105" i="2"/>
  <c r="L62" i="2"/>
  <c r="L106" i="2"/>
  <c r="AC60" i="2"/>
  <c r="AB58" i="2"/>
  <c r="I37" i="2"/>
  <c r="H64" i="2"/>
  <c r="H108" i="2"/>
  <c r="T80" i="2"/>
  <c r="T52" i="2"/>
  <c r="T66" i="2"/>
  <c r="T31" i="2"/>
  <c r="W62" i="2"/>
  <c r="X59" i="2"/>
  <c r="H15" i="2"/>
  <c r="H45" i="2"/>
  <c r="I45" i="2"/>
  <c r="G6" i="1"/>
  <c r="J106" i="2"/>
  <c r="J62" i="2"/>
  <c r="O14" i="2"/>
  <c r="M40" i="2"/>
  <c r="M54" i="2"/>
  <c r="M112" i="2"/>
  <c r="L105" i="2"/>
  <c r="L61" i="2"/>
  <c r="F60" i="2"/>
  <c r="F104" i="2"/>
  <c r="N61" i="2"/>
  <c r="N105" i="2"/>
  <c r="D22" i="2"/>
  <c r="D19" i="2"/>
  <c r="I78" i="2"/>
  <c r="I64" i="2"/>
  <c r="F112" i="2"/>
  <c r="F68" i="2"/>
  <c r="J40" i="2"/>
  <c r="B5" i="25"/>
  <c r="B5" i="30"/>
  <c r="B9" i="1"/>
  <c r="X4" i="2"/>
  <c r="AC48" i="2"/>
  <c r="AB48" i="2"/>
  <c r="AE4" i="2"/>
  <c r="I61" i="2"/>
  <c r="R58" i="2"/>
  <c r="S106" i="2"/>
  <c r="S62" i="2"/>
  <c r="D25" i="2"/>
  <c r="T58" i="2"/>
  <c r="T102" i="2"/>
  <c r="G15" i="2"/>
  <c r="G21" i="2"/>
  <c r="G45" i="2"/>
  <c r="S107" i="2"/>
  <c r="S63" i="2"/>
  <c r="D23" i="2"/>
  <c r="L60" i="2"/>
  <c r="L104" i="2"/>
  <c r="K45" i="2"/>
  <c r="J63" i="2"/>
  <c r="J107" i="2"/>
  <c r="J79" i="2"/>
  <c r="J65" i="2"/>
  <c r="D79" i="2"/>
  <c r="D65" i="2"/>
  <c r="J15" i="2"/>
  <c r="H81" i="2"/>
  <c r="H53" i="2"/>
  <c r="H67" i="2"/>
  <c r="N5" i="2"/>
  <c r="N38" i="2"/>
  <c r="N80" i="2"/>
  <c r="U46" i="2"/>
  <c r="E46" i="2"/>
  <c r="F44" i="2"/>
  <c r="G44" i="2"/>
  <c r="E81" i="2"/>
  <c r="E53" i="2"/>
  <c r="E67" i="2"/>
  <c r="M80" i="2"/>
  <c r="M31" i="2"/>
  <c r="N72" i="2"/>
  <c r="N58" i="2"/>
  <c r="P81" i="2"/>
  <c r="P53" i="2"/>
  <c r="AK4" i="2"/>
  <c r="G8" i="1"/>
  <c r="E8" i="1"/>
  <c r="C8" i="25"/>
  <c r="E6" i="1"/>
  <c r="C6" i="25"/>
  <c r="G5" i="1"/>
  <c r="F7" i="1"/>
  <c r="R48" i="2"/>
  <c r="T46" i="2"/>
  <c r="E5" i="1"/>
  <c r="C5" i="25"/>
  <c r="D5" i="1"/>
  <c r="N46" i="2"/>
  <c r="C27" i="2"/>
  <c r="G82" i="2"/>
  <c r="G68" i="2"/>
  <c r="J45" i="2"/>
  <c r="P67" i="2"/>
  <c r="I40" i="2"/>
  <c r="I54" i="2"/>
  <c r="I112" i="2"/>
  <c r="H40" i="2"/>
  <c r="M106" i="2"/>
  <c r="G20" i="2"/>
  <c r="H37" i="2"/>
  <c r="G51" i="2"/>
  <c r="E47" i="2"/>
  <c r="I15" i="2"/>
  <c r="I49" i="2"/>
  <c r="E72" i="2"/>
  <c r="F81" i="2"/>
  <c r="F41" i="2"/>
  <c r="L5" i="2"/>
  <c r="L81" i="2"/>
  <c r="L53" i="2"/>
  <c r="T49" i="2"/>
  <c r="V74" i="2"/>
  <c r="V60" i="2"/>
  <c r="AF10" i="2"/>
  <c r="AE36" i="2"/>
  <c r="M60" i="2"/>
  <c r="G4" i="1"/>
  <c r="G41" i="2"/>
  <c r="E4" i="1"/>
  <c r="C4" i="25"/>
  <c r="F4" i="1"/>
  <c r="F15" i="2"/>
  <c r="F19" i="2"/>
  <c r="F8" i="1"/>
  <c r="F5" i="1"/>
  <c r="E15" i="2"/>
  <c r="I48" i="2"/>
  <c r="N40" i="2"/>
  <c r="D4" i="1"/>
  <c r="R32" i="2"/>
  <c r="H78" i="2"/>
  <c r="H41" i="2"/>
  <c r="G26" i="2"/>
  <c r="K10" i="2"/>
  <c r="J50" i="2"/>
  <c r="D18" i="2"/>
  <c r="D82" i="2"/>
  <c r="D54" i="2"/>
  <c r="D112" i="2"/>
  <c r="E79" i="2"/>
  <c r="E65" i="2"/>
  <c r="L11" i="2"/>
  <c r="K51" i="2"/>
  <c r="K53" i="2"/>
  <c r="K81" i="2"/>
  <c r="K67" i="2"/>
  <c r="O67" i="2"/>
  <c r="O81" i="2"/>
  <c r="P38" i="2"/>
  <c r="P5" i="2"/>
  <c r="R38" i="2"/>
  <c r="Y81" i="2"/>
  <c r="Y53" i="2"/>
  <c r="Y67" i="2"/>
  <c r="L38" i="2"/>
  <c r="I38" i="2"/>
  <c r="S32" i="2"/>
  <c r="T5" i="2"/>
  <c r="U38" i="2"/>
  <c r="AC4" i="2"/>
  <c r="AI48" i="2"/>
  <c r="N53" i="2"/>
  <c r="N81" i="2"/>
  <c r="V31" i="2"/>
  <c r="V80" i="2"/>
  <c r="G7" i="1"/>
  <c r="F6" i="1"/>
  <c r="G24" i="2"/>
  <c r="D21" i="2"/>
  <c r="D8" i="1"/>
  <c r="C7" i="1"/>
  <c r="I52" i="2"/>
  <c r="D50" i="2"/>
  <c r="K15" i="2"/>
  <c r="R5" i="2"/>
  <c r="J67" i="2"/>
  <c r="D41" i="2"/>
  <c r="U53" i="2"/>
  <c r="U67" i="2"/>
  <c r="D86" i="2" a="1"/>
  <c r="D86" i="2"/>
  <c r="O38" i="2"/>
  <c r="S38" i="2"/>
  <c r="V48" i="2"/>
  <c r="BP33" i="2"/>
  <c r="BR33" i="2"/>
  <c r="W75" i="2"/>
  <c r="W53" i="2"/>
  <c r="W67" i="2"/>
  <c r="W81" i="2"/>
  <c r="AE49" i="2"/>
  <c r="AE63" i="2"/>
  <c r="AD52" i="2"/>
  <c r="AD66" i="2"/>
  <c r="AH48" i="2"/>
  <c r="AH53" i="2"/>
  <c r="AH67" i="2"/>
  <c r="AH81" i="2"/>
  <c r="AF48" i="2"/>
  <c r="AL49" i="2"/>
  <c r="B6" i="30"/>
  <c r="B8" i="30"/>
  <c r="B4" i="30"/>
  <c r="E87" i="2" a="1"/>
  <c r="E87" i="2"/>
  <c r="F87" i="2" a="1"/>
  <c r="F87" i="2"/>
  <c r="G87" i="2" a="1"/>
  <c r="G87" i="2"/>
  <c r="D87" i="2" a="1"/>
  <c r="D87" i="2"/>
  <c r="D96" i="2" a="1"/>
  <c r="D96" i="2"/>
  <c r="D93" i="2" a="1"/>
  <c r="D93" i="2"/>
  <c r="D92" i="2" a="1"/>
  <c r="D92" i="2"/>
  <c r="D91" i="2" a="1"/>
  <c r="D91" i="2"/>
  <c r="E91" i="2" a="1"/>
  <c r="E91" i="2"/>
  <c r="F91" i="2" a="1"/>
  <c r="F91" i="2"/>
  <c r="G91" i="2" a="1"/>
  <c r="G91" i="2"/>
  <c r="H91" i="2" a="1"/>
  <c r="H91" i="2"/>
  <c r="I91" i="2" a="1"/>
  <c r="I91" i="2"/>
  <c r="J91" i="2" a="1"/>
  <c r="J91" i="2"/>
  <c r="K91" i="2" a="1"/>
  <c r="K91" i="2"/>
  <c r="L91" i="2" a="1"/>
  <c r="L91" i="2"/>
  <c r="M91" i="2" a="1"/>
  <c r="M91" i="2"/>
  <c r="N91" i="2" a="1"/>
  <c r="N91" i="2"/>
  <c r="O91" i="2" a="1"/>
  <c r="O91" i="2"/>
  <c r="P91" i="2" a="1"/>
  <c r="P91" i="2"/>
  <c r="Q91" i="2" a="1"/>
  <c r="Q91" i="2"/>
  <c r="R91" i="2" a="1"/>
  <c r="R91" i="2"/>
  <c r="D90" i="2" a="1"/>
  <c r="D90" i="2"/>
  <c r="E90" i="2" a="1"/>
  <c r="E90" i="2"/>
  <c r="F90" i="2" a="1"/>
  <c r="F90" i="2"/>
  <c r="G90" i="2" a="1"/>
  <c r="G90" i="2"/>
  <c r="H90" i="2" a="1"/>
  <c r="H90" i="2"/>
  <c r="I90" i="2" a="1"/>
  <c r="I90" i="2"/>
  <c r="J90" i="2" a="1"/>
  <c r="J90" i="2"/>
  <c r="K90" i="2" a="1"/>
  <c r="K90" i="2"/>
  <c r="L90" i="2" a="1"/>
  <c r="L90" i="2"/>
  <c r="M90" i="2" a="1"/>
  <c r="M90" i="2"/>
  <c r="N90" i="2" a="1"/>
  <c r="N90" i="2"/>
  <c r="O90" i="2" a="1"/>
  <c r="O90" i="2"/>
  <c r="P90" i="2" a="1"/>
  <c r="P90" i="2"/>
  <c r="Q90" i="2" a="1"/>
  <c r="Q90" i="2"/>
  <c r="R90" i="2" a="1"/>
  <c r="R90" i="2"/>
  <c r="D89" i="2" a="1"/>
  <c r="D89" i="2"/>
  <c r="E89" i="2" a="1"/>
  <c r="E89" i="2"/>
  <c r="F89" i="2" a="1"/>
  <c r="F89" i="2"/>
  <c r="G89" i="2" a="1"/>
  <c r="G89" i="2"/>
  <c r="H89" i="2" a="1"/>
  <c r="H89" i="2"/>
  <c r="I89" i="2" a="1"/>
  <c r="I89" i="2"/>
  <c r="J89" i="2" a="1"/>
  <c r="J89" i="2"/>
  <c r="K89" i="2" a="1"/>
  <c r="K89" i="2"/>
  <c r="L89" i="2" a="1"/>
  <c r="L89" i="2"/>
  <c r="M89" i="2" a="1"/>
  <c r="M89" i="2"/>
  <c r="N89" i="2" a="1"/>
  <c r="N89" i="2"/>
  <c r="O89" i="2" a="1"/>
  <c r="O89" i="2"/>
  <c r="P89" i="2" a="1"/>
  <c r="P89" i="2"/>
  <c r="Q89" i="2" a="1"/>
  <c r="Q89" i="2"/>
  <c r="R89" i="2" a="1"/>
  <c r="R89" i="2"/>
  <c r="S89" i="2" a="1"/>
  <c r="S89" i="2"/>
  <c r="T89" i="2" a="1"/>
  <c r="T89" i="2"/>
  <c r="U89" i="2" a="1"/>
  <c r="U89" i="2"/>
  <c r="V89" i="2" a="1"/>
  <c r="V89" i="2"/>
  <c r="W89" i="2" a="1"/>
  <c r="W89" i="2"/>
  <c r="D88" i="2" a="1"/>
  <c r="D88" i="2"/>
  <c r="E88" i="2" a="1"/>
  <c r="E88" i="2"/>
  <c r="F88" i="2" a="1"/>
  <c r="F88" i="2"/>
  <c r="G88" i="2" a="1"/>
  <c r="G88" i="2"/>
  <c r="H88" i="2" a="1"/>
  <c r="H88" i="2"/>
  <c r="I88" i="2" a="1"/>
  <c r="I88" i="2"/>
  <c r="J88" i="2" a="1"/>
  <c r="J88" i="2"/>
  <c r="K88" i="2" a="1"/>
  <c r="K88" i="2"/>
  <c r="L88" i="2" a="1"/>
  <c r="L88" i="2"/>
  <c r="M88" i="2" a="1"/>
  <c r="M88" i="2"/>
  <c r="N88" i="2" a="1"/>
  <c r="N88" i="2"/>
  <c r="O88" i="2" a="1"/>
  <c r="O88" i="2"/>
  <c r="P88" i="2" a="1"/>
  <c r="P88" i="2"/>
  <c r="Q88" i="2" a="1"/>
  <c r="Q88" i="2"/>
  <c r="R88" i="2" a="1"/>
  <c r="R88" i="2"/>
  <c r="AD112" i="2"/>
  <c r="AD107" i="2"/>
  <c r="AD106" i="2"/>
  <c r="AD105" i="2"/>
  <c r="AD104" i="2"/>
  <c r="AE112" i="2"/>
  <c r="AE105" i="2"/>
  <c r="AE104" i="2"/>
  <c r="C83" i="2"/>
  <c r="F83" i="2"/>
  <c r="AE106" i="2"/>
  <c r="AE109" i="2"/>
  <c r="AF106" i="2"/>
  <c r="AF107" i="2"/>
  <c r="AF109" i="2"/>
  <c r="AF67" i="2"/>
  <c r="AG67" i="2"/>
  <c r="AI106" i="2"/>
  <c r="AI107" i="2"/>
  <c r="BO67" i="2"/>
  <c r="AM52" i="2"/>
  <c r="AM66" i="2"/>
  <c r="AM53" i="2"/>
  <c r="AM67" i="2"/>
  <c r="AL11" i="2"/>
  <c r="AM11" i="2"/>
  <c r="AM45" i="2"/>
  <c r="AM103" i="2"/>
  <c r="AM46" i="2"/>
  <c r="AM47" i="2"/>
  <c r="AM48" i="2"/>
  <c r="AM49" i="2"/>
  <c r="AM63" i="2"/>
  <c r="AM54" i="2"/>
  <c r="G104" i="80"/>
  <c r="H2" i="80"/>
  <c r="H104" i="80"/>
  <c r="I18" i="79"/>
  <c r="AM44" i="2"/>
  <c r="AM58" i="2"/>
  <c r="AM106" i="2"/>
  <c r="AM62" i="2"/>
  <c r="I18" i="78"/>
  <c r="G104" i="77"/>
  <c r="H2" i="77"/>
  <c r="H104" i="77"/>
  <c r="AL44" i="2"/>
  <c r="AL58" i="2"/>
  <c r="AL45" i="2"/>
  <c r="AL46" i="2"/>
  <c r="AL47" i="2"/>
  <c r="AL106" i="2"/>
  <c r="AL62" i="2"/>
  <c r="AL107" i="2"/>
  <c r="AL63" i="2"/>
  <c r="AL54" i="2"/>
  <c r="AL59" i="2"/>
  <c r="AL52" i="2"/>
  <c r="AL53" i="2"/>
  <c r="G104" i="76"/>
  <c r="H2" i="76"/>
  <c r="H104" i="76"/>
  <c r="I18" i="75"/>
  <c r="AK45" i="2"/>
  <c r="AK46" i="2"/>
  <c r="AK47" i="2"/>
  <c r="AK106" i="2"/>
  <c r="AK62" i="2"/>
  <c r="AK107" i="2"/>
  <c r="AK63" i="2"/>
  <c r="AK37" i="2"/>
  <c r="AK79" i="2"/>
  <c r="AK54" i="2"/>
  <c r="AK59" i="2"/>
  <c r="AK52" i="2"/>
  <c r="AK53" i="2"/>
  <c r="AJ48" i="2"/>
  <c r="AJ49" i="2"/>
  <c r="AJ107" i="2"/>
  <c r="AJ4" i="2"/>
  <c r="I18" i="74"/>
  <c r="G104" i="73"/>
  <c r="H2" i="73"/>
  <c r="H104" i="73"/>
  <c r="AJ47" i="2"/>
  <c r="AJ106" i="2"/>
  <c r="AJ62" i="2"/>
  <c r="AJ37" i="2"/>
  <c r="AJ52" i="2"/>
  <c r="AJ53" i="2"/>
  <c r="AJ104" i="2"/>
  <c r="AJ60" i="2"/>
  <c r="AJ112" i="2"/>
  <c r="AJ68" i="2"/>
  <c r="I18" i="72"/>
  <c r="AI31" i="2"/>
  <c r="AI73" i="2"/>
  <c r="AI5" i="2"/>
  <c r="G104" i="71"/>
  <c r="H2" i="71"/>
  <c r="H104" i="71"/>
  <c r="AI44" i="2"/>
  <c r="AI58" i="2"/>
  <c r="AI45" i="2"/>
  <c r="AI103" i="2"/>
  <c r="AI46" i="2"/>
  <c r="AI47" i="2"/>
  <c r="AI61" i="2"/>
  <c r="AI37" i="2"/>
  <c r="AI79" i="2"/>
  <c r="AI59" i="2"/>
  <c r="AI62" i="2"/>
  <c r="AI63" i="2"/>
  <c r="AI52" i="2"/>
  <c r="AI53" i="2"/>
  <c r="AH37" i="2"/>
  <c r="I18" i="70"/>
  <c r="AH45" i="2"/>
  <c r="AH46" i="2"/>
  <c r="AH47" i="2"/>
  <c r="AH106" i="2"/>
  <c r="AH62" i="2"/>
  <c r="AH107" i="2"/>
  <c r="AH63" i="2"/>
  <c r="AH54" i="2"/>
  <c r="AH59" i="2"/>
  <c r="AH52" i="2"/>
  <c r="AG4" i="2"/>
  <c r="AG44" i="2"/>
  <c r="AG45" i="2"/>
  <c r="AG46" i="2"/>
  <c r="AG47" i="2"/>
  <c r="AG106" i="2"/>
  <c r="AG62" i="2"/>
  <c r="AG107" i="2"/>
  <c r="AG63" i="2"/>
  <c r="AG54" i="2"/>
  <c r="AG58" i="2"/>
  <c r="AG59" i="2"/>
  <c r="AG52" i="2"/>
  <c r="AG109" i="2"/>
  <c r="AG65" i="2"/>
  <c r="I18" i="68"/>
  <c r="G104" i="67"/>
  <c r="H2" i="67"/>
  <c r="H104" i="67"/>
  <c r="H74" i="65"/>
  <c r="G104" i="65"/>
  <c r="I18" i="66"/>
  <c r="H2" i="65"/>
  <c r="H104" i="65"/>
  <c r="AF44" i="2"/>
  <c r="AF15" i="2"/>
  <c r="AF45" i="2"/>
  <c r="AF59" i="2"/>
  <c r="AF19" i="2"/>
  <c r="AF46" i="2"/>
  <c r="AF20" i="2"/>
  <c r="AF47" i="2"/>
  <c r="AF21" i="2"/>
  <c r="AF62" i="2"/>
  <c r="AF63" i="2"/>
  <c r="AF36" i="2"/>
  <c r="AF78" i="2"/>
  <c r="AF22" i="2"/>
  <c r="AF54" i="2"/>
  <c r="AF26" i="2"/>
  <c r="AF58" i="2"/>
  <c r="AF52" i="2"/>
  <c r="AF65" i="2"/>
  <c r="AN51" i="2"/>
  <c r="AN109" i="2"/>
  <c r="AN89" i="2" a="1"/>
  <c r="AN89" i="2"/>
  <c r="D97" i="2"/>
  <c r="AG10" i="2"/>
  <c r="G109" i="2"/>
  <c r="G65" i="2"/>
  <c r="AN95" i="2" a="1"/>
  <c r="AN95" i="2"/>
  <c r="U104" i="2"/>
  <c r="U60" i="2"/>
  <c r="AN60" i="2"/>
  <c r="AN102" i="2"/>
  <c r="Z107" i="2"/>
  <c r="Z63" i="2"/>
  <c r="V44" i="2"/>
  <c r="W44" i="2"/>
  <c r="V107" i="2"/>
  <c r="V63" i="2"/>
  <c r="T105" i="2"/>
  <c r="T61" i="2"/>
  <c r="R76" i="2"/>
  <c r="BP34" i="2"/>
  <c r="BR34" i="2"/>
  <c r="Q80" i="2"/>
  <c r="Q31" i="2"/>
  <c r="Q73" i="2"/>
  <c r="Q52" i="2"/>
  <c r="Q66" i="2"/>
  <c r="Q105" i="2"/>
  <c r="Q61" i="2"/>
  <c r="Q60" i="2"/>
  <c r="Q104" i="2"/>
  <c r="L107" i="2"/>
  <c r="L63" i="2"/>
  <c r="K80" i="2"/>
  <c r="K52" i="2"/>
  <c r="K66" i="2"/>
  <c r="K105" i="2"/>
  <c r="K61" i="2"/>
  <c r="K102" i="2"/>
  <c r="K58" i="2"/>
  <c r="J80" i="2"/>
  <c r="J66" i="2"/>
  <c r="J105" i="2"/>
  <c r="J61" i="2"/>
  <c r="AN86" i="2" a="1"/>
  <c r="AN86" i="2"/>
  <c r="H106" i="2"/>
  <c r="H62" i="2"/>
  <c r="H80" i="2"/>
  <c r="H52" i="2"/>
  <c r="H66" i="2"/>
  <c r="C9" i="1"/>
  <c r="C16" i="1"/>
  <c r="C15" i="1"/>
  <c r="B15" i="1"/>
  <c r="F9" i="1"/>
  <c r="C9" i="25"/>
  <c r="C13" i="25"/>
  <c r="E9" i="1"/>
  <c r="C14" i="1"/>
  <c r="B9" i="25"/>
  <c r="B12" i="25"/>
  <c r="AN62" i="2"/>
  <c r="AN68" i="2"/>
  <c r="C12" i="1"/>
  <c r="AL37" i="2"/>
  <c r="AJ63" i="2"/>
  <c r="AM37" i="2"/>
  <c r="AF41" i="2"/>
  <c r="AH79" i="2"/>
  <c r="AJ79" i="2"/>
  <c r="AM59" i="2"/>
  <c r="AM107" i="2"/>
  <c r="AE107" i="2"/>
  <c r="S80" i="2"/>
  <c r="S31" i="2"/>
  <c r="S52" i="2"/>
  <c r="S66" i="2"/>
  <c r="K20" i="2"/>
  <c r="K24" i="2"/>
  <c r="K25" i="2"/>
  <c r="K23" i="2"/>
  <c r="K18" i="2"/>
  <c r="K26" i="2"/>
  <c r="K21" i="2"/>
  <c r="U80" i="2"/>
  <c r="U31" i="2"/>
  <c r="U52" i="2"/>
  <c r="U66" i="2"/>
  <c r="L80" i="2"/>
  <c r="L31" i="2"/>
  <c r="Q45" i="2"/>
  <c r="M11" i="2"/>
  <c r="L37" i="2"/>
  <c r="L51" i="2"/>
  <c r="L109" i="2"/>
  <c r="N11" i="2"/>
  <c r="K22" i="2"/>
  <c r="L10" i="2"/>
  <c r="K36" i="2"/>
  <c r="K50" i="2"/>
  <c r="K108" i="2"/>
  <c r="R74" i="2"/>
  <c r="BP32" i="2"/>
  <c r="BR32" i="2"/>
  <c r="R46" i="2"/>
  <c r="R104" i="2"/>
  <c r="R60" i="2"/>
  <c r="E18" i="2"/>
  <c r="E23" i="2"/>
  <c r="E24" i="2"/>
  <c r="E19" i="2"/>
  <c r="E26" i="2"/>
  <c r="E25" i="2"/>
  <c r="E22" i="2"/>
  <c r="G9" i="1"/>
  <c r="AE78" i="2"/>
  <c r="AE41" i="2"/>
  <c r="L52" i="2"/>
  <c r="L66" i="2"/>
  <c r="I25" i="2"/>
  <c r="I19" i="2"/>
  <c r="I22" i="2"/>
  <c r="I24" i="2"/>
  <c r="I20" i="2"/>
  <c r="I26" i="2"/>
  <c r="I18" i="2"/>
  <c r="E21" i="2"/>
  <c r="I6" i="1"/>
  <c r="F102" i="2"/>
  <c r="F58" i="2"/>
  <c r="F55" i="2"/>
  <c r="F113" i="2"/>
  <c r="G59" i="2"/>
  <c r="G103" i="2"/>
  <c r="AB106" i="2"/>
  <c r="AB62" i="2"/>
  <c r="B12" i="1"/>
  <c r="B14" i="1"/>
  <c r="B16" i="1"/>
  <c r="H6" i="1"/>
  <c r="I59" i="2"/>
  <c r="I103" i="2"/>
  <c r="I79" i="2"/>
  <c r="C13" i="1"/>
  <c r="O80" i="2"/>
  <c r="O31" i="2"/>
  <c r="O52" i="2"/>
  <c r="O66" i="2"/>
  <c r="D55" i="2"/>
  <c r="D108" i="2"/>
  <c r="D64" i="2"/>
  <c r="I4" i="1"/>
  <c r="N111" i="2"/>
  <c r="N67" i="2"/>
  <c r="T45" i="2"/>
  <c r="U45" i="2"/>
  <c r="P80" i="2"/>
  <c r="P52" i="2"/>
  <c r="P66" i="2"/>
  <c r="P31" i="2"/>
  <c r="P45" i="2"/>
  <c r="D9" i="1"/>
  <c r="AE50" i="2"/>
  <c r="AE108" i="2"/>
  <c r="T63" i="2"/>
  <c r="T107" i="2"/>
  <c r="L45" i="2"/>
  <c r="L15" i="2"/>
  <c r="L19" i="2"/>
  <c r="I7" i="1"/>
  <c r="E61" i="2"/>
  <c r="E105" i="2"/>
  <c r="I82" i="2"/>
  <c r="I68" i="2"/>
  <c r="E55" i="2"/>
  <c r="E20" i="2"/>
  <c r="O45" i="2"/>
  <c r="J20" i="2"/>
  <c r="J18" i="2"/>
  <c r="J24" i="2"/>
  <c r="J22" i="2"/>
  <c r="J21" i="2"/>
  <c r="J25" i="2"/>
  <c r="J26" i="2"/>
  <c r="J19" i="2"/>
  <c r="J23" i="2"/>
  <c r="K19" i="2"/>
  <c r="G19" i="2"/>
  <c r="AC106" i="2"/>
  <c r="AC62" i="2"/>
  <c r="R14" i="2"/>
  <c r="U14" i="2"/>
  <c r="T14" i="2"/>
  <c r="P14" i="2"/>
  <c r="O40" i="2"/>
  <c r="O54" i="2"/>
  <c r="O112" i="2"/>
  <c r="I5" i="1"/>
  <c r="J7" i="1"/>
  <c r="H103" i="2"/>
  <c r="H59" i="2"/>
  <c r="I51" i="2"/>
  <c r="I109" i="2"/>
  <c r="J5" i="1"/>
  <c r="H8" i="1"/>
  <c r="S74" i="2"/>
  <c r="BP74" i="2"/>
  <c r="S46" i="2"/>
  <c r="S104" i="2"/>
  <c r="D27" i="2"/>
  <c r="N82" i="2"/>
  <c r="K8" i="1"/>
  <c r="I8" i="1"/>
  <c r="L111" i="2"/>
  <c r="L67" i="2"/>
  <c r="F69" i="2"/>
  <c r="I107" i="2"/>
  <c r="I63" i="2"/>
  <c r="K4" i="1"/>
  <c r="T60" i="2"/>
  <c r="T104" i="2"/>
  <c r="K6" i="1"/>
  <c r="H5" i="1"/>
  <c r="M73" i="2"/>
  <c r="I21" i="2"/>
  <c r="E104" i="2"/>
  <c r="E60" i="2"/>
  <c r="K59" i="2"/>
  <c r="K103" i="2"/>
  <c r="K55" i="2"/>
  <c r="G25" i="2"/>
  <c r="G22" i="2"/>
  <c r="G18" i="2"/>
  <c r="G23" i="2"/>
  <c r="Y44" i="2"/>
  <c r="X44" i="2"/>
  <c r="J82" i="2"/>
  <c r="J83" i="2"/>
  <c r="J41" i="2"/>
  <c r="I41" i="2"/>
  <c r="N54" i="2"/>
  <c r="N112" i="2"/>
  <c r="H7" i="1"/>
  <c r="K7" i="1"/>
  <c r="J4" i="1"/>
  <c r="H23" i="2"/>
  <c r="H22" i="2"/>
  <c r="H20" i="2"/>
  <c r="H21" i="2"/>
  <c r="H26" i="2"/>
  <c r="H18" i="2"/>
  <c r="H24" i="2"/>
  <c r="H25" i="2"/>
  <c r="T73" i="2"/>
  <c r="T59" i="2"/>
  <c r="AD27" i="2"/>
  <c r="G107" i="2"/>
  <c r="G63" i="2"/>
  <c r="V106" i="2"/>
  <c r="V62" i="2"/>
  <c r="S45" i="2"/>
  <c r="V73" i="2"/>
  <c r="V45" i="2"/>
  <c r="V59" i="2"/>
  <c r="AD44" i="2"/>
  <c r="AC44" i="2"/>
  <c r="I80" i="2"/>
  <c r="I66" i="2"/>
  <c r="R80" i="2"/>
  <c r="R31" i="2"/>
  <c r="R52" i="2"/>
  <c r="R66" i="2"/>
  <c r="K109" i="2"/>
  <c r="K65" i="2"/>
  <c r="D68" i="2"/>
  <c r="J64" i="2"/>
  <c r="J108" i="2"/>
  <c r="I106" i="2"/>
  <c r="I62" i="2"/>
  <c r="F24" i="2"/>
  <c r="F21" i="2"/>
  <c r="F22" i="2"/>
  <c r="F20" i="2"/>
  <c r="F26" i="2"/>
  <c r="F23" i="2"/>
  <c r="F25" i="2"/>
  <c r="F18" i="2"/>
  <c r="F27" i="2"/>
  <c r="H4" i="1"/>
  <c r="J8" i="1"/>
  <c r="H79" i="2"/>
  <c r="H51" i="2"/>
  <c r="H109" i="2"/>
  <c r="H82" i="2"/>
  <c r="H54" i="2"/>
  <c r="J59" i="2"/>
  <c r="J103" i="2"/>
  <c r="N104" i="2"/>
  <c r="N60" i="2"/>
  <c r="R62" i="2"/>
  <c r="R106" i="2"/>
  <c r="G102" i="2"/>
  <c r="G55" i="2"/>
  <c r="G113" i="2"/>
  <c r="G58" i="2"/>
  <c r="M45" i="2"/>
  <c r="AE44" i="2"/>
  <c r="AE15" i="2"/>
  <c r="AE18" i="2"/>
  <c r="B13" i="1"/>
  <c r="J54" i="2"/>
  <c r="J112" i="2"/>
  <c r="M82" i="2"/>
  <c r="M68" i="2"/>
  <c r="H19" i="2"/>
  <c r="I23" i="2"/>
  <c r="H107" i="2"/>
  <c r="H63" i="2"/>
  <c r="B9" i="30"/>
  <c r="B12" i="30"/>
  <c r="AH44" i="2"/>
  <c r="AG86" i="2" a="1"/>
  <c r="AG86" i="2"/>
  <c r="AK44" i="2"/>
  <c r="AJ86" i="2" a="1"/>
  <c r="AJ86" i="2"/>
  <c r="X89" i="2" a="1"/>
  <c r="X89" i="2"/>
  <c r="Y89" i="2" a="1"/>
  <c r="Y89" i="2"/>
  <c r="Z89" i="2" a="1"/>
  <c r="Z89" i="2"/>
  <c r="AA89" i="2" a="1"/>
  <c r="AA89" i="2"/>
  <c r="AB89" i="2" a="1"/>
  <c r="AB89" i="2"/>
  <c r="AC89" i="2" a="1"/>
  <c r="AC89" i="2"/>
  <c r="AD89" i="2" a="1"/>
  <c r="AD89" i="2"/>
  <c r="AE89" i="2" a="1"/>
  <c r="AE89" i="2"/>
  <c r="AF89" i="2" a="1"/>
  <c r="AF89" i="2"/>
  <c r="AI86" i="2" a="1"/>
  <c r="AI86" i="2"/>
  <c r="AH86" i="2" a="1"/>
  <c r="AH86" i="2"/>
  <c r="AF86" i="2" a="1"/>
  <c r="AF86" i="2"/>
  <c r="AE86" i="2" a="1"/>
  <c r="AE86" i="2"/>
  <c r="AD86" i="2" a="1"/>
  <c r="AD86" i="2"/>
  <c r="AC86" i="2" a="1"/>
  <c r="AC86" i="2"/>
  <c r="AB86" i="2" a="1"/>
  <c r="AB86" i="2"/>
  <c r="AA86" i="2" a="1"/>
  <c r="AA86" i="2"/>
  <c r="Z86" i="2" a="1"/>
  <c r="Z86" i="2"/>
  <c r="Y86" i="2" a="1"/>
  <c r="Y86" i="2"/>
  <c r="X86" i="2" a="1"/>
  <c r="X86" i="2"/>
  <c r="W86" i="2" a="1"/>
  <c r="W86" i="2"/>
  <c r="V86" i="2" a="1"/>
  <c r="V86" i="2"/>
  <c r="U86" i="2" a="1"/>
  <c r="U86" i="2"/>
  <c r="T86" i="2" a="1"/>
  <c r="T86" i="2"/>
  <c r="S86" i="2" a="1"/>
  <c r="S86" i="2"/>
  <c r="R86" i="2" a="1"/>
  <c r="R86" i="2"/>
  <c r="Q86" i="2" a="1"/>
  <c r="Q86" i="2"/>
  <c r="P86" i="2" a="1"/>
  <c r="P86" i="2"/>
  <c r="O86" i="2" a="1"/>
  <c r="O86" i="2"/>
  <c r="N86" i="2" a="1"/>
  <c r="N86" i="2"/>
  <c r="M86" i="2" a="1"/>
  <c r="M86" i="2"/>
  <c r="L86" i="2" a="1"/>
  <c r="L86" i="2"/>
  <c r="K86" i="2" a="1"/>
  <c r="K86" i="2"/>
  <c r="J86" i="2" a="1"/>
  <c r="J86" i="2"/>
  <c r="I86" i="2" a="1"/>
  <c r="I86" i="2"/>
  <c r="H86" i="2" a="1"/>
  <c r="H86" i="2"/>
  <c r="G86" i="2" a="1"/>
  <c r="G86" i="2"/>
  <c r="F86" i="2" a="1"/>
  <c r="F86" i="2"/>
  <c r="E86" i="2" a="1"/>
  <c r="E86" i="2"/>
  <c r="L95" i="2" a="1"/>
  <c r="L95" i="2"/>
  <c r="M95" i="2" a="1"/>
  <c r="M95" i="2"/>
  <c r="O95" i="2" a="1"/>
  <c r="O95" i="2"/>
  <c r="P95" i="2" a="1"/>
  <c r="P95" i="2"/>
  <c r="Q95" i="2" a="1"/>
  <c r="Q95" i="2"/>
  <c r="R95" i="2" a="1"/>
  <c r="R95" i="2"/>
  <c r="S95" i="2" a="1"/>
  <c r="S95" i="2"/>
  <c r="T95" i="2" a="1"/>
  <c r="T95" i="2"/>
  <c r="U95" i="2" a="1"/>
  <c r="U95" i="2"/>
  <c r="V95" i="2" a="1"/>
  <c r="V95" i="2"/>
  <c r="W95" i="2" a="1"/>
  <c r="W95" i="2"/>
  <c r="X95" i="2" a="1"/>
  <c r="X95" i="2"/>
  <c r="Y95" i="2" a="1"/>
  <c r="Y95" i="2"/>
  <c r="Z95" i="2" a="1"/>
  <c r="Z95" i="2"/>
  <c r="AA95" i="2" a="1"/>
  <c r="AA95" i="2"/>
  <c r="AB95" i="2" a="1"/>
  <c r="AB95" i="2"/>
  <c r="AC95" i="2" a="1"/>
  <c r="AC95" i="2"/>
  <c r="AD95" i="2" a="1"/>
  <c r="AD95" i="2"/>
  <c r="AE95" i="2" a="1"/>
  <c r="AE95" i="2"/>
  <c r="AF95" i="2" a="1"/>
  <c r="AF95" i="2"/>
  <c r="AG95" i="2" a="1"/>
  <c r="AG95" i="2"/>
  <c r="AH95" i="2" a="1"/>
  <c r="AH95" i="2"/>
  <c r="AI95" i="2" a="1"/>
  <c r="AI95" i="2"/>
  <c r="AJ95" i="2" a="1"/>
  <c r="AJ95" i="2"/>
  <c r="AK95" i="2" a="1"/>
  <c r="AK95" i="2"/>
  <c r="AL95" i="2" a="1"/>
  <c r="AL95" i="2"/>
  <c r="H87" i="2" a="1"/>
  <c r="H87" i="2"/>
  <c r="I87" i="2" a="1"/>
  <c r="I87" i="2"/>
  <c r="J87" i="2" a="1"/>
  <c r="J87" i="2"/>
  <c r="K87" i="2" a="1"/>
  <c r="K87" i="2"/>
  <c r="L87" i="2" a="1"/>
  <c r="L87" i="2"/>
  <c r="E92" i="2" a="1"/>
  <c r="E92" i="2"/>
  <c r="F92" i="2" a="1"/>
  <c r="F92" i="2"/>
  <c r="G92" i="2" a="1"/>
  <c r="G92" i="2"/>
  <c r="H92" i="2" a="1"/>
  <c r="H92" i="2"/>
  <c r="I92" i="2" a="1"/>
  <c r="I92" i="2"/>
  <c r="J92" i="2" a="1"/>
  <c r="J92" i="2"/>
  <c r="K92" i="2" a="1"/>
  <c r="K92" i="2"/>
  <c r="E93" i="2" a="1"/>
  <c r="E93" i="2"/>
  <c r="F93" i="2" a="1"/>
  <c r="F93" i="2"/>
  <c r="G93" i="2" a="1"/>
  <c r="G93" i="2"/>
  <c r="H93" i="2" a="1"/>
  <c r="H93" i="2"/>
  <c r="I93" i="2" a="1"/>
  <c r="I93" i="2"/>
  <c r="J93" i="2" a="1"/>
  <c r="J93" i="2"/>
  <c r="K93" i="2" a="1"/>
  <c r="K93" i="2"/>
  <c r="L93" i="2" a="1"/>
  <c r="L93" i="2"/>
  <c r="E96" i="2" a="1"/>
  <c r="E96" i="2"/>
  <c r="F96" i="2" a="1"/>
  <c r="F96" i="2"/>
  <c r="G96" i="2" a="1"/>
  <c r="G96" i="2"/>
  <c r="H96" i="2" a="1"/>
  <c r="H96" i="2"/>
  <c r="I96" i="2" a="1"/>
  <c r="I96" i="2"/>
  <c r="J96" i="2" a="1"/>
  <c r="J96" i="2"/>
  <c r="K96" i="2" a="1"/>
  <c r="K96" i="2"/>
  <c r="L96" i="2" a="1"/>
  <c r="L96" i="2"/>
  <c r="M96" i="2" a="1"/>
  <c r="M96" i="2"/>
  <c r="N96" i="2" a="1"/>
  <c r="N96" i="2"/>
  <c r="O96" i="2" a="1"/>
  <c r="O96" i="2"/>
  <c r="S90" i="2" a="1"/>
  <c r="S90" i="2"/>
  <c r="T90" i="2" a="1"/>
  <c r="T90" i="2"/>
  <c r="U90" i="2" a="1"/>
  <c r="U90" i="2"/>
  <c r="V90" i="2" a="1"/>
  <c r="V90" i="2"/>
  <c r="W90" i="2" a="1"/>
  <c r="W90" i="2"/>
  <c r="X90" i="2" a="1"/>
  <c r="X90" i="2"/>
  <c r="Y90" i="2" a="1"/>
  <c r="Y90" i="2"/>
  <c r="Z90" i="2" a="1"/>
  <c r="Z90" i="2"/>
  <c r="AA90" i="2" a="1"/>
  <c r="AA90" i="2"/>
  <c r="AB90" i="2" a="1"/>
  <c r="AB90" i="2"/>
  <c r="AC90" i="2" a="1"/>
  <c r="AC90" i="2"/>
  <c r="AD90" i="2" a="1"/>
  <c r="AD90" i="2"/>
  <c r="AE90" i="2" a="1"/>
  <c r="AE90" i="2"/>
  <c r="AF90" i="2" a="1"/>
  <c r="AF90" i="2"/>
  <c r="AG90" i="2" a="1"/>
  <c r="AG90" i="2"/>
  <c r="AH90" i="2" a="1"/>
  <c r="AH90" i="2"/>
  <c r="AI90" i="2" a="1"/>
  <c r="AI90" i="2"/>
  <c r="AJ90" i="2" a="1"/>
  <c r="AJ90" i="2"/>
  <c r="AK90" i="2" a="1"/>
  <c r="AK90" i="2"/>
  <c r="AL90" i="2" a="1"/>
  <c r="AL90" i="2"/>
  <c r="AM90" i="2" a="1"/>
  <c r="AM90" i="2"/>
  <c r="S88" i="2" a="1"/>
  <c r="S88" i="2"/>
  <c r="T88" i="2" a="1"/>
  <c r="T88" i="2"/>
  <c r="U88" i="2" a="1"/>
  <c r="U88" i="2"/>
  <c r="V88" i="2" a="1"/>
  <c r="V88" i="2"/>
  <c r="W88" i="2" a="1"/>
  <c r="W88" i="2"/>
  <c r="X88" i="2" a="1"/>
  <c r="X88" i="2"/>
  <c r="Y88" i="2" a="1"/>
  <c r="Y88" i="2"/>
  <c r="Z88" i="2" a="1"/>
  <c r="Z88" i="2"/>
  <c r="AA88" i="2" a="1"/>
  <c r="AA88" i="2"/>
  <c r="AB88" i="2" a="1"/>
  <c r="AB88" i="2"/>
  <c r="AC88" i="2" a="1"/>
  <c r="AC88" i="2"/>
  <c r="AD88" i="2" a="1"/>
  <c r="AD88" i="2"/>
  <c r="AE88" i="2" a="1"/>
  <c r="AE88" i="2"/>
  <c r="AF88" i="2" a="1"/>
  <c r="AF88" i="2"/>
  <c r="AG88" i="2" a="1"/>
  <c r="AG88" i="2"/>
  <c r="AH88" i="2" a="1"/>
  <c r="AH88" i="2"/>
  <c r="AI88" i="2" a="1"/>
  <c r="AI88" i="2"/>
  <c r="AJ88" i="2" a="1"/>
  <c r="AJ88" i="2"/>
  <c r="AK88" i="2" a="1"/>
  <c r="AK88" i="2"/>
  <c r="AL88" i="2" a="1"/>
  <c r="AL88" i="2"/>
  <c r="AM88" i="2" a="1"/>
  <c r="AM88" i="2"/>
  <c r="S91" i="2" a="1"/>
  <c r="S91" i="2"/>
  <c r="T91" i="2" a="1"/>
  <c r="T91" i="2"/>
  <c r="U91" i="2" a="1"/>
  <c r="U91" i="2"/>
  <c r="V91" i="2" a="1"/>
  <c r="V91" i="2"/>
  <c r="W91" i="2" a="1"/>
  <c r="W91" i="2"/>
  <c r="X91" i="2" a="1"/>
  <c r="X91" i="2"/>
  <c r="Y91" i="2" a="1"/>
  <c r="Y91" i="2"/>
  <c r="Z91" i="2" a="1"/>
  <c r="Z91" i="2"/>
  <c r="AA91" i="2" a="1"/>
  <c r="AA91" i="2"/>
  <c r="AB91" i="2" a="1"/>
  <c r="AB91" i="2"/>
  <c r="AC91" i="2" a="1"/>
  <c r="AC91" i="2"/>
  <c r="AD91" i="2" a="1"/>
  <c r="AD91" i="2"/>
  <c r="AE91" i="2" a="1"/>
  <c r="AE91" i="2"/>
  <c r="AF91" i="2" a="1"/>
  <c r="AF91" i="2"/>
  <c r="AG91" i="2" a="1"/>
  <c r="AG91" i="2"/>
  <c r="AH91" i="2" a="1"/>
  <c r="AH91" i="2"/>
  <c r="AI91" i="2" a="1"/>
  <c r="AI91" i="2"/>
  <c r="AJ91" i="2" a="1"/>
  <c r="AJ91" i="2"/>
  <c r="AF112" i="2"/>
  <c r="AF105" i="2"/>
  <c r="AF103" i="2"/>
  <c r="AG103" i="2"/>
  <c r="AH103" i="2"/>
  <c r="AH51" i="2"/>
  <c r="AI105" i="2"/>
  <c r="AK103" i="2"/>
  <c r="AL67" i="2"/>
  <c r="AL66" i="2"/>
  <c r="AL103" i="2"/>
  <c r="AE83" i="2"/>
  <c r="AD83" i="2"/>
  <c r="D83" i="2"/>
  <c r="G83" i="2"/>
  <c r="E83" i="2"/>
  <c r="I83" i="2"/>
  <c r="H83" i="2"/>
  <c r="AM51" i="2"/>
  <c r="AM112" i="2"/>
  <c r="AM68" i="2"/>
  <c r="AM105" i="2"/>
  <c r="AM61" i="2"/>
  <c r="AM104" i="2"/>
  <c r="AM60" i="2"/>
  <c r="AM102" i="2"/>
  <c r="N52" i="2"/>
  <c r="N66" i="2"/>
  <c r="N31" i="2"/>
  <c r="N73" i="2"/>
  <c r="AL112" i="2"/>
  <c r="AL68" i="2"/>
  <c r="AL51" i="2"/>
  <c r="AL105" i="2"/>
  <c r="AL61" i="2"/>
  <c r="AL104" i="2"/>
  <c r="AL60" i="2"/>
  <c r="AL102" i="2"/>
  <c r="AK67" i="2"/>
  <c r="AK66" i="2"/>
  <c r="AK112" i="2"/>
  <c r="AK68" i="2"/>
  <c r="AK51" i="2"/>
  <c r="AK105" i="2"/>
  <c r="AK61" i="2"/>
  <c r="AK104" i="2"/>
  <c r="AK60" i="2"/>
  <c r="AK102" i="2"/>
  <c r="AK58" i="2"/>
  <c r="AJ45" i="2"/>
  <c r="AJ67" i="2"/>
  <c r="AJ66" i="2"/>
  <c r="AJ44" i="2"/>
  <c r="AJ51" i="2"/>
  <c r="AJ105" i="2"/>
  <c r="AJ61" i="2"/>
  <c r="AI66" i="2"/>
  <c r="AI67" i="2"/>
  <c r="AI54" i="2"/>
  <c r="AI51" i="2"/>
  <c r="AI104" i="2"/>
  <c r="AI60" i="2"/>
  <c r="AI102" i="2"/>
  <c r="AH58" i="2"/>
  <c r="AH66" i="2"/>
  <c r="AH112" i="2"/>
  <c r="AH68" i="2"/>
  <c r="AH105" i="2"/>
  <c r="AH61" i="2"/>
  <c r="AH104" i="2"/>
  <c r="AH60" i="2"/>
  <c r="AH102" i="2"/>
  <c r="AG66" i="2"/>
  <c r="AG112" i="2"/>
  <c r="AG68" i="2"/>
  <c r="AG105" i="2"/>
  <c r="AG61" i="2"/>
  <c r="AG104" i="2"/>
  <c r="AG60" i="2"/>
  <c r="AG102" i="2"/>
  <c r="AF104" i="2"/>
  <c r="AF102" i="2"/>
  <c r="AF66" i="2"/>
  <c r="AF68" i="2"/>
  <c r="AF50" i="2"/>
  <c r="AF61" i="2"/>
  <c r="AF60" i="2"/>
  <c r="AF25" i="2"/>
  <c r="AF24" i="2"/>
  <c r="AF23" i="2"/>
  <c r="AF18" i="2"/>
  <c r="AF55" i="2"/>
  <c r="AF113" i="2"/>
  <c r="E97" i="2"/>
  <c r="F97" i="2"/>
  <c r="G97" i="2"/>
  <c r="H97" i="2"/>
  <c r="I97" i="2"/>
  <c r="J97" i="2"/>
  <c r="K97" i="2"/>
  <c r="H112" i="2"/>
  <c r="H68" i="2"/>
  <c r="G27" i="2"/>
  <c r="D113" i="2"/>
  <c r="D69" i="2"/>
  <c r="AN88" i="2" a="1"/>
  <c r="AN88" i="2"/>
  <c r="AN90" i="2" a="1"/>
  <c r="AN90" i="2"/>
  <c r="BP76" i="2"/>
  <c r="W102" i="2"/>
  <c r="W58" i="2"/>
  <c r="V102" i="2"/>
  <c r="V58" i="2"/>
  <c r="AH10" i="2"/>
  <c r="AG15" i="2"/>
  <c r="AG36" i="2"/>
  <c r="AN65" i="2"/>
  <c r="D14" i="1"/>
  <c r="D15" i="1"/>
  <c r="G16" i="1"/>
  <c r="G15" i="1"/>
  <c r="E12" i="1"/>
  <c r="E15" i="1"/>
  <c r="F12" i="1"/>
  <c r="F15" i="1"/>
  <c r="F16" i="1"/>
  <c r="C16" i="25"/>
  <c r="G12" i="1"/>
  <c r="E14" i="1"/>
  <c r="C12" i="25"/>
  <c r="C14" i="25"/>
  <c r="E16" i="1"/>
  <c r="C15" i="25"/>
  <c r="E13" i="1"/>
  <c r="G14" i="1"/>
  <c r="G13" i="1"/>
  <c r="B13" i="30"/>
  <c r="B15" i="25"/>
  <c r="B16" i="25"/>
  <c r="B13" i="25"/>
  <c r="C17" i="1"/>
  <c r="B14" i="25"/>
  <c r="F14" i="1"/>
  <c r="F13" i="1"/>
  <c r="B17" i="1"/>
  <c r="P103" i="2"/>
  <c r="G69" i="2"/>
  <c r="AC102" i="2"/>
  <c r="AC58" i="2"/>
  <c r="X102" i="2"/>
  <c r="X58" i="2"/>
  <c r="K113" i="2"/>
  <c r="M59" i="2"/>
  <c r="E6" i="25"/>
  <c r="N68" i="2"/>
  <c r="S60" i="2"/>
  <c r="H55" i="2"/>
  <c r="Q14" i="2"/>
  <c r="P40" i="2"/>
  <c r="P54" i="2"/>
  <c r="O103" i="2"/>
  <c r="L103" i="2"/>
  <c r="D12" i="1"/>
  <c r="I65" i="2"/>
  <c r="D13" i="1"/>
  <c r="U73" i="2"/>
  <c r="U59" i="2"/>
  <c r="AE102" i="2"/>
  <c r="AE58" i="2"/>
  <c r="AE55" i="2"/>
  <c r="AE113" i="2"/>
  <c r="J55" i="2"/>
  <c r="J113" i="2"/>
  <c r="AD102" i="2"/>
  <c r="AD58" i="2"/>
  <c r="S103" i="2"/>
  <c r="E7" i="25"/>
  <c r="E15" i="25"/>
  <c r="U103" i="2"/>
  <c r="I9" i="1"/>
  <c r="E27" i="2"/>
  <c r="L79" i="2"/>
  <c r="L65" i="2"/>
  <c r="L73" i="2"/>
  <c r="L59" i="2"/>
  <c r="S73" i="2"/>
  <c r="S59" i="2"/>
  <c r="M103" i="2"/>
  <c r="D4" i="25"/>
  <c r="H9" i="1"/>
  <c r="R73" i="2"/>
  <c r="R45" i="2"/>
  <c r="R59" i="2"/>
  <c r="H27" i="2"/>
  <c r="J69" i="2"/>
  <c r="Y58" i="2"/>
  <c r="Y102" i="2"/>
  <c r="E8" i="25"/>
  <c r="V40" i="2"/>
  <c r="V54" i="2"/>
  <c r="V112" i="2"/>
  <c r="U40" i="2"/>
  <c r="U54" i="2"/>
  <c r="U112" i="2"/>
  <c r="P73" i="2"/>
  <c r="P59" i="2"/>
  <c r="T103" i="2"/>
  <c r="I55" i="2"/>
  <c r="I113" i="2"/>
  <c r="I27" i="2"/>
  <c r="AE69" i="2"/>
  <c r="K78" i="2"/>
  <c r="K41" i="2"/>
  <c r="K69" i="2"/>
  <c r="K64" i="2"/>
  <c r="N37" i="2"/>
  <c r="O11" i="2"/>
  <c r="M37" i="2"/>
  <c r="K27" i="2"/>
  <c r="AF27" i="2"/>
  <c r="AE19" i="2"/>
  <c r="AE21" i="2"/>
  <c r="AE23" i="2"/>
  <c r="AE26" i="2"/>
  <c r="AE20" i="2"/>
  <c r="AE25" i="2"/>
  <c r="AE24" i="2"/>
  <c r="AE22" i="2"/>
  <c r="H65" i="2"/>
  <c r="V103" i="2"/>
  <c r="D7" i="25"/>
  <c r="D15" i="25"/>
  <c r="J68" i="2"/>
  <c r="D5" i="25"/>
  <c r="E4" i="25"/>
  <c r="D8" i="25"/>
  <c r="O82" i="2"/>
  <c r="O68" i="2"/>
  <c r="R40" i="2"/>
  <c r="S14" i="2"/>
  <c r="J27" i="2"/>
  <c r="E113" i="2"/>
  <c r="E69" i="2"/>
  <c r="L21" i="2"/>
  <c r="L24" i="2"/>
  <c r="L18" i="2"/>
  <c r="L26" i="2"/>
  <c r="L25" i="2"/>
  <c r="L20" i="2"/>
  <c r="O73" i="2"/>
  <c r="O59" i="2"/>
  <c r="D6" i="25"/>
  <c r="AE64" i="2"/>
  <c r="L22" i="2"/>
  <c r="M10" i="2"/>
  <c r="L36" i="2"/>
  <c r="L50" i="2"/>
  <c r="I29" i="1"/>
  <c r="I46" i="1"/>
  <c r="K5" i="1"/>
  <c r="E5" i="25"/>
  <c r="J6" i="1"/>
  <c r="J9" i="1"/>
  <c r="J15" i="1"/>
  <c r="L23" i="2"/>
  <c r="Q103" i="2"/>
  <c r="Q59" i="2"/>
  <c r="D16" i="1"/>
  <c r="AM79" i="2"/>
  <c r="AL79" i="2"/>
  <c r="B15" i="30"/>
  <c r="B16" i="30"/>
  <c r="B14" i="30"/>
  <c r="AM86" i="2" a="1"/>
  <c r="AM86" i="2"/>
  <c r="AL86" i="2" a="1"/>
  <c r="AL86" i="2"/>
  <c r="AK86" i="2" a="1"/>
  <c r="AK86" i="2"/>
  <c r="AM95" i="2" a="1"/>
  <c r="AM95" i="2"/>
  <c r="BP77" i="2"/>
  <c r="AK91" i="2" a="1"/>
  <c r="AK91" i="2"/>
  <c r="AL91" i="2" a="1"/>
  <c r="AL91" i="2"/>
  <c r="AM91" i="2" a="1"/>
  <c r="AM91" i="2"/>
  <c r="AG89" i="2" a="1"/>
  <c r="AG89" i="2"/>
  <c r="AH89" i="2" a="1"/>
  <c r="AH89" i="2"/>
  <c r="AI89" i="2" a="1"/>
  <c r="AI89" i="2"/>
  <c r="AJ89" i="2" a="1"/>
  <c r="AJ89" i="2"/>
  <c r="AK89" i="2" a="1"/>
  <c r="AK89" i="2"/>
  <c r="AL89" i="2" a="1"/>
  <c r="AL89" i="2"/>
  <c r="AM89" i="2" a="1"/>
  <c r="AM89" i="2"/>
  <c r="AF83" i="2"/>
  <c r="AH109" i="2"/>
  <c r="AH65" i="2"/>
  <c r="BP75" i="2"/>
  <c r="AM109" i="2"/>
  <c r="AM65" i="2"/>
  <c r="N45" i="2"/>
  <c r="AL109" i="2"/>
  <c r="AL65" i="2"/>
  <c r="AK109" i="2"/>
  <c r="AK65" i="2"/>
  <c r="AJ102" i="2"/>
  <c r="AJ58" i="2"/>
  <c r="AJ103" i="2"/>
  <c r="AJ59" i="2"/>
  <c r="AJ109" i="2"/>
  <c r="AJ65" i="2"/>
  <c r="AI109" i="2"/>
  <c r="AI65" i="2"/>
  <c r="AI112" i="2"/>
  <c r="AI68" i="2"/>
  <c r="AF108" i="2"/>
  <c r="AF69" i="2"/>
  <c r="AF64" i="2"/>
  <c r="K20" i="1"/>
  <c r="E21" i="1"/>
  <c r="D24" i="1"/>
  <c r="J21" i="1"/>
  <c r="C23" i="1"/>
  <c r="K21" i="1"/>
  <c r="K23" i="1"/>
  <c r="C24" i="1"/>
  <c r="J22" i="1"/>
  <c r="B24" i="1"/>
  <c r="E22" i="1"/>
  <c r="B20" i="1"/>
  <c r="H24" i="1"/>
  <c r="J20" i="1"/>
  <c r="I21" i="1"/>
  <c r="G22" i="1"/>
  <c r="L41" i="2"/>
  <c r="H20" i="1"/>
  <c r="B31" i="1"/>
  <c r="H22" i="1"/>
  <c r="G24" i="1"/>
  <c r="I22" i="1"/>
  <c r="F24" i="1"/>
  <c r="B23" i="1"/>
  <c r="D23" i="1"/>
  <c r="G20" i="1"/>
  <c r="E23" i="1"/>
  <c r="D21" i="1"/>
  <c r="E31" i="1"/>
  <c r="C20" i="1"/>
  <c r="K22" i="1"/>
  <c r="AE27" i="2"/>
  <c r="AN87" i="2" a="1"/>
  <c r="AN87" i="2"/>
  <c r="AG78" i="2"/>
  <c r="AG41" i="2"/>
  <c r="AG50" i="2"/>
  <c r="AG20" i="2"/>
  <c r="AG19" i="2"/>
  <c r="AG21" i="2"/>
  <c r="AG26" i="2"/>
  <c r="AG22" i="2"/>
  <c r="AG25" i="2"/>
  <c r="AG24" i="2"/>
  <c r="AG23" i="2"/>
  <c r="AG18" i="2"/>
  <c r="AG27" i="2"/>
  <c r="AI10" i="2"/>
  <c r="AH36" i="2"/>
  <c r="AH15" i="2"/>
  <c r="AH22" i="2"/>
  <c r="AH50" i="2"/>
  <c r="H12" i="1"/>
  <c r="H15" i="1"/>
  <c r="I13" i="1"/>
  <c r="I15" i="1"/>
  <c r="C17" i="25"/>
  <c r="E17" i="1"/>
  <c r="G17" i="1"/>
  <c r="F17" i="1"/>
  <c r="B17" i="25"/>
  <c r="I16" i="1"/>
  <c r="I12" i="1"/>
  <c r="I14" i="1"/>
  <c r="B17" i="30"/>
  <c r="E9" i="25"/>
  <c r="E16" i="25"/>
  <c r="J12" i="1"/>
  <c r="J13" i="1"/>
  <c r="J16" i="1"/>
  <c r="M36" i="2"/>
  <c r="M15" i="2"/>
  <c r="M50" i="2"/>
  <c r="M22" i="2"/>
  <c r="N10" i="2"/>
  <c r="L4" i="1"/>
  <c r="M7" i="1"/>
  <c r="L5" i="1"/>
  <c r="L6" i="1"/>
  <c r="M6" i="1"/>
  <c r="M4" i="1"/>
  <c r="M8" i="1"/>
  <c r="L8" i="1"/>
  <c r="L7" i="1"/>
  <c r="I30" i="1"/>
  <c r="I47" i="1"/>
  <c r="I28" i="1"/>
  <c r="D30" i="1"/>
  <c r="D47" i="1"/>
  <c r="L27" i="2"/>
  <c r="S40" i="2"/>
  <c r="S54" i="2"/>
  <c r="S112" i="2"/>
  <c r="H16" i="1"/>
  <c r="K9" i="1"/>
  <c r="K15" i="1"/>
  <c r="M79" i="2"/>
  <c r="K31" i="1"/>
  <c r="K39" i="1"/>
  <c r="C32" i="1"/>
  <c r="C40" i="1"/>
  <c r="D9" i="25"/>
  <c r="D12" i="25"/>
  <c r="E39" i="1"/>
  <c r="I38" i="1"/>
  <c r="D24" i="25"/>
  <c r="I37" i="1"/>
  <c r="C23" i="25"/>
  <c r="F30" i="1"/>
  <c r="F47" i="1"/>
  <c r="F32" i="1"/>
  <c r="F40" i="1"/>
  <c r="C28" i="1"/>
  <c r="T40" i="2"/>
  <c r="J29" i="1"/>
  <c r="J46" i="1"/>
  <c r="H28" i="1"/>
  <c r="H36" i="1"/>
  <c r="J30" i="1"/>
  <c r="L55" i="2"/>
  <c r="L113" i="2"/>
  <c r="H113" i="2"/>
  <c r="H69" i="2"/>
  <c r="N59" i="2"/>
  <c r="G32" i="1"/>
  <c r="G40" i="1"/>
  <c r="G29" i="1"/>
  <c r="G46" i="1"/>
  <c r="B28" i="1"/>
  <c r="H14" i="1"/>
  <c r="R82" i="2"/>
  <c r="R83" i="2"/>
  <c r="H13" i="1"/>
  <c r="Q11" i="2"/>
  <c r="O37" i="2"/>
  <c r="O51" i="2"/>
  <c r="O109" i="2"/>
  <c r="P11" i="2"/>
  <c r="H30" i="1"/>
  <c r="H38" i="1"/>
  <c r="K28" i="1"/>
  <c r="V82" i="2"/>
  <c r="V68" i="2"/>
  <c r="H23" i="1"/>
  <c r="D20" i="1"/>
  <c r="K24" i="1"/>
  <c r="L24" i="1"/>
  <c r="D31" i="1"/>
  <c r="D39" i="1"/>
  <c r="F23" i="1"/>
  <c r="I31" i="1"/>
  <c r="I20" i="1"/>
  <c r="E20" i="25"/>
  <c r="F31" i="1"/>
  <c r="I23" i="1"/>
  <c r="C22" i="1"/>
  <c r="F22" i="1"/>
  <c r="F20" i="1"/>
  <c r="B22" i="1"/>
  <c r="D22" i="1"/>
  <c r="M93" i="2" a="1"/>
  <c r="M93" i="2"/>
  <c r="N93" i="2" a="1"/>
  <c r="N93" i="2"/>
  <c r="C29" i="1"/>
  <c r="H29" i="1"/>
  <c r="H46" i="1"/>
  <c r="B29" i="1"/>
  <c r="E28" i="1"/>
  <c r="F29" i="1"/>
  <c r="P112" i="2"/>
  <c r="L108" i="2"/>
  <c r="F28" i="1"/>
  <c r="E30" i="1"/>
  <c r="E47" i="1"/>
  <c r="J28" i="1"/>
  <c r="J36" i="1"/>
  <c r="H32" i="1"/>
  <c r="H40" i="1"/>
  <c r="N79" i="2"/>
  <c r="N51" i="2"/>
  <c r="N109" i="2"/>
  <c r="K83" i="2"/>
  <c r="L92" i="2" a="1"/>
  <c r="L92" i="2"/>
  <c r="L97" i="2"/>
  <c r="B32" i="1"/>
  <c r="E29" i="1"/>
  <c r="E46" i="1"/>
  <c r="U82" i="2"/>
  <c r="U68" i="2"/>
  <c r="R103" i="2"/>
  <c r="E22" i="25"/>
  <c r="E21" i="25"/>
  <c r="B30" i="1"/>
  <c r="D32" i="1"/>
  <c r="D40" i="1"/>
  <c r="C30" i="1"/>
  <c r="G30" i="1"/>
  <c r="G47" i="1"/>
  <c r="P82" i="2"/>
  <c r="P68" i="2"/>
  <c r="J14" i="1"/>
  <c r="L78" i="2"/>
  <c r="L64" i="2"/>
  <c r="B36" i="30"/>
  <c r="L20" i="1"/>
  <c r="G28" i="1"/>
  <c r="G45" i="1"/>
  <c r="D29" i="1"/>
  <c r="D46" i="1"/>
  <c r="R54" i="2"/>
  <c r="R112" i="2"/>
  <c r="P96" i="2" a="1"/>
  <c r="P96" i="2"/>
  <c r="M51" i="2"/>
  <c r="M109" i="2"/>
  <c r="E32" i="1"/>
  <c r="K32" i="1"/>
  <c r="R41" i="2"/>
  <c r="C21" i="1"/>
  <c r="G23" i="1"/>
  <c r="G31" i="1"/>
  <c r="C31" i="1"/>
  <c r="G21" i="1"/>
  <c r="F21" i="1"/>
  <c r="E20" i="1"/>
  <c r="B21" i="1"/>
  <c r="I24" i="1"/>
  <c r="J31" i="1"/>
  <c r="L23" i="1"/>
  <c r="H21" i="1"/>
  <c r="H37" i="1"/>
  <c r="E24" i="1"/>
  <c r="J24" i="1"/>
  <c r="H31" i="1"/>
  <c r="J23" i="1"/>
  <c r="L83" i="2"/>
  <c r="M87" i="2" a="1"/>
  <c r="M87" i="2"/>
  <c r="N87" i="2" a="1"/>
  <c r="N87" i="2"/>
  <c r="B39" i="1"/>
  <c r="B36" i="1"/>
  <c r="K30" i="1"/>
  <c r="K47" i="1"/>
  <c r="I32" i="1"/>
  <c r="J32" i="1"/>
  <c r="T54" i="2"/>
  <c r="T112" i="2"/>
  <c r="I69" i="2"/>
  <c r="K29" i="1"/>
  <c r="D28" i="1"/>
  <c r="D17" i="1"/>
  <c r="Q40" i="2"/>
  <c r="Q54" i="2"/>
  <c r="Q112" i="2"/>
  <c r="Q96" i="2" a="1"/>
  <c r="Q96" i="2"/>
  <c r="L28" i="1"/>
  <c r="L45" i="1"/>
  <c r="AI87" i="2" a="1"/>
  <c r="AI87" i="2"/>
  <c r="O87" i="2" a="1"/>
  <c r="O87" i="2"/>
  <c r="P87" i="2" a="1"/>
  <c r="P87" i="2"/>
  <c r="Q87" i="2" a="1"/>
  <c r="Q87" i="2"/>
  <c r="R87" i="2" a="1"/>
  <c r="R87" i="2"/>
  <c r="S87" i="2" a="1"/>
  <c r="S87" i="2"/>
  <c r="T87" i="2" a="1"/>
  <c r="T87" i="2"/>
  <c r="U87" i="2" a="1"/>
  <c r="U87" i="2"/>
  <c r="V87" i="2" a="1"/>
  <c r="V87" i="2"/>
  <c r="W87" i="2" a="1"/>
  <c r="W87" i="2"/>
  <c r="X87" i="2" a="1"/>
  <c r="X87" i="2"/>
  <c r="Y87" i="2" a="1"/>
  <c r="Y87" i="2"/>
  <c r="Z87" i="2" a="1"/>
  <c r="Z87" i="2"/>
  <c r="AA87" i="2" a="1"/>
  <c r="AA87" i="2"/>
  <c r="AB87" i="2" a="1"/>
  <c r="AB87" i="2"/>
  <c r="AC87" i="2" a="1"/>
  <c r="AC87" i="2"/>
  <c r="AD87" i="2" a="1"/>
  <c r="AD87" i="2"/>
  <c r="AE87" i="2" a="1"/>
  <c r="AE87" i="2"/>
  <c r="AF87" i="2" a="1"/>
  <c r="AF87" i="2"/>
  <c r="AG87" i="2" a="1"/>
  <c r="AG87" i="2"/>
  <c r="AH87" i="2" a="1"/>
  <c r="AH87" i="2"/>
  <c r="AJ87" i="2" a="1"/>
  <c r="AJ87" i="2"/>
  <c r="AK87" i="2" a="1"/>
  <c r="AK87" i="2"/>
  <c r="AL87" i="2" a="1"/>
  <c r="AL87" i="2"/>
  <c r="AM87" i="2" a="1"/>
  <c r="AM87" i="2"/>
  <c r="O93" i="2" a="1"/>
  <c r="O93" i="2"/>
  <c r="N103" i="2"/>
  <c r="AH55" i="2"/>
  <c r="AH113" i="2"/>
  <c r="AH108" i="2"/>
  <c r="AH19" i="2"/>
  <c r="AH21" i="2"/>
  <c r="AH26" i="2"/>
  <c r="AH20" i="2"/>
  <c r="AH25" i="2"/>
  <c r="AH24" i="2"/>
  <c r="AH23" i="2"/>
  <c r="AH18" i="2"/>
  <c r="AH27" i="2"/>
  <c r="AH78" i="2"/>
  <c r="AH83" i="2"/>
  <c r="AH41" i="2"/>
  <c r="AH69" i="2"/>
  <c r="AH64" i="2"/>
  <c r="AJ10" i="2"/>
  <c r="AI36" i="2"/>
  <c r="AI15" i="2"/>
  <c r="AI22" i="2"/>
  <c r="AI50" i="2"/>
  <c r="AG83" i="2"/>
  <c r="AG55" i="2"/>
  <c r="AG113" i="2"/>
  <c r="AG108" i="2"/>
  <c r="AG64" i="2"/>
  <c r="AG69" i="2"/>
  <c r="D25" i="1"/>
  <c r="J25" i="1"/>
  <c r="B25" i="1"/>
  <c r="E12" i="25"/>
  <c r="D38" i="1"/>
  <c r="I17" i="1"/>
  <c r="H17" i="1"/>
  <c r="C31" i="25"/>
  <c r="C39" i="25"/>
  <c r="J37" i="1"/>
  <c r="G39" i="1"/>
  <c r="E23" i="25"/>
  <c r="E13" i="25"/>
  <c r="D14" i="25"/>
  <c r="D16" i="25"/>
  <c r="E40" i="1"/>
  <c r="G37" i="1"/>
  <c r="C25" i="1"/>
  <c r="D37" i="1"/>
  <c r="D13" i="25"/>
  <c r="E14" i="25"/>
  <c r="Q82" i="2"/>
  <c r="Q68" i="2"/>
  <c r="E29" i="25"/>
  <c r="E46" i="25"/>
  <c r="K46" i="1"/>
  <c r="E25" i="1"/>
  <c r="E36" i="1"/>
  <c r="G33" i="1"/>
  <c r="G50" i="1"/>
  <c r="L30" i="1"/>
  <c r="B37" i="1"/>
  <c r="E37" i="1"/>
  <c r="B36" i="25"/>
  <c r="C22" i="25"/>
  <c r="C38" i="1"/>
  <c r="I39" i="1"/>
  <c r="K40" i="1"/>
  <c r="K33" i="1"/>
  <c r="K50" i="1"/>
  <c r="K45" i="1"/>
  <c r="E28" i="25"/>
  <c r="R11" i="2"/>
  <c r="P37" i="2"/>
  <c r="P51" i="2"/>
  <c r="B38" i="30"/>
  <c r="L9" i="1"/>
  <c r="M20" i="2"/>
  <c r="M21" i="2"/>
  <c r="M25" i="2"/>
  <c r="M18" i="2"/>
  <c r="M19" i="2"/>
  <c r="M24" i="2"/>
  <c r="M26" i="2"/>
  <c r="M23" i="2"/>
  <c r="K25" i="1"/>
  <c r="J40" i="1"/>
  <c r="J39" i="1"/>
  <c r="F37" i="1"/>
  <c r="D21" i="25"/>
  <c r="E32" i="25"/>
  <c r="E49" i="25"/>
  <c r="B39" i="30"/>
  <c r="C24" i="25"/>
  <c r="G38" i="1"/>
  <c r="F45" i="1"/>
  <c r="F33" i="1"/>
  <c r="F50" i="1"/>
  <c r="D29" i="25"/>
  <c r="F46" i="1"/>
  <c r="C29" i="25"/>
  <c r="C46" i="25"/>
  <c r="C46" i="1"/>
  <c r="B40" i="1"/>
  <c r="F39" i="1"/>
  <c r="D23" i="25"/>
  <c r="D36" i="1"/>
  <c r="D30" i="25"/>
  <c r="D47" i="25"/>
  <c r="H47" i="1"/>
  <c r="O79" i="2"/>
  <c r="O65" i="2"/>
  <c r="T82" i="2"/>
  <c r="T68" i="2"/>
  <c r="B37" i="30"/>
  <c r="L69" i="2"/>
  <c r="G36" i="1"/>
  <c r="C20" i="25"/>
  <c r="C32" i="25"/>
  <c r="C49" i="25"/>
  <c r="K13" i="1"/>
  <c r="K16" i="1"/>
  <c r="K12" i="1"/>
  <c r="K14" i="1"/>
  <c r="N36" i="2"/>
  <c r="O10" i="2"/>
  <c r="N15" i="2"/>
  <c r="N22" i="2"/>
  <c r="M5" i="1"/>
  <c r="M78" i="2"/>
  <c r="M64" i="2"/>
  <c r="M41" i="2"/>
  <c r="M22" i="1"/>
  <c r="L21" i="1"/>
  <c r="M20" i="1"/>
  <c r="M24" i="1"/>
  <c r="L22" i="1"/>
  <c r="M23" i="1"/>
  <c r="E24" i="25"/>
  <c r="I40" i="1"/>
  <c r="C21" i="25"/>
  <c r="C37" i="1"/>
  <c r="L32" i="1"/>
  <c r="L40" i="1"/>
  <c r="L36" i="1"/>
  <c r="B40" i="25"/>
  <c r="K37" i="1"/>
  <c r="H25" i="1"/>
  <c r="K38" i="1"/>
  <c r="E45" i="1"/>
  <c r="E33" i="1"/>
  <c r="E50" i="1"/>
  <c r="B37" i="25"/>
  <c r="F36" i="1"/>
  <c r="F25" i="1"/>
  <c r="F41" i="1"/>
  <c r="F42" i="1"/>
  <c r="D20" i="25"/>
  <c r="D31" i="25"/>
  <c r="H39" i="1"/>
  <c r="L31" i="1"/>
  <c r="L39" i="1"/>
  <c r="R68" i="2"/>
  <c r="E30" i="25"/>
  <c r="J47" i="1"/>
  <c r="C28" i="25"/>
  <c r="C45" i="1"/>
  <c r="C33" i="1"/>
  <c r="C50" i="1"/>
  <c r="B39" i="25"/>
  <c r="C39" i="1"/>
  <c r="J38" i="1"/>
  <c r="G25" i="1"/>
  <c r="G41" i="1"/>
  <c r="G42" i="1"/>
  <c r="C36" i="1"/>
  <c r="E31" i="25"/>
  <c r="K48" i="1"/>
  <c r="S82" i="2"/>
  <c r="AI96" i="2" a="1"/>
  <c r="AI96" i="2"/>
  <c r="S68" i="2"/>
  <c r="M92" i="2" a="1"/>
  <c r="M92" i="2"/>
  <c r="M97" i="2"/>
  <c r="B38" i="25"/>
  <c r="J17" i="1"/>
  <c r="D45" i="1"/>
  <c r="D33" i="1"/>
  <c r="D50" i="1"/>
  <c r="C30" i="25"/>
  <c r="C47" i="25"/>
  <c r="C47" i="1"/>
  <c r="B40" i="30"/>
  <c r="N65" i="2"/>
  <c r="J45" i="1"/>
  <c r="J33" i="1"/>
  <c r="J50" i="1"/>
  <c r="B33" i="1"/>
  <c r="B38" i="1"/>
  <c r="F38" i="1"/>
  <c r="D22" i="25"/>
  <c r="I25" i="1"/>
  <c r="I36" i="1"/>
  <c r="Q37" i="2"/>
  <c r="D28" i="25"/>
  <c r="H33" i="1"/>
  <c r="H50" i="1"/>
  <c r="H45" i="1"/>
  <c r="D32" i="25"/>
  <c r="D49" i="25"/>
  <c r="E38" i="1"/>
  <c r="M65" i="2"/>
  <c r="S96" i="2" a="1"/>
  <c r="S96" i="2"/>
  <c r="I45" i="1"/>
  <c r="I33" i="1"/>
  <c r="I50" i="1"/>
  <c r="M108" i="2"/>
  <c r="L29" i="1"/>
  <c r="M55" i="2"/>
  <c r="M113" i="2"/>
  <c r="K36" i="1"/>
  <c r="AN96" i="2" a="1"/>
  <c r="AN96" i="2"/>
  <c r="AI55" i="2"/>
  <c r="AI113" i="2"/>
  <c r="AI108" i="2"/>
  <c r="AI19" i="2"/>
  <c r="AI21" i="2"/>
  <c r="AI23" i="2"/>
  <c r="AI20" i="2"/>
  <c r="AI26" i="2"/>
  <c r="AI25" i="2"/>
  <c r="AI24" i="2"/>
  <c r="AI18" i="2"/>
  <c r="AI27" i="2"/>
  <c r="AI78" i="2"/>
  <c r="AI83" i="2"/>
  <c r="AI41" i="2"/>
  <c r="AI69" i="2"/>
  <c r="AI64" i="2"/>
  <c r="AK10" i="2"/>
  <c r="AJ36" i="2"/>
  <c r="AJ15" i="2"/>
  <c r="AJ50" i="2"/>
  <c r="L13" i="1"/>
  <c r="L15" i="1"/>
  <c r="D40" i="25"/>
  <c r="I41" i="1"/>
  <c r="I42" i="1"/>
  <c r="B41" i="30"/>
  <c r="E17" i="25"/>
  <c r="L12" i="1"/>
  <c r="D38" i="25"/>
  <c r="L14" i="1"/>
  <c r="L16" i="1"/>
  <c r="B41" i="1"/>
  <c r="D17" i="25"/>
  <c r="E40" i="25"/>
  <c r="E37" i="25"/>
  <c r="E39" i="25"/>
  <c r="C37" i="25"/>
  <c r="P109" i="2"/>
  <c r="Q79" i="2"/>
  <c r="H41" i="1"/>
  <c r="H42" i="1"/>
  <c r="L33" i="1"/>
  <c r="L50" i="1"/>
  <c r="L25" i="1"/>
  <c r="L37" i="1"/>
  <c r="P93" i="2" a="1"/>
  <c r="P93" i="2"/>
  <c r="D39" i="25"/>
  <c r="AL96" i="2" a="1"/>
  <c r="AL96" i="2"/>
  <c r="AK96" i="2" a="1"/>
  <c r="AK96" i="2"/>
  <c r="E33" i="25"/>
  <c r="E50" i="25"/>
  <c r="E45" i="25"/>
  <c r="E36" i="25"/>
  <c r="D45" i="25"/>
  <c r="D33" i="25"/>
  <c r="D50" i="25"/>
  <c r="C45" i="25"/>
  <c r="C33" i="25"/>
  <c r="C50" i="25"/>
  <c r="D25" i="25"/>
  <c r="D36" i="25"/>
  <c r="M83" i="2"/>
  <c r="N92" i="2" a="1"/>
  <c r="N92" i="2"/>
  <c r="N97" i="2"/>
  <c r="P10" i="2"/>
  <c r="O15" i="2"/>
  <c r="O36" i="2"/>
  <c r="N5" i="1"/>
  <c r="N7" i="1"/>
  <c r="N6" i="1"/>
  <c r="O8" i="1"/>
  <c r="N4" i="1"/>
  <c r="O4" i="1"/>
  <c r="O7" i="1"/>
  <c r="O6" i="1"/>
  <c r="N8" i="1"/>
  <c r="K17" i="1"/>
  <c r="C25" i="25"/>
  <c r="C36" i="25"/>
  <c r="AH96" i="2" a="1"/>
  <c r="AH96" i="2"/>
  <c r="AG96" i="2" a="1"/>
  <c r="AG96" i="2"/>
  <c r="K41" i="1"/>
  <c r="K42" i="1"/>
  <c r="D41" i="1"/>
  <c r="D42" i="1"/>
  <c r="J41" i="1"/>
  <c r="J42" i="1"/>
  <c r="L46" i="1"/>
  <c r="L48" i="1"/>
  <c r="L38" i="1"/>
  <c r="N25" i="2"/>
  <c r="N26" i="2"/>
  <c r="N18" i="2"/>
  <c r="N21" i="2"/>
  <c r="N20" i="2"/>
  <c r="N24" i="2"/>
  <c r="N19" i="2"/>
  <c r="N23" i="2"/>
  <c r="N78" i="2"/>
  <c r="N41" i="2"/>
  <c r="M21" i="1"/>
  <c r="M25" i="1"/>
  <c r="D37" i="25"/>
  <c r="D46" i="25"/>
  <c r="AM96" i="2" a="1"/>
  <c r="AM96" i="2"/>
  <c r="M9" i="1"/>
  <c r="M15" i="1"/>
  <c r="P79" i="2"/>
  <c r="P65" i="2"/>
  <c r="C38" i="25"/>
  <c r="E41" i="1"/>
  <c r="E42" i="1"/>
  <c r="AF96" i="2" a="1"/>
  <c r="AF96" i="2"/>
  <c r="R96" i="2" a="1"/>
  <c r="R96" i="2"/>
  <c r="W96" i="2" a="1"/>
  <c r="W96" i="2"/>
  <c r="T96" i="2" a="1"/>
  <c r="T96" i="2"/>
  <c r="U96" i="2" a="1"/>
  <c r="U96" i="2"/>
  <c r="V96" i="2" a="1"/>
  <c r="V96" i="2"/>
  <c r="AA96" i="2" a="1"/>
  <c r="AA96" i="2"/>
  <c r="X96" i="2" a="1"/>
  <c r="X96" i="2"/>
  <c r="Y96" i="2" a="1"/>
  <c r="Y96" i="2"/>
  <c r="Z96" i="2" a="1"/>
  <c r="Z96" i="2"/>
  <c r="AE96" i="2" a="1"/>
  <c r="AE96" i="2"/>
  <c r="AB96" i="2" a="1"/>
  <c r="AB96" i="2"/>
  <c r="AC96" i="2" a="1"/>
  <c r="AC96" i="2"/>
  <c r="AD96" i="2" a="1"/>
  <c r="AD96" i="2"/>
  <c r="Q51" i="2"/>
  <c r="Q109" i="2"/>
  <c r="E38" i="25"/>
  <c r="E47" i="25"/>
  <c r="M69" i="2"/>
  <c r="N50" i="2"/>
  <c r="C40" i="25"/>
  <c r="AJ96" i="2" a="1"/>
  <c r="AJ96" i="2"/>
  <c r="M27" i="2"/>
  <c r="R51" i="2"/>
  <c r="S11" i="2"/>
  <c r="R93" i="2" a="1"/>
  <c r="R93" i="2"/>
  <c r="B41" i="25"/>
  <c r="L47" i="1"/>
  <c r="E25" i="25"/>
  <c r="C41" i="1"/>
  <c r="C42" i="1"/>
  <c r="N64" i="2"/>
  <c r="O50" i="2"/>
  <c r="AJ108" i="2"/>
  <c r="AJ55" i="2"/>
  <c r="AJ113" i="2"/>
  <c r="AJ22" i="2"/>
  <c r="AJ21" i="2"/>
  <c r="AJ23" i="2"/>
  <c r="AJ26" i="2"/>
  <c r="AJ25" i="2"/>
  <c r="AJ24" i="2"/>
  <c r="AJ20" i="2"/>
  <c r="AJ18" i="2"/>
  <c r="AJ19" i="2"/>
  <c r="AJ78" i="2"/>
  <c r="AJ83" i="2"/>
  <c r="AJ41" i="2"/>
  <c r="AJ69" i="2"/>
  <c r="AJ64" i="2"/>
  <c r="AL10" i="2"/>
  <c r="AK15" i="2"/>
  <c r="AK36" i="2"/>
  <c r="AK22" i="2"/>
  <c r="AK50" i="2"/>
  <c r="L17" i="1"/>
  <c r="C41" i="25"/>
  <c r="C42" i="25"/>
  <c r="E41" i="25"/>
  <c r="E42" i="25"/>
  <c r="O108" i="2"/>
  <c r="O55" i="2"/>
  <c r="O113" i="2"/>
  <c r="N29" i="1"/>
  <c r="N27" i="2"/>
  <c r="F8" i="25"/>
  <c r="F7" i="25"/>
  <c r="Q93" i="2" a="1"/>
  <c r="Q93" i="2"/>
  <c r="S37" i="2"/>
  <c r="S51" i="2"/>
  <c r="S109" i="2"/>
  <c r="T11" i="2"/>
  <c r="S93" i="2" a="1"/>
  <c r="S93" i="2"/>
  <c r="M16" i="1"/>
  <c r="M12" i="1"/>
  <c r="M14" i="1"/>
  <c r="F5" i="25"/>
  <c r="O78" i="2"/>
  <c r="O64" i="2"/>
  <c r="O41" i="2"/>
  <c r="N21" i="1"/>
  <c r="N54" i="1"/>
  <c r="N23" i="1"/>
  <c r="N24" i="1"/>
  <c r="N20" i="1"/>
  <c r="N22" i="1"/>
  <c r="D41" i="25"/>
  <c r="D42" i="25"/>
  <c r="M13" i="1"/>
  <c r="R109" i="2"/>
  <c r="R65" i="2"/>
  <c r="N108" i="2"/>
  <c r="N55" i="2"/>
  <c r="M32" i="1"/>
  <c r="M30" i="1"/>
  <c r="N31" i="1"/>
  <c r="M31" i="1"/>
  <c r="N32" i="1"/>
  <c r="M28" i="1"/>
  <c r="N30" i="1"/>
  <c r="N28" i="1"/>
  <c r="M29" i="1"/>
  <c r="N83" i="2"/>
  <c r="F4" i="25"/>
  <c r="N9" i="1"/>
  <c r="O92" i="2" a="1"/>
  <c r="O92" i="2"/>
  <c r="O97" i="2"/>
  <c r="O20" i="2"/>
  <c r="O24" i="2"/>
  <c r="O25" i="2"/>
  <c r="O18" i="2"/>
  <c r="O21" i="2"/>
  <c r="O19" i="2"/>
  <c r="O26" i="2"/>
  <c r="O23" i="2"/>
  <c r="L41" i="1"/>
  <c r="L42" i="1"/>
  <c r="Q65" i="2"/>
  <c r="F6" i="25"/>
  <c r="O22" i="2"/>
  <c r="Q10" i="2"/>
  <c r="P36" i="2"/>
  <c r="P15" i="2"/>
  <c r="P22" i="2"/>
  <c r="O5" i="1"/>
  <c r="O9" i="1"/>
  <c r="O15" i="1"/>
  <c r="P92" i="2" a="1"/>
  <c r="P92" i="2"/>
  <c r="P97" i="2"/>
  <c r="AK55" i="2"/>
  <c r="AK113" i="2"/>
  <c r="AK108" i="2"/>
  <c r="AK78" i="2"/>
  <c r="AK83" i="2"/>
  <c r="AK41" i="2"/>
  <c r="AK69" i="2"/>
  <c r="AK64" i="2"/>
  <c r="AK19" i="2"/>
  <c r="AK20" i="2"/>
  <c r="AK21" i="2"/>
  <c r="AK23" i="2"/>
  <c r="AK26" i="2"/>
  <c r="AK25" i="2"/>
  <c r="AK24" i="2"/>
  <c r="AK18" i="2"/>
  <c r="AK27" i="2"/>
  <c r="AM10" i="2"/>
  <c r="AL36" i="2"/>
  <c r="AL15" i="2"/>
  <c r="AL50" i="2"/>
  <c r="AL22" i="2"/>
  <c r="AJ27" i="2"/>
  <c r="N12" i="1"/>
  <c r="N15" i="1"/>
  <c r="N14" i="1"/>
  <c r="F21" i="25"/>
  <c r="C21" i="30"/>
  <c r="O16" i="1"/>
  <c r="O14" i="1"/>
  <c r="O12" i="1"/>
  <c r="N47" i="1"/>
  <c r="N38" i="1"/>
  <c r="F22" i="25"/>
  <c r="N55" i="1"/>
  <c r="N57" i="1"/>
  <c r="F24" i="25"/>
  <c r="P50" i="2"/>
  <c r="O27" i="2"/>
  <c r="M45" i="1"/>
  <c r="N61" i="1"/>
  <c r="F28" i="25"/>
  <c r="M36" i="1"/>
  <c r="M33" i="1"/>
  <c r="N40" i="1"/>
  <c r="M47" i="1"/>
  <c r="N63" i="1"/>
  <c r="F30" i="25"/>
  <c r="M38" i="1"/>
  <c r="N113" i="2"/>
  <c r="O23" i="1"/>
  <c r="O56" i="1"/>
  <c r="N37" i="1"/>
  <c r="N13" i="1"/>
  <c r="C8" i="30"/>
  <c r="N69" i="2"/>
  <c r="O13" i="1"/>
  <c r="P78" i="2"/>
  <c r="P64" i="2"/>
  <c r="P41" i="2"/>
  <c r="O21" i="1"/>
  <c r="C6" i="30"/>
  <c r="F29" i="25"/>
  <c r="N62" i="1"/>
  <c r="M46" i="1"/>
  <c r="M39" i="1"/>
  <c r="M48" i="1"/>
  <c r="BQ48" i="1"/>
  <c r="F31" i="25"/>
  <c r="N64" i="1"/>
  <c r="N25" i="1"/>
  <c r="N36" i="1"/>
  <c r="F20" i="25"/>
  <c r="N53" i="1"/>
  <c r="O69" i="2"/>
  <c r="C5" i="30"/>
  <c r="S79" i="2"/>
  <c r="S65" i="2"/>
  <c r="C7" i="30"/>
  <c r="C15" i="30"/>
  <c r="F15" i="25"/>
  <c r="F9" i="25"/>
  <c r="F16" i="25"/>
  <c r="C4" i="30"/>
  <c r="O24" i="1"/>
  <c r="P21" i="2"/>
  <c r="P20" i="2"/>
  <c r="P18" i="2"/>
  <c r="P24" i="2"/>
  <c r="P25" i="2"/>
  <c r="P19" i="2"/>
  <c r="P26" i="2"/>
  <c r="P23" i="2"/>
  <c r="Q15" i="2"/>
  <c r="Q22" i="2"/>
  <c r="Q36" i="2"/>
  <c r="R10" i="2"/>
  <c r="Q92" i="2" a="1"/>
  <c r="Q92" i="2"/>
  <c r="Q97" i="2"/>
  <c r="P5" i="1"/>
  <c r="Q4" i="1"/>
  <c r="Q7" i="1"/>
  <c r="Q6" i="1"/>
  <c r="P6" i="1"/>
  <c r="Q8" i="1"/>
  <c r="P7" i="1"/>
  <c r="P8" i="1"/>
  <c r="P4" i="1"/>
  <c r="M37" i="1"/>
  <c r="N45" i="1"/>
  <c r="N33" i="1"/>
  <c r="N50" i="1"/>
  <c r="N39" i="1"/>
  <c r="M40" i="1"/>
  <c r="N65" i="1"/>
  <c r="F32" i="25"/>
  <c r="P22" i="1"/>
  <c r="O20" i="1"/>
  <c r="O22" i="1"/>
  <c r="Q23" i="1"/>
  <c r="F23" i="25"/>
  <c r="N56" i="1"/>
  <c r="O83" i="2"/>
  <c r="M17" i="1"/>
  <c r="W11" i="2"/>
  <c r="U11" i="2"/>
  <c r="T37" i="2"/>
  <c r="T51" i="2"/>
  <c r="T93" i="2" a="1"/>
  <c r="T93" i="2"/>
  <c r="N16" i="1"/>
  <c r="N46" i="1"/>
  <c r="Q21" i="1"/>
  <c r="AL55" i="2"/>
  <c r="AL113" i="2"/>
  <c r="AL108" i="2"/>
  <c r="AL23" i="2"/>
  <c r="AL25" i="2"/>
  <c r="AL24" i="2"/>
  <c r="AL18" i="2"/>
  <c r="AL20" i="2"/>
  <c r="AL26" i="2"/>
  <c r="AL19" i="2"/>
  <c r="AL21" i="2"/>
  <c r="AL78" i="2"/>
  <c r="AL83" i="2"/>
  <c r="AL41" i="2"/>
  <c r="AL69" i="2"/>
  <c r="AL64" i="2"/>
  <c r="AN10" i="2"/>
  <c r="AO10" i="2"/>
  <c r="AM36" i="2"/>
  <c r="AM15" i="2"/>
  <c r="AM22" i="2"/>
  <c r="AM50" i="2"/>
  <c r="N17" i="1"/>
  <c r="F12" i="25"/>
  <c r="F13" i="25"/>
  <c r="T109" i="2"/>
  <c r="V11" i="2"/>
  <c r="U37" i="2"/>
  <c r="X11" i="2"/>
  <c r="W37" i="2"/>
  <c r="Q50" i="2"/>
  <c r="P27" i="2"/>
  <c r="P24" i="1"/>
  <c r="P57" i="1"/>
  <c r="O53" i="1"/>
  <c r="N41" i="1"/>
  <c r="N42" i="1"/>
  <c r="N72" i="1"/>
  <c r="F14" i="25"/>
  <c r="Q20" i="1"/>
  <c r="N71" i="1"/>
  <c r="F38" i="25"/>
  <c r="C30" i="30"/>
  <c r="F47" i="25"/>
  <c r="M41" i="1"/>
  <c r="M50" i="1"/>
  <c r="O57" i="1"/>
  <c r="C22" i="30"/>
  <c r="O17" i="1"/>
  <c r="T79" i="2"/>
  <c r="T65" i="2"/>
  <c r="F40" i="25"/>
  <c r="C32" i="30"/>
  <c r="F49" i="25"/>
  <c r="G7" i="25"/>
  <c r="G15" i="25"/>
  <c r="G4" i="25"/>
  <c r="C20" i="30"/>
  <c r="F36" i="25"/>
  <c r="F25" i="25"/>
  <c r="F39" i="25"/>
  <c r="F48" i="25"/>
  <c r="C31" i="30"/>
  <c r="Q24" i="1"/>
  <c r="N69" i="1"/>
  <c r="N73" i="1"/>
  <c r="C23" i="30"/>
  <c r="N70" i="1"/>
  <c r="P9" i="1"/>
  <c r="P15" i="1"/>
  <c r="G6" i="25"/>
  <c r="R50" i="2"/>
  <c r="S10" i="2"/>
  <c r="Q5" i="1"/>
  <c r="Q9" i="1"/>
  <c r="R15" i="2"/>
  <c r="R22" i="2"/>
  <c r="Q19" i="2"/>
  <c r="Q20" i="2"/>
  <c r="Q21" i="2"/>
  <c r="Q18" i="2"/>
  <c r="Q25" i="2"/>
  <c r="Q24" i="2"/>
  <c r="Q26" i="2"/>
  <c r="Q23" i="2"/>
  <c r="C9" i="30"/>
  <c r="C14" i="30"/>
  <c r="P23" i="1"/>
  <c r="N58" i="1"/>
  <c r="F46" i="25"/>
  <c r="C29" i="30"/>
  <c r="C46" i="30"/>
  <c r="P83" i="2"/>
  <c r="C16" i="30"/>
  <c r="Q22" i="1"/>
  <c r="F33" i="25"/>
  <c r="F50" i="25"/>
  <c r="F45" i="25"/>
  <c r="C28" i="30"/>
  <c r="F37" i="25"/>
  <c r="P55" i="1"/>
  <c r="O25" i="1"/>
  <c r="G8" i="25"/>
  <c r="Q78" i="2"/>
  <c r="Q41" i="2"/>
  <c r="Q64" i="2"/>
  <c r="P21" i="1"/>
  <c r="P54" i="1"/>
  <c r="O54" i="1"/>
  <c r="P20" i="1"/>
  <c r="N66" i="1"/>
  <c r="P108" i="2"/>
  <c r="P55" i="2"/>
  <c r="O29" i="1"/>
  <c r="O37" i="1"/>
  <c r="O70" i="1"/>
  <c r="Q32" i="1"/>
  <c r="P28" i="1"/>
  <c r="Q28" i="1"/>
  <c r="O30" i="1"/>
  <c r="O28" i="1"/>
  <c r="Q30" i="1"/>
  <c r="P32" i="1"/>
  <c r="O32" i="1"/>
  <c r="P31" i="1"/>
  <c r="O31" i="1"/>
  <c r="P30" i="1"/>
  <c r="Q31" i="1"/>
  <c r="C24" i="30"/>
  <c r="O55" i="1"/>
  <c r="U93" i="2" a="1"/>
  <c r="U93" i="2"/>
  <c r="AM55" i="2"/>
  <c r="AM113" i="2"/>
  <c r="AM108" i="2"/>
  <c r="AM20" i="2"/>
  <c r="AM19" i="2"/>
  <c r="AM23" i="2"/>
  <c r="AM21" i="2"/>
  <c r="AM26" i="2"/>
  <c r="AM25" i="2"/>
  <c r="AM24" i="2"/>
  <c r="AM18" i="2"/>
  <c r="AM27" i="2"/>
  <c r="AM78" i="2"/>
  <c r="AM83" i="2"/>
  <c r="AM41" i="2"/>
  <c r="AM69" i="2"/>
  <c r="AM64" i="2"/>
  <c r="AN36" i="2"/>
  <c r="AN15" i="2"/>
  <c r="AN22" i="2"/>
  <c r="AL27" i="2"/>
  <c r="Q12" i="1"/>
  <c r="Q15" i="1"/>
  <c r="P16" i="1"/>
  <c r="P12" i="1"/>
  <c r="F17" i="25"/>
  <c r="Q54" i="1"/>
  <c r="Q16" i="1"/>
  <c r="Q53" i="1"/>
  <c r="C12" i="30"/>
  <c r="G31" i="25"/>
  <c r="O40" i="1"/>
  <c r="O65" i="1"/>
  <c r="Q65" i="1"/>
  <c r="P65" i="1"/>
  <c r="O46" i="1"/>
  <c r="O62" i="1"/>
  <c r="C13" i="30"/>
  <c r="Q27" i="2"/>
  <c r="G5" i="25"/>
  <c r="G9" i="25"/>
  <c r="G14" i="25"/>
  <c r="Q13" i="1"/>
  <c r="Q14" i="1"/>
  <c r="Q39" i="1"/>
  <c r="C37" i="30"/>
  <c r="G21" i="25"/>
  <c r="P14" i="1"/>
  <c r="Q55" i="1"/>
  <c r="Q57" i="1"/>
  <c r="M42" i="1"/>
  <c r="C47" i="30"/>
  <c r="P47" i="1"/>
  <c r="O39" i="1"/>
  <c r="O64" i="1"/>
  <c r="Q64" i="1"/>
  <c r="P64" i="1"/>
  <c r="P39" i="1"/>
  <c r="O47" i="1"/>
  <c r="O63" i="1"/>
  <c r="P63" i="1"/>
  <c r="Q63" i="1"/>
  <c r="Q45" i="1"/>
  <c r="G28" i="25"/>
  <c r="P113" i="2"/>
  <c r="Q56" i="1"/>
  <c r="P56" i="1"/>
  <c r="O38" i="1"/>
  <c r="G23" i="25"/>
  <c r="F41" i="25"/>
  <c r="Q108" i="2"/>
  <c r="Q55" i="2"/>
  <c r="Q113" i="2"/>
  <c r="P29" i="1"/>
  <c r="P33" i="1"/>
  <c r="P50" i="1"/>
  <c r="W79" i="2"/>
  <c r="U79" i="2"/>
  <c r="C40" i="30"/>
  <c r="P40" i="1"/>
  <c r="Q47" i="1"/>
  <c r="G30" i="25"/>
  <c r="O45" i="1"/>
  <c r="O33" i="1"/>
  <c r="O41" i="1"/>
  <c r="O61" i="1"/>
  <c r="Q61" i="1"/>
  <c r="P61" i="1"/>
  <c r="P45" i="1"/>
  <c r="P25" i="1"/>
  <c r="P36" i="1"/>
  <c r="Q69" i="2"/>
  <c r="C45" i="30"/>
  <c r="C33" i="30"/>
  <c r="G22" i="25"/>
  <c r="Q38" i="1"/>
  <c r="R21" i="2"/>
  <c r="R24" i="2"/>
  <c r="R18" i="2"/>
  <c r="R25" i="2"/>
  <c r="R20" i="2"/>
  <c r="R19" i="2"/>
  <c r="R26" i="2"/>
  <c r="R23" i="2"/>
  <c r="S36" i="2"/>
  <c r="S50" i="2"/>
  <c r="T10" i="2"/>
  <c r="S15" i="2"/>
  <c r="S22" i="2"/>
  <c r="R5" i="1"/>
  <c r="S92" i="2" a="1"/>
  <c r="S92" i="2"/>
  <c r="S97" i="2"/>
  <c r="R4" i="1"/>
  <c r="S4" i="1"/>
  <c r="S6" i="1"/>
  <c r="S7" i="1"/>
  <c r="S8" i="1"/>
  <c r="R6" i="1"/>
  <c r="R8" i="1"/>
  <c r="C39" i="30"/>
  <c r="C38" i="30"/>
  <c r="G20" i="25"/>
  <c r="Q25" i="1"/>
  <c r="Q36" i="1"/>
  <c r="O58" i="1"/>
  <c r="P13" i="1"/>
  <c r="R7" i="1"/>
  <c r="Y11" i="2"/>
  <c r="X37" i="2"/>
  <c r="X51" i="2"/>
  <c r="X109" i="2"/>
  <c r="U51" i="2"/>
  <c r="U65" i="2"/>
  <c r="G32" i="25"/>
  <c r="Q83" i="2"/>
  <c r="O36" i="1"/>
  <c r="R92" i="2" a="1"/>
  <c r="R92" i="2"/>
  <c r="R97" i="2"/>
  <c r="R108" i="2"/>
  <c r="R64" i="2"/>
  <c r="R55" i="2"/>
  <c r="Q29" i="1"/>
  <c r="Q33" i="1"/>
  <c r="Q50" i="1"/>
  <c r="N74" i="1"/>
  <c r="G24" i="25"/>
  <c r="Q40" i="1"/>
  <c r="C25" i="30"/>
  <c r="C36" i="30"/>
  <c r="C49" i="30"/>
  <c r="P69" i="2"/>
  <c r="P53" i="1"/>
  <c r="P38" i="1"/>
  <c r="W51" i="2"/>
  <c r="W109" i="2"/>
  <c r="V37" i="2"/>
  <c r="V51" i="2"/>
  <c r="V109" i="2"/>
  <c r="V93" i="2" a="1"/>
  <c r="V93" i="2"/>
  <c r="AN23" i="2"/>
  <c r="AN25" i="2"/>
  <c r="AN24" i="2"/>
  <c r="AN20" i="2"/>
  <c r="AN26" i="2"/>
  <c r="AN18" i="2"/>
  <c r="AN21" i="2"/>
  <c r="AN19" i="2"/>
  <c r="AN78" i="2"/>
  <c r="AN83" i="2"/>
  <c r="AN41" i="2"/>
  <c r="AN50" i="2"/>
  <c r="AN108" i="2"/>
  <c r="P17" i="1"/>
  <c r="O66" i="1"/>
  <c r="C17" i="30"/>
  <c r="G12" i="25"/>
  <c r="Q17" i="1"/>
  <c r="O42" i="1"/>
  <c r="P58" i="1"/>
  <c r="R113" i="2"/>
  <c r="R69" i="2"/>
  <c r="Z11" i="2"/>
  <c r="Y37" i="2"/>
  <c r="Y51" i="2"/>
  <c r="Y109" i="2"/>
  <c r="S19" i="2"/>
  <c r="S18" i="2"/>
  <c r="S25" i="2"/>
  <c r="S21" i="2"/>
  <c r="S20" i="2"/>
  <c r="S24" i="2"/>
  <c r="S26" i="2"/>
  <c r="S23" i="2"/>
  <c r="G38" i="25"/>
  <c r="G16" i="25"/>
  <c r="G39" i="25"/>
  <c r="P62" i="1"/>
  <c r="P66" i="1"/>
  <c r="P69" i="1"/>
  <c r="Q69" i="1"/>
  <c r="O69" i="1"/>
  <c r="G49" i="25"/>
  <c r="Q41" i="1"/>
  <c r="Q42" i="1"/>
  <c r="U10" i="2"/>
  <c r="T36" i="2"/>
  <c r="T15" i="2"/>
  <c r="S5" i="1"/>
  <c r="S9" i="1"/>
  <c r="S15" i="1"/>
  <c r="R27" i="2"/>
  <c r="C50" i="30"/>
  <c r="P41" i="1"/>
  <c r="P42" i="1"/>
  <c r="P46" i="1"/>
  <c r="F42" i="25"/>
  <c r="P71" i="1"/>
  <c r="O71" i="1"/>
  <c r="Q71" i="1"/>
  <c r="P37" i="1"/>
  <c r="G40" i="25"/>
  <c r="G25" i="25"/>
  <c r="S108" i="2"/>
  <c r="S55" i="2"/>
  <c r="S113" i="2"/>
  <c r="R29" i="1"/>
  <c r="R31" i="1"/>
  <c r="R28" i="1"/>
  <c r="R30" i="1"/>
  <c r="R32" i="1"/>
  <c r="O50" i="1"/>
  <c r="G47" i="25"/>
  <c r="W65" i="2"/>
  <c r="Q62" i="1"/>
  <c r="Q66" i="1"/>
  <c r="O73" i="1"/>
  <c r="P73" i="1"/>
  <c r="Q73" i="1"/>
  <c r="V79" i="2"/>
  <c r="V65" i="2"/>
  <c r="C41" i="30"/>
  <c r="G29" i="25"/>
  <c r="G33" i="25"/>
  <c r="G50" i="25"/>
  <c r="Q46" i="1"/>
  <c r="Q37" i="1"/>
  <c r="U109" i="2"/>
  <c r="X79" i="2"/>
  <c r="X65" i="2"/>
  <c r="R9" i="1"/>
  <c r="S78" i="2"/>
  <c r="S64" i="2"/>
  <c r="S41" i="2"/>
  <c r="R21" i="1"/>
  <c r="S20" i="1"/>
  <c r="R24" i="1"/>
  <c r="S22" i="1"/>
  <c r="R23" i="1"/>
  <c r="S23" i="1"/>
  <c r="R20" i="1"/>
  <c r="R22" i="1"/>
  <c r="S24" i="1"/>
  <c r="G36" i="25"/>
  <c r="G45" i="25"/>
  <c r="P72" i="1"/>
  <c r="Q72" i="1"/>
  <c r="O72" i="1"/>
  <c r="G13" i="25"/>
  <c r="Q58" i="1"/>
  <c r="T92" i="2" a="1"/>
  <c r="T92" i="2"/>
  <c r="T97" i="2"/>
  <c r="AN55" i="2"/>
  <c r="AN113" i="2"/>
  <c r="AN64" i="2"/>
  <c r="AN69" i="2"/>
  <c r="AN27" i="2"/>
  <c r="R13" i="1"/>
  <c r="R15" i="1"/>
  <c r="G17" i="25"/>
  <c r="G37" i="25"/>
  <c r="R12" i="1"/>
  <c r="S13" i="1"/>
  <c r="S16" i="1"/>
  <c r="S12" i="1"/>
  <c r="S14" i="1"/>
  <c r="G46" i="25"/>
  <c r="R46" i="1"/>
  <c r="G41" i="25"/>
  <c r="P70" i="1"/>
  <c r="P74" i="1"/>
  <c r="Q70" i="1"/>
  <c r="T78" i="2"/>
  <c r="T41" i="2"/>
  <c r="S21" i="1"/>
  <c r="S25" i="1"/>
  <c r="R14" i="1"/>
  <c r="AA11" i="2"/>
  <c r="AB11" i="2"/>
  <c r="Z37" i="2"/>
  <c r="Z51" i="2"/>
  <c r="S83" i="2"/>
  <c r="W93" i="2" a="1"/>
  <c r="W93" i="2"/>
  <c r="X93" i="2" a="1"/>
  <c r="X93" i="2"/>
  <c r="R40" i="1"/>
  <c r="R65" i="1"/>
  <c r="R47" i="1"/>
  <c r="R63" i="1"/>
  <c r="R62" i="1"/>
  <c r="V10" i="2"/>
  <c r="U36" i="2"/>
  <c r="U15" i="2"/>
  <c r="U22" i="2"/>
  <c r="U92" i="2" a="1"/>
  <c r="U92" i="2"/>
  <c r="U97" i="2"/>
  <c r="T5" i="1"/>
  <c r="T7" i="1"/>
  <c r="T6" i="1"/>
  <c r="T8" i="1"/>
  <c r="T4" i="1"/>
  <c r="Q74" i="1"/>
  <c r="R16" i="1"/>
  <c r="Y93" i="2" a="1"/>
  <c r="Y93" i="2"/>
  <c r="R25" i="1"/>
  <c r="R36" i="1"/>
  <c r="S53" i="1"/>
  <c r="R53" i="1"/>
  <c r="S57" i="1"/>
  <c r="R57" i="1"/>
  <c r="R37" i="1"/>
  <c r="R54" i="1"/>
  <c r="C42" i="30"/>
  <c r="R45" i="1"/>
  <c r="R33" i="1"/>
  <c r="R61" i="1"/>
  <c r="T21" i="2"/>
  <c r="T24" i="2"/>
  <c r="T25" i="2"/>
  <c r="T18" i="2"/>
  <c r="T20" i="2"/>
  <c r="T19" i="2"/>
  <c r="T26" i="2"/>
  <c r="T23" i="2"/>
  <c r="T22" i="2"/>
  <c r="S27" i="2"/>
  <c r="Y79" i="2"/>
  <c r="Y65" i="2"/>
  <c r="R38" i="1"/>
  <c r="S55" i="1"/>
  <c r="R55" i="1"/>
  <c r="R56" i="1"/>
  <c r="S56" i="1"/>
  <c r="S69" i="2"/>
  <c r="R39" i="1"/>
  <c r="R64" i="1"/>
  <c r="T50" i="2"/>
  <c r="O74" i="1"/>
  <c r="T83" i="2"/>
  <c r="R17" i="1"/>
  <c r="S54" i="1"/>
  <c r="S58" i="1"/>
  <c r="S17" i="1"/>
  <c r="R58" i="1"/>
  <c r="R41" i="1"/>
  <c r="H7" i="25"/>
  <c r="H15" i="25"/>
  <c r="Z109" i="2"/>
  <c r="T108" i="2"/>
  <c r="T55" i="2"/>
  <c r="S29" i="1"/>
  <c r="S28" i="1"/>
  <c r="S30" i="1"/>
  <c r="S31" i="1"/>
  <c r="S32" i="1"/>
  <c r="R71" i="1"/>
  <c r="R50" i="1"/>
  <c r="H8" i="25"/>
  <c r="H5" i="25"/>
  <c r="U78" i="2"/>
  <c r="T21" i="1"/>
  <c r="U41" i="2"/>
  <c r="T20" i="1"/>
  <c r="T22" i="1"/>
  <c r="T24" i="1"/>
  <c r="T23" i="1"/>
  <c r="R73" i="1"/>
  <c r="AB37" i="2"/>
  <c r="AB51" i="2"/>
  <c r="AB109" i="2"/>
  <c r="S37" i="1"/>
  <c r="S70" i="1"/>
  <c r="G42" i="25"/>
  <c r="R72" i="1"/>
  <c r="T27" i="2"/>
  <c r="R66" i="1"/>
  <c r="R69" i="1"/>
  <c r="H6" i="25"/>
  <c r="V15" i="2"/>
  <c r="W10" i="2"/>
  <c r="V36" i="2"/>
  <c r="V22" i="2"/>
  <c r="U5" i="1"/>
  <c r="V92" i="2" a="1"/>
  <c r="V92" i="2"/>
  <c r="V97" i="2"/>
  <c r="U8" i="1"/>
  <c r="U4" i="1"/>
  <c r="U7" i="1"/>
  <c r="U6" i="1"/>
  <c r="Z93" i="2" a="1"/>
  <c r="Z93" i="2"/>
  <c r="T69" i="2"/>
  <c r="H4" i="25"/>
  <c r="T9" i="1"/>
  <c r="U20" i="2"/>
  <c r="U24" i="2"/>
  <c r="U19" i="2"/>
  <c r="U25" i="2"/>
  <c r="U21" i="2"/>
  <c r="U18" i="2"/>
  <c r="U26" i="2"/>
  <c r="U23" i="2"/>
  <c r="U50" i="2"/>
  <c r="Z79" i="2"/>
  <c r="Z65" i="2"/>
  <c r="AC11" i="2"/>
  <c r="AA37" i="2"/>
  <c r="T64" i="2"/>
  <c r="R70" i="1"/>
  <c r="U20" i="1"/>
  <c r="V50" i="2"/>
  <c r="T12" i="1"/>
  <c r="T15" i="1"/>
  <c r="AA79" i="2"/>
  <c r="H9" i="25"/>
  <c r="H14" i="25"/>
  <c r="H12" i="25"/>
  <c r="W36" i="2"/>
  <c r="W15" i="2"/>
  <c r="X10" i="2"/>
  <c r="W22" i="2"/>
  <c r="V5" i="1"/>
  <c r="V7" i="1"/>
  <c r="V6" i="1"/>
  <c r="V4" i="1"/>
  <c r="V8" i="1"/>
  <c r="AB79" i="2"/>
  <c r="AB65" i="2"/>
  <c r="H20" i="25"/>
  <c r="T25" i="1"/>
  <c r="T53" i="1"/>
  <c r="U83" i="2"/>
  <c r="H16" i="25"/>
  <c r="U31" i="1"/>
  <c r="S33" i="1"/>
  <c r="S45" i="1"/>
  <c r="S36" i="1"/>
  <c r="S61" i="1"/>
  <c r="U28" i="1"/>
  <c r="R42" i="1"/>
  <c r="AA93" i="2" a="1"/>
  <c r="AA93" i="2"/>
  <c r="AC37" i="2"/>
  <c r="AD51" i="2"/>
  <c r="AC51" i="2"/>
  <c r="AC109" i="2"/>
  <c r="AC93" i="2" a="1"/>
  <c r="AC93" i="2"/>
  <c r="U27" i="2"/>
  <c r="V108" i="2"/>
  <c r="V55" i="2"/>
  <c r="V113" i="2"/>
  <c r="U29" i="1"/>
  <c r="AB93" i="2" a="1"/>
  <c r="AB93" i="2"/>
  <c r="H23" i="25"/>
  <c r="T56" i="1"/>
  <c r="T13" i="1"/>
  <c r="T31" i="1"/>
  <c r="U30" i="1"/>
  <c r="AA51" i="2"/>
  <c r="AA109" i="2"/>
  <c r="U108" i="2"/>
  <c r="U55" i="2"/>
  <c r="U113" i="2"/>
  <c r="T29" i="1"/>
  <c r="T37" i="1"/>
  <c r="U9" i="1"/>
  <c r="V21" i="2"/>
  <c r="V18" i="2"/>
  <c r="V26" i="2"/>
  <c r="V19" i="2"/>
  <c r="V25" i="2"/>
  <c r="V24" i="2"/>
  <c r="V20" i="2"/>
  <c r="V23" i="2"/>
  <c r="R74" i="1"/>
  <c r="U36" i="1"/>
  <c r="U53" i="1"/>
  <c r="H21" i="25"/>
  <c r="T54" i="1"/>
  <c r="U32" i="1"/>
  <c r="S47" i="1"/>
  <c r="S63" i="1"/>
  <c r="S38" i="1"/>
  <c r="T28" i="1"/>
  <c r="T30" i="1"/>
  <c r="T38" i="1"/>
  <c r="T32" i="1"/>
  <c r="T40" i="1"/>
  <c r="S46" i="1"/>
  <c r="S62" i="1"/>
  <c r="V78" i="2"/>
  <c r="V64" i="2"/>
  <c r="V41" i="2"/>
  <c r="V69" i="2"/>
  <c r="U21" i="1"/>
  <c r="U23" i="1"/>
  <c r="U24" i="1"/>
  <c r="U57" i="1"/>
  <c r="U22" i="1"/>
  <c r="T14" i="1"/>
  <c r="H24" i="25"/>
  <c r="T57" i="1"/>
  <c r="H22" i="25"/>
  <c r="T55" i="1"/>
  <c r="U64" i="2"/>
  <c r="T16" i="1"/>
  <c r="S40" i="1"/>
  <c r="S65" i="1"/>
  <c r="S39" i="1"/>
  <c r="U64" i="1"/>
  <c r="S64" i="1"/>
  <c r="T113" i="2"/>
  <c r="V83" i="2"/>
  <c r="U13" i="1"/>
  <c r="U15" i="1"/>
  <c r="T62" i="1"/>
  <c r="U62" i="1"/>
  <c r="T65" i="1"/>
  <c r="T17" i="1"/>
  <c r="H13" i="25"/>
  <c r="H17" i="25"/>
  <c r="T73" i="1"/>
  <c r="S73" i="1"/>
  <c r="U37" i="1"/>
  <c r="U16" i="1"/>
  <c r="T70" i="1"/>
  <c r="U12" i="1"/>
  <c r="U69" i="2"/>
  <c r="S50" i="1"/>
  <c r="S41" i="1"/>
  <c r="S42" i="1"/>
  <c r="T58" i="1"/>
  <c r="W19" i="2"/>
  <c r="W25" i="2"/>
  <c r="W20" i="2"/>
  <c r="W24" i="2"/>
  <c r="W18" i="2"/>
  <c r="W21" i="2"/>
  <c r="W26" i="2"/>
  <c r="W23" i="2"/>
  <c r="U38" i="1"/>
  <c r="U71" i="1"/>
  <c r="U55" i="1"/>
  <c r="H30" i="25"/>
  <c r="H38" i="25"/>
  <c r="T47" i="1"/>
  <c r="U63" i="1"/>
  <c r="T71" i="1"/>
  <c r="S71" i="1"/>
  <c r="V27" i="2"/>
  <c r="U61" i="1"/>
  <c r="H25" i="25"/>
  <c r="V9" i="1"/>
  <c r="W92" i="2" a="1"/>
  <c r="W92" i="2"/>
  <c r="W97" i="2"/>
  <c r="W50" i="2"/>
  <c r="H31" i="25"/>
  <c r="H32" i="25"/>
  <c r="H40" i="25"/>
  <c r="T64" i="1"/>
  <c r="S72" i="1"/>
  <c r="U65" i="1"/>
  <c r="U40" i="1"/>
  <c r="T33" i="1"/>
  <c r="T50" i="1"/>
  <c r="H28" i="25"/>
  <c r="T45" i="1"/>
  <c r="T63" i="1"/>
  <c r="U54" i="1"/>
  <c r="U25" i="1"/>
  <c r="T46" i="1"/>
  <c r="H29" i="25"/>
  <c r="H37" i="25"/>
  <c r="U47" i="1"/>
  <c r="U46" i="1"/>
  <c r="AD65" i="2"/>
  <c r="AD109" i="2"/>
  <c r="U45" i="1"/>
  <c r="U33" i="1"/>
  <c r="U50" i="1"/>
  <c r="T61" i="1"/>
  <c r="S66" i="1"/>
  <c r="S69" i="1"/>
  <c r="T36" i="1"/>
  <c r="W78" i="2"/>
  <c r="W41" i="2"/>
  <c r="W64" i="2"/>
  <c r="AA65" i="2"/>
  <c r="U56" i="1"/>
  <c r="T39" i="1"/>
  <c r="AC79" i="2"/>
  <c r="AC65" i="2"/>
  <c r="U39" i="1"/>
  <c r="Y10" i="2"/>
  <c r="X36" i="2"/>
  <c r="X15" i="2"/>
  <c r="X22" i="2"/>
  <c r="W5" i="1"/>
  <c r="X92" i="2" a="1"/>
  <c r="X92" i="2"/>
  <c r="X97" i="2"/>
  <c r="W8" i="1"/>
  <c r="W7" i="1"/>
  <c r="W6" i="1"/>
  <c r="W4" i="1"/>
  <c r="U14" i="1"/>
  <c r="AN93" i="2" a="1"/>
  <c r="AN93" i="2"/>
  <c r="W83" i="2"/>
  <c r="V14" i="1"/>
  <c r="V15" i="1"/>
  <c r="T41" i="1"/>
  <c r="T42" i="1"/>
  <c r="U17" i="1"/>
  <c r="U58" i="1"/>
  <c r="V12" i="1"/>
  <c r="V13" i="1"/>
  <c r="I6" i="25"/>
  <c r="X78" i="2"/>
  <c r="X41" i="2"/>
  <c r="I8" i="25"/>
  <c r="X50" i="2"/>
  <c r="AE93" i="2" a="1"/>
  <c r="AE93" i="2"/>
  <c r="AG93" i="2" a="1"/>
  <c r="AG93" i="2"/>
  <c r="AL93" i="2" a="1"/>
  <c r="AL93" i="2"/>
  <c r="AD93" i="2" a="1"/>
  <c r="AD93" i="2"/>
  <c r="AH93" i="2" a="1"/>
  <c r="AH93" i="2"/>
  <c r="AK93" i="2" a="1"/>
  <c r="AK93" i="2"/>
  <c r="AF93" i="2" a="1"/>
  <c r="AF93" i="2"/>
  <c r="AI93" i="2" a="1"/>
  <c r="AI93" i="2"/>
  <c r="AM93" i="2" a="1"/>
  <c r="AM93" i="2"/>
  <c r="H46" i="25"/>
  <c r="H45" i="25"/>
  <c r="H33" i="25"/>
  <c r="H50" i="25"/>
  <c r="T72" i="1"/>
  <c r="H36" i="25"/>
  <c r="H47" i="25"/>
  <c r="U69" i="1"/>
  <c r="T69" i="1"/>
  <c r="W108" i="2"/>
  <c r="W55" i="2"/>
  <c r="W113" i="2"/>
  <c r="U66" i="1"/>
  <c r="W27" i="2"/>
  <c r="I4" i="25"/>
  <c r="W9" i="1"/>
  <c r="I5" i="25"/>
  <c r="U72" i="1"/>
  <c r="H39" i="25"/>
  <c r="U73" i="1"/>
  <c r="AJ93" i="2" a="1"/>
  <c r="AJ93" i="2"/>
  <c r="I7" i="25"/>
  <c r="I15" i="25"/>
  <c r="X20" i="2"/>
  <c r="X25" i="2"/>
  <c r="X24" i="2"/>
  <c r="X19" i="2"/>
  <c r="X26" i="2"/>
  <c r="X21" i="2"/>
  <c r="X18" i="2"/>
  <c r="X23" i="2"/>
  <c r="Z10" i="2"/>
  <c r="Y36" i="2"/>
  <c r="Y15" i="2"/>
  <c r="Y22" i="2"/>
  <c r="X5" i="1"/>
  <c r="Y92" i="2" a="1"/>
  <c r="Y92" i="2"/>
  <c r="Y97" i="2"/>
  <c r="X7" i="1"/>
  <c r="X4" i="1"/>
  <c r="X6" i="1"/>
  <c r="Y8" i="1"/>
  <c r="Y7" i="1"/>
  <c r="X8" i="1"/>
  <c r="S74" i="1"/>
  <c r="T66" i="1"/>
  <c r="U41" i="1"/>
  <c r="U42" i="1"/>
  <c r="V16" i="1"/>
  <c r="U70" i="1"/>
  <c r="W13" i="1"/>
  <c r="W15" i="1"/>
  <c r="T74" i="1"/>
  <c r="V17" i="1"/>
  <c r="H41" i="25"/>
  <c r="H42" i="25"/>
  <c r="W12" i="1"/>
  <c r="X83" i="2"/>
  <c r="Y50" i="2"/>
  <c r="X27" i="2"/>
  <c r="U74" i="1"/>
  <c r="X108" i="2"/>
  <c r="X55" i="2"/>
  <c r="X113" i="2"/>
  <c r="W14" i="1"/>
  <c r="Y78" i="2"/>
  <c r="Y41" i="2"/>
  <c r="Y64" i="2"/>
  <c r="X21" i="1"/>
  <c r="X22" i="1"/>
  <c r="X24" i="1"/>
  <c r="X23" i="1"/>
  <c r="X20" i="1"/>
  <c r="W16" i="1"/>
  <c r="X64" i="2"/>
  <c r="X9" i="1"/>
  <c r="Y19" i="2"/>
  <c r="Y18" i="2"/>
  <c r="Y20" i="2"/>
  <c r="Y21" i="2"/>
  <c r="Y25" i="2"/>
  <c r="Y26" i="2"/>
  <c r="Y24" i="2"/>
  <c r="Y23" i="2"/>
  <c r="AA10" i="2"/>
  <c r="Z15" i="2"/>
  <c r="Z36" i="2"/>
  <c r="Z22" i="2"/>
  <c r="Z92" i="2" a="1"/>
  <c r="Z92" i="2"/>
  <c r="Z97" i="2"/>
  <c r="Y5" i="1"/>
  <c r="Z6" i="1"/>
  <c r="Y4" i="1"/>
  <c r="Z8" i="1"/>
  <c r="Z7" i="1"/>
  <c r="Z4" i="1"/>
  <c r="Y6" i="1"/>
  <c r="I9" i="25"/>
  <c r="I13" i="25"/>
  <c r="W69" i="2"/>
  <c r="X69" i="2"/>
  <c r="X13" i="1"/>
  <c r="X15" i="1"/>
  <c r="W17" i="1"/>
  <c r="I16" i="25"/>
  <c r="I12" i="25"/>
  <c r="X12" i="1"/>
  <c r="J7" i="25"/>
  <c r="Z19" i="2"/>
  <c r="Z21" i="2"/>
  <c r="Z25" i="2"/>
  <c r="Z24" i="2"/>
  <c r="Z20" i="2"/>
  <c r="Z26" i="2"/>
  <c r="Z18" i="2"/>
  <c r="Z23" i="2"/>
  <c r="AA36" i="2"/>
  <c r="AA15" i="2"/>
  <c r="AA22" i="2"/>
  <c r="AB10" i="2"/>
  <c r="AA50" i="2"/>
  <c r="Z5" i="1"/>
  <c r="Z9" i="1"/>
  <c r="AA4" i="1"/>
  <c r="AA7" i="1"/>
  <c r="Y27" i="2"/>
  <c r="Z24" i="1"/>
  <c r="Y83" i="2"/>
  <c r="J4" i="25"/>
  <c r="J8" i="25"/>
  <c r="Y9" i="1"/>
  <c r="Z50" i="2"/>
  <c r="Z64" i="2"/>
  <c r="X16" i="1"/>
  <c r="I14" i="25"/>
  <c r="X25" i="1"/>
  <c r="X14" i="1"/>
  <c r="J6" i="25"/>
  <c r="Z78" i="2"/>
  <c r="Z41" i="2"/>
  <c r="Y21" i="1"/>
  <c r="Y22" i="1"/>
  <c r="Y20" i="1"/>
  <c r="Z20" i="1"/>
  <c r="Y24" i="1"/>
  <c r="Y23" i="1"/>
  <c r="Y108" i="2"/>
  <c r="Y55" i="2"/>
  <c r="Y113" i="2"/>
  <c r="X29" i="1"/>
  <c r="X37" i="1"/>
  <c r="X31" i="1"/>
  <c r="X39" i="1"/>
  <c r="X30" i="1"/>
  <c r="X28" i="1"/>
  <c r="X36" i="1"/>
  <c r="X32" i="1"/>
  <c r="Z31" i="1"/>
  <c r="Z83" i="2"/>
  <c r="Z23" i="1"/>
  <c r="Z27" i="2"/>
  <c r="Y12" i="1"/>
  <c r="Y15" i="1"/>
  <c r="Z16" i="1"/>
  <c r="Z15" i="1"/>
  <c r="Z12" i="1"/>
  <c r="I17" i="25"/>
  <c r="X17" i="1"/>
  <c r="Z14" i="1"/>
  <c r="Z39" i="1"/>
  <c r="X47" i="1"/>
  <c r="Y25" i="1"/>
  <c r="J20" i="25"/>
  <c r="AA92" i="2" a="1"/>
  <c r="AA92" i="2"/>
  <c r="AA97" i="2"/>
  <c r="Y69" i="2"/>
  <c r="J23" i="25"/>
  <c r="Y13" i="1"/>
  <c r="Y16" i="1"/>
  <c r="J5" i="25"/>
  <c r="D5" i="30"/>
  <c r="Z13" i="1"/>
  <c r="AA20" i="2"/>
  <c r="AA26" i="2"/>
  <c r="AA25" i="2"/>
  <c r="AA18" i="2"/>
  <c r="AA21" i="2"/>
  <c r="AA19" i="2"/>
  <c r="AA24" i="2"/>
  <c r="AA23" i="2"/>
  <c r="D7" i="30"/>
  <c r="D15" i="30"/>
  <c r="J15" i="25"/>
  <c r="X46" i="1"/>
  <c r="D6" i="30"/>
  <c r="D4" i="30"/>
  <c r="X38" i="1"/>
  <c r="AA108" i="2"/>
  <c r="AA55" i="2"/>
  <c r="AA113" i="2"/>
  <c r="Z29" i="1"/>
  <c r="Z28" i="1"/>
  <c r="Z36" i="1"/>
  <c r="Z32" i="1"/>
  <c r="Z40" i="1"/>
  <c r="AA78" i="2"/>
  <c r="AA41" i="2"/>
  <c r="AA64" i="2"/>
  <c r="Z21" i="1"/>
  <c r="Z22" i="1"/>
  <c r="X40" i="1"/>
  <c r="X45" i="1"/>
  <c r="X33" i="1"/>
  <c r="X50" i="1"/>
  <c r="Z108" i="2"/>
  <c r="Z55" i="2"/>
  <c r="Y29" i="1"/>
  <c r="Y32" i="1"/>
  <c r="Y31" i="1"/>
  <c r="Y39" i="1"/>
  <c r="Y28" i="1"/>
  <c r="Y30" i="1"/>
  <c r="Z30" i="1"/>
  <c r="D8" i="30"/>
  <c r="J22" i="25"/>
  <c r="AB15" i="2"/>
  <c r="AC10" i="2"/>
  <c r="AB36" i="2"/>
  <c r="AA5" i="1"/>
  <c r="AA8" i="1"/>
  <c r="AA6" i="1"/>
  <c r="J24" i="25"/>
  <c r="Y14" i="1"/>
  <c r="AA22" i="1"/>
  <c r="AD7" i="1"/>
  <c r="AD4" i="1"/>
  <c r="AD5" i="1"/>
  <c r="AD6" i="1"/>
  <c r="AD8" i="1"/>
  <c r="Z113" i="2"/>
  <c r="Z69" i="2"/>
  <c r="Z25" i="1"/>
  <c r="J29" i="25"/>
  <c r="J46" i="25"/>
  <c r="J28" i="25"/>
  <c r="J45" i="25"/>
  <c r="X41" i="1"/>
  <c r="X42" i="1"/>
  <c r="J9" i="25"/>
  <c r="Y17" i="1"/>
  <c r="Z17" i="1"/>
  <c r="AA23" i="1"/>
  <c r="AC36" i="2"/>
  <c r="AD50" i="2"/>
  <c r="AC15" i="2"/>
  <c r="AB5" i="1"/>
  <c r="AC6" i="1"/>
  <c r="AC7" i="1"/>
  <c r="AB7" i="1"/>
  <c r="AC4" i="1"/>
  <c r="AC5" i="1"/>
  <c r="AC8" i="1"/>
  <c r="AB4" i="1"/>
  <c r="AB6" i="1"/>
  <c r="Y47" i="1"/>
  <c r="Y46" i="1"/>
  <c r="Z37" i="1"/>
  <c r="J21" i="25"/>
  <c r="J37" i="25"/>
  <c r="J32" i="25"/>
  <c r="J40" i="25"/>
  <c r="Y38" i="1"/>
  <c r="AB20" i="2"/>
  <c r="AB25" i="2"/>
  <c r="AB26" i="2"/>
  <c r="AB24" i="2"/>
  <c r="AB21" i="2"/>
  <c r="AB18" i="2"/>
  <c r="AB19" i="2"/>
  <c r="AB23" i="2"/>
  <c r="Z47" i="1"/>
  <c r="AB92" i="2" a="1"/>
  <c r="AB92" i="2"/>
  <c r="AB97" i="2"/>
  <c r="AB50" i="2"/>
  <c r="Y45" i="1"/>
  <c r="Y33" i="1"/>
  <c r="Y50" i="1"/>
  <c r="AB24" i="1"/>
  <c r="Z38" i="1"/>
  <c r="Z33" i="1"/>
  <c r="Z50" i="1"/>
  <c r="Z45" i="1"/>
  <c r="AA27" i="2"/>
  <c r="Y37" i="1"/>
  <c r="J36" i="25"/>
  <c r="AB8" i="1"/>
  <c r="AB22" i="2"/>
  <c r="AA69" i="2"/>
  <c r="Z46" i="1"/>
  <c r="AA9" i="1"/>
  <c r="J31" i="25"/>
  <c r="J39" i="25"/>
  <c r="Y36" i="1"/>
  <c r="J30" i="25"/>
  <c r="J47" i="25"/>
  <c r="AB78" i="2"/>
  <c r="AB41" i="2"/>
  <c r="AB64" i="2"/>
  <c r="AA21" i="1"/>
  <c r="AD22" i="1"/>
  <c r="AC21" i="1"/>
  <c r="AD21" i="1"/>
  <c r="AC24" i="1"/>
  <c r="AC23" i="1"/>
  <c r="AD24" i="1"/>
  <c r="AA24" i="1"/>
  <c r="AA20" i="1"/>
  <c r="AC22" i="1"/>
  <c r="AD23" i="1"/>
  <c r="AC20" i="1"/>
  <c r="AD20" i="1"/>
  <c r="AB23" i="1"/>
  <c r="AA83" i="2"/>
  <c r="D9" i="30"/>
  <c r="D14" i="30"/>
  <c r="Y40" i="1"/>
  <c r="AD9" i="1"/>
  <c r="AA13" i="1"/>
  <c r="AA15" i="1"/>
  <c r="D12" i="30"/>
  <c r="J13" i="25"/>
  <c r="J12" i="25"/>
  <c r="J16" i="25"/>
  <c r="J14" i="25"/>
  <c r="Y41" i="1"/>
  <c r="Y42" i="1"/>
  <c r="AD25" i="1"/>
  <c r="K8" i="25"/>
  <c r="K7" i="25"/>
  <c r="K15" i="25"/>
  <c r="AC25" i="2"/>
  <c r="AC20" i="2"/>
  <c r="AC24" i="2"/>
  <c r="AC21" i="2"/>
  <c r="AC26" i="2"/>
  <c r="AC19" i="2"/>
  <c r="AC18" i="2"/>
  <c r="AC23" i="2"/>
  <c r="AC78" i="2"/>
  <c r="AC41" i="2"/>
  <c r="AB21" i="1"/>
  <c r="AB20" i="1"/>
  <c r="K24" i="25"/>
  <c r="AB83" i="2"/>
  <c r="AE92" i="2" a="1"/>
  <c r="AE92" i="2"/>
  <c r="AE97" i="2"/>
  <c r="AA16" i="1"/>
  <c r="AA12" i="1"/>
  <c r="AM92" i="2" a="1"/>
  <c r="AM92" i="2"/>
  <c r="AM97" i="2"/>
  <c r="D16" i="30"/>
  <c r="J25" i="25"/>
  <c r="AA14" i="1"/>
  <c r="AI92" i="2" a="1"/>
  <c r="AI92" i="2"/>
  <c r="AI97" i="2"/>
  <c r="AB22" i="1"/>
  <c r="AL92" i="2" a="1"/>
  <c r="AL92" i="2"/>
  <c r="AL97" i="2"/>
  <c r="K5" i="25"/>
  <c r="K6" i="25"/>
  <c r="AD64" i="2"/>
  <c r="AD108" i="2"/>
  <c r="AD55" i="2"/>
  <c r="K23" i="25"/>
  <c r="AH92" i="2" a="1"/>
  <c r="AH92" i="2"/>
  <c r="AH97" i="2"/>
  <c r="AC25" i="1"/>
  <c r="AA25" i="1"/>
  <c r="D13" i="30"/>
  <c r="J38" i="25"/>
  <c r="AF92" i="2" a="1"/>
  <c r="AF92" i="2"/>
  <c r="AF97" i="2"/>
  <c r="AD92" i="2" a="1"/>
  <c r="AD92" i="2"/>
  <c r="AD97" i="2"/>
  <c r="Z41" i="1"/>
  <c r="Z42" i="1"/>
  <c r="AB108" i="2"/>
  <c r="AB55" i="2"/>
  <c r="AB113" i="2"/>
  <c r="AA29" i="1"/>
  <c r="AA31" i="1"/>
  <c r="AA32" i="1"/>
  <c r="AA28" i="1"/>
  <c r="AA30" i="1"/>
  <c r="AC9" i="1"/>
  <c r="K4" i="25"/>
  <c r="AC50" i="2"/>
  <c r="J33" i="25"/>
  <c r="J50" i="25"/>
  <c r="AB27" i="2"/>
  <c r="AK92" i="2" a="1"/>
  <c r="AK92" i="2"/>
  <c r="AK97" i="2"/>
  <c r="AB9" i="1"/>
  <c r="AC92" i="2" a="1"/>
  <c r="AC92" i="2"/>
  <c r="AC97" i="2"/>
  <c r="AC22" i="2"/>
  <c r="AD28" i="1"/>
  <c r="AD31" i="1"/>
  <c r="AD32" i="1"/>
  <c r="AD29" i="1"/>
  <c r="AD30" i="1"/>
  <c r="AN92" i="2" a="1"/>
  <c r="AN92" i="2"/>
  <c r="AN97" i="2"/>
  <c r="AD12" i="1"/>
  <c r="AD15" i="1"/>
  <c r="AD13" i="1"/>
  <c r="AD14" i="1"/>
  <c r="AD16" i="1"/>
  <c r="AB13" i="1"/>
  <c r="AB15" i="1"/>
  <c r="AC16" i="1"/>
  <c r="AC15" i="1"/>
  <c r="AA37" i="1"/>
  <c r="AA39" i="1"/>
  <c r="K20" i="25"/>
  <c r="D17" i="30"/>
  <c r="AB12" i="1"/>
  <c r="AC12" i="1"/>
  <c r="K21" i="25"/>
  <c r="J17" i="25"/>
  <c r="AA17" i="1"/>
  <c r="AA45" i="1"/>
  <c r="AA33" i="1"/>
  <c r="AA50" i="1"/>
  <c r="AA36" i="1"/>
  <c r="AD69" i="2"/>
  <c r="AD113" i="2"/>
  <c r="AC14" i="1"/>
  <c r="K22" i="25"/>
  <c r="AC108" i="2"/>
  <c r="AC55" i="2"/>
  <c r="AC113" i="2"/>
  <c r="AB29" i="1"/>
  <c r="AB28" i="1"/>
  <c r="AB30" i="1"/>
  <c r="AB14" i="1"/>
  <c r="AA47" i="1"/>
  <c r="AA38" i="1"/>
  <c r="AD47" i="1"/>
  <c r="AB31" i="1"/>
  <c r="AC64" i="2"/>
  <c r="AC27" i="2"/>
  <c r="AC31" i="1"/>
  <c r="AC30" i="1"/>
  <c r="AC13" i="1"/>
  <c r="K9" i="25"/>
  <c r="K12" i="25"/>
  <c r="AC32" i="1"/>
  <c r="J41" i="25"/>
  <c r="J42" i="25"/>
  <c r="AB69" i="2"/>
  <c r="AA40" i="1"/>
  <c r="AB25" i="1"/>
  <c r="AC69" i="2"/>
  <c r="AB32" i="1"/>
  <c r="AA46" i="1"/>
  <c r="AD46" i="1"/>
  <c r="AD33" i="1"/>
  <c r="AD50" i="1"/>
  <c r="AD45" i="1"/>
  <c r="AC28" i="1"/>
  <c r="AC29" i="1"/>
  <c r="AB16" i="1"/>
  <c r="AD40" i="1"/>
  <c r="AC83" i="2"/>
  <c r="AJ92" i="2" a="1"/>
  <c r="AJ92" i="2"/>
  <c r="AJ97" i="2"/>
  <c r="AG92" i="2" a="1"/>
  <c r="AG92" i="2"/>
  <c r="AG97" i="2"/>
  <c r="AD38" i="1"/>
  <c r="AD37" i="1"/>
  <c r="AD39" i="1"/>
  <c r="AD36" i="1"/>
  <c r="AC40" i="1"/>
  <c r="AC39" i="1"/>
  <c r="AB36" i="1"/>
  <c r="AD17" i="1"/>
  <c r="AA41" i="1"/>
  <c r="AA42" i="1"/>
  <c r="K25" i="25"/>
  <c r="AC17" i="1"/>
  <c r="AD41" i="1"/>
  <c r="AD42" i="1"/>
  <c r="AB17" i="1"/>
  <c r="K28" i="25"/>
  <c r="K13" i="25"/>
  <c r="K14" i="25"/>
  <c r="K29" i="25"/>
  <c r="K16" i="25"/>
  <c r="K31" i="25"/>
  <c r="AB47" i="1"/>
  <c r="AB40" i="1"/>
  <c r="AB39" i="1"/>
  <c r="AB33" i="1"/>
  <c r="AB50" i="1"/>
  <c r="AB45" i="1"/>
  <c r="AC47" i="1"/>
  <c r="AC38" i="1"/>
  <c r="K30" i="25"/>
  <c r="AB46" i="1"/>
  <c r="AB37" i="1"/>
  <c r="AC46" i="1"/>
  <c r="AC37" i="1"/>
  <c r="AC33" i="1"/>
  <c r="AC45" i="1"/>
  <c r="AC36" i="1"/>
  <c r="K32" i="25"/>
  <c r="AB38" i="1"/>
  <c r="K38" i="25"/>
  <c r="K39" i="25"/>
  <c r="K37" i="25"/>
  <c r="K36" i="25"/>
  <c r="K46" i="25"/>
  <c r="K17" i="25"/>
  <c r="K45" i="25"/>
  <c r="AB41" i="1"/>
  <c r="AB42" i="1"/>
  <c r="AC50" i="1"/>
  <c r="AC41" i="1"/>
  <c r="AC42" i="1"/>
  <c r="K47" i="25"/>
  <c r="K49" i="25"/>
  <c r="K40" i="25"/>
  <c r="K33" i="25"/>
  <c r="K50" i="25"/>
  <c r="K41" i="25"/>
  <c r="K42" i="25"/>
  <c r="I18" i="88"/>
  <c r="G104" i="87"/>
  <c r="H2" i="87"/>
  <c r="H104" i="87"/>
  <c r="AQ44" i="2"/>
  <c r="AQ15" i="2"/>
  <c r="AQ19" i="2"/>
  <c r="AQ88" i="2" a="1"/>
  <c r="AQ88" i="2"/>
  <c r="AQ46" i="2"/>
  <c r="AQ20" i="2"/>
  <c r="AQ89" i="2" a="1"/>
  <c r="AQ89" i="2"/>
  <c r="AQ47" i="2"/>
  <c r="AQ21" i="2"/>
  <c r="AQ90" i="2" a="1"/>
  <c r="AQ90" i="2"/>
  <c r="AQ48" i="2"/>
  <c r="AQ91" i="2" a="1"/>
  <c r="AQ91" i="2"/>
  <c r="AQ49" i="2"/>
  <c r="AQ51" i="2"/>
  <c r="AQ23" i="2"/>
  <c r="AQ24" i="2"/>
  <c r="AQ26" i="2"/>
  <c r="AQ72" i="2"/>
  <c r="AQ58" i="2"/>
  <c r="AQ81" i="2"/>
  <c r="AQ53" i="2"/>
  <c r="AQ67" i="2"/>
  <c r="AF28" i="1"/>
  <c r="AF29" i="1"/>
  <c r="AF32" i="1"/>
  <c r="AF31" i="1"/>
  <c r="AF30" i="1"/>
  <c r="AG29" i="1"/>
  <c r="AI28" i="1"/>
  <c r="AK21" i="1"/>
  <c r="AK20" i="1"/>
  <c r="AK23" i="1"/>
  <c r="AJ7" i="1"/>
  <c r="AJ8" i="1"/>
  <c r="AJ4" i="1"/>
  <c r="AJ5" i="1"/>
  <c r="AJ6" i="1"/>
  <c r="AP86" i="2" a="1"/>
  <c r="AP86" i="2"/>
  <c r="AP87" i="2" a="1"/>
  <c r="AP87" i="2"/>
  <c r="AO8" i="1"/>
  <c r="O8" i="25"/>
  <c r="AO7" i="1"/>
  <c r="O7" i="25"/>
  <c r="AO6" i="1"/>
  <c r="O6" i="25"/>
  <c r="AO5" i="1"/>
  <c r="O5" i="25"/>
  <c r="AP51" i="2"/>
  <c r="AP109" i="2"/>
  <c r="AP95" i="2" a="1"/>
  <c r="AP95" i="2"/>
  <c r="AP91" i="2" a="1"/>
  <c r="AP91" i="2"/>
  <c r="AP90" i="2" a="1"/>
  <c r="AP90" i="2"/>
  <c r="AP89" i="2" a="1"/>
  <c r="AP89" i="2"/>
  <c r="AP88" i="2" a="1"/>
  <c r="AP88" i="2"/>
  <c r="AO4" i="1"/>
  <c r="O4" i="25"/>
  <c r="AP44" i="2"/>
  <c r="AP46" i="2"/>
  <c r="AP47" i="2"/>
  <c r="AP105" i="2"/>
  <c r="AP48" i="2"/>
  <c r="AP49" i="2"/>
  <c r="AP107" i="2"/>
  <c r="AP38" i="2"/>
  <c r="AO9" i="1"/>
  <c r="AO12" i="1"/>
  <c r="AO13" i="1"/>
  <c r="AO14" i="1"/>
  <c r="AO15" i="1"/>
  <c r="AO16" i="1"/>
  <c r="AP15" i="2"/>
  <c r="AP19" i="2"/>
  <c r="AP20" i="2"/>
  <c r="AP21" i="2"/>
  <c r="AP23" i="2"/>
  <c r="AP24" i="2"/>
  <c r="AP26" i="2"/>
  <c r="AP72" i="2"/>
  <c r="AQ86" i="2" a="1"/>
  <c r="AQ86" i="2"/>
  <c r="AP58" i="2"/>
  <c r="AP81" i="2"/>
  <c r="AE30" i="1"/>
  <c r="AE31" i="1"/>
  <c r="AE28" i="1"/>
  <c r="AE32" i="1"/>
  <c r="AE29" i="1"/>
  <c r="AE20" i="1"/>
  <c r="AE23" i="1"/>
  <c r="AE21" i="1"/>
  <c r="AE22" i="1"/>
  <c r="AE24" i="1"/>
  <c r="AF22" i="1"/>
  <c r="AF20" i="1"/>
  <c r="AF24" i="1"/>
  <c r="AF23" i="1"/>
  <c r="AF21" i="1"/>
  <c r="AE6" i="1"/>
  <c r="AE4" i="1"/>
  <c r="AE8" i="1"/>
  <c r="AE7" i="1"/>
  <c r="AE5" i="1"/>
  <c r="AH29" i="1"/>
  <c r="AH28" i="1"/>
  <c r="AF7" i="1"/>
  <c r="AF5" i="1"/>
  <c r="AF8" i="1"/>
  <c r="AF6" i="1"/>
  <c r="AF4" i="1"/>
  <c r="AG24" i="1"/>
  <c r="AG22" i="1"/>
  <c r="AG21" i="1"/>
  <c r="AG23" i="1"/>
  <c r="AG20" i="1"/>
  <c r="AH20" i="1"/>
  <c r="AH21" i="1"/>
  <c r="AH37" i="1"/>
  <c r="AH22" i="1"/>
  <c r="AH23" i="1"/>
  <c r="AH24" i="1"/>
  <c r="AG4" i="1"/>
  <c r="AG7" i="1"/>
  <c r="AG8" i="1"/>
  <c r="AG5" i="1"/>
  <c r="AG6" i="1"/>
  <c r="AI20" i="1"/>
  <c r="AI22" i="1"/>
  <c r="AI21" i="1"/>
  <c r="AI23" i="1"/>
  <c r="AI24" i="1"/>
  <c r="AH8" i="1"/>
  <c r="AH6" i="1"/>
  <c r="AH7" i="1"/>
  <c r="AH5" i="1"/>
  <c r="AH4" i="1"/>
  <c r="AJ31" i="1"/>
  <c r="AJ28" i="1"/>
  <c r="AJ32" i="1"/>
  <c r="AJ30" i="1"/>
  <c r="AJ29" i="1"/>
  <c r="AJ22" i="1"/>
  <c r="AJ21" i="1"/>
  <c r="AJ23" i="1"/>
  <c r="AJ24" i="1"/>
  <c r="AJ20" i="1"/>
  <c r="AI5" i="1"/>
  <c r="AI7" i="1"/>
  <c r="AI8" i="1"/>
  <c r="AI6" i="1"/>
  <c r="AI4" i="1"/>
  <c r="AK31" i="1"/>
  <c r="AK39" i="1"/>
  <c r="AK32" i="1"/>
  <c r="AK28" i="1"/>
  <c r="AK30" i="1"/>
  <c r="AK47" i="1"/>
  <c r="AK29" i="1"/>
  <c r="AK24" i="1"/>
  <c r="AK40" i="1"/>
  <c r="AK22" i="1"/>
  <c r="AL32" i="1"/>
  <c r="AL28" i="1"/>
  <c r="AL31" i="1"/>
  <c r="AL30" i="1"/>
  <c r="AL29" i="1"/>
  <c r="AM32" i="1"/>
  <c r="AM31" i="1"/>
  <c r="AM30" i="1"/>
  <c r="AM28" i="1"/>
  <c r="AM29" i="1"/>
  <c r="AL24" i="1"/>
  <c r="AL40" i="1"/>
  <c r="AL20" i="1"/>
  <c r="AL21" i="1"/>
  <c r="AL37" i="1"/>
  <c r="AK5" i="1"/>
  <c r="AK6" i="1"/>
  <c r="AK4" i="1"/>
  <c r="AM24" i="1"/>
  <c r="AM23" i="1"/>
  <c r="AM22" i="1"/>
  <c r="AM20" i="1"/>
  <c r="AM21" i="1"/>
  <c r="AL4" i="1"/>
  <c r="AL8" i="1"/>
  <c r="AL7" i="1"/>
  <c r="AL6" i="1"/>
  <c r="AM8" i="1"/>
  <c r="AM7" i="1"/>
  <c r="AM6" i="1"/>
  <c r="AM4" i="1"/>
  <c r="AM5" i="1"/>
  <c r="AO36" i="2"/>
  <c r="AP36" i="2"/>
  <c r="AO50" i="2"/>
  <c r="AO86" i="2" a="1"/>
  <c r="AO86" i="2"/>
  <c r="AO87" i="2" a="1"/>
  <c r="AO87" i="2"/>
  <c r="AN8" i="1"/>
  <c r="AN7" i="1"/>
  <c r="AN6" i="1"/>
  <c r="AN5" i="1"/>
  <c r="AO37" i="2"/>
  <c r="AO96" i="2" a="1"/>
  <c r="AO96" i="2"/>
  <c r="AO95" i="2" a="1"/>
  <c r="AO95" i="2"/>
  <c r="AO93" i="2" a="1"/>
  <c r="AO93" i="2"/>
  <c r="AO92" i="2" a="1"/>
  <c r="AO92" i="2"/>
  <c r="AO91" i="2" a="1"/>
  <c r="AO91" i="2"/>
  <c r="AO90" i="2" a="1"/>
  <c r="AO90" i="2"/>
  <c r="AO89" i="2" a="1"/>
  <c r="AO89" i="2"/>
  <c r="AO88" i="2" a="1"/>
  <c r="AO88" i="2"/>
  <c r="AN4" i="1"/>
  <c r="AO15" i="2"/>
  <c r="AO44" i="2"/>
  <c r="AO45" i="2"/>
  <c r="AO46" i="2"/>
  <c r="AO47" i="2"/>
  <c r="AO48" i="2"/>
  <c r="AO49" i="2"/>
  <c r="AN20" i="1"/>
  <c r="G104" i="86"/>
  <c r="H2" i="86"/>
  <c r="H104" i="86"/>
  <c r="I18" i="85"/>
  <c r="AF37" i="1"/>
  <c r="AF39" i="1"/>
  <c r="AF40" i="1"/>
  <c r="AF38" i="1"/>
  <c r="AQ109" i="2"/>
  <c r="AQ65" i="2"/>
  <c r="AQ107" i="2"/>
  <c r="AQ63" i="2"/>
  <c r="AQ106" i="2"/>
  <c r="AQ62" i="2"/>
  <c r="AQ105" i="2"/>
  <c r="AQ61" i="2"/>
  <c r="AQ104" i="2"/>
  <c r="AQ60" i="2"/>
  <c r="AQ25" i="2"/>
  <c r="AQ22" i="2"/>
  <c r="AQ18" i="2"/>
  <c r="AQ27" i="2"/>
  <c r="AQ102" i="2"/>
  <c r="AP52" i="2"/>
  <c r="AP54" i="2"/>
  <c r="AP112" i="2"/>
  <c r="AP106" i="2"/>
  <c r="AP104" i="2"/>
  <c r="AP102" i="2"/>
  <c r="AJ9" i="1"/>
  <c r="AJ12" i="1"/>
  <c r="AJ16" i="1"/>
  <c r="AJ15" i="1"/>
  <c r="AF33" i="1"/>
  <c r="AM37" i="1"/>
  <c r="AO17" i="1"/>
  <c r="AP67" i="2"/>
  <c r="AP82" i="2"/>
  <c r="AP80" i="2"/>
  <c r="AP31" i="2"/>
  <c r="AP66" i="2"/>
  <c r="AP65" i="2"/>
  <c r="AP63" i="2"/>
  <c r="AP62" i="2"/>
  <c r="AP61" i="2"/>
  <c r="AP60" i="2"/>
  <c r="AP25" i="2"/>
  <c r="AP22" i="2"/>
  <c r="AP18" i="2"/>
  <c r="AP27" i="2"/>
  <c r="AO82" i="2"/>
  <c r="AQ96" i="2" a="1"/>
  <c r="AQ96" i="2"/>
  <c r="AO54" i="2"/>
  <c r="AO107" i="2"/>
  <c r="AO63" i="2"/>
  <c r="AO106" i="2"/>
  <c r="AO62" i="2"/>
  <c r="AO105" i="2"/>
  <c r="AO61" i="2"/>
  <c r="AO104" i="2"/>
  <c r="AO60" i="2"/>
  <c r="AO103" i="2"/>
  <c r="AO59" i="2"/>
  <c r="AO102" i="2"/>
  <c r="AO58" i="2"/>
  <c r="AO19" i="2"/>
  <c r="AO20" i="2"/>
  <c r="AO21" i="2"/>
  <c r="AO23" i="2"/>
  <c r="AO26" i="2"/>
  <c r="AO25" i="2"/>
  <c r="AO24" i="2"/>
  <c r="AO18" i="2"/>
  <c r="AO22" i="2"/>
  <c r="AO97" i="2" a="1"/>
  <c r="AO97" i="2"/>
  <c r="AN9" i="1"/>
  <c r="AN12" i="1"/>
  <c r="AO79" i="2"/>
  <c r="AQ93" i="2" a="1"/>
  <c r="AQ93" i="2"/>
  <c r="AN21" i="1"/>
  <c r="AO51" i="2"/>
  <c r="AN13" i="1"/>
  <c r="AN14" i="1"/>
  <c r="AN15" i="1"/>
  <c r="AN16" i="1"/>
  <c r="AO108" i="2"/>
  <c r="AO78" i="2"/>
  <c r="AO41" i="2"/>
  <c r="AO64" i="2"/>
  <c r="AM9" i="1"/>
  <c r="AM13" i="1"/>
  <c r="AM12" i="1"/>
  <c r="AM14" i="1"/>
  <c r="AM15" i="1"/>
  <c r="AM16" i="1"/>
  <c r="N6" i="25"/>
  <c r="E6" i="30"/>
  <c r="N7" i="25"/>
  <c r="E7" i="30"/>
  <c r="E15" i="30"/>
  <c r="N8" i="25"/>
  <c r="E8" i="30"/>
  <c r="N4" i="25"/>
  <c r="E4" i="30"/>
  <c r="AM36" i="1"/>
  <c r="AM25" i="1"/>
  <c r="AM38" i="1"/>
  <c r="AM39" i="1"/>
  <c r="AM40" i="1"/>
  <c r="AL36" i="1"/>
  <c r="AM33" i="1"/>
  <c r="AM45" i="1"/>
  <c r="AM47" i="1"/>
  <c r="AL46" i="1"/>
  <c r="AL47" i="1"/>
  <c r="AL45" i="1"/>
  <c r="AL33" i="1"/>
  <c r="AK38" i="1"/>
  <c r="AK25" i="1"/>
  <c r="AK46" i="1"/>
  <c r="AK37" i="1"/>
  <c r="AK33" i="1"/>
  <c r="AK50" i="1"/>
  <c r="AK45" i="1"/>
  <c r="AK36" i="1"/>
  <c r="AI9" i="1"/>
  <c r="M4" i="25"/>
  <c r="AI12" i="1"/>
  <c r="M6" i="25"/>
  <c r="AI14" i="1"/>
  <c r="M8" i="25"/>
  <c r="AI16" i="1"/>
  <c r="AI15" i="1"/>
  <c r="M7" i="25"/>
  <c r="M5" i="25"/>
  <c r="AI13" i="1"/>
  <c r="N20" i="25"/>
  <c r="AJ25" i="1"/>
  <c r="AJ36" i="1"/>
  <c r="N24" i="25"/>
  <c r="AJ40" i="1"/>
  <c r="AJ39" i="1"/>
  <c r="N21" i="25"/>
  <c r="AJ37" i="1"/>
  <c r="AJ38" i="1"/>
  <c r="N29" i="25"/>
  <c r="N46" i="25"/>
  <c r="AJ46" i="1"/>
  <c r="N30" i="25"/>
  <c r="N47" i="25"/>
  <c r="AJ47" i="1"/>
  <c r="N32" i="25"/>
  <c r="N28" i="25"/>
  <c r="AJ45" i="1"/>
  <c r="AJ33" i="1"/>
  <c r="AJ50" i="1"/>
  <c r="N31" i="25"/>
  <c r="AH9" i="1"/>
  <c r="AH12" i="1"/>
  <c r="AI45" i="1"/>
  <c r="AH13" i="1"/>
  <c r="AH15" i="1"/>
  <c r="AH14" i="1"/>
  <c r="AH16" i="1"/>
  <c r="AI25" i="1"/>
  <c r="AI36" i="1"/>
  <c r="AG9" i="1"/>
  <c r="AG12" i="1"/>
  <c r="AH36" i="1"/>
  <c r="AH25" i="1"/>
  <c r="AG25" i="1"/>
  <c r="M20" i="25"/>
  <c r="M23" i="25"/>
  <c r="M21" i="25"/>
  <c r="AG37" i="1"/>
  <c r="M22" i="25"/>
  <c r="M24" i="25"/>
  <c r="AF9" i="1"/>
  <c r="L4" i="25"/>
  <c r="AF12" i="1"/>
  <c r="L6" i="25"/>
  <c r="AF14" i="1"/>
  <c r="L8" i="25"/>
  <c r="AF16" i="1"/>
  <c r="L5" i="25"/>
  <c r="AG46" i="1"/>
  <c r="AF13" i="1"/>
  <c r="L7" i="25"/>
  <c r="AF15" i="1"/>
  <c r="AH45" i="1"/>
  <c r="AH46" i="1"/>
  <c r="AF46" i="1"/>
  <c r="AE9" i="1"/>
  <c r="AE12" i="1"/>
  <c r="AF45" i="1"/>
  <c r="AE14" i="1"/>
  <c r="AF47" i="1"/>
  <c r="AF25" i="1"/>
  <c r="AF41" i="1"/>
  <c r="AF42" i="1"/>
  <c r="AF36" i="1"/>
  <c r="AM57" i="1"/>
  <c r="AE40" i="1"/>
  <c r="AL57" i="1"/>
  <c r="AI57" i="1"/>
  <c r="AJ57" i="1"/>
  <c r="AK57" i="1"/>
  <c r="L24" i="25"/>
  <c r="AE38" i="1"/>
  <c r="L22" i="25"/>
  <c r="AK55" i="1"/>
  <c r="AJ55" i="1"/>
  <c r="AI55" i="1"/>
  <c r="AN54" i="1"/>
  <c r="L21" i="25"/>
  <c r="AM54" i="1"/>
  <c r="AE37" i="1"/>
  <c r="AI54" i="1"/>
  <c r="AL54" i="1"/>
  <c r="AJ54" i="1"/>
  <c r="AK54" i="1"/>
  <c r="AE39" i="1"/>
  <c r="AI56" i="1"/>
  <c r="AK56" i="1"/>
  <c r="AJ56" i="1"/>
  <c r="L23" i="25"/>
  <c r="AE25" i="1"/>
  <c r="AN53" i="1"/>
  <c r="L20" i="25"/>
  <c r="AM53" i="1"/>
  <c r="AL53" i="1"/>
  <c r="AE36" i="1"/>
  <c r="AJ53" i="1"/>
  <c r="AJ58" i="1"/>
  <c r="AI53" i="1"/>
  <c r="AI58" i="1"/>
  <c r="AK53" i="1"/>
  <c r="AK58" i="1"/>
  <c r="AE46" i="1"/>
  <c r="L29" i="25"/>
  <c r="L32" i="25"/>
  <c r="AE45" i="1"/>
  <c r="AE33" i="1"/>
  <c r="AE50" i="1"/>
  <c r="L28" i="25"/>
  <c r="L31" i="25"/>
  <c r="AE47" i="1"/>
  <c r="L30" i="25"/>
  <c r="AP92" i="2" a="1"/>
  <c r="AP92" i="2"/>
  <c r="AP93" i="2" a="1"/>
  <c r="AP93" i="2"/>
  <c r="AP96" i="2" a="1"/>
  <c r="AP96" i="2"/>
  <c r="AP45" i="2"/>
  <c r="AO20" i="1"/>
  <c r="AJ14" i="1"/>
  <c r="AJ13" i="1"/>
  <c r="AJ17" i="1"/>
  <c r="AP73" i="2"/>
  <c r="AQ87" i="2" a="1"/>
  <c r="AQ87" i="2"/>
  <c r="AP41" i="2"/>
  <c r="AP68" i="2"/>
  <c r="L47" i="25"/>
  <c r="L45" i="25"/>
  <c r="L33" i="25"/>
  <c r="L50" i="25"/>
  <c r="L49" i="25"/>
  <c r="L46" i="25"/>
  <c r="L25" i="25"/>
  <c r="L41" i="25"/>
  <c r="L42" i="25"/>
  <c r="L36" i="25"/>
  <c r="AE41" i="1"/>
  <c r="AE42" i="1"/>
  <c r="L39" i="25"/>
  <c r="L37" i="25"/>
  <c r="L38" i="25"/>
  <c r="L40" i="25"/>
  <c r="AF50" i="1"/>
  <c r="AE13" i="1"/>
  <c r="AE15" i="1"/>
  <c r="AE16" i="1"/>
  <c r="AF17" i="1"/>
  <c r="L9" i="25"/>
  <c r="L12" i="25"/>
  <c r="M25" i="25"/>
  <c r="AG14" i="1"/>
  <c r="AG13" i="1"/>
  <c r="AG16" i="1"/>
  <c r="AG15" i="1"/>
  <c r="AH17" i="1"/>
  <c r="N45" i="25"/>
  <c r="N33" i="25"/>
  <c r="N37" i="25"/>
  <c r="N40" i="25"/>
  <c r="AJ41" i="1"/>
  <c r="AJ42" i="1"/>
  <c r="N36" i="25"/>
  <c r="AI17" i="1"/>
  <c r="M9" i="25"/>
  <c r="M12" i="25"/>
  <c r="AK41" i="1"/>
  <c r="AK42" i="1"/>
  <c r="AM41" i="1"/>
  <c r="AM17" i="1"/>
  <c r="AO83" i="2"/>
  <c r="AO109" i="2"/>
  <c r="AN29" i="1"/>
  <c r="AO55" i="2"/>
  <c r="AO65" i="2"/>
  <c r="AN37" i="1"/>
  <c r="AN17" i="1"/>
  <c r="AO27" i="2"/>
  <c r="AO112" i="2"/>
  <c r="AO68" i="2"/>
  <c r="AP97" i="2" a="1"/>
  <c r="AP97" i="2"/>
  <c r="AO53" i="1"/>
  <c r="AP103" i="2"/>
  <c r="AP59" i="2"/>
  <c r="AO113" i="2"/>
  <c r="AO69" i="2"/>
  <c r="AN46" i="1"/>
  <c r="M13" i="25"/>
  <c r="M15" i="25"/>
  <c r="M16" i="25"/>
  <c r="M14" i="25"/>
  <c r="N50" i="25"/>
  <c r="AG17" i="1"/>
  <c r="L15" i="25"/>
  <c r="L13" i="25"/>
  <c r="L16" i="25"/>
  <c r="L14" i="25"/>
  <c r="AE17" i="1"/>
  <c r="L17" i="25"/>
  <c r="M17" i="25"/>
  <c r="O20" i="25"/>
  <c r="O9" i="25"/>
  <c r="O12" i="25"/>
  <c r="O13" i="25"/>
  <c r="O14" i="25"/>
  <c r="O15" i="25"/>
  <c r="O16" i="25"/>
  <c r="I18" i="90"/>
  <c r="G104" i="89"/>
  <c r="H2" i="89"/>
  <c r="H104" i="89"/>
  <c r="AG31" i="1"/>
  <c r="AG30" i="1"/>
  <c r="AG28" i="1"/>
  <c r="AG32" i="1"/>
  <c r="AL23" i="1"/>
  <c r="AL22" i="1"/>
  <c r="AK7" i="1"/>
  <c r="AK8" i="1"/>
  <c r="AP8" i="1"/>
  <c r="AP7" i="1"/>
  <c r="AP6" i="1"/>
  <c r="AP5" i="1"/>
  <c r="AP23" i="1"/>
  <c r="AP22" i="1"/>
  <c r="AQ95" i="2" a="1"/>
  <c r="AQ95" i="2"/>
  <c r="AP4" i="1"/>
  <c r="AQ38" i="2"/>
  <c r="AR72" i="2"/>
  <c r="AR81" i="2"/>
  <c r="AR53" i="2"/>
  <c r="O17" i="25"/>
  <c r="AR67" i="2"/>
  <c r="AQ82" i="2"/>
  <c r="AQ54" i="2"/>
  <c r="AQ68" i="2"/>
  <c r="AP21" i="1"/>
  <c r="AQ31" i="2"/>
  <c r="AQ80" i="2"/>
  <c r="AQ52" i="2"/>
  <c r="AQ66" i="2"/>
  <c r="AP24" i="1"/>
  <c r="AP9" i="1"/>
  <c r="AP12" i="1"/>
  <c r="AP13" i="1"/>
  <c r="AP14" i="1"/>
  <c r="AP15" i="1"/>
  <c r="AP16" i="1"/>
  <c r="AQ78" i="2"/>
  <c r="AQ50" i="2"/>
  <c r="AQ64" i="2"/>
  <c r="AR78" i="2"/>
  <c r="AK9" i="1"/>
  <c r="AK15" i="1"/>
  <c r="AL25" i="1"/>
  <c r="AL38" i="1"/>
  <c r="N22" i="25"/>
  <c r="AM55" i="1"/>
  <c r="AL55" i="1"/>
  <c r="AL39" i="1"/>
  <c r="N23" i="25"/>
  <c r="AM56" i="1"/>
  <c r="AL56" i="1"/>
  <c r="AG40" i="1"/>
  <c r="AG33" i="1"/>
  <c r="AG36" i="1"/>
  <c r="AG45" i="1"/>
  <c r="M28" i="25"/>
  <c r="AM61" i="1"/>
  <c r="AK61" i="1"/>
  <c r="AL61" i="1"/>
  <c r="AI61" i="1"/>
  <c r="AJ61" i="1"/>
  <c r="AG38" i="1"/>
  <c r="AG47" i="1"/>
  <c r="AG39" i="1"/>
  <c r="M45" i="25"/>
  <c r="M36" i="25"/>
  <c r="AI69" i="1"/>
  <c r="AM69" i="1"/>
  <c r="AK69" i="1"/>
  <c r="AL69" i="1"/>
  <c r="AJ69" i="1"/>
  <c r="AG41" i="1"/>
  <c r="AG42" i="1"/>
  <c r="AG50" i="1"/>
  <c r="N39" i="25"/>
  <c r="AL58" i="1"/>
  <c r="AM58" i="1"/>
  <c r="N38" i="25"/>
  <c r="N25" i="25"/>
  <c r="AL41" i="1"/>
  <c r="AL42" i="1"/>
  <c r="AK12" i="1"/>
  <c r="AK14" i="1"/>
  <c r="AK13" i="1"/>
  <c r="AL50" i="1"/>
  <c r="AK16" i="1"/>
  <c r="AQ108" i="2"/>
  <c r="AP17" i="1"/>
  <c r="AQ73" i="2"/>
  <c r="AQ45" i="2"/>
  <c r="AQ41" i="2"/>
  <c r="AQ59" i="2"/>
  <c r="AP20" i="1"/>
  <c r="AQ112" i="2"/>
  <c r="AP25" i="1"/>
  <c r="AP53" i="1"/>
  <c r="AQ103" i="2"/>
  <c r="AQ55" i="2"/>
  <c r="AQ83" i="2"/>
  <c r="AK17" i="1"/>
  <c r="N41" i="25"/>
  <c r="N42" i="25"/>
  <c r="AQ113" i="2"/>
  <c r="AQ69" i="2"/>
  <c r="I18" i="96"/>
  <c r="G104" i="95"/>
  <c r="H2" i="95"/>
  <c r="E104" i="95"/>
  <c r="AU72" i="2"/>
  <c r="AU81" i="2"/>
  <c r="AU67" i="2"/>
  <c r="BN31" i="1"/>
  <c r="AS31" i="1"/>
  <c r="BN8" i="1"/>
  <c r="BN7" i="1"/>
  <c r="AS8" i="1"/>
  <c r="AS7" i="1"/>
  <c r="BN6" i="1"/>
  <c r="BN23" i="1"/>
  <c r="BN39" i="1"/>
  <c r="BN22" i="1"/>
  <c r="AS23" i="1"/>
  <c r="AS22" i="1"/>
  <c r="AR11" i="2"/>
  <c r="AT91" i="2" a="1"/>
  <c r="AT91" i="2"/>
  <c r="AT90" i="2" a="1"/>
  <c r="AT90" i="2"/>
  <c r="AT89" i="2" a="1"/>
  <c r="AT89" i="2"/>
  <c r="AT88" i="2" a="1"/>
  <c r="AT88" i="2"/>
  <c r="AS6" i="1"/>
  <c r="AT46" i="2"/>
  <c r="AT104" i="2"/>
  <c r="AT47" i="2"/>
  <c r="AT105" i="2"/>
  <c r="AT48" i="2"/>
  <c r="AT106" i="2"/>
  <c r="AT49" i="2"/>
  <c r="AT107" i="2"/>
  <c r="AT38" i="2"/>
  <c r="AT31" i="2"/>
  <c r="AT4" i="2"/>
  <c r="I18" i="94"/>
  <c r="G104" i="93"/>
  <c r="H2" i="93"/>
  <c r="H104" i="93"/>
  <c r="AS30" i="1"/>
  <c r="AT81" i="2"/>
  <c r="AT67" i="2"/>
  <c r="AI29" i="1"/>
  <c r="AI32" i="1"/>
  <c r="AI30" i="1"/>
  <c r="AI31" i="1"/>
  <c r="AL5" i="1"/>
  <c r="AS86" i="2" a="1"/>
  <c r="AS86" i="2"/>
  <c r="AR31" i="1"/>
  <c r="BO6" i="1"/>
  <c r="AR8" i="1"/>
  <c r="AR7" i="1"/>
  <c r="AR6" i="1"/>
  <c r="P6" i="25"/>
  <c r="AR24" i="1"/>
  <c r="AR23" i="1"/>
  <c r="AR39" i="1"/>
  <c r="AR22" i="1"/>
  <c r="AS11" i="2"/>
  <c r="AT11" i="2"/>
  <c r="AS95" i="2" a="1"/>
  <c r="AS95" i="2"/>
  <c r="AS93" i="2" a="1"/>
  <c r="AS93" i="2"/>
  <c r="AS91" i="2" a="1"/>
  <c r="AS91" i="2"/>
  <c r="AS90" i="2" a="1"/>
  <c r="AS90" i="2"/>
  <c r="AS89" i="2" a="1"/>
  <c r="AS89" i="2"/>
  <c r="AS88" i="2" a="1"/>
  <c r="AS88" i="2"/>
  <c r="AR32" i="1"/>
  <c r="AR38" i="2"/>
  <c r="AR52" i="2"/>
  <c r="AS50" i="2"/>
  <c r="AS108" i="2"/>
  <c r="AR4" i="1"/>
  <c r="P4" i="25"/>
  <c r="AS44" i="2"/>
  <c r="AS45" i="2"/>
  <c r="AS103" i="2"/>
  <c r="AS46" i="2"/>
  <c r="AS47" i="2"/>
  <c r="AS105" i="2"/>
  <c r="AS48" i="2"/>
  <c r="AS49" i="2"/>
  <c r="AS107" i="2"/>
  <c r="AR20" i="1"/>
  <c r="I18" i="92"/>
  <c r="G104" i="91"/>
  <c r="H2" i="91"/>
  <c r="H104" i="91"/>
  <c r="AS15" i="2"/>
  <c r="AS19" i="2"/>
  <c r="AS20" i="2"/>
  <c r="AS21" i="2"/>
  <c r="AS22" i="2"/>
  <c r="AS37" i="2"/>
  <c r="AS23" i="2"/>
  <c r="AS26" i="2"/>
  <c r="AS72" i="2"/>
  <c r="AS58" i="2"/>
  <c r="AS73" i="2"/>
  <c r="AS59" i="2"/>
  <c r="AS80" i="2"/>
  <c r="AS66" i="2"/>
  <c r="AS81" i="2"/>
  <c r="AH31" i="1"/>
  <c r="AH32" i="1"/>
  <c r="AH30" i="1"/>
  <c r="AR86" i="2" a="1"/>
  <c r="AR86" i="2"/>
  <c r="AQ31" i="1"/>
  <c r="AR87" i="2" a="1"/>
  <c r="AR87" i="2"/>
  <c r="AQ8" i="1"/>
  <c r="AQ7" i="1"/>
  <c r="AQ6" i="1"/>
  <c r="AQ5" i="1"/>
  <c r="AQ24" i="1"/>
  <c r="P24" i="25"/>
  <c r="AQ23" i="1"/>
  <c r="P23" i="25"/>
  <c r="AQ22" i="1"/>
  <c r="P22" i="25"/>
  <c r="AR96" i="2" a="1"/>
  <c r="AR96" i="2"/>
  <c r="AR95" i="2" a="1"/>
  <c r="AR95" i="2"/>
  <c r="AR93" i="2" a="1"/>
  <c r="AR93" i="2"/>
  <c r="AR91" i="2" a="1"/>
  <c r="AR91" i="2"/>
  <c r="AR90" i="2" a="1"/>
  <c r="AR90" i="2"/>
  <c r="AR89" i="2" a="1"/>
  <c r="AR89" i="2"/>
  <c r="AR88" i="2" a="1"/>
  <c r="AR88" i="2"/>
  <c r="AR50" i="2"/>
  <c r="AQ4" i="1"/>
  <c r="AR44" i="2"/>
  <c r="AR46" i="2"/>
  <c r="AR47" i="2"/>
  <c r="AR48" i="2"/>
  <c r="AR49" i="2"/>
  <c r="AS38" i="1"/>
  <c r="AS39" i="1"/>
  <c r="P7" i="25"/>
  <c r="P8" i="25"/>
  <c r="F104" i="95"/>
  <c r="H104" i="95"/>
  <c r="H93" i="95"/>
  <c r="AT95" i="2" a="1"/>
  <c r="AT95" i="2"/>
  <c r="AS4" i="1"/>
  <c r="AT86" i="2" a="1"/>
  <c r="AT86" i="2"/>
  <c r="AT45" i="2"/>
  <c r="AT103" i="2"/>
  <c r="AS24" i="1"/>
  <c r="AT52" i="2"/>
  <c r="AR51" i="2"/>
  <c r="AR15" i="2"/>
  <c r="AR23" i="2"/>
  <c r="AT30" i="2"/>
  <c r="AT44" i="2"/>
  <c r="AS47" i="1"/>
  <c r="AI39" i="1"/>
  <c r="AI40" i="1"/>
  <c r="AT80" i="2"/>
  <c r="AT63" i="2"/>
  <c r="AT62" i="2"/>
  <c r="AT61" i="2"/>
  <c r="AT60" i="2"/>
  <c r="AS106" i="2"/>
  <c r="AS104" i="2"/>
  <c r="AR30" i="1"/>
  <c r="AR47" i="1"/>
  <c r="AR28" i="1"/>
  <c r="AS102" i="2"/>
  <c r="AR80" i="2"/>
  <c r="AR31" i="2"/>
  <c r="AR66" i="2"/>
  <c r="AS51" i="2"/>
  <c r="AR5" i="1"/>
  <c r="P5" i="25"/>
  <c r="AR38" i="1"/>
  <c r="AR40" i="1"/>
  <c r="N5" i="25"/>
  <c r="E5" i="30"/>
  <c r="AM46" i="1"/>
  <c r="AL9" i="1"/>
  <c r="AL13" i="1"/>
  <c r="AI38" i="1"/>
  <c r="AI47" i="1"/>
  <c r="AI33" i="1"/>
  <c r="AI37" i="1"/>
  <c r="AI46" i="1"/>
  <c r="M29" i="25"/>
  <c r="AM62" i="1"/>
  <c r="AL62" i="1"/>
  <c r="AJ62" i="1"/>
  <c r="AI62" i="1"/>
  <c r="AK62" i="1"/>
  <c r="AN62" i="1"/>
  <c r="AS67" i="2"/>
  <c r="AS79" i="2"/>
  <c r="AS78" i="2"/>
  <c r="AS63" i="2"/>
  <c r="AS62" i="2"/>
  <c r="AS61" i="2"/>
  <c r="AS60" i="2"/>
  <c r="AS25" i="2"/>
  <c r="AS24" i="2"/>
  <c r="AS18" i="2"/>
  <c r="AS27" i="2"/>
  <c r="AR107" i="2"/>
  <c r="AR63" i="2"/>
  <c r="AR106" i="2"/>
  <c r="AR62" i="2"/>
  <c r="AR105" i="2"/>
  <c r="AR61" i="2"/>
  <c r="AR104" i="2"/>
  <c r="AR60" i="2"/>
  <c r="AQ30" i="1"/>
  <c r="AR102" i="2"/>
  <c r="AR58" i="2"/>
  <c r="AQ9" i="1"/>
  <c r="AQ12" i="1"/>
  <c r="AR108" i="2"/>
  <c r="AR64" i="2"/>
  <c r="AQ38" i="1"/>
  <c r="AQ39" i="1"/>
  <c r="AQ13" i="1"/>
  <c r="AQ14" i="1"/>
  <c r="AQ15" i="1"/>
  <c r="AQ16" i="1"/>
  <c r="AH38" i="1"/>
  <c r="AH47" i="1"/>
  <c r="AH33" i="1"/>
  <c r="M30" i="25"/>
  <c r="AM63" i="1"/>
  <c r="AJ63" i="1"/>
  <c r="AI63" i="1"/>
  <c r="AL63" i="1"/>
  <c r="AK63" i="1"/>
  <c r="AH40" i="1"/>
  <c r="M32" i="25"/>
  <c r="AM65" i="1"/>
  <c r="AL65" i="1"/>
  <c r="AK65" i="1"/>
  <c r="AJ65" i="1"/>
  <c r="AI65" i="1"/>
  <c r="AH39" i="1"/>
  <c r="M31" i="25"/>
  <c r="AM64" i="1"/>
  <c r="AJ64" i="1"/>
  <c r="AL64" i="1"/>
  <c r="AK64" i="1"/>
  <c r="AI64" i="1"/>
  <c r="P9" i="25"/>
  <c r="P16" i="25"/>
  <c r="P15" i="25"/>
  <c r="AT93" i="2" a="1"/>
  <c r="AT93" i="2"/>
  <c r="AT102" i="2"/>
  <c r="AR19" i="2"/>
  <c r="AR20" i="2"/>
  <c r="AR21" i="2"/>
  <c r="AR22" i="2"/>
  <c r="AR26" i="2"/>
  <c r="AR25" i="2"/>
  <c r="AR24" i="2"/>
  <c r="AR18" i="2"/>
  <c r="AR27" i="2"/>
  <c r="AR109" i="2"/>
  <c r="AR65" i="2"/>
  <c r="AT66" i="2"/>
  <c r="AS32" i="1"/>
  <c r="AS20" i="1"/>
  <c r="AT72" i="2"/>
  <c r="AT58" i="2"/>
  <c r="AT73" i="2"/>
  <c r="M46" i="25"/>
  <c r="M37" i="25"/>
  <c r="AM70" i="1"/>
  <c r="AK70" i="1"/>
  <c r="AJ70" i="1"/>
  <c r="AL70" i="1"/>
  <c r="AI70" i="1"/>
  <c r="AN70" i="1"/>
  <c r="AI50" i="1"/>
  <c r="AI41" i="1"/>
  <c r="AI42" i="1"/>
  <c r="AL12" i="1"/>
  <c r="AM50" i="1"/>
  <c r="AL14" i="1"/>
  <c r="AL15" i="1"/>
  <c r="AL16" i="1"/>
  <c r="N9" i="25"/>
  <c r="N13" i="25"/>
  <c r="AR9" i="1"/>
  <c r="AR13" i="1"/>
  <c r="AS109" i="2"/>
  <c r="AQ32" i="1"/>
  <c r="AR73" i="2"/>
  <c r="AR45" i="2"/>
  <c r="AQ20" i="1"/>
  <c r="P20" i="25"/>
  <c r="AR36" i="1"/>
  <c r="AR45" i="1"/>
  <c r="AS64" i="2"/>
  <c r="AS65" i="2"/>
  <c r="M39" i="25"/>
  <c r="AM72" i="1"/>
  <c r="AL72" i="1"/>
  <c r="AJ72" i="1"/>
  <c r="AI72" i="1"/>
  <c r="AK72" i="1"/>
  <c r="M40" i="25"/>
  <c r="AM73" i="1"/>
  <c r="AK73" i="1"/>
  <c r="AJ73" i="1"/>
  <c r="AL73" i="1"/>
  <c r="AI73" i="1"/>
  <c r="AK66" i="1"/>
  <c r="AL66" i="1"/>
  <c r="AI66" i="1"/>
  <c r="AJ66" i="1"/>
  <c r="AM66" i="1"/>
  <c r="M38" i="25"/>
  <c r="M47" i="25"/>
  <c r="M33" i="25"/>
  <c r="AH50" i="1"/>
  <c r="AH41" i="1"/>
  <c r="AH42" i="1"/>
  <c r="AM71" i="1"/>
  <c r="AM74" i="1"/>
  <c r="AK71" i="1"/>
  <c r="AK74" i="1"/>
  <c r="AI71" i="1"/>
  <c r="AI74" i="1"/>
  <c r="AJ71" i="1"/>
  <c r="AJ74" i="1"/>
  <c r="AL71" i="1"/>
  <c r="AL74" i="1"/>
  <c r="AQ17" i="1"/>
  <c r="AQ47" i="1"/>
  <c r="AS40" i="1"/>
  <c r="P12" i="25"/>
  <c r="P14" i="25"/>
  <c r="P13" i="25"/>
  <c r="AT87" i="2" a="1"/>
  <c r="AT87" i="2"/>
  <c r="AS28" i="1"/>
  <c r="AS36" i="1"/>
  <c r="AS53" i="1"/>
  <c r="AT59" i="2"/>
  <c r="AR53" i="1"/>
  <c r="AQ53" i="1"/>
  <c r="AR103" i="2"/>
  <c r="AR59" i="2"/>
  <c r="AQ28" i="1"/>
  <c r="AS87" i="2" a="1"/>
  <c r="AS87" i="2"/>
  <c r="AQ40" i="1"/>
  <c r="AR12" i="1"/>
  <c r="AR14" i="1"/>
  <c r="AR15" i="1"/>
  <c r="AR16" i="1"/>
  <c r="N12" i="25"/>
  <c r="N16" i="25"/>
  <c r="N15" i="25"/>
  <c r="N14" i="25"/>
  <c r="AL17" i="1"/>
  <c r="M41" i="25"/>
  <c r="M42" i="25"/>
  <c r="M50" i="25"/>
  <c r="P17" i="25"/>
  <c r="AS45" i="1"/>
  <c r="N17" i="25"/>
  <c r="AR17" i="1"/>
  <c r="AQ45" i="1"/>
  <c r="AQ36" i="1"/>
  <c r="AZ44" i="2"/>
  <c r="AZ45" i="2"/>
  <c r="AZ103" i="2"/>
  <c r="AZ88" i="2" a="1"/>
  <c r="AZ88" i="2"/>
  <c r="AZ46" i="2"/>
  <c r="AZ89" i="2" a="1"/>
  <c r="AZ89" i="2"/>
  <c r="AZ47" i="2"/>
  <c r="AZ90" i="2" a="1"/>
  <c r="AZ90" i="2"/>
  <c r="AZ48" i="2"/>
  <c r="AZ91" i="2" a="1"/>
  <c r="AZ91" i="2"/>
  <c r="AZ49" i="2"/>
  <c r="AZ72" i="2"/>
  <c r="AZ58" i="2"/>
  <c r="AZ73" i="2"/>
  <c r="AZ59" i="2"/>
  <c r="AZ80" i="2"/>
  <c r="AZ52" i="2"/>
  <c r="AZ66" i="2"/>
  <c r="AZ81" i="2"/>
  <c r="AZ53" i="2"/>
  <c r="AZ67" i="2"/>
  <c r="AX31" i="1"/>
  <c r="AX8" i="1"/>
  <c r="R8" i="25"/>
  <c r="F8" i="30"/>
  <c r="AX7" i="1"/>
  <c r="R7" i="25"/>
  <c r="F7" i="30"/>
  <c r="F15" i="30"/>
  <c r="AX6" i="1"/>
  <c r="R6" i="25"/>
  <c r="F6" i="30"/>
  <c r="AX23" i="1"/>
  <c r="AX39" i="1"/>
  <c r="AX22" i="1"/>
  <c r="AY91" i="2" a="1"/>
  <c r="AY91" i="2"/>
  <c r="AY90" i="2" a="1"/>
  <c r="AY90" i="2"/>
  <c r="AY89" i="2" a="1"/>
  <c r="AY89" i="2"/>
  <c r="AY88" i="2" a="1"/>
  <c r="AY88" i="2"/>
  <c r="AY38" i="2"/>
  <c r="AX38" i="2"/>
  <c r="AX4" i="1"/>
  <c r="R4" i="25"/>
  <c r="F4" i="30"/>
  <c r="AY44" i="2"/>
  <c r="AY46" i="2"/>
  <c r="AY47" i="2"/>
  <c r="AY105" i="2"/>
  <c r="AY48" i="2"/>
  <c r="AY49" i="2"/>
  <c r="AY107" i="2"/>
  <c r="H18" i="106"/>
  <c r="I18" i="106"/>
  <c r="F104" i="105"/>
  <c r="AY72" i="2"/>
  <c r="AY58" i="2"/>
  <c r="AY80" i="2"/>
  <c r="AY81" i="2"/>
  <c r="AY67" i="2"/>
  <c r="AP50" i="2"/>
  <c r="AP78" i="2"/>
  <c r="AW31" i="1"/>
  <c r="AW8" i="1"/>
  <c r="AW7" i="1"/>
  <c r="AW6" i="1"/>
  <c r="AW23" i="1"/>
  <c r="AW39" i="1"/>
  <c r="AW22" i="1"/>
  <c r="AX91" i="2" a="1"/>
  <c r="AX91" i="2"/>
  <c r="AX90" i="2" a="1"/>
  <c r="AX90" i="2"/>
  <c r="AX89" i="2" a="1"/>
  <c r="AX89" i="2"/>
  <c r="AX88" i="2" a="1"/>
  <c r="AX88" i="2"/>
  <c r="AU10" i="2"/>
  <c r="AT36" i="2"/>
  <c r="AW4" i="1"/>
  <c r="AX44" i="2"/>
  <c r="AX46" i="2"/>
  <c r="AX47" i="2"/>
  <c r="AX105" i="2"/>
  <c r="AX48" i="2"/>
  <c r="AX49" i="2"/>
  <c r="AX107" i="2"/>
  <c r="H18" i="104"/>
  <c r="I18" i="104"/>
  <c r="E9" i="30"/>
  <c r="E16" i="30"/>
  <c r="E14" i="30"/>
  <c r="E32" i="30"/>
  <c r="E49" i="30"/>
  <c r="E30" i="30"/>
  <c r="E47" i="30"/>
  <c r="E31" i="30"/>
  <c r="E29" i="30"/>
  <c r="E46" i="30"/>
  <c r="E28" i="30"/>
  <c r="E45" i="30"/>
  <c r="E22" i="30"/>
  <c r="E38" i="30"/>
  <c r="E21" i="30"/>
  <c r="E37" i="30"/>
  <c r="E20" i="30"/>
  <c r="E23" i="30"/>
  <c r="E39" i="30"/>
  <c r="E24" i="30"/>
  <c r="E40" i="30"/>
  <c r="AX72" i="2"/>
  <c r="AX58" i="2"/>
  <c r="AX81" i="2"/>
  <c r="AX67" i="2"/>
  <c r="AV31" i="1"/>
  <c r="R31" i="25"/>
  <c r="AV8" i="1"/>
  <c r="AV7" i="1"/>
  <c r="AV6" i="1"/>
  <c r="AV23" i="1"/>
  <c r="R23" i="25"/>
  <c r="R39" i="25"/>
  <c r="AV22" i="1"/>
  <c r="R22" i="25"/>
  <c r="AW91" i="2" a="1"/>
  <c r="AW91" i="2"/>
  <c r="AW90" i="2" a="1"/>
  <c r="AW90" i="2"/>
  <c r="AW89" i="2" a="1"/>
  <c r="AW89" i="2"/>
  <c r="AW88" i="2" a="1"/>
  <c r="AW88" i="2"/>
  <c r="AV38" i="2"/>
  <c r="AV4" i="1"/>
  <c r="AW44" i="2"/>
  <c r="AW46" i="2"/>
  <c r="AW47" i="2"/>
  <c r="AW105" i="2"/>
  <c r="AW48" i="2"/>
  <c r="AW49" i="2"/>
  <c r="AW107" i="2"/>
  <c r="AW38" i="2"/>
  <c r="H18" i="102"/>
  <c r="I18" i="102"/>
  <c r="G104" i="101"/>
  <c r="H2" i="101"/>
  <c r="H104" i="101"/>
  <c r="H18" i="100"/>
  <c r="I18" i="100"/>
  <c r="G104" i="99"/>
  <c r="H2" i="99"/>
  <c r="H104" i="99"/>
  <c r="AW72" i="2"/>
  <c r="AW58" i="2"/>
  <c r="AW81" i="2"/>
  <c r="AW67" i="2"/>
  <c r="AU11" i="2"/>
  <c r="AS5" i="1"/>
  <c r="AT15" i="2"/>
  <c r="AT37" i="2"/>
  <c r="AT23" i="2"/>
  <c r="AV86" i="2" a="1"/>
  <c r="AV86" i="2"/>
  <c r="AU31" i="1"/>
  <c r="AU8" i="1"/>
  <c r="AU7" i="1"/>
  <c r="AU6" i="1"/>
  <c r="AU23" i="1"/>
  <c r="AU39" i="1"/>
  <c r="AU22" i="1"/>
  <c r="AV91" i="2" a="1"/>
  <c r="AV91" i="2"/>
  <c r="AV90" i="2" a="1"/>
  <c r="AV90" i="2"/>
  <c r="AV89" i="2" a="1"/>
  <c r="AV89" i="2"/>
  <c r="AV88" i="2" a="1"/>
  <c r="AV88" i="2"/>
  <c r="AU4" i="1"/>
  <c r="AV44" i="2"/>
  <c r="AV46" i="2"/>
  <c r="AV47" i="2"/>
  <c r="AV105" i="2"/>
  <c r="AV48" i="2"/>
  <c r="AV49" i="2"/>
  <c r="AV107" i="2"/>
  <c r="AM42" i="1"/>
  <c r="AV72" i="2"/>
  <c r="AZ86" i="2" a="1"/>
  <c r="AZ86" i="2"/>
  <c r="AV58" i="2"/>
  <c r="AV81" i="2"/>
  <c r="AU86" i="2" a="1"/>
  <c r="AU86" i="2"/>
  <c r="AT31" i="1"/>
  <c r="AU87" i="2" a="1"/>
  <c r="AU87" i="2"/>
  <c r="AT8" i="1"/>
  <c r="AT7" i="1"/>
  <c r="AT6" i="1"/>
  <c r="AT5" i="1"/>
  <c r="AT23" i="1"/>
  <c r="AT22" i="1"/>
  <c r="AU37" i="2"/>
  <c r="AU95" i="2" a="1"/>
  <c r="AU95" i="2"/>
  <c r="AU91" i="2" a="1"/>
  <c r="AU91" i="2"/>
  <c r="AU90" i="2" a="1"/>
  <c r="AU90" i="2"/>
  <c r="AU89" i="2" a="1"/>
  <c r="AU89" i="2"/>
  <c r="AU88" i="2" a="1"/>
  <c r="AU88" i="2"/>
  <c r="AT4" i="1"/>
  <c r="AU44" i="2"/>
  <c r="AU46" i="2"/>
  <c r="AU47" i="2"/>
  <c r="AU48" i="2"/>
  <c r="AU49" i="2"/>
  <c r="AU38" i="2"/>
  <c r="AU31" i="2"/>
  <c r="AT20" i="1"/>
  <c r="I18" i="98"/>
  <c r="G104" i="97"/>
  <c r="H2" i="97"/>
  <c r="H104" i="97"/>
  <c r="AZ107" i="2"/>
  <c r="AZ63" i="2"/>
  <c r="AZ106" i="2"/>
  <c r="AZ62" i="2"/>
  <c r="AZ105" i="2"/>
  <c r="AZ61" i="2"/>
  <c r="AZ104" i="2"/>
  <c r="AZ60" i="2"/>
  <c r="AZ102" i="2"/>
  <c r="AY86" i="2" a="1"/>
  <c r="AY86" i="2"/>
  <c r="AY106" i="2"/>
  <c r="AY104" i="2"/>
  <c r="AX30" i="1"/>
  <c r="AX47" i="1"/>
  <c r="AY102" i="2"/>
  <c r="AY31" i="2"/>
  <c r="AX24" i="1"/>
  <c r="AY52" i="2"/>
  <c r="AX38" i="1"/>
  <c r="G104" i="105"/>
  <c r="H104" i="105"/>
  <c r="H2" i="105"/>
  <c r="Q22" i="25"/>
  <c r="Q23" i="25"/>
  <c r="Q31" i="25"/>
  <c r="AY63" i="2"/>
  <c r="AY62" i="2"/>
  <c r="AY61" i="2"/>
  <c r="AY60" i="2"/>
  <c r="AX86" i="2" a="1"/>
  <c r="AX86" i="2"/>
  <c r="AW24" i="1"/>
  <c r="AX52" i="2"/>
  <c r="AW32" i="1"/>
  <c r="AX106" i="2"/>
  <c r="AX104" i="2"/>
  <c r="AW30" i="1"/>
  <c r="AW47" i="1"/>
  <c r="AX102" i="2"/>
  <c r="AT50" i="2"/>
  <c r="AT78" i="2"/>
  <c r="AU92" i="2" a="1"/>
  <c r="AU92" i="2"/>
  <c r="AT64" i="2"/>
  <c r="AV10" i="2"/>
  <c r="AU36" i="2"/>
  <c r="AW38" i="1"/>
  <c r="AP83" i="2"/>
  <c r="AQ92" i="2" a="1"/>
  <c r="AQ92" i="2"/>
  <c r="AS92" i="2" a="1"/>
  <c r="AS92" i="2"/>
  <c r="AR92" i="2" a="1"/>
  <c r="AR92" i="2"/>
  <c r="AT92" i="2" a="1"/>
  <c r="AT92" i="2"/>
  <c r="AP108" i="2"/>
  <c r="AO29" i="1"/>
  <c r="AP64" i="2"/>
  <c r="AP55" i="2"/>
  <c r="Q39" i="25"/>
  <c r="E36" i="30"/>
  <c r="E25" i="30"/>
  <c r="E33" i="30"/>
  <c r="E50" i="30"/>
  <c r="E13" i="30"/>
  <c r="E12" i="30"/>
  <c r="E17" i="30"/>
  <c r="AV39" i="1"/>
  <c r="Q4" i="25"/>
  <c r="Q6" i="25"/>
  <c r="Q7" i="25"/>
  <c r="Q8" i="25"/>
  <c r="AX80" i="2"/>
  <c r="AX31" i="2"/>
  <c r="AX66" i="2"/>
  <c r="AX63" i="2"/>
  <c r="AX62" i="2"/>
  <c r="AX61" i="2"/>
  <c r="AX60" i="2"/>
  <c r="AW86" i="2" a="1"/>
  <c r="AW86" i="2"/>
  <c r="AV24" i="1"/>
  <c r="R24" i="25"/>
  <c r="AW52" i="2"/>
  <c r="AV32" i="1"/>
  <c r="AW106" i="2"/>
  <c r="AW104" i="2"/>
  <c r="AV30" i="1"/>
  <c r="R30" i="25"/>
  <c r="R47" i="25"/>
  <c r="AW102" i="2"/>
  <c r="AV38" i="1"/>
  <c r="AW80" i="2"/>
  <c r="AW31" i="2"/>
  <c r="AW66" i="2"/>
  <c r="AW63" i="2"/>
  <c r="AW62" i="2"/>
  <c r="AW61" i="2"/>
  <c r="AW60" i="2"/>
  <c r="AU73" i="2"/>
  <c r="AU45" i="2"/>
  <c r="AV31" i="2"/>
  <c r="AU24" i="1"/>
  <c r="AV52" i="2"/>
  <c r="AU32" i="1"/>
  <c r="AV106" i="2"/>
  <c r="AV104" i="2"/>
  <c r="AU30" i="1"/>
  <c r="AU47" i="1"/>
  <c r="AV102" i="2"/>
  <c r="AU38" i="1"/>
  <c r="AU78" i="2"/>
  <c r="AT51" i="2"/>
  <c r="AT79" i="2"/>
  <c r="AT65" i="2"/>
  <c r="AT19" i="2"/>
  <c r="AT20" i="2"/>
  <c r="AT21" i="2"/>
  <c r="AT22" i="2"/>
  <c r="AT24" i="2"/>
  <c r="AT26" i="2"/>
  <c r="AT25" i="2"/>
  <c r="AT18" i="2"/>
  <c r="AT27" i="2"/>
  <c r="AS9" i="1"/>
  <c r="AS13" i="1"/>
  <c r="AV11" i="2"/>
  <c r="AV37" i="2"/>
  <c r="AW11" i="2"/>
  <c r="AW37" i="2"/>
  <c r="AU15" i="2"/>
  <c r="AU23" i="2"/>
  <c r="AV67" i="2"/>
  <c r="AV80" i="2"/>
  <c r="AV66" i="2"/>
  <c r="AV63" i="2"/>
  <c r="AV62" i="2"/>
  <c r="AV61" i="2"/>
  <c r="AV60" i="2"/>
  <c r="AT53" i="1"/>
  <c r="AU80" i="2"/>
  <c r="AT24" i="1"/>
  <c r="AU52" i="2"/>
  <c r="AU107" i="2"/>
  <c r="AU63" i="2"/>
  <c r="AU106" i="2"/>
  <c r="AU62" i="2"/>
  <c r="AU105" i="2"/>
  <c r="AU61" i="2"/>
  <c r="AU104" i="2"/>
  <c r="AU60" i="2"/>
  <c r="AT30" i="1"/>
  <c r="AU103" i="2"/>
  <c r="AU59" i="2"/>
  <c r="AT28" i="1"/>
  <c r="AU102" i="2"/>
  <c r="AU58" i="2"/>
  <c r="AT9" i="1"/>
  <c r="AT12" i="1"/>
  <c r="AU79" i="2"/>
  <c r="AU51" i="2"/>
  <c r="AT38" i="1"/>
  <c r="AT39" i="1"/>
  <c r="AT13" i="1"/>
  <c r="AT14" i="1"/>
  <c r="AT15" i="1"/>
  <c r="AT16" i="1"/>
  <c r="AX11" i="2"/>
  <c r="AX37" i="2"/>
  <c r="AY11" i="2"/>
  <c r="AW79" i="2"/>
  <c r="AX32" i="1"/>
  <c r="AY66" i="2"/>
  <c r="AX40" i="1"/>
  <c r="AY45" i="2"/>
  <c r="AX20" i="1"/>
  <c r="AY73" i="2"/>
  <c r="AY59" i="2"/>
  <c r="AV47" i="1"/>
  <c r="Q24" i="25"/>
  <c r="AW51" i="2"/>
  <c r="AX45" i="2"/>
  <c r="AW20" i="1"/>
  <c r="AP113" i="2"/>
  <c r="AP69" i="2"/>
  <c r="AO46" i="1"/>
  <c r="O29" i="25"/>
  <c r="AO62" i="1"/>
  <c r="AQ97" i="2" a="1"/>
  <c r="AQ97" i="2"/>
  <c r="AU50" i="2"/>
  <c r="AW10" i="2"/>
  <c r="AV36" i="2"/>
  <c r="AV50" i="2"/>
  <c r="AV108" i="2"/>
  <c r="AT108" i="2"/>
  <c r="AW40" i="1"/>
  <c r="E41" i="30"/>
  <c r="E42" i="30"/>
  <c r="Q30" i="25"/>
  <c r="AX73" i="2"/>
  <c r="AW109" i="2"/>
  <c r="AW45" i="2"/>
  <c r="AV20" i="1"/>
  <c r="R20" i="25"/>
  <c r="AV40" i="1"/>
  <c r="AW65" i="2"/>
  <c r="AW73" i="2"/>
  <c r="AU19" i="2"/>
  <c r="AU20" i="2"/>
  <c r="AU21" i="2"/>
  <c r="AU22" i="2"/>
  <c r="AU24" i="2"/>
  <c r="AU26" i="2"/>
  <c r="AU25" i="2"/>
  <c r="AU18" i="2"/>
  <c r="AU27" i="2"/>
  <c r="AU5" i="1"/>
  <c r="Q5" i="25"/>
  <c r="AV93" i="2" a="1"/>
  <c r="AV93" i="2"/>
  <c r="AV15" i="2"/>
  <c r="AV23" i="2"/>
  <c r="AS12" i="1"/>
  <c r="AS14" i="1"/>
  <c r="AS15" i="1"/>
  <c r="AS16" i="1"/>
  <c r="AU93" i="2" a="1"/>
  <c r="AU93" i="2"/>
  <c r="AT109" i="2"/>
  <c r="AV92" i="2" a="1"/>
  <c r="AV92" i="2"/>
  <c r="AU40" i="1"/>
  <c r="AV45" i="2"/>
  <c r="AU20" i="1"/>
  <c r="AV73" i="2"/>
  <c r="AV59" i="2"/>
  <c r="AV87" i="2" a="1"/>
  <c r="AV87" i="2"/>
  <c r="AU109" i="2"/>
  <c r="AU65" i="2"/>
  <c r="AT17" i="1"/>
  <c r="AT45" i="1"/>
  <c r="AT36" i="1"/>
  <c r="AT47" i="1"/>
  <c r="AT32" i="1"/>
  <c r="AU66" i="2"/>
  <c r="AT40" i="1"/>
  <c r="AY87" i="2" a="1"/>
  <c r="AY87" i="2"/>
  <c r="AY103" i="2"/>
  <c r="AX28" i="1"/>
  <c r="AX53" i="1"/>
  <c r="Q32" i="25"/>
  <c r="Q20" i="25"/>
  <c r="AX87" i="2" a="1"/>
  <c r="AX87" i="2"/>
  <c r="AV78" i="2"/>
  <c r="AV64" i="2"/>
  <c r="AW36" i="2"/>
  <c r="AX10" i="2"/>
  <c r="AY10" i="2"/>
  <c r="AZ10" i="2"/>
  <c r="BA10" i="2"/>
  <c r="AW50" i="2"/>
  <c r="AV5" i="1"/>
  <c r="AW15" i="2"/>
  <c r="AU108" i="2"/>
  <c r="AU64" i="2"/>
  <c r="O46" i="25"/>
  <c r="AX103" i="2"/>
  <c r="AW28" i="1"/>
  <c r="AW45" i="1"/>
  <c r="Q40" i="25"/>
  <c r="Q47" i="25"/>
  <c r="Q9" i="25"/>
  <c r="Q38" i="25"/>
  <c r="AV53" i="1"/>
  <c r="AW53" i="1"/>
  <c r="AX59" i="2"/>
  <c r="AW87" i="2" a="1"/>
  <c r="AW87" i="2"/>
  <c r="AW103" i="2"/>
  <c r="AV28" i="1"/>
  <c r="R28" i="25"/>
  <c r="R45" i="25"/>
  <c r="AW59" i="2"/>
  <c r="AU53" i="1"/>
  <c r="AV103" i="2"/>
  <c r="AU28" i="1"/>
  <c r="AS17" i="1"/>
  <c r="AV79" i="2"/>
  <c r="AV51" i="2"/>
  <c r="AV19" i="2"/>
  <c r="AV20" i="2"/>
  <c r="AV21" i="2"/>
  <c r="AV22" i="2"/>
  <c r="AV24" i="2"/>
  <c r="AV26" i="2"/>
  <c r="AV25" i="2"/>
  <c r="AV18" i="2"/>
  <c r="AV27" i="2"/>
  <c r="AU9" i="1"/>
  <c r="AU13" i="1"/>
  <c r="AX5" i="1"/>
  <c r="R5" i="25"/>
  <c r="F5" i="30"/>
  <c r="AY15" i="2"/>
  <c r="AY22" i="2"/>
  <c r="AX45" i="1"/>
  <c r="AX36" i="1"/>
  <c r="AV45" i="1"/>
  <c r="Q28" i="25"/>
  <c r="AX93" i="2" a="1"/>
  <c r="AX93" i="2"/>
  <c r="AX79" i="2"/>
  <c r="AX51" i="2"/>
  <c r="AW36" i="1"/>
  <c r="AW23" i="2"/>
  <c r="AW25" i="2"/>
  <c r="AW18" i="2"/>
  <c r="AW19" i="2"/>
  <c r="AW20" i="2"/>
  <c r="AW21" i="2"/>
  <c r="AW22" i="2"/>
  <c r="AW24" i="2"/>
  <c r="AW26" i="2"/>
  <c r="AV9" i="1"/>
  <c r="AV13" i="1"/>
  <c r="AW108" i="2"/>
  <c r="AX36" i="2"/>
  <c r="AW5" i="1"/>
  <c r="AX50" i="2"/>
  <c r="AX15" i="2"/>
  <c r="AX22" i="2"/>
  <c r="AW78" i="2"/>
  <c r="AW64" i="2"/>
  <c r="AW92" i="2" a="1"/>
  <c r="AW92" i="2"/>
  <c r="Q45" i="25"/>
  <c r="Q36" i="25"/>
  <c r="Q16" i="25"/>
  <c r="Q15" i="25"/>
  <c r="Q14" i="25"/>
  <c r="Q12" i="25"/>
  <c r="Q13" i="25"/>
  <c r="AW93" i="2" a="1"/>
  <c r="AW93" i="2"/>
  <c r="AV36" i="1"/>
  <c r="AU12" i="1"/>
  <c r="AU14" i="1"/>
  <c r="AU15" i="1"/>
  <c r="AU16" i="1"/>
  <c r="AV109" i="2"/>
  <c r="AV65" i="2"/>
  <c r="AU45" i="1"/>
  <c r="AU36" i="1"/>
  <c r="AY93" i="2" a="1"/>
  <c r="AY93" i="2"/>
  <c r="AY19" i="2"/>
  <c r="AY20" i="2"/>
  <c r="AY21" i="2"/>
  <c r="AY26" i="2"/>
  <c r="AY25" i="2"/>
  <c r="AY24" i="2"/>
  <c r="AY18" i="2"/>
  <c r="AY23" i="2"/>
  <c r="AX9" i="1"/>
  <c r="AX13" i="1"/>
  <c r="AX92" i="2" a="1"/>
  <c r="AX92" i="2"/>
  <c r="AX19" i="2"/>
  <c r="AX20" i="2"/>
  <c r="AX21" i="2"/>
  <c r="AX24" i="2"/>
  <c r="AX26" i="2"/>
  <c r="AX25" i="2"/>
  <c r="AX18" i="2"/>
  <c r="AX23" i="2"/>
  <c r="AX108" i="2"/>
  <c r="AW9" i="1"/>
  <c r="AW13" i="1"/>
  <c r="AX78" i="2"/>
  <c r="AX64" i="2"/>
  <c r="AV12" i="1"/>
  <c r="AV14" i="1"/>
  <c r="AV15" i="1"/>
  <c r="AV16" i="1"/>
  <c r="AW27" i="2"/>
  <c r="AX109" i="2"/>
  <c r="AX65" i="2"/>
  <c r="Q17" i="25"/>
  <c r="AU17" i="1"/>
  <c r="AY92" i="2" a="1"/>
  <c r="AY92" i="2"/>
  <c r="AX12" i="1"/>
  <c r="AX14" i="1"/>
  <c r="AX15" i="1"/>
  <c r="AX16" i="1"/>
  <c r="AY27" i="2"/>
  <c r="AV17" i="1"/>
  <c r="AW12" i="1"/>
  <c r="AW14" i="1"/>
  <c r="AW15" i="1"/>
  <c r="AW16" i="1"/>
  <c r="AX27" i="2"/>
  <c r="AX17" i="1"/>
  <c r="AW17" i="1"/>
  <c r="G104" i="103"/>
  <c r="BO72" i="2"/>
  <c r="BP30" i="2"/>
  <c r="F104" i="103"/>
  <c r="H104" i="103"/>
  <c r="H2" i="103"/>
  <c r="BR30" i="2"/>
  <c r="I22" i="110"/>
  <c r="H104" i="109"/>
  <c r="BB72" i="2"/>
  <c r="BB73" i="2"/>
  <c r="BB80" i="2"/>
  <c r="BB66" i="2"/>
  <c r="BB81" i="2"/>
  <c r="BB67" i="2"/>
  <c r="AZ36" i="2"/>
  <c r="AY37" i="2"/>
  <c r="AZ11" i="2"/>
  <c r="BB11" i="2"/>
  <c r="BC11" i="2"/>
  <c r="BD11" i="2" s="1"/>
  <c r="BE11" i="2" s="1"/>
  <c r="BF11" i="2" s="1"/>
  <c r="BG11" i="2" s="1"/>
  <c r="BH11" i="2" s="1"/>
  <c r="BI11" i="2" s="1"/>
  <c r="BJ11" i="2" s="1"/>
  <c r="BK11" i="2" s="1"/>
  <c r="BL11" i="2" s="1"/>
  <c r="BM11" i="2" s="1"/>
  <c r="BA86" i="2" a="1"/>
  <c r="BA86" i="2"/>
  <c r="AZ32" i="1"/>
  <c r="AZ31" i="1"/>
  <c r="BA87" i="2" a="1"/>
  <c r="BA87" i="2"/>
  <c r="AZ8" i="1"/>
  <c r="AZ7" i="1"/>
  <c r="AZ6" i="1"/>
  <c r="AZ24" i="1"/>
  <c r="AZ40" i="1"/>
  <c r="AZ23" i="1"/>
  <c r="AZ39" i="1"/>
  <c r="AZ22" i="1"/>
  <c r="BA91" i="2" a="1"/>
  <c r="BA91" i="2"/>
  <c r="BA90" i="2" a="1"/>
  <c r="BA90" i="2"/>
  <c r="BA89" i="2" a="1"/>
  <c r="BA89" i="2"/>
  <c r="BA88" i="2" a="1"/>
  <c r="BA88" i="2"/>
  <c r="AZ4" i="1"/>
  <c r="BA44" i="2"/>
  <c r="BA46" i="2"/>
  <c r="BA47" i="2"/>
  <c r="BA105" i="2"/>
  <c r="BA48" i="2"/>
  <c r="BA49" i="2"/>
  <c r="BA107" i="2"/>
  <c r="AZ20" i="1"/>
  <c r="BA45" i="2"/>
  <c r="BA103" i="2"/>
  <c r="R36" i="25"/>
  <c r="R32" i="25"/>
  <c r="R40" i="25"/>
  <c r="R38" i="25"/>
  <c r="R9" i="25"/>
  <c r="R14" i="25"/>
  <c r="R15" i="25"/>
  <c r="R16" i="25"/>
  <c r="I22" i="108"/>
  <c r="H104" i="107"/>
  <c r="BA72" i="2"/>
  <c r="BA58" i="2"/>
  <c r="BA73" i="2"/>
  <c r="BA59" i="2"/>
  <c r="BA80" i="2"/>
  <c r="BA66" i="2"/>
  <c r="BA81" i="2"/>
  <c r="AY36" i="2"/>
  <c r="AZ87" i="2" a="1"/>
  <c r="AZ87" i="2"/>
  <c r="AY28" i="1"/>
  <c r="AY32" i="1"/>
  <c r="AY31" i="1"/>
  <c r="AY30" i="1"/>
  <c r="AY8" i="1"/>
  <c r="AY7" i="1"/>
  <c r="AY6" i="1"/>
  <c r="AY5" i="1"/>
  <c r="AY24" i="1"/>
  <c r="AY23" i="1"/>
  <c r="AY22" i="1"/>
  <c r="AY4" i="1"/>
  <c r="AY20" i="1"/>
  <c r="BA106" i="2"/>
  <c r="BA104" i="2"/>
  <c r="AZ30" i="1"/>
  <c r="AZ28" i="1"/>
  <c r="BA102" i="2"/>
  <c r="AZ38" i="1"/>
  <c r="BA11" i="2"/>
  <c r="AZ37" i="2"/>
  <c r="AZ51" i="2"/>
  <c r="AY79" i="2"/>
  <c r="AZ93" i="2" a="1"/>
  <c r="AZ93" i="2"/>
  <c r="AY51" i="2"/>
  <c r="AY109" i="2"/>
  <c r="AY65" i="2"/>
  <c r="R13" i="25"/>
  <c r="R12" i="25"/>
  <c r="R17" i="25"/>
  <c r="AZ53" i="1"/>
  <c r="AY47" i="1"/>
  <c r="AY45" i="1"/>
  <c r="BA67" i="2"/>
  <c r="BA63" i="2"/>
  <c r="BA62" i="2"/>
  <c r="BA61" i="2"/>
  <c r="BA60" i="2"/>
  <c r="AY36" i="1"/>
  <c r="AY53" i="1"/>
  <c r="AY9" i="1"/>
  <c r="AY12" i="1"/>
  <c r="AY38" i="1"/>
  <c r="AY39" i="1"/>
  <c r="AY40" i="1"/>
  <c r="AY13" i="1"/>
  <c r="AY14" i="1"/>
  <c r="AY15" i="1"/>
  <c r="AY16" i="1"/>
  <c r="AZ109" i="2"/>
  <c r="AZ79" i="2"/>
  <c r="AZ65" i="2"/>
  <c r="AZ15" i="2"/>
  <c r="AZ22" i="2"/>
  <c r="AZ50" i="2"/>
  <c r="AY78" i="2"/>
  <c r="AY50" i="2"/>
  <c r="AY64" i="2"/>
  <c r="AZ47" i="1"/>
  <c r="BA37" i="2"/>
  <c r="AZ5" i="1"/>
  <c r="BA93" i="2" a="1"/>
  <c r="BA93" i="2"/>
  <c r="BA15" i="2"/>
  <c r="BA23" i="2"/>
  <c r="AZ36" i="1"/>
  <c r="AZ45" i="1"/>
  <c r="AY108" i="2"/>
  <c r="AZ92" i="2" a="1"/>
  <c r="AZ92" i="2"/>
  <c r="AZ108" i="2"/>
  <c r="AZ19" i="2"/>
  <c r="AZ20" i="2"/>
  <c r="AZ21" i="2"/>
  <c r="AZ26" i="2"/>
  <c r="AZ25" i="2"/>
  <c r="AZ24" i="2"/>
  <c r="AZ18" i="2"/>
  <c r="AZ23" i="2"/>
  <c r="AZ78" i="2"/>
  <c r="AZ64" i="2"/>
  <c r="AY17" i="1"/>
  <c r="BA92" i="2" a="1"/>
  <c r="BA92" i="2"/>
  <c r="BA19" i="2"/>
  <c r="BA20" i="2"/>
  <c r="BA21" i="2"/>
  <c r="BA22" i="2"/>
  <c r="BA26" i="2"/>
  <c r="BA25" i="2"/>
  <c r="BA24" i="2"/>
  <c r="BA18" i="2"/>
  <c r="BA27" i="2"/>
  <c r="AZ9" i="1"/>
  <c r="AZ13" i="1"/>
  <c r="BA79" i="2"/>
  <c r="BA51" i="2"/>
  <c r="AZ27" i="2"/>
  <c r="BA109" i="2"/>
  <c r="BA65" i="2"/>
  <c r="AZ12" i="1"/>
  <c r="AZ14" i="1"/>
  <c r="AZ15" i="1"/>
  <c r="AZ16" i="1"/>
  <c r="AZ17" i="1"/>
  <c r="I22" i="114"/>
  <c r="H104" i="113"/>
  <c r="BD72" i="2"/>
  <c r="BD81" i="2"/>
  <c r="BD67" i="2"/>
  <c r="BC37" i="2"/>
  <c r="BC51" i="2"/>
  <c r="BC109" i="2"/>
  <c r="BC86" i="2" a="1"/>
  <c r="BC86" i="2"/>
  <c r="BB32" i="1"/>
  <c r="BC87" i="2" a="1"/>
  <c r="BC87" i="2"/>
  <c r="BB8" i="1"/>
  <c r="BB7" i="1"/>
  <c r="BB6" i="1"/>
  <c r="BB23" i="1"/>
  <c r="BB22" i="1"/>
  <c r="BC93" i="2" a="1"/>
  <c r="BC93" i="2"/>
  <c r="BC91" i="2" a="1"/>
  <c r="BC91" i="2"/>
  <c r="BC90" i="2" a="1"/>
  <c r="BC90" i="2"/>
  <c r="BC89" i="2" a="1"/>
  <c r="BC89" i="2"/>
  <c r="BC88" i="2" a="1"/>
  <c r="BC88" i="2"/>
  <c r="BB4" i="1"/>
  <c r="BC44" i="2"/>
  <c r="BC46" i="2"/>
  <c r="BC47" i="2"/>
  <c r="BC105" i="2"/>
  <c r="BC48" i="2"/>
  <c r="BC49" i="2"/>
  <c r="BC107" i="2"/>
  <c r="BC31" i="2"/>
  <c r="BC38" i="2"/>
  <c r="BB24" i="1"/>
  <c r="BB20" i="1"/>
  <c r="I22" i="112"/>
  <c r="H104" i="111"/>
  <c r="BC72" i="2"/>
  <c r="BC58" i="2"/>
  <c r="BC73" i="2"/>
  <c r="BC81" i="2"/>
  <c r="BC53" i="2"/>
  <c r="BB31" i="1"/>
  <c r="BB51" i="2"/>
  <c r="BB10" i="2"/>
  <c r="BC10" i="2"/>
  <c r="BD10" i="2"/>
  <c r="BE10" i="2"/>
  <c r="BF10" i="2"/>
  <c r="BG10" i="2"/>
  <c r="BB108" i="2"/>
  <c r="BA36" i="2"/>
  <c r="BB86" i="2" a="1"/>
  <c r="BB86" i="2"/>
  <c r="BA32" i="1"/>
  <c r="S32" i="25"/>
  <c r="BA31" i="1"/>
  <c r="S31" i="25"/>
  <c r="BB87" i="2" a="1"/>
  <c r="BB87" i="2"/>
  <c r="BA8" i="1"/>
  <c r="S8" i="25"/>
  <c r="BA7" i="1"/>
  <c r="S7" i="25"/>
  <c r="BA6" i="1"/>
  <c r="BA5" i="1"/>
  <c r="BA24" i="1"/>
  <c r="S24" i="25"/>
  <c r="S40" i="25"/>
  <c r="BA23" i="1"/>
  <c r="S23" i="25"/>
  <c r="S39" i="25"/>
  <c r="BA22" i="1"/>
  <c r="S22" i="25"/>
  <c r="BB93" i="2" a="1"/>
  <c r="BB93" i="2"/>
  <c r="BB91" i="2" a="1"/>
  <c r="BB91" i="2"/>
  <c r="BB90" i="2" a="1"/>
  <c r="BB90" i="2"/>
  <c r="BB89" i="2" a="1"/>
  <c r="BB89" i="2"/>
  <c r="BB88" i="2" a="1"/>
  <c r="BB88" i="2"/>
  <c r="BA4" i="1"/>
  <c r="BB15" i="2"/>
  <c r="BB44" i="2"/>
  <c r="BB45" i="2"/>
  <c r="BB46" i="2"/>
  <c r="BB47" i="2"/>
  <c r="BB48" i="2"/>
  <c r="BB49" i="2"/>
  <c r="BA20" i="1"/>
  <c r="S20" i="25"/>
  <c r="BB40" i="1"/>
  <c r="S4" i="25"/>
  <c r="S5" i="25"/>
  <c r="S6" i="25"/>
  <c r="BC36" i="2"/>
  <c r="BB5" i="1"/>
  <c r="BC15" i="2"/>
  <c r="BC22" i="2"/>
  <c r="BC45" i="2"/>
  <c r="BC106" i="2"/>
  <c r="BC104" i="2"/>
  <c r="BB30" i="1"/>
  <c r="BB28" i="1"/>
  <c r="BC102" i="2"/>
  <c r="BB38" i="1"/>
  <c r="BB39" i="1"/>
  <c r="BB64" i="1"/>
  <c r="BB55" i="1"/>
  <c r="BB56" i="1"/>
  <c r="BB57" i="1"/>
  <c r="BB53" i="1"/>
  <c r="BB72" i="1"/>
  <c r="BC67" i="2"/>
  <c r="BC80" i="2"/>
  <c r="BC66" i="2"/>
  <c r="BC79" i="2"/>
  <c r="BC78" i="2"/>
  <c r="BC63" i="2"/>
  <c r="BC62" i="2"/>
  <c r="BC61" i="2"/>
  <c r="BC60" i="2"/>
  <c r="BC25" i="2"/>
  <c r="BC18" i="2"/>
  <c r="BA53" i="1"/>
  <c r="BB107" i="2"/>
  <c r="BB63" i="2"/>
  <c r="BB106" i="2"/>
  <c r="BB62" i="2"/>
  <c r="BB105" i="2"/>
  <c r="BB61" i="2"/>
  <c r="BB104" i="2"/>
  <c r="BB60" i="2"/>
  <c r="BA30" i="1"/>
  <c r="S30" i="25"/>
  <c r="S47" i="25"/>
  <c r="BB103" i="2"/>
  <c r="BB59" i="2"/>
  <c r="BA28" i="1"/>
  <c r="S28" i="25"/>
  <c r="S45" i="25"/>
  <c r="BB102" i="2"/>
  <c r="BB58" i="2"/>
  <c r="BB19" i="2"/>
  <c r="BB20" i="2"/>
  <c r="BB21" i="2"/>
  <c r="BB26" i="2"/>
  <c r="BB25" i="2"/>
  <c r="BB24" i="2"/>
  <c r="BB18" i="2"/>
  <c r="BB23" i="2"/>
  <c r="BA9" i="1"/>
  <c r="BA12" i="1"/>
  <c r="BA38" i="1"/>
  <c r="BA55" i="1"/>
  <c r="BA39" i="1"/>
  <c r="BA40" i="1"/>
  <c r="BA57" i="1"/>
  <c r="BA13" i="1"/>
  <c r="BA14" i="1"/>
  <c r="BA15" i="1"/>
  <c r="BA16" i="1"/>
  <c r="BB36" i="2"/>
  <c r="BA78" i="2"/>
  <c r="BA50" i="2"/>
  <c r="BA64" i="2"/>
  <c r="BB22" i="2"/>
  <c r="BB109" i="2"/>
  <c r="BB65" i="2"/>
  <c r="BB47" i="1"/>
  <c r="S36" i="25"/>
  <c r="S38" i="25"/>
  <c r="S9" i="25"/>
  <c r="BB36" i="1"/>
  <c r="BB45" i="1"/>
  <c r="BC103" i="2"/>
  <c r="BC59" i="2"/>
  <c r="BC19" i="2"/>
  <c r="BC20" i="2"/>
  <c r="BC21" i="2"/>
  <c r="BC23" i="2"/>
  <c r="BC24" i="2"/>
  <c r="BC26" i="2"/>
  <c r="BB9" i="1"/>
  <c r="BB13" i="1"/>
  <c r="BC50" i="2"/>
  <c r="BB63" i="1"/>
  <c r="BB71" i="1"/>
  <c r="BB61" i="1"/>
  <c r="BB69" i="1"/>
  <c r="BC64" i="2"/>
  <c r="BC65" i="2"/>
  <c r="BA108" i="2"/>
  <c r="BB92" i="2" a="1"/>
  <c r="BB92" i="2"/>
  <c r="BB78" i="2"/>
  <c r="BB64" i="2"/>
  <c r="BA17" i="1"/>
  <c r="BB27" i="2"/>
  <c r="BA45" i="1"/>
  <c r="BA36" i="1"/>
  <c r="BA47" i="1"/>
  <c r="BP52" i="2"/>
  <c r="BR52" i="2"/>
  <c r="BN32" i="1"/>
  <c r="S15" i="25"/>
  <c r="S16" i="25"/>
  <c r="S14" i="25"/>
  <c r="S13" i="25"/>
  <c r="S12" i="25"/>
  <c r="S17" i="25"/>
  <c r="BC92" i="2" a="1"/>
  <c r="BC92" i="2"/>
  <c r="BC108" i="2"/>
  <c r="BB12" i="1"/>
  <c r="BB14" i="1"/>
  <c r="BB15" i="1"/>
  <c r="BB16" i="1"/>
  <c r="BC27" i="2"/>
  <c r="BB17" i="1"/>
  <c r="BE15" i="2"/>
  <c r="BE19" i="2"/>
  <c r="BE20" i="2"/>
  <c r="BE21" i="2"/>
  <c r="BE22" i="2"/>
  <c r="BE37" i="2"/>
  <c r="BE23" i="2"/>
  <c r="BE26" i="2"/>
  <c r="BE72" i="2"/>
  <c r="BE73" i="2"/>
  <c r="BE80" i="2"/>
  <c r="BE66" i="2"/>
  <c r="BE81" i="2"/>
  <c r="BD36" i="2"/>
  <c r="BD15" i="2"/>
  <c r="BD22" i="2"/>
  <c r="BD37" i="2"/>
  <c r="BD86" i="2" a="1"/>
  <c r="BD86" i="2"/>
  <c r="BC32" i="1"/>
  <c r="BC31" i="1"/>
  <c r="BD87" i="2" a="1"/>
  <c r="BD87" i="2"/>
  <c r="BC8" i="1"/>
  <c r="BC7" i="1"/>
  <c r="BC6" i="1"/>
  <c r="BC5" i="1"/>
  <c r="BC23" i="1"/>
  <c r="BC22" i="1"/>
  <c r="BD93" i="2" a="1"/>
  <c r="BD93" i="2"/>
  <c r="BD92" i="2" a="1"/>
  <c r="BD92" i="2"/>
  <c r="BD91" i="2" a="1"/>
  <c r="BD91" i="2"/>
  <c r="BD90" i="2" a="1"/>
  <c r="BD90" i="2"/>
  <c r="BD89" i="2" a="1"/>
  <c r="BD89" i="2"/>
  <c r="BD88" i="2" a="1"/>
  <c r="BD88" i="2"/>
  <c r="BC4" i="1"/>
  <c r="BD44" i="2"/>
  <c r="BD46" i="2"/>
  <c r="BD47" i="2"/>
  <c r="BD48" i="2"/>
  <c r="BD49" i="2"/>
  <c r="BD38" i="2"/>
  <c r="I22" i="116"/>
  <c r="H104" i="115"/>
  <c r="BC55" i="1"/>
  <c r="BC56" i="1"/>
  <c r="BE67" i="2"/>
  <c r="BE79" i="2"/>
  <c r="BE25" i="2"/>
  <c r="BE24" i="2"/>
  <c r="BE18" i="2"/>
  <c r="BE27" i="2"/>
  <c r="BD80" i="2"/>
  <c r="BD31" i="2"/>
  <c r="BD66" i="2"/>
  <c r="BC24" i="1"/>
  <c r="BD107" i="2"/>
  <c r="BD63" i="2"/>
  <c r="BD106" i="2"/>
  <c r="BD62" i="2"/>
  <c r="BD105" i="2"/>
  <c r="BD61" i="2"/>
  <c r="BD104" i="2"/>
  <c r="BD60" i="2"/>
  <c r="BC30" i="1"/>
  <c r="BD102" i="2"/>
  <c r="BD58" i="2"/>
  <c r="BC9" i="1"/>
  <c r="BC12" i="1"/>
  <c r="BC38" i="1"/>
  <c r="BC39" i="1"/>
  <c r="BC13" i="1"/>
  <c r="BC14" i="1"/>
  <c r="BC15" i="1"/>
  <c r="BC16" i="1"/>
  <c r="BC64" i="1"/>
  <c r="BC72" i="1"/>
  <c r="BC65" i="1"/>
  <c r="BD79" i="2"/>
  <c r="BD51" i="2"/>
  <c r="BD19" i="2"/>
  <c r="BD20" i="2"/>
  <c r="BD21" i="2"/>
  <c r="BD23" i="2"/>
  <c r="BD24" i="2"/>
  <c r="BD26" i="2"/>
  <c r="BD25" i="2"/>
  <c r="BD18" i="2"/>
  <c r="BD27" i="2"/>
  <c r="BD78" i="2"/>
  <c r="BD50" i="2"/>
  <c r="BC57" i="1"/>
  <c r="BC47" i="1"/>
  <c r="BD108" i="2"/>
  <c r="BD64" i="2"/>
  <c r="BD109" i="2"/>
  <c r="BD65" i="2"/>
  <c r="BC17" i="1"/>
  <c r="BC63" i="1"/>
  <c r="BC40" i="1"/>
  <c r="BD73" i="2"/>
  <c r="BD45" i="2"/>
  <c r="BC20" i="1"/>
  <c r="BC53" i="1"/>
  <c r="BD103" i="2"/>
  <c r="BC28" i="1"/>
  <c r="BD59" i="2"/>
  <c r="BC73" i="1"/>
  <c r="BC71" i="1"/>
  <c r="BC45" i="1"/>
  <c r="BC61" i="1"/>
  <c r="BC36" i="1"/>
  <c r="BC69" i="1"/>
  <c r="F9" i="30"/>
  <c r="F14" i="30"/>
  <c r="F16" i="30"/>
  <c r="F20" i="30"/>
  <c r="H104" i="127"/>
  <c r="I22" i="126"/>
  <c r="BJ72" i="2"/>
  <c r="BJ73" i="2"/>
  <c r="BJ80" i="2"/>
  <c r="BJ66" i="2"/>
  <c r="BJ81" i="2"/>
  <c r="BJ67" i="2"/>
  <c r="BH32" i="1"/>
  <c r="BH31" i="1"/>
  <c r="BH8" i="1"/>
  <c r="BH7" i="1"/>
  <c r="BH6" i="1"/>
  <c r="BH24" i="1"/>
  <c r="BH23" i="1"/>
  <c r="BH22" i="1"/>
  <c r="BI91" i="2" a="1"/>
  <c r="BI91" i="2"/>
  <c r="BI90" i="2" a="1"/>
  <c r="BI90" i="2"/>
  <c r="BI89" i="2" a="1"/>
  <c r="BI89" i="2"/>
  <c r="BI88" i="2" a="1"/>
  <c r="BI88" i="2"/>
  <c r="BI44" i="2"/>
  <c r="BI46" i="2"/>
  <c r="BI47" i="2"/>
  <c r="BI105" i="2"/>
  <c r="BI48" i="2"/>
  <c r="BI49" i="2"/>
  <c r="BI107" i="2"/>
  <c r="BI54" i="2"/>
  <c r="BI112" i="2"/>
  <c r="BH71" i="1"/>
  <c r="BH72" i="1"/>
  <c r="BH73" i="1"/>
  <c r="BI31" i="2"/>
  <c r="BH20" i="1"/>
  <c r="BI5" i="2"/>
  <c r="BQ5" i="2"/>
  <c r="I22" i="125"/>
  <c r="H104" i="124"/>
  <c r="BI72" i="2"/>
  <c r="BI58" i="2"/>
  <c r="BI73" i="2"/>
  <c r="BI80" i="2"/>
  <c r="BI66" i="2"/>
  <c r="BI81" i="2"/>
  <c r="BI67" i="2"/>
  <c r="BG36" i="2"/>
  <c r="BH10" i="2"/>
  <c r="BI10" i="2"/>
  <c r="BJ10" i="2" s="1"/>
  <c r="BK10" i="2" s="1"/>
  <c r="BL10" i="2" s="1"/>
  <c r="BM10" i="2" s="1"/>
  <c r="BG32" i="1"/>
  <c r="BG31" i="1"/>
  <c r="BG8" i="1"/>
  <c r="BG7" i="1"/>
  <c r="BG6" i="1"/>
  <c r="U6" i="25"/>
  <c r="BG5" i="1"/>
  <c r="U5" i="25"/>
  <c r="BG24" i="1"/>
  <c r="BG40" i="1"/>
  <c r="BG23" i="1"/>
  <c r="BG39" i="1"/>
  <c r="BG22" i="1"/>
  <c r="BH91" i="2" a="1"/>
  <c r="BH91" i="2"/>
  <c r="BH90" i="2" a="1"/>
  <c r="BH90" i="2"/>
  <c r="BH89" i="2" a="1"/>
  <c r="BH89" i="2"/>
  <c r="BH88" i="2" a="1"/>
  <c r="BH88" i="2"/>
  <c r="BG4" i="1"/>
  <c r="BH44" i="2"/>
  <c r="BH45" i="2"/>
  <c r="BH103" i="2"/>
  <c r="BH46" i="2"/>
  <c r="BH47" i="2"/>
  <c r="BH105" i="2"/>
  <c r="BH48" i="2"/>
  <c r="BH49" i="2"/>
  <c r="BH107" i="2"/>
  <c r="BH54" i="2"/>
  <c r="BH112" i="2"/>
  <c r="BG20" i="1"/>
  <c r="BG70" i="1"/>
  <c r="BG71" i="1"/>
  <c r="BG72" i="1"/>
  <c r="BG73" i="1"/>
  <c r="BG69" i="1"/>
  <c r="BG9" i="1"/>
  <c r="BG12" i="1"/>
  <c r="BG13" i="1"/>
  <c r="BG14" i="1"/>
  <c r="BG15" i="1"/>
  <c r="BG16" i="1"/>
  <c r="BH15" i="2"/>
  <c r="BH19" i="2"/>
  <c r="BH20" i="2"/>
  <c r="BH21" i="2"/>
  <c r="BH22" i="2"/>
  <c r="BH23" i="2"/>
  <c r="BH26" i="2"/>
  <c r="BH72" i="2"/>
  <c r="BH58" i="2"/>
  <c r="BH73" i="2"/>
  <c r="BH59" i="2"/>
  <c r="BH80" i="2"/>
  <c r="BH66" i="2"/>
  <c r="BH81" i="2"/>
  <c r="BH67" i="2"/>
  <c r="BG50" i="2"/>
  <c r="BG108" i="2"/>
  <c r="BF32" i="1"/>
  <c r="BF31" i="1"/>
  <c r="BF8" i="1"/>
  <c r="BF73" i="1"/>
  <c r="BF7" i="1"/>
  <c r="BF72" i="1"/>
  <c r="BF6" i="1"/>
  <c r="BF5" i="1"/>
  <c r="BF24" i="1"/>
  <c r="BF40" i="1"/>
  <c r="BF23" i="1"/>
  <c r="BF39" i="1"/>
  <c r="BF22" i="1"/>
  <c r="BG91" i="2" a="1"/>
  <c r="BG91" i="2"/>
  <c r="BG90" i="2" a="1"/>
  <c r="BG90" i="2"/>
  <c r="BG89" i="2" a="1"/>
  <c r="BG89" i="2"/>
  <c r="BG88" i="2" a="1"/>
  <c r="BG88" i="2"/>
  <c r="BF4" i="1"/>
  <c r="BG44" i="2"/>
  <c r="BG45" i="2"/>
  <c r="BG103" i="2"/>
  <c r="BG46" i="2"/>
  <c r="BG47" i="2"/>
  <c r="BG105" i="2"/>
  <c r="BG48" i="2"/>
  <c r="BG49" i="2"/>
  <c r="BG107" i="2"/>
  <c r="BF20" i="1"/>
  <c r="BG54" i="2"/>
  <c r="BG112" i="2"/>
  <c r="BE82" i="2"/>
  <c r="I22" i="123"/>
  <c r="H104" i="122"/>
  <c r="BF9" i="1"/>
  <c r="BF12" i="1"/>
  <c r="BF13" i="1"/>
  <c r="BF14" i="1"/>
  <c r="BF15" i="1"/>
  <c r="BF16" i="1"/>
  <c r="I22" i="121"/>
  <c r="H104" i="120"/>
  <c r="BG15" i="2"/>
  <c r="BG19" i="2"/>
  <c r="BG20" i="2"/>
  <c r="BG21" i="2"/>
  <c r="BG22" i="2"/>
  <c r="BG23" i="2"/>
  <c r="BG26" i="2"/>
  <c r="BG72" i="2"/>
  <c r="BG58" i="2"/>
  <c r="BG73" i="2"/>
  <c r="BG59" i="2"/>
  <c r="BG80" i="2"/>
  <c r="BG66" i="2"/>
  <c r="BG81" i="2"/>
  <c r="BG67" i="2"/>
  <c r="BF36" i="2"/>
  <c r="BF50" i="2"/>
  <c r="BF108" i="2"/>
  <c r="BF86" i="2" a="1"/>
  <c r="BF86" i="2"/>
  <c r="BE32" i="1"/>
  <c r="BE31" i="1"/>
  <c r="BF87" i="2" a="1"/>
  <c r="BF87" i="2"/>
  <c r="BE8" i="1"/>
  <c r="BE73" i="1"/>
  <c r="BE7" i="1"/>
  <c r="BE72" i="1"/>
  <c r="BE6" i="1"/>
  <c r="BE71" i="1"/>
  <c r="BE5" i="1"/>
  <c r="BE70" i="1"/>
  <c r="BE23" i="1"/>
  <c r="BE22" i="1"/>
  <c r="BF93" i="2" a="1"/>
  <c r="BF93" i="2"/>
  <c r="BF91" i="2" a="1"/>
  <c r="BF91" i="2"/>
  <c r="BF90" i="2" a="1"/>
  <c r="BF90" i="2"/>
  <c r="BF89" i="2" a="1"/>
  <c r="BF89" i="2"/>
  <c r="BF88" i="2" a="1"/>
  <c r="BF88" i="2"/>
  <c r="BE4" i="1"/>
  <c r="BE69" i="1"/>
  <c r="BF44" i="2"/>
  <c r="BF46" i="2"/>
  <c r="BF47" i="2"/>
  <c r="BF105" i="2"/>
  <c r="BF48" i="2"/>
  <c r="BF49" i="2"/>
  <c r="BF107" i="2"/>
  <c r="BF38" i="2"/>
  <c r="BE24" i="1"/>
  <c r="BE9" i="1"/>
  <c r="BE12" i="1"/>
  <c r="BE13" i="1"/>
  <c r="BE14" i="1"/>
  <c r="BE15" i="1"/>
  <c r="BE16" i="1"/>
  <c r="BF15" i="2"/>
  <c r="BF19" i="2"/>
  <c r="BF20" i="2"/>
  <c r="BF21" i="2"/>
  <c r="BF22" i="2"/>
  <c r="BF37" i="2"/>
  <c r="BF23" i="2"/>
  <c r="BF24" i="2"/>
  <c r="BF54" i="2"/>
  <c r="BF112" i="2"/>
  <c r="BF26" i="2"/>
  <c r="BF72" i="2"/>
  <c r="BF58" i="2"/>
  <c r="BF81" i="2"/>
  <c r="BE36" i="2"/>
  <c r="BE51" i="2"/>
  <c r="BE86" i="2" a="1"/>
  <c r="BE86" i="2"/>
  <c r="BD32" i="1"/>
  <c r="BD31" i="1"/>
  <c r="BE87" i="2" a="1"/>
  <c r="BE87" i="2"/>
  <c r="BD8" i="1"/>
  <c r="BD7" i="1"/>
  <c r="BD6" i="1"/>
  <c r="BD5" i="1"/>
  <c r="T5" i="25"/>
  <c r="BD24" i="1"/>
  <c r="BD23" i="1"/>
  <c r="BD22" i="1"/>
  <c r="BD21" i="1"/>
  <c r="BE93" i="2" a="1"/>
  <c r="BE93" i="2"/>
  <c r="BE92" i="2" a="1"/>
  <c r="BE92" i="2"/>
  <c r="BE91" i="2" a="1"/>
  <c r="BE91" i="2"/>
  <c r="BE90" i="2" a="1"/>
  <c r="BE90" i="2"/>
  <c r="BE89" i="2" a="1"/>
  <c r="BE89" i="2"/>
  <c r="BE88" i="2" a="1"/>
  <c r="BE88" i="2"/>
  <c r="BD4" i="1"/>
  <c r="T4" i="25"/>
  <c r="BE44" i="2"/>
  <c r="BE45" i="2"/>
  <c r="BE46" i="2"/>
  <c r="BE47" i="2"/>
  <c r="BE48" i="2"/>
  <c r="BE49" i="2"/>
  <c r="BE54" i="2"/>
  <c r="BD20" i="1"/>
  <c r="I22" i="118"/>
  <c r="F13" i="30"/>
  <c r="F12" i="30"/>
  <c r="F17" i="30"/>
  <c r="BH39" i="1"/>
  <c r="BH40" i="1"/>
  <c r="U24" i="25"/>
  <c r="U22" i="25"/>
  <c r="U23" i="25"/>
  <c r="U31" i="25"/>
  <c r="U32" i="25"/>
  <c r="U4" i="25"/>
  <c r="U7" i="25"/>
  <c r="U8" i="25"/>
  <c r="BH86" i="2" a="1"/>
  <c r="BH86" i="2"/>
  <c r="BI86" i="2" a="1"/>
  <c r="BI86" i="2"/>
  <c r="BI36" i="2"/>
  <c r="BH5" i="1"/>
  <c r="BI15" i="2"/>
  <c r="BI22" i="2"/>
  <c r="BI45" i="2"/>
  <c r="BH4" i="1"/>
  <c r="BI106" i="2"/>
  <c r="BI104" i="2"/>
  <c r="BH30" i="1"/>
  <c r="BH28" i="1"/>
  <c r="BI102" i="2"/>
  <c r="BH38" i="1"/>
  <c r="BI37" i="2"/>
  <c r="BI51" i="2"/>
  <c r="BI109" i="2"/>
  <c r="BH37" i="2"/>
  <c r="BH64" i="1"/>
  <c r="BH65" i="1"/>
  <c r="BH55" i="1"/>
  <c r="BH56" i="1"/>
  <c r="BH57" i="1"/>
  <c r="BH45" i="1"/>
  <c r="BH47" i="1"/>
  <c r="BO73" i="2"/>
  <c r="BN20" i="1"/>
  <c r="BI68" i="2"/>
  <c r="BI79" i="2"/>
  <c r="BI78" i="2"/>
  <c r="BI83" i="2"/>
  <c r="BI63" i="2"/>
  <c r="BI62" i="2"/>
  <c r="BI61" i="2"/>
  <c r="BI60" i="2"/>
  <c r="BI25" i="2"/>
  <c r="BI24" i="2"/>
  <c r="BI18" i="2"/>
  <c r="BG37" i="2"/>
  <c r="BH51" i="2"/>
  <c r="BH109" i="2"/>
  <c r="BH106" i="2"/>
  <c r="BH104" i="2"/>
  <c r="BG30" i="1"/>
  <c r="BG28" i="1"/>
  <c r="BH102" i="2"/>
  <c r="BN4" i="1"/>
  <c r="BQ4" i="2"/>
  <c r="BG38" i="1"/>
  <c r="BH36" i="2"/>
  <c r="BF70" i="1"/>
  <c r="BG47" i="1"/>
  <c r="BF71" i="1"/>
  <c r="BG45" i="1"/>
  <c r="BF69" i="1"/>
  <c r="BG64" i="1"/>
  <c r="BG65" i="1"/>
  <c r="BG55" i="1"/>
  <c r="BG56" i="1"/>
  <c r="BG57" i="1"/>
  <c r="T20" i="25"/>
  <c r="T22" i="25"/>
  <c r="T23" i="25"/>
  <c r="T24" i="25"/>
  <c r="T31" i="25"/>
  <c r="T32" i="25"/>
  <c r="BG17" i="1"/>
  <c r="BH82" i="2"/>
  <c r="BH79" i="2"/>
  <c r="BH78" i="2"/>
  <c r="BH83" i="2"/>
  <c r="BH63" i="2"/>
  <c r="BH62" i="2"/>
  <c r="BH61" i="2"/>
  <c r="BH60" i="2"/>
  <c r="BH25" i="2"/>
  <c r="BH24" i="2"/>
  <c r="BH18" i="2"/>
  <c r="BH27" i="2"/>
  <c r="BG86" i="2" a="1"/>
  <c r="BG86" i="2"/>
  <c r="BO82" i="2"/>
  <c r="BG106" i="2"/>
  <c r="BG104" i="2"/>
  <c r="BF30" i="1"/>
  <c r="BF47" i="1"/>
  <c r="BF28" i="1"/>
  <c r="BG102" i="2"/>
  <c r="BD82" i="2"/>
  <c r="BD83" i="2"/>
  <c r="BC21" i="1"/>
  <c r="BD54" i="2"/>
  <c r="BD68" i="2"/>
  <c r="BD41" i="2"/>
  <c r="BC82" i="2"/>
  <c r="BC83" i="2"/>
  <c r="BC54" i="2"/>
  <c r="BB21" i="1"/>
  <c r="BC41" i="2"/>
  <c r="BC68" i="2"/>
  <c r="BB82" i="2"/>
  <c r="BB83" i="2"/>
  <c r="BB54" i="2"/>
  <c r="BB41" i="2"/>
  <c r="BA21" i="1"/>
  <c r="BB68" i="2"/>
  <c r="BA54" i="2"/>
  <c r="BA82" i="2"/>
  <c r="BA83" i="2"/>
  <c r="BA68" i="2"/>
  <c r="AZ21" i="1"/>
  <c r="BA41" i="2"/>
  <c r="AZ82" i="2"/>
  <c r="AZ83" i="2"/>
  <c r="AZ54" i="2"/>
  <c r="AZ68" i="2"/>
  <c r="AZ41" i="2"/>
  <c r="AY21" i="1"/>
  <c r="AY54" i="2"/>
  <c r="AY82" i="2"/>
  <c r="AY83" i="2"/>
  <c r="AY68" i="2"/>
  <c r="AX21" i="1"/>
  <c r="AY41" i="2"/>
  <c r="AX54" i="2"/>
  <c r="AX82" i="2"/>
  <c r="AX83" i="2"/>
  <c r="AX68" i="2"/>
  <c r="AW21" i="1"/>
  <c r="AX41" i="2"/>
  <c r="AW54" i="2"/>
  <c r="AW82" i="2"/>
  <c r="AW83" i="2"/>
  <c r="AW68" i="2"/>
  <c r="AV21" i="1"/>
  <c r="AW41" i="2"/>
  <c r="AV54" i="2"/>
  <c r="AV82" i="2"/>
  <c r="AV83" i="2"/>
  <c r="AV41" i="2"/>
  <c r="AV68" i="2"/>
  <c r="AU21" i="1"/>
  <c r="AU82" i="2"/>
  <c r="AU83" i="2"/>
  <c r="AU54" i="2"/>
  <c r="AU41" i="2"/>
  <c r="AT21" i="1"/>
  <c r="AU68" i="2"/>
  <c r="AT54" i="2"/>
  <c r="AT82" i="2"/>
  <c r="AT83" i="2"/>
  <c r="AT68" i="2"/>
  <c r="AS21" i="1"/>
  <c r="AT41" i="2"/>
  <c r="AS54" i="2"/>
  <c r="AS41" i="2"/>
  <c r="AR21" i="1"/>
  <c r="AS82" i="2"/>
  <c r="AS83" i="2"/>
  <c r="AS68" i="2"/>
  <c r="AR82" i="2"/>
  <c r="AR54" i="2"/>
  <c r="AR68" i="2"/>
  <c r="AQ21" i="1"/>
  <c r="AR41" i="2"/>
  <c r="BF38" i="1"/>
  <c r="BG51" i="2"/>
  <c r="BE40" i="1"/>
  <c r="BE39" i="1"/>
  <c r="T6" i="25"/>
  <c r="T7" i="25"/>
  <c r="T8" i="25"/>
  <c r="BF64" i="1"/>
  <c r="BF65" i="1"/>
  <c r="BF55" i="1"/>
  <c r="BF56" i="1"/>
  <c r="BF57" i="1"/>
  <c r="BF17" i="1"/>
  <c r="BG82" i="2"/>
  <c r="BG79" i="2"/>
  <c r="BG78" i="2"/>
  <c r="BG83" i="2"/>
  <c r="BG63" i="2"/>
  <c r="BG62" i="2"/>
  <c r="BG61" i="2"/>
  <c r="BG60" i="2"/>
  <c r="BG25" i="2"/>
  <c r="BG24" i="2"/>
  <c r="BG18" i="2"/>
  <c r="BG27" i="2"/>
  <c r="BF51" i="2"/>
  <c r="BF109" i="2"/>
  <c r="BE21" i="1"/>
  <c r="BO80" i="2"/>
  <c r="BN24" i="1"/>
  <c r="BO66" i="2"/>
  <c r="BF106" i="2"/>
  <c r="BE29" i="1"/>
  <c r="BF104" i="2"/>
  <c r="BE30" i="1"/>
  <c r="BF102" i="2"/>
  <c r="BE38" i="1"/>
  <c r="BE46" i="1"/>
  <c r="BE47" i="1"/>
  <c r="BE64" i="1"/>
  <c r="BE65" i="1"/>
  <c r="BE54" i="1"/>
  <c r="BE55" i="1"/>
  <c r="BE56" i="1"/>
  <c r="BE57" i="1"/>
  <c r="BE17" i="1"/>
  <c r="BF67" i="2"/>
  <c r="BF82" i="2"/>
  <c r="BP82" i="2"/>
  <c r="BP40" i="2"/>
  <c r="BR40" i="2"/>
  <c r="BF80" i="2"/>
  <c r="BF66" i="2"/>
  <c r="BF31" i="2"/>
  <c r="BP38" i="2"/>
  <c r="BF79" i="2"/>
  <c r="BF78" i="2"/>
  <c r="BF63" i="2"/>
  <c r="BF62" i="2"/>
  <c r="BF61" i="2"/>
  <c r="BF60" i="2"/>
  <c r="BF25" i="2"/>
  <c r="BF18" i="2"/>
  <c r="BF27" i="2"/>
  <c r="BD25" i="1"/>
  <c r="BD53" i="1"/>
  <c r="BE112" i="2"/>
  <c r="BE68" i="2"/>
  <c r="BE107" i="2"/>
  <c r="BE63" i="2"/>
  <c r="BE106" i="2"/>
  <c r="BE62" i="2"/>
  <c r="BE105" i="2"/>
  <c r="BE61" i="2"/>
  <c r="BE104" i="2"/>
  <c r="BE60" i="2"/>
  <c r="BD30" i="1"/>
  <c r="BE103" i="2"/>
  <c r="BE59" i="2"/>
  <c r="BD28" i="1"/>
  <c r="BE102" i="2"/>
  <c r="BE58" i="2"/>
  <c r="BD9" i="1"/>
  <c r="BD12" i="1"/>
  <c r="BD54" i="1"/>
  <c r="BD38" i="1"/>
  <c r="BD55" i="1"/>
  <c r="BD39" i="1"/>
  <c r="BD56" i="1"/>
  <c r="BD40" i="1"/>
  <c r="BD57" i="1"/>
  <c r="BD13" i="1"/>
  <c r="BD14" i="1"/>
  <c r="BD15" i="1"/>
  <c r="BD16" i="1"/>
  <c r="BD64" i="1"/>
  <c r="BD72" i="1"/>
  <c r="BD65" i="1"/>
  <c r="BD73" i="1"/>
  <c r="BE109" i="2"/>
  <c r="BE65" i="2"/>
  <c r="BE41" i="2"/>
  <c r="BE78" i="2"/>
  <c r="BE50" i="2"/>
  <c r="U30" i="25"/>
  <c r="U47" i="25" s="1"/>
  <c r="U9" i="25"/>
  <c r="U39" i="25"/>
  <c r="U38" i="25"/>
  <c r="U40" i="25"/>
  <c r="BH92" i="2" a="1"/>
  <c r="BH92" i="2"/>
  <c r="BI92" i="2" a="1"/>
  <c r="BI92" i="2"/>
  <c r="BI93" i="2" a="1"/>
  <c r="BI93" i="2"/>
  <c r="BH36" i="1"/>
  <c r="BH69" i="1"/>
  <c r="BH9" i="1"/>
  <c r="BI103" i="2"/>
  <c r="BI59" i="2"/>
  <c r="BI19" i="2"/>
  <c r="BI20" i="2"/>
  <c r="BI21" i="2"/>
  <c r="BI23" i="2"/>
  <c r="BI26" i="2"/>
  <c r="BH70" i="1"/>
  <c r="BH13" i="1"/>
  <c r="BH21" i="1"/>
  <c r="BI41" i="2"/>
  <c r="BI50" i="2"/>
  <c r="BH63" i="1"/>
  <c r="BI64" i="2"/>
  <c r="BI65" i="2"/>
  <c r="BH93" i="2" a="1"/>
  <c r="BH93" i="2"/>
  <c r="BH41" i="2"/>
  <c r="BG21" i="1"/>
  <c r="BH50" i="2"/>
  <c r="BO4" i="1"/>
  <c r="BG36" i="1"/>
  <c r="BF21" i="1"/>
  <c r="U21" i="25"/>
  <c r="BG41" i="2"/>
  <c r="BG63" i="1"/>
  <c r="BG54" i="1"/>
  <c r="T28" i="25"/>
  <c r="T45" i="25" s="1"/>
  <c r="T30" i="25"/>
  <c r="T47" i="25" s="1"/>
  <c r="T40" i="25"/>
  <c r="T39" i="25"/>
  <c r="BH64" i="2"/>
  <c r="BH65" i="2"/>
  <c r="BH68" i="2"/>
  <c r="BG92" i="2" a="1"/>
  <c r="BG92" i="2"/>
  <c r="BG93" i="2" a="1"/>
  <c r="BG93" i="2"/>
  <c r="BG109" i="2"/>
  <c r="BF29" i="1"/>
  <c r="BG55" i="2"/>
  <c r="BG113" i="2"/>
  <c r="P21" i="25"/>
  <c r="AQ25" i="1"/>
  <c r="BB54" i="1"/>
  <c r="BB58" i="1"/>
  <c r="BA54" i="1"/>
  <c r="AR112" i="2"/>
  <c r="AQ29" i="1"/>
  <c r="AR55" i="2"/>
  <c r="AS96" i="2" a="1"/>
  <c r="AS96" i="2"/>
  <c r="AT96" i="2" a="1"/>
  <c r="AT96" i="2"/>
  <c r="AR83" i="2"/>
  <c r="AU96" i="2" a="1"/>
  <c r="AU96" i="2"/>
  <c r="AR25" i="1"/>
  <c r="BC54" i="1"/>
  <c r="BC58" i="1"/>
  <c r="AS112" i="2"/>
  <c r="AR29" i="1"/>
  <c r="AS55" i="2"/>
  <c r="AS25" i="1"/>
  <c r="Q21" i="25"/>
  <c r="AT112" i="2"/>
  <c r="AS29" i="1"/>
  <c r="AT55" i="2"/>
  <c r="AT25" i="1"/>
  <c r="AT29" i="1"/>
  <c r="AU55" i="2"/>
  <c r="AU112" i="2"/>
  <c r="AU25" i="1"/>
  <c r="AV112" i="2"/>
  <c r="AU29" i="1"/>
  <c r="AV55" i="2"/>
  <c r="AV25" i="1"/>
  <c r="R21" i="25"/>
  <c r="AW112" i="2"/>
  <c r="AW55" i="2"/>
  <c r="AV29" i="1"/>
  <c r="AW25" i="1"/>
  <c r="AX112" i="2"/>
  <c r="AW29" i="1"/>
  <c r="AX55" i="2"/>
  <c r="AX25" i="1"/>
  <c r="AY112" i="2"/>
  <c r="AX29" i="1"/>
  <c r="AY55" i="2"/>
  <c r="AY25" i="1"/>
  <c r="S21" i="25"/>
  <c r="AZ112" i="2"/>
  <c r="AZ55" i="2"/>
  <c r="AY29" i="1"/>
  <c r="AZ25" i="1"/>
  <c r="BA112" i="2"/>
  <c r="BA55" i="2"/>
  <c r="AZ29" i="1"/>
  <c r="BA25" i="1"/>
  <c r="BA29" i="1"/>
  <c r="BB55" i="2"/>
  <c r="BB112" i="2"/>
  <c r="BB25" i="1"/>
  <c r="T21" i="25"/>
  <c r="T25" i="25"/>
  <c r="BC112" i="2"/>
  <c r="BB29" i="1"/>
  <c r="BC55" i="2"/>
  <c r="BD112" i="2"/>
  <c r="BC29" i="1"/>
  <c r="BD55" i="2"/>
  <c r="BC25" i="1"/>
  <c r="BC37" i="1"/>
  <c r="BF36" i="1"/>
  <c r="BF33" i="1"/>
  <c r="BF45" i="1"/>
  <c r="T36" i="25"/>
  <c r="T38" i="25"/>
  <c r="T9" i="25"/>
  <c r="BF63" i="1"/>
  <c r="BN40" i="1"/>
  <c r="BF54" i="1"/>
  <c r="BG69" i="2"/>
  <c r="BG64" i="2"/>
  <c r="BG65" i="2"/>
  <c r="BG68" i="2"/>
  <c r="BF92" i="2" a="1"/>
  <c r="BF92" i="2"/>
  <c r="BF45" i="2"/>
  <c r="BE20" i="1"/>
  <c r="U20" i="25"/>
  <c r="BE37" i="1"/>
  <c r="BE63" i="1"/>
  <c r="BF64" i="2"/>
  <c r="BF65" i="2"/>
  <c r="BR38" i="2"/>
  <c r="BP66" i="2"/>
  <c r="BR66" i="2"/>
  <c r="BF73" i="2"/>
  <c r="BP31" i="2"/>
  <c r="BR31" i="2"/>
  <c r="BF41" i="2"/>
  <c r="BF68" i="2"/>
  <c r="BE108" i="2"/>
  <c r="BD29" i="1"/>
  <c r="T29" i="25"/>
  <c r="T46" i="25" s="1"/>
  <c r="BE55" i="2"/>
  <c r="BE64" i="2"/>
  <c r="BE83" i="2"/>
  <c r="BE69" i="2"/>
  <c r="BD17" i="1"/>
  <c r="BD33" i="1"/>
  <c r="BD45" i="1"/>
  <c r="BD61" i="1"/>
  <c r="BD36" i="1"/>
  <c r="BD47" i="1"/>
  <c r="BD63" i="1"/>
  <c r="BD58" i="1"/>
  <c r="BD41" i="1"/>
  <c r="BD42" i="1"/>
  <c r="U25" i="25"/>
  <c r="U16" i="25"/>
  <c r="U15" i="25"/>
  <c r="U14" i="25"/>
  <c r="U13" i="25"/>
  <c r="U12" i="25"/>
  <c r="U17" i="25"/>
  <c r="BI87" i="2" a="1"/>
  <c r="BI87" i="2"/>
  <c r="BI108" i="2"/>
  <c r="BH29" i="1"/>
  <c r="BI55" i="2"/>
  <c r="BH37" i="1"/>
  <c r="BH25" i="1"/>
  <c r="BI27" i="2"/>
  <c r="BH12" i="1"/>
  <c r="BH14" i="1"/>
  <c r="BH15" i="1"/>
  <c r="BH16" i="1"/>
  <c r="BH74" i="1"/>
  <c r="BH54" i="1"/>
  <c r="BH53" i="1"/>
  <c r="BH58" i="1"/>
  <c r="BH87" i="2" a="1"/>
  <c r="BH87" i="2"/>
  <c r="BF25" i="1"/>
  <c r="BH108" i="2"/>
  <c r="BG29" i="1"/>
  <c r="U29" i="25"/>
  <c r="U46" i="25" s="1"/>
  <c r="BH55" i="2"/>
  <c r="BG37" i="1"/>
  <c r="BG25" i="1"/>
  <c r="BG62" i="1"/>
  <c r="BG53" i="1"/>
  <c r="BG58" i="1"/>
  <c r="BG87" i="2" a="1"/>
  <c r="BG87" i="2"/>
  <c r="BF50" i="1"/>
  <c r="BF41" i="1"/>
  <c r="BF42" i="1"/>
  <c r="BD113" i="2"/>
  <c r="BD69" i="2"/>
  <c r="BC46" i="1"/>
  <c r="BC33" i="1"/>
  <c r="BC113" i="2"/>
  <c r="BC69" i="2"/>
  <c r="BB46" i="1"/>
  <c r="BB33" i="1"/>
  <c r="BB50" i="1"/>
  <c r="BB37" i="1"/>
  <c r="BB41" i="1"/>
  <c r="BB42" i="1"/>
  <c r="BB113" i="2"/>
  <c r="BB69" i="2"/>
  <c r="BA46" i="1"/>
  <c r="BA33" i="1"/>
  <c r="BA50" i="1"/>
  <c r="BA37" i="1"/>
  <c r="BA41" i="1"/>
  <c r="BA42" i="1"/>
  <c r="AZ46" i="1"/>
  <c r="AZ33" i="1"/>
  <c r="AZ50" i="1"/>
  <c r="AZ37" i="1"/>
  <c r="BA113" i="2"/>
  <c r="BA69" i="2"/>
  <c r="AZ41" i="1"/>
  <c r="AZ42" i="1"/>
  <c r="AY46" i="1"/>
  <c r="AY33" i="1"/>
  <c r="AY50" i="1"/>
  <c r="S29" i="25"/>
  <c r="AY37" i="1"/>
  <c r="AZ113" i="2"/>
  <c r="AZ69" i="2"/>
  <c r="S37" i="25"/>
  <c r="S25" i="25"/>
  <c r="AY41" i="1"/>
  <c r="AY42" i="1"/>
  <c r="AY113" i="2"/>
  <c r="AY69" i="2"/>
  <c r="AX33" i="1"/>
  <c r="AX50" i="1"/>
  <c r="AX46" i="1"/>
  <c r="AX37" i="1"/>
  <c r="AX41" i="1"/>
  <c r="AX42" i="1"/>
  <c r="AX113" i="2"/>
  <c r="AX69" i="2"/>
  <c r="AW46" i="1"/>
  <c r="AW33" i="1"/>
  <c r="AW50" i="1"/>
  <c r="AW37" i="1"/>
  <c r="AW41" i="1"/>
  <c r="AW42" i="1"/>
  <c r="AV33" i="1"/>
  <c r="AV50" i="1"/>
  <c r="AV46" i="1"/>
  <c r="R29" i="25"/>
  <c r="AV37" i="1"/>
  <c r="AW113" i="2"/>
  <c r="AW69" i="2"/>
  <c r="R25" i="25"/>
  <c r="R37" i="25"/>
  <c r="AV41" i="1"/>
  <c r="AV42" i="1"/>
  <c r="AV113" i="2"/>
  <c r="AV69" i="2"/>
  <c r="AU33" i="1"/>
  <c r="AU50" i="1"/>
  <c r="AU46" i="1"/>
  <c r="AU37" i="1"/>
  <c r="AU41" i="1"/>
  <c r="AU42" i="1"/>
  <c r="AU113" i="2"/>
  <c r="AU69" i="2"/>
  <c r="AT33" i="1"/>
  <c r="AT50" i="1"/>
  <c r="AT46" i="1"/>
  <c r="AT37" i="1"/>
  <c r="AT41" i="1"/>
  <c r="AT42" i="1"/>
  <c r="AT113" i="2"/>
  <c r="AT69" i="2"/>
  <c r="AS46" i="1"/>
  <c r="AS33" i="1"/>
  <c r="AS50" i="1"/>
  <c r="Q29" i="25"/>
  <c r="AS37" i="1"/>
  <c r="Q25" i="25"/>
  <c r="Q37" i="25"/>
  <c r="AS41" i="1"/>
  <c r="AS42" i="1"/>
  <c r="AS113" i="2"/>
  <c r="AS69" i="2"/>
  <c r="AR33" i="1"/>
  <c r="AR50" i="1"/>
  <c r="AR46" i="1"/>
  <c r="BC62" i="1"/>
  <c r="AR37" i="1"/>
  <c r="AR41" i="1"/>
  <c r="AR42" i="1"/>
  <c r="AT97" i="2" a="1"/>
  <c r="AT97" i="2"/>
  <c r="AS97" i="2" a="1"/>
  <c r="AS97" i="2"/>
  <c r="AR97" i="2" a="1"/>
  <c r="AR97" i="2"/>
  <c r="AU97" i="2" a="1"/>
  <c r="AU97" i="2"/>
  <c r="AV97" i="2" a="1"/>
  <c r="AV97" i="2"/>
  <c r="AX97" i="2" a="1"/>
  <c r="AX97" i="2"/>
  <c r="AW97" i="2" a="1"/>
  <c r="AW97" i="2"/>
  <c r="AY97" i="2" a="1"/>
  <c r="AY97" i="2"/>
  <c r="AZ97" i="2" a="1"/>
  <c r="AZ97" i="2"/>
  <c r="BA97" i="2" a="1"/>
  <c r="BA97" i="2"/>
  <c r="BB97" i="2" a="1"/>
  <c r="BB97" i="2"/>
  <c r="BC97" i="2" a="1"/>
  <c r="BC97" i="2"/>
  <c r="BD97" i="2" a="1"/>
  <c r="BD97" i="2"/>
  <c r="BE97" i="2" a="1"/>
  <c r="BE97" i="2"/>
  <c r="AR113" i="2"/>
  <c r="AR69" i="2"/>
  <c r="AQ46" i="1"/>
  <c r="AQ33" i="1"/>
  <c r="AQ50" i="1"/>
  <c r="BB62" i="1"/>
  <c r="AQ37" i="1"/>
  <c r="AQ41" i="1"/>
  <c r="AQ42" i="1"/>
  <c r="P25" i="25"/>
  <c r="BF46" i="1"/>
  <c r="BF37" i="1"/>
  <c r="T37" i="25"/>
  <c r="T33" i="25"/>
  <c r="T50" i="25" s="1"/>
  <c r="T12" i="25"/>
  <c r="T13" i="25"/>
  <c r="T14" i="25"/>
  <c r="T16" i="25"/>
  <c r="T15" i="25"/>
  <c r="BF62" i="1"/>
  <c r="BF53" i="1"/>
  <c r="BF58" i="1"/>
  <c r="BF97" i="2" a="1"/>
  <c r="BF97" i="2"/>
  <c r="BE25" i="1"/>
  <c r="BE53" i="1"/>
  <c r="BF103" i="2"/>
  <c r="BF55" i="2"/>
  <c r="BF113" i="2"/>
  <c r="BE28" i="1"/>
  <c r="U28" i="25"/>
  <c r="U45" i="25" s="1"/>
  <c r="BE62" i="1"/>
  <c r="BF59" i="2"/>
  <c r="BF83" i="2"/>
  <c r="BD71" i="1"/>
  <c r="BD69" i="1"/>
  <c r="BD50" i="1"/>
  <c r="BE113" i="2"/>
  <c r="BD46" i="1"/>
  <c r="BD62" i="1"/>
  <c r="BD37" i="1"/>
  <c r="U33" i="25"/>
  <c r="U50" i="25" s="1"/>
  <c r="U36" i="25"/>
  <c r="U37" i="25"/>
  <c r="U41" i="25"/>
  <c r="U42" i="25" s="1"/>
  <c r="BI97" i="2" a="1"/>
  <c r="BI97" i="2"/>
  <c r="BH17" i="1"/>
  <c r="BI113" i="2"/>
  <c r="BI69" i="2"/>
  <c r="BH46" i="1"/>
  <c r="BH33" i="1"/>
  <c r="BH62" i="1"/>
  <c r="BH61" i="1"/>
  <c r="BH66" i="1"/>
  <c r="BH97" i="2" a="1"/>
  <c r="BH97" i="2"/>
  <c r="BH113" i="2"/>
  <c r="BH69" i="2"/>
  <c r="BG46" i="1"/>
  <c r="BG33" i="1"/>
  <c r="BG61" i="1"/>
  <c r="BG97" i="2" a="1"/>
  <c r="BG97" i="2"/>
  <c r="BB70" i="1"/>
  <c r="BC70" i="1"/>
  <c r="BC74" i="1"/>
  <c r="BC66" i="1"/>
  <c r="Q46" i="25"/>
  <c r="Q33" i="25"/>
  <c r="R33" i="25"/>
  <c r="R46" i="25"/>
  <c r="S46" i="25"/>
  <c r="S33" i="25"/>
  <c r="BC50" i="1"/>
  <c r="BC41" i="1"/>
  <c r="BC42" i="1"/>
  <c r="T17" i="25"/>
  <c r="T41" i="25"/>
  <c r="T42" i="25" s="1"/>
  <c r="BF61" i="1"/>
  <c r="BF74" i="1"/>
  <c r="BF66" i="1"/>
  <c r="BE33" i="1"/>
  <c r="BE50" i="1"/>
  <c r="BE45" i="1"/>
  <c r="BE61" i="1"/>
  <c r="BE36" i="1"/>
  <c r="BE58" i="1"/>
  <c r="BE41" i="1"/>
  <c r="BE42" i="1"/>
  <c r="BF69" i="2"/>
  <c r="BD70" i="1"/>
  <c r="BD66" i="1"/>
  <c r="BD74" i="1"/>
  <c r="BH50" i="1"/>
  <c r="BH41" i="1"/>
  <c r="BH42" i="1"/>
  <c r="BG50" i="1"/>
  <c r="BG41" i="1"/>
  <c r="BG42" i="1"/>
  <c r="BG74" i="1"/>
  <c r="BG66" i="1"/>
  <c r="S50" i="25"/>
  <c r="S41" i="25"/>
  <c r="S42" i="25" s="1"/>
  <c r="R50" i="25"/>
  <c r="R41" i="25"/>
  <c r="R42" i="25"/>
  <c r="Q50" i="25"/>
  <c r="Q41" i="25"/>
  <c r="Q42" i="25"/>
  <c r="BE66" i="1"/>
  <c r="BE74" i="1"/>
  <c r="BM69" i="1" l="1"/>
  <c r="BM9" i="1"/>
  <c r="BM70" i="1"/>
  <c r="BM13" i="1"/>
  <c r="BM71" i="1"/>
  <c r="BM14" i="1"/>
  <c r="BM72" i="1"/>
  <c r="BM15" i="1"/>
  <c r="BM73" i="1"/>
  <c r="BM16" i="1"/>
  <c r="BM36" i="1"/>
  <c r="BM25" i="1"/>
  <c r="BM33" i="1"/>
  <c r="BN15" i="2"/>
  <c r="BN19" i="2"/>
  <c r="BN20" i="2"/>
  <c r="BN21" i="2"/>
  <c r="BN22" i="2"/>
  <c r="BN23" i="2"/>
  <c r="BN26" i="2"/>
  <c r="BN72" i="2"/>
  <c r="BN58" i="2"/>
  <c r="BN41" i="2"/>
  <c r="BN73" i="2"/>
  <c r="BN59" i="2"/>
  <c r="BN78" i="2"/>
  <c r="BN64" i="2"/>
  <c r="BN80" i="2"/>
  <c r="BN66" i="2"/>
  <c r="BN81" i="2"/>
  <c r="BN67" i="2"/>
  <c r="BM36" i="2"/>
  <c r="AO28" i="1"/>
  <c r="AP31" i="1"/>
  <c r="AP30" i="1"/>
  <c r="AP29" i="1"/>
  <c r="AP32" i="1"/>
  <c r="AP28" i="1"/>
  <c r="BL32" i="1"/>
  <c r="BL31" i="1"/>
  <c r="BL8" i="1"/>
  <c r="BL7" i="1"/>
  <c r="BL6" i="1"/>
  <c r="BM47" i="1" s="1"/>
  <c r="BL5" i="1"/>
  <c r="BM46" i="1" s="1"/>
  <c r="BL24" i="1"/>
  <c r="BL40" i="1" s="1"/>
  <c r="BL23" i="1"/>
  <c r="BL39" i="1" s="1"/>
  <c r="BL22" i="1"/>
  <c r="BM91" i="2" a="1"/>
  <c r="BM91" i="2" s="1"/>
  <c r="BM90" i="2" a="1"/>
  <c r="BM90" i="2" s="1"/>
  <c r="BM89" i="2" a="1"/>
  <c r="BM89" i="2" s="1"/>
  <c r="BM88" i="2" a="1"/>
  <c r="BM88" i="2" s="1"/>
  <c r="BL4" i="1"/>
  <c r="BM45" i="1" s="1"/>
  <c r="BM44" i="2"/>
  <c r="BM45" i="2"/>
  <c r="BM103" i="2" s="1"/>
  <c r="BM46" i="2"/>
  <c r="BM47" i="2"/>
  <c r="BM105" i="2" s="1"/>
  <c r="BM48" i="2"/>
  <c r="BM49" i="2"/>
  <c r="BM107" i="2" s="1"/>
  <c r="BM54" i="2"/>
  <c r="BM112" i="2" s="1"/>
  <c r="BL20" i="1"/>
  <c r="I22" i="135"/>
  <c r="H104" i="134"/>
  <c r="BN69" i="1"/>
  <c r="BL72" i="1"/>
  <c r="BL73" i="1"/>
  <c r="BN72" i="1"/>
  <c r="BN73" i="1"/>
  <c r="BN71" i="1"/>
  <c r="BL70" i="1"/>
  <c r="BL71" i="1"/>
  <c r="BL69" i="1"/>
  <c r="BL9" i="1"/>
  <c r="BL74" i="1" s="1"/>
  <c r="BL13" i="1"/>
  <c r="BL14" i="1"/>
  <c r="BL15" i="1"/>
  <c r="BL16" i="1"/>
  <c r="I22" i="133"/>
  <c r="H104" i="132"/>
  <c r="BM15" i="2"/>
  <c r="BM19" i="2"/>
  <c r="BM20" i="2"/>
  <c r="BM21" i="2"/>
  <c r="BM22" i="2"/>
  <c r="BM37" i="2"/>
  <c r="BM23" i="2"/>
  <c r="BM26" i="2"/>
  <c r="BM72" i="2"/>
  <c r="BM58" i="2"/>
  <c r="BM41" i="2"/>
  <c r="BM73" i="2"/>
  <c r="BM59" i="2"/>
  <c r="BM80" i="2"/>
  <c r="BM66" i="2"/>
  <c r="BM81" i="2"/>
  <c r="BM67" i="2"/>
  <c r="BL36" i="2"/>
  <c r="BL50" i="2" s="1"/>
  <c r="BL108" i="2" s="1"/>
  <c r="AO45" i="1"/>
  <c r="AO36" i="1"/>
  <c r="AO24" i="1"/>
  <c r="AZ57" i="1" s="1"/>
  <c r="AO21" i="1"/>
  <c r="BK32" i="1"/>
  <c r="W32" i="25" s="1"/>
  <c r="BK31" i="1"/>
  <c r="W31" i="25" s="1"/>
  <c r="BK8" i="1"/>
  <c r="BK73" i="1" s="1"/>
  <c r="BK7" i="1"/>
  <c r="BK72" i="1" s="1"/>
  <c r="BK6" i="1"/>
  <c r="BK5" i="1"/>
  <c r="BK24" i="1"/>
  <c r="W24" i="25" s="1"/>
  <c r="BK23" i="1"/>
  <c r="W23" i="25" s="1"/>
  <c r="BK22" i="1"/>
  <c r="W22" i="25" s="1"/>
  <c r="BL91" i="2" a="1"/>
  <c r="BL91" i="2" s="1"/>
  <c r="BL90" i="2" a="1"/>
  <c r="BL90" i="2" s="1"/>
  <c r="BL89" i="2" a="1"/>
  <c r="BL89" i="2" s="1"/>
  <c r="BL88" i="2" a="1"/>
  <c r="BL88" i="2" s="1"/>
  <c r="BK4" i="1"/>
  <c r="BL44" i="2"/>
  <c r="BL45" i="2"/>
  <c r="BL103" i="2" s="1"/>
  <c r="BL46" i="2"/>
  <c r="BL47" i="2"/>
  <c r="BL105" i="2" s="1"/>
  <c r="BL48" i="2"/>
  <c r="BL49" i="2"/>
  <c r="BL107" i="2" s="1"/>
  <c r="BK20" i="1"/>
  <c r="W20" i="25" s="1"/>
  <c r="BL54" i="2"/>
  <c r="BL112" i="2" s="1"/>
  <c r="BK70" i="1"/>
  <c r="BK71" i="1"/>
  <c r="BK69" i="1"/>
  <c r="BK9" i="1"/>
  <c r="BK74" i="1" s="1"/>
  <c r="BK13" i="1"/>
  <c r="BK14" i="1"/>
  <c r="BK15" i="1"/>
  <c r="BK16" i="1"/>
  <c r="BL15" i="2"/>
  <c r="BL19" i="2"/>
  <c r="BL20" i="2"/>
  <c r="BL21" i="2"/>
  <c r="BL22" i="2"/>
  <c r="BL37" i="2"/>
  <c r="BL23" i="2"/>
  <c r="BL26" i="2"/>
  <c r="BL72" i="2"/>
  <c r="BL58" i="2"/>
  <c r="BL41" i="2"/>
  <c r="BL73" i="2"/>
  <c r="BL59" i="2"/>
  <c r="BL80" i="2"/>
  <c r="BL66" i="2"/>
  <c r="BL81" i="2"/>
  <c r="BL67" i="2"/>
  <c r="BK36" i="2"/>
  <c r="BK50" i="2" s="1"/>
  <c r="BK108" i="2" s="1"/>
  <c r="BJ37" i="2"/>
  <c r="BJ79" i="2" s="1"/>
  <c r="AO32" i="1"/>
  <c r="AO40" i="1" s="1"/>
  <c r="AO30" i="1"/>
  <c r="AO31" i="1"/>
  <c r="AO23" i="1"/>
  <c r="AO39" i="1" s="1"/>
  <c r="AO22" i="1"/>
  <c r="BK86" i="2" a="1"/>
  <c r="BK86" i="2" s="1"/>
  <c r="BJ32" i="1"/>
  <c r="BJ31" i="1"/>
  <c r="BK87" i="2" a="1"/>
  <c r="BK87" i="2" s="1"/>
  <c r="BJ8" i="1"/>
  <c r="V8" i="25" s="1"/>
  <c r="G8" i="30" s="1"/>
  <c r="H8" i="30" s="1"/>
  <c r="BJ7" i="1"/>
  <c r="V7" i="25" s="1"/>
  <c r="G7" i="30" s="1"/>
  <c r="G15" i="30" s="1"/>
  <c r="BJ6" i="1"/>
  <c r="V6" i="25" s="1"/>
  <c r="G6" i="30" s="1"/>
  <c r="BJ5" i="1"/>
  <c r="V5" i="25" s="1"/>
  <c r="G5" i="30" s="1"/>
  <c r="BJ24" i="1"/>
  <c r="BJ40" i="1" s="1"/>
  <c r="BJ23" i="1"/>
  <c r="BJ39" i="1" s="1"/>
  <c r="BJ22" i="1"/>
  <c r="BK93" i="2" a="1"/>
  <c r="BK93" i="2" s="1"/>
  <c r="BK91" i="2" a="1"/>
  <c r="BK91" i="2" s="1"/>
  <c r="BK90" i="2" a="1"/>
  <c r="BK90" i="2" s="1"/>
  <c r="BK89" i="2" a="1"/>
  <c r="BK89" i="2" s="1"/>
  <c r="BK88" i="2" a="1"/>
  <c r="BK88" i="2" s="1"/>
  <c r="BJ4" i="1"/>
  <c r="V4" i="25" s="1"/>
  <c r="G4" i="30" s="1"/>
  <c r="BK44" i="2"/>
  <c r="BK45" i="2"/>
  <c r="BK103" i="2" s="1"/>
  <c r="BK46" i="2"/>
  <c r="BK47" i="2"/>
  <c r="BK105" i="2" s="1"/>
  <c r="BK48" i="2"/>
  <c r="BK49" i="2"/>
  <c r="BK107" i="2" s="1"/>
  <c r="BK54" i="2"/>
  <c r="BK112" i="2" s="1"/>
  <c r="BJ20" i="1"/>
  <c r="I22" i="131"/>
  <c r="H104" i="130"/>
  <c r="BJ70" i="1"/>
  <c r="BJ71" i="1"/>
  <c r="BJ69" i="1"/>
  <c r="BJ9" i="1"/>
  <c r="BJ13" i="1"/>
  <c r="BJ14" i="1"/>
  <c r="BJ15" i="1"/>
  <c r="BJ16" i="1"/>
  <c r="I22" i="129"/>
  <c r="G104" i="128"/>
  <c r="H104" i="128" s="1"/>
  <c r="H2" i="128"/>
  <c r="BK15" i="2"/>
  <c r="BK19" i="2"/>
  <c r="BK20" i="2"/>
  <c r="BK21" i="2"/>
  <c r="BK22" i="2"/>
  <c r="BK37" i="2"/>
  <c r="BJ21" i="1" s="1"/>
  <c r="BK23" i="2"/>
  <c r="BK26" i="2"/>
  <c r="BK72" i="2"/>
  <c r="BK58" i="2"/>
  <c r="BK41" i="2"/>
  <c r="BK73" i="2"/>
  <c r="BK59" i="2"/>
  <c r="BK80" i="2"/>
  <c r="BP80" i="2" s="1"/>
  <c r="BK66" i="2"/>
  <c r="BK81" i="2"/>
  <c r="BP81" i="2" s="1"/>
  <c r="W31" i="1"/>
  <c r="W29" i="1"/>
  <c r="W30" i="1"/>
  <c r="W32" i="1"/>
  <c r="W28" i="1"/>
  <c r="W21" i="1"/>
  <c r="W23" i="1"/>
  <c r="W24" i="1"/>
  <c r="W20" i="1"/>
  <c r="W22" i="1"/>
  <c r="BJ36" i="2"/>
  <c r="BJ15" i="2"/>
  <c r="BJ22" i="2"/>
  <c r="BJ51" i="2"/>
  <c r="AN30" i="1"/>
  <c r="AN28" i="1"/>
  <c r="AN32" i="1"/>
  <c r="AN31" i="1"/>
  <c r="AN24" i="1"/>
  <c r="AN23" i="1"/>
  <c r="AN22" i="1"/>
  <c r="BJ97" i="2" a="1"/>
  <c r="BJ97" i="2" s="1"/>
  <c r="BJ86" i="2" a="1"/>
  <c r="BJ86" i="2" s="1"/>
  <c r="BI32" i="1"/>
  <c r="BI31" i="1"/>
  <c r="BJ87" i="2" a="1"/>
  <c r="BJ87" i="2" s="1"/>
  <c r="BI8" i="1"/>
  <c r="BI7" i="1"/>
  <c r="BI6" i="1"/>
  <c r="BI5" i="1"/>
  <c r="BI24" i="1"/>
  <c r="BI23" i="1"/>
  <c r="BI22" i="1"/>
  <c r="BI21" i="1"/>
  <c r="BJ93" i="2" a="1"/>
  <c r="BJ93" i="2" s="1"/>
  <c r="BJ92" i="2" a="1"/>
  <c r="BJ92" i="2" s="1"/>
  <c r="BJ91" i="2" a="1"/>
  <c r="BJ91" i="2" s="1"/>
  <c r="BJ90" i="2" a="1"/>
  <c r="BJ90" i="2" s="1"/>
  <c r="BJ89" i="2" a="1"/>
  <c r="BJ89" i="2" s="1"/>
  <c r="BJ88" i="2" a="1"/>
  <c r="BJ88" i="2" s="1"/>
  <c r="BI4" i="1"/>
  <c r="BJ44" i="2"/>
  <c r="BJ45" i="2"/>
  <c r="BJ46" i="2"/>
  <c r="BJ47" i="2"/>
  <c r="BJ48" i="2"/>
  <c r="BJ49" i="2"/>
  <c r="BJ54" i="2"/>
  <c r="BI20" i="1"/>
  <c r="BN64" i="1" l="1"/>
  <c r="BM64" i="1"/>
  <c r="BN65" i="1"/>
  <c r="BM65" i="1"/>
  <c r="BN55" i="1"/>
  <c r="BM55" i="1"/>
  <c r="BN56" i="1"/>
  <c r="BM56" i="1"/>
  <c r="BN57" i="1"/>
  <c r="BM57" i="1"/>
  <c r="BM53" i="1"/>
  <c r="BN53" i="1"/>
  <c r="BM50" i="1"/>
  <c r="V20" i="25"/>
  <c r="G20" i="30" s="1"/>
  <c r="V21" i="25"/>
  <c r="G21" i="30" s="1"/>
  <c r="V22" i="25"/>
  <c r="G22" i="30" s="1"/>
  <c r="V31" i="25"/>
  <c r="G31" i="30" s="1"/>
  <c r="V32" i="25"/>
  <c r="G32" i="30" s="1"/>
  <c r="BM41" i="1"/>
  <c r="BM42" i="1" s="1"/>
  <c r="BM74" i="1"/>
  <c r="BM12" i="1"/>
  <c r="BM17" i="1" s="1"/>
  <c r="BN83" i="2"/>
  <c r="BN68" i="2"/>
  <c r="BN65" i="2"/>
  <c r="BN63" i="2"/>
  <c r="BN62" i="2"/>
  <c r="BN61" i="2"/>
  <c r="BN60" i="2"/>
  <c r="BN25" i="2"/>
  <c r="BN24" i="2"/>
  <c r="BN18" i="2"/>
  <c r="BN27" i="2" s="1"/>
  <c r="V22" i="1"/>
  <c r="V20" i="1"/>
  <c r="V24" i="1"/>
  <c r="V21" i="1"/>
  <c r="V23" i="1"/>
  <c r="BM87" i="2" a="1"/>
  <c r="BM87" i="2" s="1"/>
  <c r="BM86" i="2" a="1"/>
  <c r="BM86" i="2" s="1"/>
  <c r="BM51" i="2"/>
  <c r="BM109" i="2" s="1"/>
  <c r="BL21" i="1"/>
  <c r="BM106" i="2"/>
  <c r="BM104" i="2"/>
  <c r="BL30" i="1"/>
  <c r="BL47" i="1" s="1"/>
  <c r="BL28" i="1"/>
  <c r="BM102" i="2"/>
  <c r="BL38" i="1"/>
  <c r="AP33" i="1"/>
  <c r="AP45" i="1"/>
  <c r="AP36" i="1"/>
  <c r="P28" i="25"/>
  <c r="BA61" i="1"/>
  <c r="BA69" i="1" s="1"/>
  <c r="AP40" i="1"/>
  <c r="P32" i="25"/>
  <c r="P40" i="25" s="1"/>
  <c r="AP37" i="1"/>
  <c r="AP46" i="1"/>
  <c r="AP62" i="1"/>
  <c r="P29" i="25"/>
  <c r="AR62" i="1"/>
  <c r="AQ62" i="1"/>
  <c r="AS62" i="1"/>
  <c r="AT62" i="1"/>
  <c r="AU62" i="1"/>
  <c r="AW62" i="1"/>
  <c r="AV62" i="1"/>
  <c r="AX62" i="1"/>
  <c r="AY62" i="1"/>
  <c r="AZ62" i="1"/>
  <c r="BA62" i="1"/>
  <c r="BA70" i="1" s="1"/>
  <c r="AP47" i="1"/>
  <c r="AP38" i="1"/>
  <c r="P30" i="25"/>
  <c r="BA63" i="1"/>
  <c r="BA71" i="1" s="1"/>
  <c r="AP39" i="1"/>
  <c r="P31" i="25"/>
  <c r="P39" i="25" s="1"/>
  <c r="AZ61" i="1"/>
  <c r="AZ69" i="1" s="1"/>
  <c r="BM50" i="2"/>
  <c r="BK39" i="1"/>
  <c r="BK40" i="1"/>
  <c r="BJ56" i="1"/>
  <c r="V23" i="25"/>
  <c r="G23" i="30" s="1"/>
  <c r="BJ57" i="1"/>
  <c r="V24" i="25"/>
  <c r="V9" i="25"/>
  <c r="V12" i="25" s="1"/>
  <c r="V13" i="25"/>
  <c r="V14" i="25"/>
  <c r="V15" i="25"/>
  <c r="V16" i="25"/>
  <c r="BL56" i="1"/>
  <c r="BK56" i="1"/>
  <c r="BL57" i="1"/>
  <c r="BK57" i="1"/>
  <c r="BJ72" i="1"/>
  <c r="BJ73" i="1"/>
  <c r="BL55" i="1"/>
  <c r="BL53" i="1"/>
  <c r="BK64" i="1"/>
  <c r="BL64" i="1"/>
  <c r="BK65" i="1"/>
  <c r="BL65" i="1"/>
  <c r="BL12" i="1"/>
  <c r="BL17" i="1" s="1"/>
  <c r="BM68" i="2"/>
  <c r="BM79" i="2"/>
  <c r="BM78" i="2"/>
  <c r="BM83" i="2" s="1"/>
  <c r="BM63" i="2"/>
  <c r="BM62" i="2"/>
  <c r="BM61" i="2"/>
  <c r="BM60" i="2"/>
  <c r="BM25" i="2"/>
  <c r="BM24" i="2"/>
  <c r="BM18" i="2"/>
  <c r="BM27" i="2" s="1"/>
  <c r="BL87" i="2" a="1"/>
  <c r="BL87" i="2" s="1"/>
  <c r="BL86" i="2" a="1"/>
  <c r="BL86" i="2" s="1"/>
  <c r="BL51" i="2"/>
  <c r="BL109" i="2" s="1"/>
  <c r="BK21" i="1"/>
  <c r="W21" i="25" s="1"/>
  <c r="BL106" i="2"/>
  <c r="BK29" i="1"/>
  <c r="BL104" i="2"/>
  <c r="BK30" i="1"/>
  <c r="W30" i="25" s="1"/>
  <c r="BL55" i="2"/>
  <c r="BL113" i="2" s="1"/>
  <c r="BK28" i="1"/>
  <c r="W28" i="25" s="1"/>
  <c r="BL102" i="2"/>
  <c r="BK38" i="1"/>
  <c r="AO54" i="1"/>
  <c r="O21" i="25"/>
  <c r="AP54" i="1"/>
  <c r="AO37" i="1"/>
  <c r="AR54" i="1"/>
  <c r="AR70" i="1" s="1"/>
  <c r="AQ54" i="1"/>
  <c r="AS54" i="1"/>
  <c r="AS70" i="1" s="1"/>
  <c r="AT54" i="1"/>
  <c r="AT70" i="1" s="1"/>
  <c r="AV54" i="1"/>
  <c r="AV70" i="1" s="1"/>
  <c r="AU54" i="1"/>
  <c r="AU70" i="1" s="1"/>
  <c r="AW54" i="1"/>
  <c r="AW70" i="1" s="1"/>
  <c r="AX54" i="1"/>
  <c r="AX70" i="1" s="1"/>
  <c r="AY54" i="1"/>
  <c r="AY70" i="1" s="1"/>
  <c r="AZ54" i="1"/>
  <c r="AZ70" i="1" s="1"/>
  <c r="BQ11" i="2"/>
  <c r="BK54" i="1"/>
  <c r="BK55" i="1"/>
  <c r="BK53" i="1"/>
  <c r="BK45" i="1"/>
  <c r="BK46" i="1"/>
  <c r="BK47" i="1"/>
  <c r="BK12" i="1"/>
  <c r="BK17" i="1" s="1"/>
  <c r="BL68" i="2"/>
  <c r="BL79" i="2"/>
  <c r="BL78" i="2"/>
  <c r="BL83" i="2" s="1"/>
  <c r="BL63" i="2"/>
  <c r="BL62" i="2"/>
  <c r="BL61" i="2"/>
  <c r="BL60" i="2"/>
  <c r="BL25" i="2"/>
  <c r="BL24" i="2"/>
  <c r="BL18" i="2"/>
  <c r="BL27" i="2" s="1"/>
  <c r="BP73" i="2"/>
  <c r="BJ25" i="1"/>
  <c r="BK106" i="2"/>
  <c r="BK104" i="2"/>
  <c r="BJ30" i="1"/>
  <c r="BJ47" i="1" s="1"/>
  <c r="BJ28" i="1"/>
  <c r="BK102" i="2"/>
  <c r="X4" i="25"/>
  <c r="H4" i="30"/>
  <c r="BJ38" i="1"/>
  <c r="H6" i="30"/>
  <c r="X6" i="25"/>
  <c r="AO38" i="1"/>
  <c r="AO25" i="1"/>
  <c r="AZ55" i="1"/>
  <c r="AO47" i="1"/>
  <c r="AO33" i="1"/>
  <c r="AO50" i="1" s="1"/>
  <c r="AZ63" i="1"/>
  <c r="AZ71" i="1" s="1"/>
  <c r="BK51" i="2"/>
  <c r="BJ64" i="1"/>
  <c r="BJ65" i="1"/>
  <c r="G49" i="30"/>
  <c r="BJ12" i="1"/>
  <c r="BJ74" i="1"/>
  <c r="BJ54" i="1"/>
  <c r="BJ55" i="1"/>
  <c r="BJ53" i="1"/>
  <c r="BJ58" i="1" s="1"/>
  <c r="BJ17" i="1"/>
  <c r="BP53" i="2"/>
  <c r="BK67" i="2"/>
  <c r="BP72" i="2"/>
  <c r="BK68" i="2"/>
  <c r="BK79" i="2"/>
  <c r="BP37" i="2"/>
  <c r="BR37" i="2" s="1"/>
  <c r="BK78" i="2"/>
  <c r="BK83" i="2" s="1"/>
  <c r="BK63" i="2"/>
  <c r="BK62" i="2"/>
  <c r="BK61" i="2"/>
  <c r="BK60" i="2"/>
  <c r="BK25" i="2"/>
  <c r="BK24" i="2"/>
  <c r="BK18" i="2"/>
  <c r="BK27" i="2" s="1"/>
  <c r="BO63" i="2"/>
  <c r="BO62" i="2"/>
  <c r="BO61" i="2"/>
  <c r="BO68" i="2"/>
  <c r="BN30" i="1"/>
  <c r="BN47" i="1" s="1"/>
  <c r="BO60" i="2"/>
  <c r="BO59" i="2"/>
  <c r="BO58" i="2"/>
  <c r="BN28" i="1"/>
  <c r="BN45" i="1" s="1"/>
  <c r="BI25" i="1"/>
  <c r="BI53" i="1"/>
  <c r="BJ112" i="2"/>
  <c r="BQ112" i="2" s="1"/>
  <c r="BJ68" i="2"/>
  <c r="BP54" i="2"/>
  <c r="BJ107" i="2"/>
  <c r="BQ107" i="2" s="1"/>
  <c r="BJ63" i="2"/>
  <c r="BP49" i="2"/>
  <c r="BJ106" i="2"/>
  <c r="BQ106" i="2" s="1"/>
  <c r="BJ62" i="2"/>
  <c r="BP48" i="2"/>
  <c r="BJ105" i="2"/>
  <c r="BQ105" i="2" s="1"/>
  <c r="BJ61" i="2"/>
  <c r="BP47" i="2"/>
  <c r="BJ104" i="2"/>
  <c r="BQ104" i="2" s="1"/>
  <c r="BJ60" i="2"/>
  <c r="BP46" i="2"/>
  <c r="BI30" i="1"/>
  <c r="BJ103" i="2"/>
  <c r="BQ103" i="2" s="1"/>
  <c r="BJ59" i="2"/>
  <c r="BP45" i="2"/>
  <c r="BI28" i="1"/>
  <c r="BJ102" i="2"/>
  <c r="BQ102" i="2" s="1"/>
  <c r="BJ58" i="2"/>
  <c r="BP44" i="2"/>
  <c r="BI69" i="1"/>
  <c r="BI9" i="1"/>
  <c r="BI12" i="1"/>
  <c r="BI54" i="1"/>
  <c r="BI38" i="1"/>
  <c r="BI55" i="1"/>
  <c r="BI39" i="1"/>
  <c r="BI56" i="1"/>
  <c r="BI40" i="1"/>
  <c r="BI57" i="1"/>
  <c r="BI70" i="1"/>
  <c r="BI13" i="1"/>
  <c r="BI71" i="1"/>
  <c r="BI14" i="1"/>
  <c r="BI72" i="1"/>
  <c r="BI15" i="1"/>
  <c r="BI73" i="1"/>
  <c r="BI16" i="1"/>
  <c r="BI64" i="1"/>
  <c r="BI65" i="1"/>
  <c r="AN38" i="1"/>
  <c r="AN25" i="1"/>
  <c r="O22" i="25"/>
  <c r="AP55" i="1"/>
  <c r="AO55" i="1"/>
  <c r="AN55" i="1"/>
  <c r="AS55" i="1"/>
  <c r="AR55" i="1"/>
  <c r="AQ55" i="1"/>
  <c r="AX55" i="1"/>
  <c r="AW55" i="1"/>
  <c r="AV55" i="1"/>
  <c r="AU55" i="1"/>
  <c r="AT55" i="1"/>
  <c r="AY55" i="1"/>
  <c r="AN39" i="1"/>
  <c r="O23" i="25"/>
  <c r="AP56" i="1"/>
  <c r="AO56" i="1"/>
  <c r="AN56" i="1"/>
  <c r="AS56" i="1"/>
  <c r="AR56" i="1"/>
  <c r="AQ56" i="1"/>
  <c r="AX56" i="1"/>
  <c r="AW56" i="1"/>
  <c r="AV56" i="1"/>
  <c r="AU56" i="1"/>
  <c r="AT56" i="1"/>
  <c r="AZ56" i="1"/>
  <c r="AZ58" i="1" s="1"/>
  <c r="AY56" i="1"/>
  <c r="BA56" i="1"/>
  <c r="BA58" i="1" s="1"/>
  <c r="AN40" i="1"/>
  <c r="AO57" i="1"/>
  <c r="AN57" i="1"/>
  <c r="O24" i="25"/>
  <c r="AP57" i="1"/>
  <c r="AS57" i="1"/>
  <c r="AR57" i="1"/>
  <c r="AQ57" i="1"/>
  <c r="AX57" i="1"/>
  <c r="AW57" i="1"/>
  <c r="AV57" i="1"/>
  <c r="AU57" i="1"/>
  <c r="AT57" i="1"/>
  <c r="AY57" i="1"/>
  <c r="O31" i="25"/>
  <c r="F31" i="30" s="1"/>
  <c r="AS64" i="1"/>
  <c r="AS72" i="1" s="1"/>
  <c r="AR64" i="1"/>
  <c r="AR72" i="1" s="1"/>
  <c r="AQ64" i="1"/>
  <c r="AP64" i="1"/>
  <c r="AO64" i="1"/>
  <c r="AN64" i="1"/>
  <c r="AX64" i="1"/>
  <c r="AX72" i="1" s="1"/>
  <c r="AW64" i="1"/>
  <c r="AW72" i="1" s="1"/>
  <c r="AV64" i="1"/>
  <c r="AV72" i="1" s="1"/>
  <c r="AU64" i="1"/>
  <c r="AU72" i="1" s="1"/>
  <c r="AT64" i="1"/>
  <c r="AT72" i="1" s="1"/>
  <c r="AZ64" i="1"/>
  <c r="AY64" i="1"/>
  <c r="AY72" i="1" s="1"/>
  <c r="BA64" i="1"/>
  <c r="O32" i="25"/>
  <c r="F32" i="30" s="1"/>
  <c r="F49" i="30" s="1"/>
  <c r="AO65" i="1"/>
  <c r="AN65" i="1"/>
  <c r="AP65" i="1"/>
  <c r="AS65" i="1"/>
  <c r="AS73" i="1" s="1"/>
  <c r="AR65" i="1"/>
  <c r="AR73" i="1" s="1"/>
  <c r="AQ65" i="1"/>
  <c r="AX65" i="1"/>
  <c r="AX73" i="1" s="1"/>
  <c r="AW65" i="1"/>
  <c r="AW73" i="1" s="1"/>
  <c r="AV65" i="1"/>
  <c r="AV73" i="1" s="1"/>
  <c r="AU65" i="1"/>
  <c r="AU73" i="1" s="1"/>
  <c r="AT65" i="1"/>
  <c r="AT73" i="1" s="1"/>
  <c r="AZ65" i="1"/>
  <c r="AZ73" i="1" s="1"/>
  <c r="AY65" i="1"/>
  <c r="AY73" i="1" s="1"/>
  <c r="BB65" i="1"/>
  <c r="BA65" i="1"/>
  <c r="BA73" i="1" s="1"/>
  <c r="AN33" i="1"/>
  <c r="AN50" i="1" s="1"/>
  <c r="AN45" i="1"/>
  <c r="AN36" i="1"/>
  <c r="O28" i="25"/>
  <c r="AN61" i="1"/>
  <c r="AO61" i="1"/>
  <c r="AP61" i="1"/>
  <c r="AS61" i="1"/>
  <c r="AR61" i="1"/>
  <c r="AQ61" i="1"/>
  <c r="AT61" i="1"/>
  <c r="AU61" i="1"/>
  <c r="AX61" i="1"/>
  <c r="AW61" i="1"/>
  <c r="AV61" i="1"/>
  <c r="AY61" i="1"/>
  <c r="AN47" i="1"/>
  <c r="O30" i="25"/>
  <c r="AQ63" i="1"/>
  <c r="AN63" i="1"/>
  <c r="AP63" i="1"/>
  <c r="AO63" i="1"/>
  <c r="AS63" i="1"/>
  <c r="AS71" i="1" s="1"/>
  <c r="AR63" i="1"/>
  <c r="AR71" i="1" s="1"/>
  <c r="AU63" i="1"/>
  <c r="AU71" i="1" s="1"/>
  <c r="AT63" i="1"/>
  <c r="AT71" i="1" s="1"/>
  <c r="AX63" i="1"/>
  <c r="AX71" i="1" s="1"/>
  <c r="AW63" i="1"/>
  <c r="AW71" i="1" s="1"/>
  <c r="AV63" i="1"/>
  <c r="AV71" i="1" s="1"/>
  <c r="AY63" i="1"/>
  <c r="AY71" i="1" s="1"/>
  <c r="BJ109" i="2"/>
  <c r="BJ65" i="2"/>
  <c r="BJ19" i="2"/>
  <c r="BJ20" i="2"/>
  <c r="BJ21" i="2"/>
  <c r="BJ23" i="2"/>
  <c r="BJ26" i="2"/>
  <c r="BJ25" i="2"/>
  <c r="BJ24" i="2"/>
  <c r="BJ18" i="2"/>
  <c r="BJ27" i="2" s="1"/>
  <c r="BO15" i="2"/>
  <c r="BQ10" i="2"/>
  <c r="BN5" i="1"/>
  <c r="BO22" i="2"/>
  <c r="BJ41" i="2"/>
  <c r="BJ78" i="2"/>
  <c r="BP36" i="2"/>
  <c r="BJ50" i="2"/>
  <c r="BP22" i="1"/>
  <c r="BQ22" i="1" s="1"/>
  <c r="W55" i="1"/>
  <c r="AA55" i="1"/>
  <c r="X55" i="1"/>
  <c r="AB55" i="1"/>
  <c r="Z55" i="1"/>
  <c r="Y55" i="1"/>
  <c r="AC55" i="1"/>
  <c r="AD55" i="1"/>
  <c r="AG55" i="1"/>
  <c r="AE55" i="1"/>
  <c r="AF55" i="1"/>
  <c r="AH55" i="1"/>
  <c r="I22" i="25"/>
  <c r="W38" i="1"/>
  <c r="W53" i="1"/>
  <c r="Z53" i="1"/>
  <c r="AA53" i="1"/>
  <c r="Y53" i="1"/>
  <c r="X53" i="1"/>
  <c r="AB53" i="1"/>
  <c r="AD53" i="1"/>
  <c r="AC53" i="1"/>
  <c r="AE53" i="1"/>
  <c r="AF53" i="1"/>
  <c r="AG53" i="1"/>
  <c r="W25" i="1"/>
  <c r="AH53" i="1"/>
  <c r="I20" i="25"/>
  <c r="W36" i="1"/>
  <c r="BP20" i="1"/>
  <c r="BQ20" i="1" s="1"/>
  <c r="BP24" i="1"/>
  <c r="BQ24" i="1" s="1"/>
  <c r="W57" i="1"/>
  <c r="AB57" i="1"/>
  <c r="Z57" i="1"/>
  <c r="AC57" i="1"/>
  <c r="AA57" i="1"/>
  <c r="AD57" i="1"/>
  <c r="X57" i="1"/>
  <c r="Y57" i="1"/>
  <c r="AG57" i="1"/>
  <c r="AE57" i="1"/>
  <c r="AF57" i="1"/>
  <c r="AH57" i="1"/>
  <c r="I24" i="25"/>
  <c r="W40" i="1"/>
  <c r="BP23" i="1"/>
  <c r="BQ23" i="1" s="1"/>
  <c r="W56" i="1"/>
  <c r="AA56" i="1"/>
  <c r="AB56" i="1"/>
  <c r="AD56" i="1"/>
  <c r="AC56" i="1"/>
  <c r="X56" i="1"/>
  <c r="Z56" i="1"/>
  <c r="Y56" i="1"/>
  <c r="AG56" i="1"/>
  <c r="AF56" i="1"/>
  <c r="AE56" i="1"/>
  <c r="AH56" i="1"/>
  <c r="I23" i="25"/>
  <c r="W39" i="1"/>
  <c r="Z54" i="1"/>
  <c r="W54" i="1"/>
  <c r="AA54" i="1"/>
  <c r="X54" i="1"/>
  <c r="Y54" i="1"/>
  <c r="AC54" i="1"/>
  <c r="AD54" i="1"/>
  <c r="AB54" i="1"/>
  <c r="AF54" i="1"/>
  <c r="AE54" i="1"/>
  <c r="AG54" i="1"/>
  <c r="AH54" i="1"/>
  <c r="I21" i="25"/>
  <c r="W37" i="1"/>
  <c r="W33" i="1"/>
  <c r="W45" i="1"/>
  <c r="AH61" i="1"/>
  <c r="AH65" i="1"/>
  <c r="W47" i="1"/>
  <c r="AH63" i="1"/>
  <c r="W46" i="1"/>
  <c r="AH62" i="1"/>
  <c r="AH64" i="1"/>
  <c r="BN63" i="1" l="1"/>
  <c r="BM63" i="1"/>
  <c r="BM61" i="1"/>
  <c r="BN61" i="1"/>
  <c r="BM54" i="1"/>
  <c r="V28" i="25"/>
  <c r="V30" i="25"/>
  <c r="BM58" i="1"/>
  <c r="BN69" i="2"/>
  <c r="V30" i="1"/>
  <c r="V28" i="1"/>
  <c r="V32" i="1"/>
  <c r="V31" i="1"/>
  <c r="V29" i="1"/>
  <c r="BM92" i="2" a="1"/>
  <c r="BM92" i="2" s="1"/>
  <c r="BM93" i="2" a="1"/>
  <c r="BM93" i="2" s="1"/>
  <c r="BM108" i="2"/>
  <c r="BL29" i="1"/>
  <c r="BM55" i="2"/>
  <c r="BM113" i="2" s="1"/>
  <c r="P47" i="25"/>
  <c r="P38" i="25"/>
  <c r="F29" i="30"/>
  <c r="F46" i="30" s="1"/>
  <c r="P37" i="25"/>
  <c r="P46" i="25"/>
  <c r="P45" i="25"/>
  <c r="P36" i="25"/>
  <c r="P33" i="25"/>
  <c r="AP41" i="1"/>
  <c r="AP42" i="1" s="1"/>
  <c r="AP50" i="1"/>
  <c r="BL36" i="1"/>
  <c r="BL33" i="1"/>
  <c r="BL50" i="1" s="1"/>
  <c r="BL45" i="1"/>
  <c r="BL37" i="1"/>
  <c r="BL25" i="1"/>
  <c r="BL41" i="1" s="1"/>
  <c r="BL42" i="1" s="1"/>
  <c r="V56" i="1"/>
  <c r="V39" i="1"/>
  <c r="V72" i="1" s="1"/>
  <c r="V54" i="1"/>
  <c r="V37" i="1"/>
  <c r="V70" i="1" s="1"/>
  <c r="V57" i="1"/>
  <c r="V40" i="1"/>
  <c r="V73" i="1" s="1"/>
  <c r="V53" i="1"/>
  <c r="V25" i="1"/>
  <c r="V36" i="1"/>
  <c r="V69" i="1" s="1"/>
  <c r="V55" i="1"/>
  <c r="V38" i="1"/>
  <c r="V71" i="1" s="1"/>
  <c r="V47" i="25"/>
  <c r="G30" i="30"/>
  <c r="V45" i="25"/>
  <c r="G28" i="30"/>
  <c r="V40" i="25"/>
  <c r="G24" i="30"/>
  <c r="W47" i="25"/>
  <c r="W45" i="25"/>
  <c r="BN70" i="1"/>
  <c r="V36" i="25"/>
  <c r="V38" i="25"/>
  <c r="V17" i="25"/>
  <c r="V39" i="25"/>
  <c r="V25" i="25"/>
  <c r="BL63" i="1"/>
  <c r="BL61" i="1"/>
  <c r="BL54" i="1"/>
  <c r="BL58" i="1"/>
  <c r="BM69" i="2"/>
  <c r="BM64" i="2"/>
  <c r="BM65" i="2"/>
  <c r="BL92" i="2" a="1"/>
  <c r="BL92" i="2" s="1"/>
  <c r="BL93" i="2" a="1"/>
  <c r="BL93" i="2" s="1"/>
  <c r="BO79" i="2"/>
  <c r="AO70" i="1"/>
  <c r="AP70" i="1"/>
  <c r="AQ70" i="1"/>
  <c r="O37" i="25"/>
  <c r="F21" i="30"/>
  <c r="F37" i="30" s="1"/>
  <c r="BK36" i="1"/>
  <c r="BK33" i="1"/>
  <c r="BK50" i="1" s="1"/>
  <c r="BK37" i="1"/>
  <c r="BK25" i="1"/>
  <c r="BK63" i="1"/>
  <c r="BK61" i="1"/>
  <c r="BK58" i="1"/>
  <c r="BL69" i="2"/>
  <c r="BL64" i="2"/>
  <c r="BL65" i="2"/>
  <c r="BK92" i="2" a="1"/>
  <c r="BK92" i="2" s="1"/>
  <c r="BP79" i="2"/>
  <c r="BK109" i="2"/>
  <c r="BJ29" i="1"/>
  <c r="BK55" i="2"/>
  <c r="BK113" i="2" s="1"/>
  <c r="AO41" i="1"/>
  <c r="AO42" i="1" s="1"/>
  <c r="BJ36" i="1"/>
  <c r="BJ33" i="1"/>
  <c r="BJ45" i="1"/>
  <c r="BJ63" i="1"/>
  <c r="BJ61" i="1"/>
  <c r="BI45" i="1"/>
  <c r="BI47" i="1"/>
  <c r="BK69" i="2"/>
  <c r="BK64" i="2"/>
  <c r="BK65" i="2"/>
  <c r="BP67" i="2"/>
  <c r="BR67" i="2" s="1"/>
  <c r="BR53" i="2"/>
  <c r="AH66" i="1"/>
  <c r="W50" i="1"/>
  <c r="AH70" i="1"/>
  <c r="W70" i="1"/>
  <c r="AC70" i="1"/>
  <c r="AA70" i="1"/>
  <c r="AD70" i="1"/>
  <c r="X70" i="1"/>
  <c r="Z70" i="1"/>
  <c r="Y70" i="1"/>
  <c r="AB70" i="1"/>
  <c r="AG70" i="1"/>
  <c r="AE70" i="1"/>
  <c r="AF70" i="1"/>
  <c r="D21" i="30"/>
  <c r="AH72" i="1"/>
  <c r="AC72" i="1"/>
  <c r="Z72" i="1"/>
  <c r="AD72" i="1"/>
  <c r="X72" i="1"/>
  <c r="Y72" i="1"/>
  <c r="AA72" i="1"/>
  <c r="AB72" i="1"/>
  <c r="W72" i="1"/>
  <c r="AF72" i="1"/>
  <c r="AE72" i="1"/>
  <c r="AG72" i="1"/>
  <c r="BP39" i="1"/>
  <c r="BQ39" i="1" s="1"/>
  <c r="D23" i="30"/>
  <c r="Y23" i="25"/>
  <c r="Z23" i="25" s="1"/>
  <c r="BQ56" i="1"/>
  <c r="AH73" i="1"/>
  <c r="AA73" i="1"/>
  <c r="W73" i="1"/>
  <c r="AB73" i="1"/>
  <c r="Z73" i="1"/>
  <c r="AC73" i="1"/>
  <c r="AD73" i="1"/>
  <c r="X73" i="1"/>
  <c r="Y73" i="1"/>
  <c r="AE73" i="1"/>
  <c r="AF73" i="1"/>
  <c r="AG73" i="1"/>
  <c r="BP40" i="1"/>
  <c r="BQ40" i="1" s="1"/>
  <c r="D24" i="30"/>
  <c r="Y24" i="25"/>
  <c r="Z24" i="25" s="1"/>
  <c r="BQ57" i="1"/>
  <c r="AH69" i="1"/>
  <c r="AA69" i="1"/>
  <c r="AD69" i="1"/>
  <c r="Z69" i="1"/>
  <c r="AC69" i="1"/>
  <c r="X69" i="1"/>
  <c r="Y69" i="1"/>
  <c r="AB69" i="1"/>
  <c r="W69" i="1"/>
  <c r="AF69" i="1"/>
  <c r="AE69" i="1"/>
  <c r="AG69" i="1"/>
  <c r="D20" i="30"/>
  <c r="I25" i="25"/>
  <c r="Y20" i="25"/>
  <c r="Z20" i="25" s="1"/>
  <c r="AH58" i="1"/>
  <c r="W41" i="1"/>
  <c r="AG58" i="1"/>
  <c r="AF58" i="1"/>
  <c r="AE58" i="1"/>
  <c r="AC58" i="1"/>
  <c r="AD58" i="1"/>
  <c r="AB58" i="1"/>
  <c r="X58" i="1"/>
  <c r="Y58" i="1"/>
  <c r="AA58" i="1"/>
  <c r="Z58" i="1"/>
  <c r="W58" i="1"/>
  <c r="BQ53" i="1"/>
  <c r="AH71" i="1"/>
  <c r="X71" i="1"/>
  <c r="Z71" i="1"/>
  <c r="Y71" i="1"/>
  <c r="W71" i="1"/>
  <c r="AC71" i="1"/>
  <c r="AD71" i="1"/>
  <c r="AA71" i="1"/>
  <c r="AB71" i="1"/>
  <c r="AE71" i="1"/>
  <c r="AF71" i="1"/>
  <c r="AG71" i="1"/>
  <c r="D22" i="30"/>
  <c r="Y22" i="25"/>
  <c r="Z22" i="25" s="1"/>
  <c r="BQ55" i="1"/>
  <c r="BJ108" i="2"/>
  <c r="BI29" i="1"/>
  <c r="BJ55" i="2"/>
  <c r="BJ64" i="2"/>
  <c r="BR36" i="2"/>
  <c r="BJ83" i="2"/>
  <c r="BJ69" i="2"/>
  <c r="BN9" i="1"/>
  <c r="BN74" i="1" s="1"/>
  <c r="BO5" i="1"/>
  <c r="BN13" i="1"/>
  <c r="BO20" i="2"/>
  <c r="BQ15" i="2"/>
  <c r="BO25" i="2"/>
  <c r="BO21" i="2"/>
  <c r="BO19" i="2"/>
  <c r="BO24" i="2"/>
  <c r="BO18" i="2"/>
  <c r="BO26" i="2"/>
  <c r="BO23" i="2"/>
  <c r="BO78" i="2"/>
  <c r="BN21" i="1"/>
  <c r="BO41" i="2"/>
  <c r="O47" i="25"/>
  <c r="F30" i="30"/>
  <c r="F47" i="30" s="1"/>
  <c r="AY69" i="1"/>
  <c r="AY74" i="1" s="1"/>
  <c r="AY66" i="1"/>
  <c r="AV69" i="1"/>
  <c r="AV74" i="1" s="1"/>
  <c r="AV66" i="1"/>
  <c r="AW69" i="1"/>
  <c r="AW74" i="1" s="1"/>
  <c r="AW66" i="1"/>
  <c r="AX69" i="1"/>
  <c r="AX74" i="1" s="1"/>
  <c r="AX66" i="1"/>
  <c r="AU69" i="1"/>
  <c r="AU74" i="1" s="1"/>
  <c r="AU66" i="1"/>
  <c r="AT69" i="1"/>
  <c r="AT74" i="1" s="1"/>
  <c r="AT66" i="1"/>
  <c r="AQ66" i="1"/>
  <c r="AR69" i="1"/>
  <c r="AR74" i="1" s="1"/>
  <c r="AR66" i="1"/>
  <c r="AS69" i="1"/>
  <c r="AS74" i="1" s="1"/>
  <c r="AS66" i="1"/>
  <c r="AP66" i="1"/>
  <c r="AO66" i="1"/>
  <c r="AN66" i="1"/>
  <c r="O45" i="25"/>
  <c r="O36" i="25"/>
  <c r="O33" i="25"/>
  <c r="O50" i="25" s="1"/>
  <c r="F28" i="30"/>
  <c r="AN69" i="1"/>
  <c r="AO69" i="1"/>
  <c r="AP69" i="1"/>
  <c r="AQ69" i="1"/>
  <c r="BB73" i="1"/>
  <c r="BB74" i="1" s="1"/>
  <c r="BB66" i="1"/>
  <c r="BA72" i="1"/>
  <c r="BA74" i="1" s="1"/>
  <c r="BA66" i="1"/>
  <c r="AZ72" i="1"/>
  <c r="AZ74" i="1" s="1"/>
  <c r="AZ66" i="1"/>
  <c r="O40" i="25"/>
  <c r="F24" i="30"/>
  <c r="F40" i="30" s="1"/>
  <c r="AO73" i="1"/>
  <c r="AN73" i="1"/>
  <c r="AP73" i="1"/>
  <c r="AQ73" i="1"/>
  <c r="O39" i="25"/>
  <c r="F23" i="30"/>
  <c r="F39" i="30" s="1"/>
  <c r="AQ72" i="1"/>
  <c r="AP72" i="1"/>
  <c r="AO72" i="1"/>
  <c r="AN72" i="1"/>
  <c r="AY58" i="1"/>
  <c r="AT58" i="1"/>
  <c r="AU58" i="1"/>
  <c r="AV58" i="1"/>
  <c r="AW58" i="1"/>
  <c r="AX58" i="1"/>
  <c r="AQ58" i="1"/>
  <c r="AR58" i="1"/>
  <c r="AS58" i="1"/>
  <c r="AN58" i="1"/>
  <c r="AO58" i="1"/>
  <c r="AP58" i="1"/>
  <c r="O38" i="25"/>
  <c r="O25" i="25"/>
  <c r="O41" i="25" s="1"/>
  <c r="O42" i="25" s="1"/>
  <c r="F22" i="30"/>
  <c r="AN41" i="1"/>
  <c r="AN42" i="1" s="1"/>
  <c r="AQ71" i="1"/>
  <c r="AP71" i="1"/>
  <c r="AO71" i="1"/>
  <c r="AN71" i="1"/>
  <c r="G40" i="30"/>
  <c r="W40" i="25"/>
  <c r="G39" i="30"/>
  <c r="W39" i="25"/>
  <c r="BI17" i="1"/>
  <c r="BI74" i="1"/>
  <c r="BR44" i="2"/>
  <c r="BP58" i="2"/>
  <c r="BR58" i="2" s="1"/>
  <c r="BI33" i="1"/>
  <c r="BI50" i="1" s="1"/>
  <c r="BI61" i="1"/>
  <c r="BI36" i="1"/>
  <c r="BR45" i="2"/>
  <c r="BP59" i="2"/>
  <c r="BR59" i="2" s="1"/>
  <c r="BI63" i="1"/>
  <c r="BP60" i="2"/>
  <c r="BR60" i="2" s="1"/>
  <c r="BR46" i="2"/>
  <c r="BP61" i="2"/>
  <c r="BR61" i="2" s="1"/>
  <c r="BR47" i="2"/>
  <c r="BP62" i="2"/>
  <c r="BR62" i="2" s="1"/>
  <c r="BR48" i="2"/>
  <c r="BP63" i="2"/>
  <c r="BR63" i="2" s="1"/>
  <c r="BR49" i="2"/>
  <c r="BR54" i="2"/>
  <c r="BP68" i="2"/>
  <c r="BR68" i="2" s="1"/>
  <c r="BI58" i="1"/>
  <c r="W36" i="25"/>
  <c r="BI41" i="1"/>
  <c r="BI42" i="1" s="1"/>
  <c r="BN36" i="1"/>
  <c r="BN38" i="1"/>
  <c r="BP38" i="1" s="1"/>
  <c r="BQ38" i="1" s="1"/>
  <c r="BL46" i="1" l="1"/>
  <c r="W29" i="25"/>
  <c r="BM62" i="1"/>
  <c r="BN54" i="1"/>
  <c r="V29" i="25"/>
  <c r="BM66" i="1"/>
  <c r="BM97" i="2" a="1"/>
  <c r="BM97" i="2" s="1"/>
  <c r="V74" i="1"/>
  <c r="V58" i="1"/>
  <c r="P50" i="25"/>
  <c r="P41" i="25"/>
  <c r="P42" i="25" s="1"/>
  <c r="V46" i="1"/>
  <c r="V62" i="1"/>
  <c r="I29" i="25"/>
  <c r="X62" i="1"/>
  <c r="Z62" i="1"/>
  <c r="AB62" i="1"/>
  <c r="AD62" i="1"/>
  <c r="AC62" i="1"/>
  <c r="AA62" i="1"/>
  <c r="Y62" i="1"/>
  <c r="W62" i="1"/>
  <c r="AG62" i="1"/>
  <c r="AE62" i="1"/>
  <c r="AF62" i="1"/>
  <c r="V64" i="1"/>
  <c r="I31" i="25"/>
  <c r="W64" i="1"/>
  <c r="Y64" i="1"/>
  <c r="Z64" i="1"/>
  <c r="AA64" i="1"/>
  <c r="AB64" i="1"/>
  <c r="AD64" i="1"/>
  <c r="AC64" i="1"/>
  <c r="X64" i="1"/>
  <c r="AF64" i="1"/>
  <c r="AE64" i="1"/>
  <c r="AG64" i="1"/>
  <c r="BP31" i="1"/>
  <c r="BQ31" i="1" s="1"/>
  <c r="V65" i="1"/>
  <c r="I32" i="25"/>
  <c r="AA65" i="1"/>
  <c r="AC65" i="1"/>
  <c r="Z65" i="1"/>
  <c r="AB65" i="1"/>
  <c r="AD65" i="1"/>
  <c r="X65" i="1"/>
  <c r="Y65" i="1"/>
  <c r="W65" i="1"/>
  <c r="AF65" i="1"/>
  <c r="AE65" i="1"/>
  <c r="AG65" i="1"/>
  <c r="BP32" i="1"/>
  <c r="BQ32" i="1" s="1"/>
  <c r="V33" i="1"/>
  <c r="V45" i="1"/>
  <c r="V61" i="1"/>
  <c r="I28" i="25"/>
  <c r="W61" i="1"/>
  <c r="AD61" i="1"/>
  <c r="Z61" i="1"/>
  <c r="AB61" i="1"/>
  <c r="AC61" i="1"/>
  <c r="AA61" i="1"/>
  <c r="X61" i="1"/>
  <c r="Y61" i="1"/>
  <c r="AE61" i="1"/>
  <c r="AF61" i="1"/>
  <c r="AG61" i="1"/>
  <c r="BP28" i="1"/>
  <c r="BQ28" i="1" s="1"/>
  <c r="V47" i="1"/>
  <c r="V63" i="1"/>
  <c r="I30" i="25"/>
  <c r="W63" i="1"/>
  <c r="Z63" i="1"/>
  <c r="AD63" i="1"/>
  <c r="Y63" i="1"/>
  <c r="AB63" i="1"/>
  <c r="AC63" i="1"/>
  <c r="X63" i="1"/>
  <c r="AA63" i="1"/>
  <c r="AF63" i="1"/>
  <c r="AE63" i="1"/>
  <c r="AG63" i="1"/>
  <c r="BP30" i="1"/>
  <c r="BQ30" i="1" s="1"/>
  <c r="V46" i="25"/>
  <c r="G29" i="30"/>
  <c r="V37" i="25"/>
  <c r="V33" i="25"/>
  <c r="V50" i="25" s="1"/>
  <c r="V41" i="25"/>
  <c r="V42" i="25" s="1"/>
  <c r="BL62" i="1"/>
  <c r="BL66" i="1" s="1"/>
  <c r="BN58" i="1"/>
  <c r="BK41" i="1"/>
  <c r="BK42" i="1" s="1"/>
  <c r="BL97" i="2" a="1"/>
  <c r="BL97" i="2" s="1"/>
  <c r="BQ109" i="2"/>
  <c r="BO65" i="2"/>
  <c r="BP51" i="2"/>
  <c r="BK62" i="1"/>
  <c r="BK66" i="1"/>
  <c r="BK97" i="2" a="1"/>
  <c r="BK97" i="2" s="1"/>
  <c r="BJ41" i="1"/>
  <c r="BJ42" i="1" s="1"/>
  <c r="BJ50" i="1"/>
  <c r="BJ46" i="1"/>
  <c r="BJ37" i="1"/>
  <c r="BJ62" i="1"/>
  <c r="BJ66" i="1"/>
  <c r="BI46" i="1"/>
  <c r="G47" i="30"/>
  <c r="Y30" i="25"/>
  <c r="Z30" i="25" s="1"/>
  <c r="W38" i="25"/>
  <c r="BQ47" i="1"/>
  <c r="BO47" i="1"/>
  <c r="BP36" i="1"/>
  <c r="BQ36" i="1" s="1"/>
  <c r="BQ61" i="1"/>
  <c r="Y28" i="25"/>
  <c r="Z28" i="25" s="1"/>
  <c r="BQ45" i="1"/>
  <c r="BO45" i="1"/>
  <c r="G38" i="30"/>
  <c r="F38" i="30"/>
  <c r="F25" i="30"/>
  <c r="AQ74" i="1"/>
  <c r="AP74" i="1"/>
  <c r="AO74" i="1"/>
  <c r="AN74" i="1"/>
  <c r="F36" i="30"/>
  <c r="F45" i="30"/>
  <c r="F33" i="30"/>
  <c r="F50" i="30" s="1"/>
  <c r="BN29" i="1"/>
  <c r="BN62" i="1" s="1"/>
  <c r="BP50" i="2"/>
  <c r="BO64" i="2"/>
  <c r="BO69" i="2"/>
  <c r="BP41" i="2"/>
  <c r="BN25" i="1"/>
  <c r="BN37" i="1"/>
  <c r="BP21" i="1"/>
  <c r="BQ21" i="1" s="1"/>
  <c r="BO83" i="2"/>
  <c r="BP78" i="2"/>
  <c r="BP83" i="2" s="1"/>
  <c r="BO27" i="2"/>
  <c r="BN12" i="1"/>
  <c r="BN14" i="1"/>
  <c r="BN15" i="1"/>
  <c r="BN16" i="1"/>
  <c r="BO9" i="1"/>
  <c r="X5" i="25"/>
  <c r="W9" i="25"/>
  <c r="W13" i="25"/>
  <c r="BJ113" i="2"/>
  <c r="BQ113" i="2" s="1"/>
  <c r="BP55" i="2"/>
  <c r="BR55" i="2" s="1"/>
  <c r="BI62" i="1"/>
  <c r="BI37" i="1"/>
  <c r="BP37" i="1" s="1"/>
  <c r="BQ37" i="1" s="1"/>
  <c r="BP29" i="1"/>
  <c r="BQ29" i="1" s="1"/>
  <c r="BQ108" i="2"/>
  <c r="I22" i="30"/>
  <c r="BQ71" i="1"/>
  <c r="W42" i="1"/>
  <c r="D25" i="30"/>
  <c r="I20" i="30"/>
  <c r="AG74" i="1"/>
  <c r="AE74" i="1"/>
  <c r="AF74" i="1"/>
  <c r="W74" i="1"/>
  <c r="BQ69" i="1"/>
  <c r="AB74" i="1"/>
  <c r="Y74" i="1"/>
  <c r="X74" i="1"/>
  <c r="AC74" i="1"/>
  <c r="Z74" i="1"/>
  <c r="AD74" i="1"/>
  <c r="AA74" i="1"/>
  <c r="AH74" i="1"/>
  <c r="I24" i="30"/>
  <c r="BQ73" i="1"/>
  <c r="I23" i="30"/>
  <c r="BQ72" i="1"/>
  <c r="BQ70" i="1"/>
  <c r="W46" i="25" l="1"/>
  <c r="BN46" i="1"/>
  <c r="I47" i="25"/>
  <c r="X47" i="25" s="1"/>
  <c r="D30" i="30"/>
  <c r="I38" i="25"/>
  <c r="Y38" i="25" s="1"/>
  <c r="Z38" i="25" s="1"/>
  <c r="BQ63" i="1"/>
  <c r="AG66" i="1"/>
  <c r="AF66" i="1"/>
  <c r="AE66" i="1"/>
  <c r="Y66" i="1"/>
  <c r="X66" i="1"/>
  <c r="AA66" i="1"/>
  <c r="AC66" i="1"/>
  <c r="AB66" i="1"/>
  <c r="Z66" i="1"/>
  <c r="AD66" i="1"/>
  <c r="W66" i="1"/>
  <c r="I33" i="25"/>
  <c r="I45" i="25"/>
  <c r="X45" i="25" s="1"/>
  <c r="D28" i="30"/>
  <c r="I36" i="25"/>
  <c r="Y36" i="25" s="1"/>
  <c r="Z36" i="25" s="1"/>
  <c r="V66" i="1"/>
  <c r="V50" i="1"/>
  <c r="V41" i="1"/>
  <c r="V42" i="1" s="1"/>
  <c r="D32" i="30"/>
  <c r="Y32" i="25"/>
  <c r="Z32" i="25" s="1"/>
  <c r="I40" i="25"/>
  <c r="Y40" i="25" s="1"/>
  <c r="Z40" i="25" s="1"/>
  <c r="BQ65" i="1"/>
  <c r="D31" i="30"/>
  <c r="Y31" i="25"/>
  <c r="Z31" i="25" s="1"/>
  <c r="I39" i="25"/>
  <c r="Y39" i="25" s="1"/>
  <c r="Z39" i="25" s="1"/>
  <c r="BQ64" i="1"/>
  <c r="I46" i="25"/>
  <c r="D29" i="30"/>
  <c r="I37" i="25"/>
  <c r="BR51" i="2"/>
  <c r="BP65" i="2"/>
  <c r="BR65" i="2" s="1"/>
  <c r="BN66" i="1"/>
  <c r="BQ74" i="1"/>
  <c r="BQ62" i="1"/>
  <c r="BI66" i="1"/>
  <c r="BQ66" i="1" s="1"/>
  <c r="X46" i="25"/>
  <c r="Y29" i="25"/>
  <c r="Z29" i="25" s="1"/>
  <c r="W33" i="25"/>
  <c r="W50" i="25" s="1"/>
  <c r="W12" i="25"/>
  <c r="X50" i="25"/>
  <c r="X9" i="25"/>
  <c r="W16" i="25"/>
  <c r="W15" i="25"/>
  <c r="W14" i="25"/>
  <c r="H5" i="30"/>
  <c r="G9" i="30"/>
  <c r="G13" i="30"/>
  <c r="BN17" i="1"/>
  <c r="BQ54" i="1"/>
  <c r="BQ58" i="1"/>
  <c r="W37" i="25"/>
  <c r="Y37" i="25" s="1"/>
  <c r="Z37" i="25" s="1"/>
  <c r="Y21" i="25"/>
  <c r="Z21" i="25" s="1"/>
  <c r="W25" i="25"/>
  <c r="BP25" i="1"/>
  <c r="BQ25" i="1" s="1"/>
  <c r="BR41" i="2"/>
  <c r="BP69" i="2"/>
  <c r="BR69" i="2" s="1"/>
  <c r="BR50" i="2"/>
  <c r="BP64" i="2"/>
  <c r="BR64" i="2" s="1"/>
  <c r="BN33" i="1"/>
  <c r="BN50" i="1" s="1"/>
  <c r="F41" i="30"/>
  <c r="F42" i="30" s="1"/>
  <c r="G45" i="30"/>
  <c r="G33" i="30"/>
  <c r="G36" i="30"/>
  <c r="D37" i="30" l="1"/>
  <c r="D46" i="30"/>
  <c r="I31" i="30"/>
  <c r="D39" i="30"/>
  <c r="I39" i="30" s="1"/>
  <c r="D40" i="30"/>
  <c r="I40" i="30" s="1"/>
  <c r="D49" i="30"/>
  <c r="I32" i="30"/>
  <c r="D36" i="30"/>
  <c r="I36" i="30" s="1"/>
  <c r="D45" i="30"/>
  <c r="D33" i="30"/>
  <c r="I28" i="30"/>
  <c r="I41" i="25"/>
  <c r="I42" i="25" s="1"/>
  <c r="I50" i="25"/>
  <c r="D38" i="30"/>
  <c r="I38" i="30" s="1"/>
  <c r="D47" i="30"/>
  <c r="I30" i="30"/>
  <c r="G50" i="30"/>
  <c r="I33" i="30"/>
  <c r="BP33" i="1"/>
  <c r="BQ33" i="1" s="1"/>
  <c r="BN41" i="1"/>
  <c r="BO46" i="1"/>
  <c r="BQ46" i="1"/>
  <c r="W41" i="25"/>
  <c r="W42" i="25" s="1"/>
  <c r="Y25" i="25"/>
  <c r="Z25" i="25" s="1"/>
  <c r="G37" i="30"/>
  <c r="I37" i="30" s="1"/>
  <c r="G25" i="30"/>
  <c r="I21" i="30"/>
  <c r="G12" i="30"/>
  <c r="H9" i="30"/>
  <c r="G14" i="30"/>
  <c r="G16" i="30"/>
  <c r="W17" i="25"/>
  <c r="Y33" i="25"/>
  <c r="Z33" i="25" s="1"/>
  <c r="G46" i="30"/>
  <c r="I29" i="30"/>
  <c r="D50" i="30" l="1"/>
  <c r="D41" i="30"/>
  <c r="D42" i="30" s="1"/>
  <c r="G17" i="30"/>
  <c r="G41" i="30"/>
  <c r="I25" i="30"/>
  <c r="Y41" i="25"/>
  <c r="Z41" i="25" s="1"/>
  <c r="BN42" i="1"/>
  <c r="BP41" i="1"/>
  <c r="BQ41" i="1" s="1"/>
  <c r="BQ50" i="1"/>
  <c r="BO50" i="1"/>
  <c r="G42" i="30" l="1"/>
  <c r="I41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<sst xmlns="http://schemas.openxmlformats.org/spreadsheetml/2006/main" count="9342" uniqueCount="530">
  <si>
    <t>Year</t>
  </si>
  <si>
    <t>Calendar Years</t>
  </si>
  <si>
    <t>Value (L)</t>
  </si>
  <si>
    <t>CAGR</t>
  </si>
  <si>
    <t>TOTAL</t>
  </si>
  <si>
    <t>NET WORTH</t>
  </si>
  <si>
    <t>Equity</t>
  </si>
  <si>
    <t>Debt</t>
  </si>
  <si>
    <t>Gold</t>
  </si>
  <si>
    <t>Alternate</t>
  </si>
  <si>
    <t>Liquid</t>
  </si>
  <si>
    <t>Total</t>
  </si>
  <si>
    <t>CONTRIBUTION</t>
  </si>
  <si>
    <t>NEW INVESTMENT</t>
  </si>
  <si>
    <t>RETURNS</t>
  </si>
  <si>
    <t>NET CHANGE</t>
  </si>
  <si>
    <t>% Change</t>
  </si>
  <si>
    <t>% RETURNS</t>
  </si>
  <si>
    <t>Quarter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</si>
  <si>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</si>
  <si>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</si>
  <si>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</si>
  <si>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</si>
  <si>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</si>
  <si>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</si>
  <si>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</si>
  <si>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</si>
  <si>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</si>
  <si>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</si>
  <si>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</si>
  <si>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</si>
  <si>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</si>
  <si>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</si>
  <si>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</si>
  <si>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</si>
  <si>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</si>
  <si>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</si>
  <si>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</si>
  <si>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</si>
  <si>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</si>
  <si>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</si>
  <si>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Calendar Quarters</t>
  </si>
  <si>
    <t>Average</t>
  </si>
  <si>
    <t>-</t>
  </si>
  <si>
    <t>Month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</si>
  <si>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</si>
  <si>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</si>
  <si>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</si>
  <si>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</si>
  <si>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</si>
  <si>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</si>
  <si>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</si>
  <si>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</si>
  <si>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</si>
  <si>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</si>
  <si>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</si>
  <si>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</si>
  <si>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</si>
  <si>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</si>
  <si>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</si>
  <si>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</si>
  <si>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</si>
  <si>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</si>
  <si>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</si>
  <si>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</si>
  <si>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</si>
  <si>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</si>
  <si>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</si>
  <si>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</si>
  <si>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</si>
  <si>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</si>
  <si>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</si>
  <si>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</si>
  <si>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</si>
  <si>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</si>
  <si>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</si>
  <si>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</si>
  <si>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</si>
  <si>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</si>
  <si>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</si>
  <si>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</si>
  <si>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</si>
  <si>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</si>
  <si>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</si>
  <si>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</si>
  <si>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</si>
  <si>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</si>
  <si>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</si>
  <si>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</si>
  <si>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</si>
  <si>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</si>
  <si>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</si>
  <si>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</si>
  <si>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</si>
  <si>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</si>
  <si>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</si>
  <si>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</si>
  <si>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</si>
  <si>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</si>
  <si>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</si>
  <si>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</si>
  <si>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</si>
  <si>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</si>
  <si>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</si>
  <si>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</si>
  <si>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</si>
  <si>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</si>
  <si>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</si>
  <si>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</si>
  <si>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</si>
  <si>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AVERAGE</t>
  </si>
  <si>
    <t>Annualized Investments</t>
  </si>
  <si>
    <t xml:space="preserve">Annualized Returns </t>
  </si>
  <si>
    <t>Annualized Change</t>
  </si>
  <si>
    <t>Instrument</t>
  </si>
  <si>
    <t>Asset Type</t>
  </si>
  <si>
    <t>Value (Lakhs)</t>
  </si>
  <si>
    <t>Stocks</t>
  </si>
  <si>
    <t xml:space="preserve"> </t>
  </si>
  <si>
    <t>Mutual Funds</t>
  </si>
  <si>
    <t>NPS E</t>
  </si>
  <si>
    <t>NPS C</t>
  </si>
  <si>
    <t>NPS G</t>
  </si>
  <si>
    <t>PF</t>
  </si>
  <si>
    <t>PPF</t>
  </si>
  <si>
    <t>Cash</t>
  </si>
  <si>
    <t>Crypto</t>
  </si>
  <si>
    <t>Bonds</t>
  </si>
  <si>
    <t>NPS</t>
  </si>
  <si>
    <t>Total Investment</t>
  </si>
  <si>
    <t>Total Growth</t>
  </si>
  <si>
    <t>Total Change</t>
  </si>
  <si>
    <t>NET CASHFLOWS</t>
  </si>
  <si>
    <t>XIRR</t>
  </si>
  <si>
    <t>0
%</t>
  </si>
  <si>
    <t>Total Return %</t>
  </si>
  <si>
    <t>Qty.</t>
  </si>
  <si>
    <t>Avg. cost</t>
  </si>
  <si>
    <t>LTP</t>
  </si>
  <si>
    <t>Invested</t>
  </si>
  <si>
    <t>Cur. val</t>
  </si>
  <si>
    <t>P&amp;L</t>
  </si>
  <si>
    <t>Gain %</t>
  </si>
  <si>
    <t>716GS2050-GS</t>
  </si>
  <si>
    <t>AJANTPHARM</t>
  </si>
  <si>
    <t>APOLLOTYRE</t>
  </si>
  <si>
    <t>AXISBANK</t>
  </si>
  <si>
    <t>BAJAJ-AUTO</t>
  </si>
  <si>
    <t>BAJFINANCE</t>
  </si>
  <si>
    <t>BALKRISIND</t>
  </si>
  <si>
    <t>BANKBARODA</t>
  </si>
  <si>
    <t>BANKIETF</t>
  </si>
  <si>
    <t>BHARTIARTL</t>
  </si>
  <si>
    <t>BRIGADE</t>
  </si>
  <si>
    <t>BRITANNIA</t>
  </si>
  <si>
    <t>CASTROLIND</t>
  </si>
  <si>
    <t>CIEINDIA</t>
  </si>
  <si>
    <t>CIPLA</t>
  </si>
  <si>
    <t>COALINDIA</t>
  </si>
  <si>
    <t>COFORGE</t>
  </si>
  <si>
    <t>COLPAL</t>
  </si>
  <si>
    <t>DLF</t>
  </si>
  <si>
    <t>DMART</t>
  </si>
  <si>
    <t>DRREDDY</t>
  </si>
  <si>
    <t>EICHERMOT</t>
  </si>
  <si>
    <t>EMBASSY-RR</t>
  </si>
  <si>
    <t>ENDURANCE</t>
  </si>
  <si>
    <t>ENRIN</t>
  </si>
  <si>
    <t>ERIS</t>
  </si>
  <si>
    <t>EXIDEIND</t>
  </si>
  <si>
    <t>FEDERALBNK</t>
  </si>
  <si>
    <t>FMCGIETF</t>
  </si>
  <si>
    <t>GODREJPROP</t>
  </si>
  <si>
    <t>GOLDBEES</t>
  </si>
  <si>
    <t>HCLTECH</t>
  </si>
  <si>
    <t>HDFCBANK</t>
  </si>
  <si>
    <t>HDFCLIFE</t>
  </si>
  <si>
    <t>HEROMOTOCO</t>
  </si>
  <si>
    <t>ICICIBANK</t>
  </si>
  <si>
    <t>ICICIGI</t>
  </si>
  <si>
    <t>ICICIPRULI</t>
  </si>
  <si>
    <t>INFY</t>
  </si>
  <si>
    <t>ITC</t>
  </si>
  <si>
    <t>JBCHEPHARM</t>
  </si>
  <si>
    <t>KARURVYSYA</t>
  </si>
  <si>
    <t>KOTAKBANK</t>
  </si>
  <si>
    <t>KPITTECH</t>
  </si>
  <si>
    <t>LALPATHLAB</t>
  </si>
  <si>
    <t>LT</t>
  </si>
  <si>
    <t>M&amp;M</t>
  </si>
  <si>
    <t>MANKIND</t>
  </si>
  <si>
    <t>MARICO</t>
  </si>
  <si>
    <t>MFSL</t>
  </si>
  <si>
    <t>MINDSPACE-RR</t>
  </si>
  <si>
    <t>MOTHERSON</t>
  </si>
  <si>
    <t>MPHASIS</t>
  </si>
  <si>
    <t>NESTLEIND</t>
  </si>
  <si>
    <t>NXST-RR</t>
  </si>
  <si>
    <t>OBEROIRLTY</t>
  </si>
  <si>
    <t>OFSS</t>
  </si>
  <si>
    <t>ONGC</t>
  </si>
  <si>
    <t>PERSISTENT</t>
  </si>
  <si>
    <t>PHOENIXLTD</t>
  </si>
  <si>
    <t>PIDILITIND</t>
  </si>
  <si>
    <t>PRESTIGE</t>
  </si>
  <si>
    <t>738REC27TF</t>
  </si>
  <si>
    <t>SBILIFE</t>
  </si>
  <si>
    <t>SBIN</t>
  </si>
  <si>
    <t>SGBAUG28V</t>
  </si>
  <si>
    <t>SGBJUL28IV-GB</t>
  </si>
  <si>
    <t>SGBSEP28VI-GB</t>
  </si>
  <si>
    <t>SIEMENS</t>
  </si>
  <si>
    <t>SUNPHARMA</t>
  </si>
  <si>
    <t>SYNGENE</t>
  </si>
  <si>
    <t>TATACONSUM</t>
  </si>
  <si>
    <t>TATASTEEL</t>
  </si>
  <si>
    <t>TCS</t>
  </si>
  <si>
    <t>TITAN</t>
  </si>
  <si>
    <t>TVSMNCRPS</t>
  </si>
  <si>
    <t>TVSMOTOR</t>
  </si>
  <si>
    <t>UNOMINDA</t>
  </si>
  <si>
    <t>VBL</t>
  </si>
  <si>
    <t>ZYDUSLIFE</t>
  </si>
  <si>
    <t>Scheme</t>
  </si>
  <si>
    <t>Scheme Type</t>
  </si>
  <si>
    <t>Quantity</t>
  </si>
  <si>
    <t>Current Price</t>
  </si>
  <si>
    <t>Average Buy NAV</t>
  </si>
  <si>
    <t>Amount Invested</t>
  </si>
  <si>
    <t>Current Valuation</t>
  </si>
  <si>
    <t>Unrealised Gain/Loss</t>
  </si>
  <si>
    <t>Gain/ Loss %</t>
  </si>
  <si>
    <t>Axis Greater China Equity FoF Direct-Growth</t>
  </si>
  <si>
    <t>Equity : International</t>
  </si>
  <si>
    <t>Axis Midcap Direct Plan-Growth</t>
  </si>
  <si>
    <t>Equity : Mid Cap</t>
  </si>
  <si>
    <t>Axis Small Cap Fund Direct-Growth</t>
  </si>
  <si>
    <t>Equity : Small Cap</t>
  </si>
  <si>
    <t>Canara Robeco Small Cap Fund Direct - Growth</t>
  </si>
  <si>
    <t>Edelweiss US Technology Equity FoF Direct - Growth</t>
  </si>
  <si>
    <t>HDFC BSE Sensex Index Fund Direct-Growth</t>
  </si>
  <si>
    <t>Equity : Large Cap</t>
  </si>
  <si>
    <t>HDFC Small Cap Fund Direct- Growth</t>
  </si>
  <si>
    <t>Kotak Midcap Fund Direct-Growth</t>
  </si>
  <si>
    <t>Motilal Oswal Nasdaq 100 FOF Direct - Growth</t>
  </si>
  <si>
    <t>Navi Nasdaq100 US Specific Equity Passive FoF Direct - Growth</t>
  </si>
  <si>
    <t>Navi Nifty 50 Index Fund Direct - Growth</t>
  </si>
  <si>
    <t>Navi Nifty Next 50 Index Fund Direct - Growth</t>
  </si>
  <si>
    <t>Nippon India Nifty IT Index Fund Direct - Growth</t>
  </si>
  <si>
    <t>Equity : Sectoral-Technology</t>
  </si>
  <si>
    <t>Parag Parikh Flexi Cap Fund Direct-Growth</t>
  </si>
  <si>
    <t>Equity : Flexi Cap</t>
  </si>
  <si>
    <t>PGIM India Global Equity Opportunities FoF Direct-Growth</t>
  </si>
  <si>
    <t>Quant Mid Cap Fund Direct-Growth</t>
  </si>
  <si>
    <t>Quant Small Cap Fund Direct Plan-Growth</t>
  </si>
  <si>
    <t>UTI Nifty Next 50 Index Fund Direct - Growth</t>
  </si>
  <si>
    <t>738REC27TF-N2</t>
  </si>
  <si>
    <t>TVSMNCRPS-P1</t>
  </si>
  <si>
    <t>716GS2050</t>
  </si>
  <si>
    <t>AIRTELPP-E1</t>
  </si>
  <si>
    <t>SGBJUL28IV</t>
  </si>
  <si>
    <t>SGBSEP28VI</t>
  </si>
  <si>
    <t>SGBAUG28V-GB</t>
  </si>
  <si>
    <t>Navi US NASDAQ 100 FoF Direct - Growth</t>
  </si>
  <si>
    <t>AIRTELPP</t>
  </si>
  <si>
    <t>MINDSPACE</t>
  </si>
  <si>
    <t>NXST</t>
  </si>
  <si>
    <t>TATAMOTORS</t>
  </si>
  <si>
    <t>Edelweiss Liquid Direct-Growth</t>
  </si>
  <si>
    <t>Debt : Liquid</t>
  </si>
  <si>
    <t>EMBASSY</t>
  </si>
  <si>
    <t>Axis Liquid Direct Fund-Growth</t>
  </si>
  <si>
    <t>Kotak Emerging Equity Fund Direct-Growth</t>
  </si>
  <si>
    <t>Navi NASDAQ 100 FoF Direct - Growth</t>
  </si>
  <si>
    <t>PGIM India Global Equity Opportunities Fund Direct-Growth</t>
  </si>
  <si>
    <t>ASHOKLEY</t>
  </si>
  <si>
    <t>ASIANPAINT</t>
  </si>
  <si>
    <t>AUBANK</t>
  </si>
  <si>
    <t>CANBK</t>
  </si>
  <si>
    <t>DABUR</t>
  </si>
  <si>
    <t>GODIGIT</t>
  </si>
  <si>
    <t>GRANULES</t>
  </si>
  <si>
    <t>HINDUNILVR</t>
  </si>
  <si>
    <t>HYUNDAI</t>
  </si>
  <si>
    <t>INDUSINDBK</t>
  </si>
  <si>
    <t>ITCHOTELS</t>
  </si>
  <si>
    <t>LTIM</t>
  </si>
  <si>
    <t>LUPIN</t>
  </si>
  <si>
    <t>POLICYBZR</t>
  </si>
  <si>
    <t>SOBHA</t>
  </si>
  <si>
    <t>SONACOMS</t>
  </si>
  <si>
    <t>STARHEALTH</t>
  </si>
  <si>
    <t>SUNDRMFAST</t>
  </si>
  <si>
    <t>SUPRAJIT</t>
  </si>
  <si>
    <t>738REC27TF-F</t>
  </si>
  <si>
    <t>ICICIBANKN</t>
  </si>
  <si>
    <t>ITCHOTELS-T</t>
  </si>
  <si>
    <t>LIQUIDBEES-F</t>
  </si>
  <si>
    <t>MOTHERSON#</t>
  </si>
  <si>
    <t>RELAXO</t>
  </si>
  <si>
    <t>YESBANK</t>
  </si>
  <si>
    <t>HDFC Index Fund - BSE Sensex Plan Direct-Growth</t>
  </si>
  <si>
    <t>TATAMTRDVR</t>
  </si>
  <si>
    <t>HDFC Index S&amp;P BSE Sensex Direct Plan-Growth</t>
  </si>
  <si>
    <t>BRITANNIA-N3</t>
  </si>
  <si>
    <t>SGBAUG28</t>
  </si>
  <si>
    <t>SGBJULY28</t>
  </si>
  <si>
    <t>RECLTD-N2</t>
  </si>
  <si>
    <t>SUVENPHAR</t>
  </si>
  <si>
    <t>ZYDUSWELL</t>
  </si>
  <si>
    <t>BILNCD2021</t>
  </si>
  <si>
    <t>SGBSEP28</t>
  </si>
  <si>
    <t>GHCLTEXTIL</t>
  </si>
  <si>
    <t>JUNIORBEES</t>
  </si>
  <si>
    <t>LIQUIDBEES</t>
  </si>
  <si>
    <t>MSUMI</t>
  </si>
  <si>
    <t>NIFTYBEES</t>
  </si>
  <si>
    <t>ALKEM</t>
  </si>
  <si>
    <t>TECHM</t>
  </si>
  <si>
    <r>
      <t>BAJAJ-AUTO </t>
    </r>
    <r>
      <rPr>
        <sz val="11"/>
        <color rgb="FF444444"/>
        <rFont val="Open Sans"/>
        <family val="2"/>
        <charset val="1"/>
      </rPr>
      <t>EVENT</t>
    </r>
  </si>
  <si>
    <r>
      <t>BAJFINANCE </t>
    </r>
    <r>
      <rPr>
        <sz val="11"/>
        <color rgb="FF444444"/>
        <rFont val="Open Sans"/>
        <family val="2"/>
        <charset val="1"/>
      </rPr>
      <t>EVENT</t>
    </r>
  </si>
  <si>
    <r>
      <t>BANKBARODA </t>
    </r>
    <r>
      <rPr>
        <sz val="11"/>
        <color rgb="FF444444"/>
        <rFont val="Open Sans"/>
        <family val="2"/>
        <charset val="1"/>
      </rPr>
      <t>EVENT</t>
    </r>
  </si>
  <si>
    <r>
      <t>SONACOMS </t>
    </r>
    <r>
      <rPr>
        <sz val="11"/>
        <color rgb="FF444444"/>
        <rFont val="Open Sans"/>
        <family val="2"/>
        <charset val="1"/>
      </rPr>
      <t>EVENT</t>
    </r>
  </si>
  <si>
    <r>
      <t>SYNGENE </t>
    </r>
    <r>
      <rPr>
        <sz val="11"/>
        <color rgb="FF444444"/>
        <rFont val="Open Sans"/>
        <family val="2"/>
        <charset val="1"/>
      </rPr>
      <t>EVENT</t>
    </r>
  </si>
  <si>
    <t>MAHINDCIE</t>
  </si>
  <si>
    <t>GHCL</t>
  </si>
  <si>
    <t>JKPAPER</t>
  </si>
  <si>
    <t>REDINGTON</t>
  </si>
  <si>
    <t>RKFORGE</t>
  </si>
  <si>
    <t>SHARDACROP</t>
  </si>
  <si>
    <t>SIYSIL</t>
  </si>
  <si>
    <t>UPL</t>
  </si>
  <si>
    <t>DIVISLAB</t>
  </si>
  <si>
    <t>INFY*</t>
  </si>
  <si>
    <t>GLAND</t>
  </si>
  <si>
    <t>HGINFRA</t>
  </si>
  <si>
    <t>OIL</t>
  </si>
  <si>
    <t>TCI</t>
  </si>
  <si>
    <t>Canara Robeco Small Cap Fund Direct-Growth</t>
  </si>
  <si>
    <t>LTI</t>
  </si>
  <si>
    <t>MINDTREE</t>
  </si>
  <si>
    <t>BAJAJ-AUTO*</t>
  </si>
  <si>
    <t>GICRE</t>
  </si>
  <si>
    <t>HINDALCO</t>
  </si>
  <si>
    <t>NATIONALUM</t>
  </si>
  <si>
    <t>SUNTECK</t>
  </si>
  <si>
    <t>VTL</t>
  </si>
  <si>
    <t>MINDAIND</t>
  </si>
  <si>
    <t>Tata S&amp;P BSE Sensex Index Direct</t>
  </si>
  <si>
    <t>Company</t>
  </si>
  <si>
    <t>Average Buy Price</t>
  </si>
  <si>
    <t>Gain/Loss</t>
  </si>
  <si>
    <t>Ajanta Pharma Ltd.</t>
  </si>
  <si>
    <t>Alkem Laboratories Ltd.</t>
  </si>
  <si>
    <t>Apollo Tyres Ltd.</t>
  </si>
  <si>
    <t>Asian Paints Ltd.</t>
  </si>
  <si>
    <t>Au Small Finance Bank Ltd.</t>
  </si>
  <si>
    <t>Avenue Supermarts Ltd.</t>
  </si>
  <si>
    <t>Axis Bank Ltd.</t>
  </si>
  <si>
    <t>Bajaj Auto Ltd.</t>
  </si>
  <si>
    <t>Bajaj Finance Ltd.</t>
  </si>
  <si>
    <t>Balkrishna Industries Ltd.</t>
  </si>
  <si>
    <t>Bharti Airtel Ltd.</t>
  </si>
  <si>
    <t>Brigade Enterprises Ltd.</t>
  </si>
  <si>
    <t>Britannia Industries Ltd.</t>
  </si>
  <si>
    <t>Castrol India Ltd.</t>
  </si>
  <si>
    <t>Cipla Ltd.</t>
  </si>
  <si>
    <t>Coal India Ltd.</t>
  </si>
  <si>
    <t>Coforge Ltd.</t>
  </si>
  <si>
    <t>Colgate-Palmolive (India) Ltd.</t>
  </si>
  <si>
    <t>Dabur India Ltd.</t>
  </si>
  <si>
    <t>Divi's Laboratories Ltd.</t>
  </si>
  <si>
    <t>DLF Ltd.</t>
  </si>
  <si>
    <t>Dr. Lal Pathlabs Ltd.</t>
  </si>
  <si>
    <t>Eicher Motors Ltd.</t>
  </si>
  <si>
    <t>Embassy Office Parks REIT</t>
  </si>
  <si>
    <t>Endurance Technologies Ltd.</t>
  </si>
  <si>
    <t>Eris Lifesciences Ltd.</t>
  </si>
  <si>
    <t>Exide Industries Ltd.</t>
  </si>
  <si>
    <t>Federal Bank Ltd.</t>
  </si>
  <si>
    <t>General Insurance Corporation of India</t>
  </si>
  <si>
    <t>GHCL Ltd.</t>
  </si>
  <si>
    <t>Gland Pharma Ltd.</t>
  </si>
  <si>
    <t>Godrej Properties Ltd.</t>
  </si>
  <si>
    <t>HCL Technologies Ltd.</t>
  </si>
  <si>
    <t>HDFC Bank Ltd.</t>
  </si>
  <si>
    <t>HDFC Life Insurance Company Ltd.</t>
  </si>
  <si>
    <t>Hero MotoCorp Ltd.</t>
  </si>
  <si>
    <t>HG Infra Engineering Ltd.</t>
  </si>
  <si>
    <t>Hindalco Industries Ltd.</t>
  </si>
  <si>
    <t>Hindustan Unilever Ltd.</t>
  </si>
  <si>
    <t>ICICI Bank Ltd.</t>
  </si>
  <si>
    <t>ICICI Lombard General Insurance Company Ltd.</t>
  </si>
  <si>
    <t>ICICI Prudential Life Insurance Company Ltd.</t>
  </si>
  <si>
    <t>IndusInd Bank Ltd.</t>
  </si>
  <si>
    <t>Infosys Ltd.</t>
  </si>
  <si>
    <t>ITC Ltd.</t>
  </si>
  <si>
    <t>J B Chemicals &amp; Pharmaceuticals Ltd.</t>
  </si>
  <si>
    <t>Kotak Mahindra Bank Ltd.</t>
  </si>
  <si>
    <t>KPIT Technologies Ltd.</t>
  </si>
  <si>
    <t>Larsen &amp; Toubro Infotech Ltd.</t>
  </si>
  <si>
    <t>Larsen &amp; Toubro Ltd.</t>
  </si>
  <si>
    <t>Mahindra &amp; Mahindra Ltd.</t>
  </si>
  <si>
    <t>Mahindra CIE Automotive Ltd.</t>
  </si>
  <si>
    <t>Marico Ltd.</t>
  </si>
  <si>
    <t>Minda Industries Ltd.</t>
  </si>
  <si>
    <t>Mindspace Business Parks REIT</t>
  </si>
  <si>
    <t>MindTree Ltd.</t>
  </si>
  <si>
    <t>MphasiS Ltd.</t>
  </si>
  <si>
    <t>National Aluminium Company Ltd.</t>
  </si>
  <si>
    <t>Oberoi Realty Ltd.</t>
  </si>
  <si>
    <t>Oil And Natural Gas Corporation Ltd.</t>
  </si>
  <si>
    <t>Oil India Ltd.</t>
  </si>
  <si>
    <t>Oracle Financial Services Software Ltd.</t>
  </si>
  <si>
    <t>Persistent Systems Ltd.</t>
  </si>
  <si>
    <t>Phoenix Mills Ltd.</t>
  </si>
  <si>
    <t>Pidilite Industries Ltd.</t>
  </si>
  <si>
    <t>Ramkrishna Forgings Ltd.</t>
  </si>
  <si>
    <t>Relaxo Footwears Ltd.</t>
  </si>
  <si>
    <t>Samvardhana Motherson International Ltd.</t>
  </si>
  <si>
    <t>SBI Life Insurance Company Ltd.</t>
  </si>
  <si>
    <t>Siemens Ltd.</t>
  </si>
  <si>
    <t>Siyaram Silk Mills Ltd.</t>
  </si>
  <si>
    <t>Sobha Ltd.</t>
  </si>
  <si>
    <t>Sona BLW Precision Forgings Ltd.</t>
  </si>
  <si>
    <t>State Bank of India</t>
  </si>
  <si>
    <t>Sun Pharmaceutical Industries Ltd.</t>
  </si>
  <si>
    <t>Sundram Fasteners Ltd.</t>
  </si>
  <si>
    <t>Sunteck Realty Ltd.</t>
  </si>
  <si>
    <t>Suprajit Engineering Ltd.</t>
  </si>
  <si>
    <t>Syngene International Ltd.</t>
  </si>
  <si>
    <t>Tata Consultancy Services Ltd.</t>
  </si>
  <si>
    <t>Tata Consumer Products Ltd.</t>
  </si>
  <si>
    <t>Tata Motors Ltd. (DVR)</t>
  </si>
  <si>
    <t>Tata Steel Ltd.</t>
  </si>
  <si>
    <t>Tech Mahindra Ltd.</t>
  </si>
  <si>
    <t>Titan Company Ltd.</t>
  </si>
  <si>
    <t>Vardhman Textiles Ltd.</t>
  </si>
  <si>
    <t>Varun Beverages Ltd.</t>
  </si>
  <si>
    <t>YES Bank Ltd.</t>
  </si>
  <si>
    <t>Zydus Wellness Ltd.</t>
  </si>
  <si>
    <t>HDFC Index Sensex Direct Plan-Growth</t>
  </si>
  <si>
    <t>Chambal Fertilisers &amp; Chemicals Ltd.</t>
  </si>
  <si>
    <t>Equitas Small Finance Bank Ltd.</t>
  </si>
  <si>
    <t>Finolex Industries Ltd.</t>
  </si>
  <si>
    <t>Ipca Laboratories Ltd.</t>
  </si>
  <si>
    <t>Jyothy Labs Ltd.</t>
  </si>
  <si>
    <t>Kirloskar Ferrous Industries Ltd.</t>
  </si>
  <si>
    <t>Motherson Sumi Systems Ltd.</t>
  </si>
  <si>
    <t>Orient Cement Ltd.</t>
  </si>
  <si>
    <t>Polyplex Corporation Ltd.</t>
  </si>
  <si>
    <t>Redington (India) Ltd.</t>
  </si>
  <si>
    <t>Sagar Cements Ltd.</t>
  </si>
  <si>
    <t>Wipro Ltd.</t>
  </si>
  <si>
    <t>Franklin India Liquid Fund Direct-Growth</t>
  </si>
  <si>
    <t>Tata Index Sensex Direct</t>
  </si>
  <si>
    <t>JK Lakshmi Cement Ltd.</t>
  </si>
  <si>
    <t>UPL Ltd.</t>
  </si>
  <si>
    <t>Alembic Ltd.</t>
  </si>
  <si>
    <t>Bajaj Consumer Care Ltd.</t>
  </si>
  <si>
    <t>City Union Bank Ltd.</t>
  </si>
  <si>
    <t>Gujarat Narmada Valley Fertilizers &amp; Chemicals Ltd.</t>
  </si>
  <si>
    <t>LT Foods Ltd.</t>
  </si>
  <si>
    <t>Maharashtra Seamless Ltd.</t>
  </si>
  <si>
    <t>NMDC Ltd.</t>
  </si>
  <si>
    <t>Welspun Corp Ltd.</t>
  </si>
  <si>
    <t>Aurobindo Pharma Ltd.</t>
  </si>
  <si>
    <t>Kalyani Steels Ltd.</t>
  </si>
  <si>
    <t>Time Technoplast Ltd.</t>
  </si>
  <si>
    <t>Alembic Pharmaceuticals Ltd.</t>
  </si>
  <si>
    <t>Voltamp Transformers Ltd.</t>
  </si>
  <si>
    <t>1,669.3500</t>
  </si>
  <si>
    <t>1,698.4900</t>
  </si>
  <si>
    <t>1,072.6500</t>
  </si>
  <si>
    <t>2,920.5000</t>
  </si>
  <si>
    <t>2,449.1144</t>
  </si>
  <si>
    <t>2,649.3500</t>
  </si>
  <si>
    <t>2,188.4000</t>
  </si>
  <si>
    <t>2,673.2500</t>
  </si>
  <si>
    <t>2,320.5133</t>
  </si>
  <si>
    <t>3,372.5500</t>
  </si>
  <si>
    <t>1,998.7500</t>
  </si>
  <si>
    <t>1,555.8500</t>
  </si>
  <si>
    <t>1,519.4833</t>
  </si>
  <si>
    <t>3,618.4500</t>
  </si>
  <si>
    <t>3,652.7667</t>
  </si>
  <si>
    <t>1,568.8000</t>
  </si>
  <si>
    <t>1,505.2167</t>
  </si>
  <si>
    <t>3,749.3000</t>
  </si>
  <si>
    <t>2,106.9117</t>
  </si>
  <si>
    <t>2,436.2000</t>
  </si>
  <si>
    <t>2,297.4200</t>
  </si>
  <si>
    <t>1,239.6500</t>
  </si>
  <si>
    <t>1,109.7440</t>
  </si>
  <si>
    <t>1,362.0000</t>
  </si>
  <si>
    <t>1,144.3333</t>
  </si>
  <si>
    <t>1,396.9000</t>
  </si>
  <si>
    <t>1,105.2971</t>
  </si>
  <si>
    <t>3,070.7500</t>
  </si>
  <si>
    <t>3,063.7500</t>
  </si>
  <si>
    <t>2,399.9500</t>
  </si>
  <si>
    <t>2,170.0167</t>
  </si>
  <si>
    <t>1,484.2500</t>
  </si>
  <si>
    <t>1,316.3180</t>
  </si>
  <si>
    <t>1,236.3500</t>
  </si>
  <si>
    <t>Insecticides (India) Ltd.</t>
  </si>
  <si>
    <t>2,162.3000</t>
  </si>
  <si>
    <t>1,753.4250</t>
  </si>
  <si>
    <t>1,032.6000</t>
  </si>
  <si>
    <t>1,961.9000</t>
  </si>
  <si>
    <t>1,373.3321</t>
  </si>
  <si>
    <t>1,261.8500</t>
  </si>
  <si>
    <t>1,053.2161</t>
  </si>
  <si>
    <t>Natco Pharma Ltd.</t>
  </si>
  <si>
    <t>1,549.9500</t>
  </si>
  <si>
    <t>1,200.1500</t>
  </si>
  <si>
    <t>1,021.1052</t>
  </si>
  <si>
    <t>1,940.2000</t>
  </si>
  <si>
    <t>1,811.5167</t>
  </si>
  <si>
    <t>%</t>
  </si>
  <si>
    <t>6,593.5310</t>
  </si>
  <si>
    <t>1,477.0530</t>
  </si>
  <si>
    <t>5,856.5760</t>
  </si>
  <si>
    <t>11,641.4980</t>
  </si>
  <si>
    <t>Parag Parikh Long Term Equity Fund Direct-Growth</t>
  </si>
  <si>
    <t>Equity : Multi Cap</t>
  </si>
  <si>
    <t>4,719.5050</t>
  </si>
  <si>
    <t>1,146.1800</t>
  </si>
  <si>
    <t>18,996.1680</t>
  </si>
  <si>
    <t>Gain/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</si>
</sst>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0.0%"/>
    <numFmt numFmtId="168" formatCode="_ * #,##0.0_ ;_ * \-#,##0.0_ ;_ * &quot;-&quot;?_ ;_ @_ "/>
    <numFmt numFmtId="169" formatCode="_ * #,##0.000_ ;_ * \-#,##0.000_ ;_ * &quot;-&quot;??_ ;_ @_ "/>
    <numFmt numFmtId="170" formatCode="0.0"/>
    <numFmt numFmtId="171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9"/>
      <color rgb="FFFFFFFF"/>
      <name val="Arial"/>
      <family val="2"/>
    </font>
    <font>
      <sz val="9"/>
      <color rgb="FF4B5B6E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4B5B6E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rgb="FFB7FC0A"/>
      <name val="Arial"/>
      <family val="2"/>
    </font>
    <font>
      <b/>
      <sz val="13"/>
      <color rgb="FFFFFFFF"/>
      <name val="Arial"/>
      <family val="2"/>
    </font>
    <font>
      <u/>
      <sz val="13"/>
      <color theme="10"/>
      <name val="Calibri"/>
      <family val="2"/>
      <scheme val="minor"/>
    </font>
    <font>
      <sz val="13"/>
      <color rgb="FF4B5B6E"/>
      <name val="Arial"/>
      <family val="2"/>
    </font>
    <font>
      <b/>
      <sz val="13"/>
      <color theme="1"/>
      <name val="Calibri"/>
      <family val="2"/>
      <scheme val="minor"/>
    </font>
    <font>
      <b/>
      <sz val="13"/>
      <color rgb="FF4B5B6E"/>
      <name val="Arial"/>
      <family val="2"/>
    </font>
    <font>
      <sz val="10"/>
      <color rgb="FF4B5B6E"/>
      <name val="Arial"/>
      <family val="2"/>
    </font>
    <font>
      <b/>
      <sz val="11"/>
      <color rgb="FFFFFFFF"/>
      <name val="Arial"/>
      <family val="2"/>
    </font>
    <font>
      <sz val="11"/>
      <color rgb="FF4B5B6E"/>
      <name val="Arial"/>
      <family val="2"/>
    </font>
    <font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rgb="FFB7FC0A"/>
      <name val="Helvetica"/>
      <charset val="1"/>
    </font>
    <font>
      <b/>
      <sz val="9"/>
      <color rgb="FFFFFFFF"/>
      <name val="Helvetica"/>
      <charset val="1"/>
    </font>
    <font>
      <sz val="9"/>
      <color rgb="FF4B5B6E"/>
      <name val="Helvetica"/>
      <charset val="1"/>
    </font>
    <font>
      <sz val="9"/>
      <color theme="1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11"/>
      <color rgb="FF444444"/>
      <name val="Open Sans"/>
      <family val="2"/>
      <charset val="1"/>
    </font>
    <font>
      <sz val="10"/>
      <color theme="1"/>
      <name val="Calibri"/>
      <family val="2"/>
      <scheme val="minor"/>
    </font>
    <font>
      <sz val="8"/>
      <color rgb="FF000000"/>
      <name val="Calibri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B5B6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21">
    <border>
      <left/>
      <right/>
      <top/>
      <bottom/>
      <diagonal/>
    </border>
    <border>
      <left style="medium">
        <color rgb="FF96A3B0"/>
      </left>
      <right style="medium">
        <color rgb="FF96A3B0"/>
      </right>
      <top/>
      <bottom style="medium">
        <color rgb="FF111111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 style="medium">
        <color rgb="FF96A3B0"/>
      </left>
      <right style="medium">
        <color rgb="FF96A3B0"/>
      </right>
      <top/>
      <bottom/>
      <diagonal/>
    </border>
    <border>
      <left/>
      <right style="medium">
        <color rgb="FFDDDDDD"/>
      </right>
      <top style="medium">
        <color rgb="FF111111"/>
      </top>
      <bottom style="double">
        <color indexed="64"/>
      </bottom>
      <diagonal/>
    </border>
    <border>
      <left/>
      <right/>
      <top style="medium">
        <color rgb="FF111111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96A3B0"/>
      </left>
      <right style="thin">
        <color rgb="FF96A3B0"/>
      </right>
      <top/>
      <bottom style="thin">
        <color rgb="FF111111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 style="thin">
        <color rgb="FF11111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</cellStyleXfs>
  <cellXfs count="216">
    <xf numFmtId="0" fontId="0" fillId="0" borderId="0" xfId="0"/>
    <xf numFmtId="9" fontId="0" fillId="0" borderId="0" xfId="2" applyFont="1"/>
    <xf numFmtId="0" fontId="2" fillId="0" borderId="0" xfId="3"/>
    <xf numFmtId="0" fontId="3" fillId="0" borderId="0" xfId="3" applyFont="1"/>
    <xf numFmtId="164" fontId="2" fillId="0" borderId="0" xfId="1" applyFont="1" applyFill="1" applyBorder="1"/>
    <xf numFmtId="165" fontId="2" fillId="0" borderId="0" xfId="1" applyNumberFormat="1" applyFont="1" applyFill="1" applyBorder="1"/>
    <xf numFmtId="165" fontId="0" fillId="0" borderId="0" xfId="0" applyNumberFormat="1"/>
    <xf numFmtId="164" fontId="0" fillId="0" borderId="0" xfId="1" applyFont="1"/>
    <xf numFmtId="9" fontId="2" fillId="0" borderId="0" xfId="2" applyFont="1" applyFill="1" applyBorder="1"/>
    <xf numFmtId="165" fontId="0" fillId="0" borderId="0" xfId="1" applyNumberFormat="1" applyFont="1"/>
    <xf numFmtId="14" fontId="0" fillId="0" borderId="0" xfId="0" applyNumberFormat="1" applyAlignment="1">
      <alignment horizontal="center"/>
    </xf>
    <xf numFmtId="0" fontId="4" fillId="3" borderId="1" xfId="0" applyFont="1" applyFill="1" applyBorder="1" applyAlignment="1">
      <alignment horizontal="left" vertical="top" wrapText="1" indent="2"/>
    </xf>
    <xf numFmtId="0" fontId="6" fillId="2" borderId="2" xfId="4" applyFill="1" applyBorder="1" applyAlignment="1">
      <alignment vertical="top" wrapText="1" indent="1"/>
    </xf>
    <xf numFmtId="0" fontId="5" fillId="2" borderId="2" xfId="0" applyFont="1" applyFill="1" applyBorder="1" applyAlignment="1">
      <alignment vertical="top" wrapText="1" indent="1"/>
    </xf>
    <xf numFmtId="4" fontId="5" fillId="2" borderId="2" xfId="0" applyNumberFormat="1" applyFont="1" applyFill="1" applyBorder="1" applyAlignment="1">
      <alignment vertical="top" wrapText="1" indent="1"/>
    </xf>
    <xf numFmtId="0" fontId="6" fillId="2" borderId="3" xfId="4" applyFill="1" applyBorder="1" applyAlignment="1">
      <alignment vertical="top" wrapText="1" indent="1"/>
    </xf>
    <xf numFmtId="0" fontId="5" fillId="2" borderId="3" xfId="0" applyFont="1" applyFill="1" applyBorder="1" applyAlignment="1">
      <alignment vertical="top" wrapText="1" indent="1"/>
    </xf>
    <xf numFmtId="4" fontId="5" fillId="2" borderId="3" xfId="0" applyNumberFormat="1" applyFont="1" applyFill="1" applyBorder="1" applyAlignment="1">
      <alignment vertical="top" wrapText="1" indent="1"/>
    </xf>
    <xf numFmtId="0" fontId="4" fillId="3" borderId="4" xfId="0" applyFont="1" applyFill="1" applyBorder="1" applyAlignment="1">
      <alignment horizontal="left" vertical="top" wrapText="1" indent="2"/>
    </xf>
    <xf numFmtId="9" fontId="5" fillId="2" borderId="2" xfId="2" applyFont="1" applyFill="1" applyBorder="1" applyAlignment="1">
      <alignment vertical="top" wrapText="1" indent="1"/>
    </xf>
    <xf numFmtId="9" fontId="5" fillId="2" borderId="3" xfId="2" applyFont="1" applyFill="1" applyBorder="1" applyAlignment="1">
      <alignment vertical="top" wrapText="1" indent="1"/>
    </xf>
    <xf numFmtId="0" fontId="7" fillId="3" borderId="1" xfId="0" applyFont="1" applyFill="1" applyBorder="1" applyAlignment="1">
      <alignment horizontal="left" vertical="top" wrapText="1" indent="1"/>
    </xf>
    <xf numFmtId="0" fontId="8" fillId="0" borderId="0" xfId="0" applyFont="1"/>
    <xf numFmtId="0" fontId="9" fillId="2" borderId="2" xfId="4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top" wrapText="1"/>
    </xf>
    <xf numFmtId="4" fontId="10" fillId="2" borderId="2" xfId="0" applyNumberFormat="1" applyFont="1" applyFill="1" applyBorder="1" applyAlignment="1">
      <alignment vertical="top" wrapText="1"/>
    </xf>
    <xf numFmtId="0" fontId="9" fillId="2" borderId="3" xfId="4" applyFont="1" applyFill="1" applyBorder="1" applyAlignment="1">
      <alignment vertical="top" wrapText="1"/>
    </xf>
    <xf numFmtId="0" fontId="10" fillId="2" borderId="3" xfId="0" applyFont="1" applyFill="1" applyBorder="1" applyAlignment="1">
      <alignment vertical="top" wrapText="1"/>
    </xf>
    <xf numFmtId="4" fontId="10" fillId="2" borderId="3" xfId="0" applyNumberFormat="1" applyFont="1" applyFill="1" applyBorder="1" applyAlignment="1">
      <alignment vertical="top" wrapText="1"/>
    </xf>
    <xf numFmtId="165" fontId="3" fillId="0" borderId="0" xfId="1" applyNumberFormat="1" applyFont="1" applyFill="1" applyBorder="1"/>
    <xf numFmtId="0" fontId="13" fillId="3" borderId="1" xfId="0" applyFont="1" applyFill="1" applyBorder="1" applyAlignment="1">
      <alignment horizontal="left" vertical="top" wrapText="1" indent="1"/>
    </xf>
    <xf numFmtId="0" fontId="14" fillId="2" borderId="2" xfId="4" applyFont="1" applyFill="1" applyBorder="1" applyAlignment="1">
      <alignment vertical="top" wrapText="1"/>
    </xf>
    <xf numFmtId="0" fontId="14" fillId="2" borderId="3" xfId="4" applyFont="1" applyFill="1" applyBorder="1" applyAlignment="1">
      <alignment vertical="top" wrapText="1"/>
    </xf>
    <xf numFmtId="0" fontId="12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3" fillId="3" borderId="4" xfId="0" applyFont="1" applyFill="1" applyBorder="1" applyAlignment="1">
      <alignment horizontal="left" vertical="top"/>
    </xf>
    <xf numFmtId="0" fontId="14" fillId="2" borderId="2" xfId="4" applyFont="1" applyFill="1" applyBorder="1" applyAlignment="1">
      <alignment vertical="top"/>
    </xf>
    <xf numFmtId="0" fontId="15" fillId="2" borderId="2" xfId="0" applyFont="1" applyFill="1" applyBorder="1" applyAlignment="1">
      <alignment vertical="top"/>
    </xf>
    <xf numFmtId="165" fontId="15" fillId="2" borderId="2" xfId="1" applyNumberFormat="1" applyFont="1" applyFill="1" applyBorder="1" applyAlignment="1">
      <alignment vertical="top"/>
    </xf>
    <xf numFmtId="9" fontId="15" fillId="2" borderId="2" xfId="2" applyFont="1" applyFill="1" applyBorder="1" applyAlignment="1">
      <alignment vertical="top"/>
    </xf>
    <xf numFmtId="0" fontId="14" fillId="2" borderId="3" xfId="4" applyFont="1" applyFill="1" applyBorder="1" applyAlignment="1">
      <alignment vertical="top"/>
    </xf>
    <xf numFmtId="0" fontId="15" fillId="2" borderId="3" xfId="0" applyFont="1" applyFill="1" applyBorder="1" applyAlignment="1">
      <alignment vertical="top"/>
    </xf>
    <xf numFmtId="165" fontId="15" fillId="2" borderId="3" xfId="1" applyNumberFormat="1" applyFont="1" applyFill="1" applyBorder="1" applyAlignment="1">
      <alignment vertical="top"/>
    </xf>
    <xf numFmtId="9" fontId="15" fillId="2" borderId="3" xfId="2" applyFont="1" applyFill="1" applyBorder="1" applyAlignment="1">
      <alignment vertical="top"/>
    </xf>
    <xf numFmtId="0" fontId="16" fillId="0" borderId="6" xfId="0" applyFont="1" applyBorder="1"/>
    <xf numFmtId="165" fontId="16" fillId="0" borderId="6" xfId="1" applyNumberFormat="1" applyFont="1" applyBorder="1"/>
    <xf numFmtId="9" fontId="17" fillId="2" borderId="5" xfId="2" applyFont="1" applyFill="1" applyBorder="1" applyAlignment="1">
      <alignment vertical="top" wrapText="1" indent="1"/>
    </xf>
    <xf numFmtId="0" fontId="18" fillId="2" borderId="2" xfId="0" applyFont="1" applyFill="1" applyBorder="1" applyAlignment="1">
      <alignment vertical="top" wrapText="1"/>
    </xf>
    <xf numFmtId="0" fontId="18" fillId="2" borderId="3" xfId="0" applyFont="1" applyFill="1" applyBorder="1" applyAlignment="1">
      <alignment vertical="top" wrapText="1"/>
    </xf>
    <xf numFmtId="165" fontId="18" fillId="2" borderId="2" xfId="1" applyNumberFormat="1" applyFont="1" applyFill="1" applyBorder="1" applyAlignment="1">
      <alignment vertical="top" wrapText="1"/>
    </xf>
    <xf numFmtId="165" fontId="18" fillId="2" borderId="3" xfId="1" applyNumberFormat="1" applyFont="1" applyFill="1" applyBorder="1" applyAlignment="1">
      <alignment vertical="top" wrapText="1"/>
    </xf>
    <xf numFmtId="0" fontId="11" fillId="0" borderId="7" xfId="0" applyFont="1" applyBorder="1"/>
    <xf numFmtId="165" fontId="11" fillId="0" borderId="7" xfId="1" applyNumberFormat="1" applyFont="1" applyBorder="1"/>
    <xf numFmtId="9" fontId="11" fillId="0" borderId="8" xfId="2" applyFont="1" applyBorder="1"/>
    <xf numFmtId="0" fontId="19" fillId="3" borderId="1" xfId="0" applyFont="1" applyFill="1" applyBorder="1" applyAlignment="1">
      <alignment horizontal="left" vertical="top" wrapText="1" indent="1"/>
    </xf>
    <xf numFmtId="0" fontId="6" fillId="2" borderId="2" xfId="4" applyFill="1" applyBorder="1" applyAlignment="1">
      <alignment vertical="top" wrapText="1"/>
    </xf>
    <xf numFmtId="0" fontId="20" fillId="2" borderId="2" xfId="0" applyFont="1" applyFill="1" applyBorder="1" applyAlignment="1">
      <alignment vertical="top" wrapText="1"/>
    </xf>
    <xf numFmtId="4" fontId="20" fillId="2" borderId="2" xfId="0" applyNumberFormat="1" applyFont="1" applyFill="1" applyBorder="1" applyAlignment="1">
      <alignment vertical="top" wrapText="1"/>
    </xf>
    <xf numFmtId="0" fontId="6" fillId="2" borderId="3" xfId="4" applyFill="1" applyBorder="1" applyAlignment="1">
      <alignment vertical="top" wrapText="1"/>
    </xf>
    <xf numFmtId="0" fontId="20" fillId="2" borderId="3" xfId="0" applyFont="1" applyFill="1" applyBorder="1" applyAlignment="1">
      <alignment vertical="top" wrapText="1"/>
    </xf>
    <xf numFmtId="4" fontId="20" fillId="2" borderId="3" xfId="0" applyNumberFormat="1" applyFont="1" applyFill="1" applyBorder="1" applyAlignment="1">
      <alignment vertical="top" wrapText="1"/>
    </xf>
    <xf numFmtId="9" fontId="20" fillId="2" borderId="3" xfId="2" applyFont="1" applyFill="1" applyBorder="1" applyAlignment="1">
      <alignment vertical="top" wrapText="1"/>
    </xf>
    <xf numFmtId="9" fontId="19" fillId="3" borderId="1" xfId="2" applyFont="1" applyFill="1" applyBorder="1" applyAlignment="1">
      <alignment horizontal="left" vertical="top" wrapText="1" indent="1"/>
    </xf>
    <xf numFmtId="9" fontId="20" fillId="2" borderId="2" xfId="2" applyFont="1" applyFill="1" applyBorder="1" applyAlignment="1">
      <alignment vertical="top" wrapText="1"/>
    </xf>
    <xf numFmtId="9" fontId="16" fillId="0" borderId="6" xfId="2" applyFont="1" applyBorder="1"/>
    <xf numFmtId="9" fontId="0" fillId="0" borderId="0" xfId="2" applyFont="1" applyAlignment="1"/>
    <xf numFmtId="0" fontId="11" fillId="0" borderId="0" xfId="0" applyFont="1" applyAlignment="1">
      <alignment horizontal="center"/>
    </xf>
    <xf numFmtId="165" fontId="20" fillId="2" borderId="2" xfId="1" applyNumberFormat="1" applyFont="1" applyFill="1" applyBorder="1" applyAlignment="1">
      <alignment vertical="top" wrapText="1"/>
    </xf>
    <xf numFmtId="165" fontId="20" fillId="2" borderId="3" xfId="1" applyNumberFormat="1" applyFont="1" applyFill="1" applyBorder="1" applyAlignment="1">
      <alignment vertical="top" wrapText="1"/>
    </xf>
    <xf numFmtId="0" fontId="11" fillId="0" borderId="0" xfId="0" applyFont="1"/>
    <xf numFmtId="14" fontId="11" fillId="0" borderId="0" xfId="0" applyNumberFormat="1" applyFont="1" applyAlignment="1">
      <alignment horizontal="center"/>
    </xf>
    <xf numFmtId="166" fontId="0" fillId="0" borderId="0" xfId="1" applyNumberFormat="1" applyFont="1"/>
    <xf numFmtId="166" fontId="0" fillId="0" borderId="0" xfId="0" applyNumberFormat="1"/>
    <xf numFmtId="165" fontId="0" fillId="0" borderId="0" xfId="2" applyNumberFormat="1" applyFont="1"/>
    <xf numFmtId="0" fontId="11" fillId="0" borderId="8" xfId="0" applyFont="1" applyBorder="1"/>
    <xf numFmtId="165" fontId="11" fillId="0" borderId="8" xfId="1" applyNumberFormat="1" applyFont="1" applyBorder="1"/>
    <xf numFmtId="0" fontId="0" fillId="0" borderId="0" xfId="0" applyAlignment="1">
      <alignment vertical="center" wrapText="1"/>
    </xf>
    <xf numFmtId="0" fontId="6" fillId="0" borderId="0" xfId="4" applyAlignment="1">
      <alignment vertical="center" wrapText="1"/>
    </xf>
    <xf numFmtId="4" fontId="0" fillId="0" borderId="0" xfId="0" applyNumberFormat="1" applyAlignment="1">
      <alignment vertical="center" wrapText="1"/>
    </xf>
    <xf numFmtId="9" fontId="21" fillId="0" borderId="7" xfId="2" applyFont="1" applyBorder="1"/>
    <xf numFmtId="9" fontId="20" fillId="2" borderId="0" xfId="2" applyFont="1" applyFill="1" applyBorder="1" applyAlignment="1">
      <alignment vertical="top" wrapText="1"/>
    </xf>
    <xf numFmtId="1" fontId="11" fillId="0" borderId="0" xfId="0" applyNumberFormat="1" applyFont="1" applyAlignment="1">
      <alignment horizontal="center"/>
    </xf>
    <xf numFmtId="165" fontId="0" fillId="0" borderId="0" xfId="1" applyNumberFormat="1" applyFont="1" applyAlignment="1">
      <alignment vertical="center" wrapText="1"/>
    </xf>
    <xf numFmtId="164" fontId="11" fillId="0" borderId="8" xfId="1" applyFont="1" applyBorder="1"/>
    <xf numFmtId="166" fontId="11" fillId="0" borderId="8" xfId="1" applyNumberFormat="1" applyFont="1" applyBorder="1"/>
    <xf numFmtId="167" fontId="11" fillId="0" borderId="8" xfId="2" applyNumberFormat="1" applyFont="1" applyBorder="1"/>
    <xf numFmtId="0" fontId="0" fillId="5" borderId="0" xfId="0" applyFill="1"/>
    <xf numFmtId="164" fontId="0" fillId="5" borderId="0" xfId="1" applyFont="1" applyFill="1"/>
    <xf numFmtId="9" fontId="0" fillId="7" borderId="0" xfId="2" applyFont="1" applyFill="1"/>
    <xf numFmtId="9" fontId="0" fillId="9" borderId="0" xfId="2" applyFont="1" applyFill="1"/>
    <xf numFmtId="166" fontId="0" fillId="9" borderId="0" xfId="1" applyNumberFormat="1" applyFont="1" applyFill="1"/>
    <xf numFmtId="9" fontId="0" fillId="11" borderId="0" xfId="2" applyFont="1" applyFill="1"/>
    <xf numFmtId="166" fontId="0" fillId="11" borderId="0" xfId="1" applyNumberFormat="1" applyFont="1" applyFill="1"/>
    <xf numFmtId="9" fontId="0" fillId="13" borderId="0" xfId="2" applyFont="1" applyFill="1"/>
    <xf numFmtId="166" fontId="0" fillId="13" borderId="0" xfId="1" applyNumberFormat="1" applyFont="1" applyFill="1"/>
    <xf numFmtId="0" fontId="0" fillId="15" borderId="0" xfId="0" applyFill="1"/>
    <xf numFmtId="167" fontId="0" fillId="15" borderId="0" xfId="2" applyNumberFormat="1" applyFont="1" applyFill="1"/>
    <xf numFmtId="0" fontId="22" fillId="15" borderId="0" xfId="0" applyFont="1" applyFill="1"/>
    <xf numFmtId="0" fontId="23" fillId="0" borderId="8" xfId="0" applyFont="1" applyBorder="1"/>
    <xf numFmtId="0" fontId="23" fillId="0" borderId="0" xfId="0" applyFont="1"/>
    <xf numFmtId="0" fontId="22" fillId="0" borderId="0" xfId="0" applyFont="1"/>
    <xf numFmtId="0" fontId="22" fillId="5" borderId="0" xfId="0" applyFont="1" applyFill="1"/>
    <xf numFmtId="0" fontId="22" fillId="7" borderId="0" xfId="0" applyFont="1" applyFill="1"/>
    <xf numFmtId="9" fontId="23" fillId="0" borderId="8" xfId="2" applyFont="1" applyBorder="1"/>
    <xf numFmtId="0" fontId="22" fillId="9" borderId="0" xfId="0" applyFont="1" applyFill="1"/>
    <xf numFmtId="0" fontId="22" fillId="11" borderId="0" xfId="0" applyFont="1" applyFill="1"/>
    <xf numFmtId="0" fontId="22" fillId="13" borderId="0" xfId="0" applyFont="1" applyFill="1"/>
    <xf numFmtId="14" fontId="11" fillId="0" borderId="11" xfId="0" applyNumberFormat="1" applyFont="1" applyBorder="1"/>
    <xf numFmtId="0" fontId="23" fillId="0" borderId="10" xfId="0" applyFont="1" applyBorder="1"/>
    <xf numFmtId="14" fontId="11" fillId="0" borderId="10" xfId="0" applyNumberFormat="1" applyFont="1" applyBorder="1" applyAlignment="1">
      <alignment horizontal="center"/>
    </xf>
    <xf numFmtId="1" fontId="0" fillId="0" borderId="0" xfId="0" applyNumberFormat="1"/>
    <xf numFmtId="14" fontId="11" fillId="0" borderId="12" xfId="0" applyNumberFormat="1" applyFont="1" applyBorder="1" applyAlignment="1">
      <alignment horizontal="center"/>
    </xf>
    <xf numFmtId="165" fontId="0" fillId="5" borderId="0" xfId="1" applyNumberFormat="1" applyFont="1" applyFill="1"/>
    <xf numFmtId="165" fontId="0" fillId="0" borderId="8" xfId="1" applyNumberFormat="1" applyFont="1" applyBorder="1"/>
    <xf numFmtId="0" fontId="11" fillId="0" borderId="0" xfId="0" applyFont="1" applyAlignment="1">
      <alignment horizontal="left"/>
    </xf>
    <xf numFmtId="165" fontId="0" fillId="17" borderId="0" xfId="1" applyNumberFormat="1" applyFont="1" applyFill="1"/>
    <xf numFmtId="165" fontId="0" fillId="9" borderId="0" xfId="1" applyNumberFormat="1" applyFont="1" applyFill="1"/>
    <xf numFmtId="165" fontId="0" fillId="11" borderId="0" xfId="1" applyNumberFormat="1" applyFont="1" applyFill="1"/>
    <xf numFmtId="165" fontId="0" fillId="13" borderId="0" xfId="1" applyNumberFormat="1" applyFont="1" applyFill="1"/>
    <xf numFmtId="0" fontId="22" fillId="17" borderId="0" xfId="0" applyFont="1" applyFill="1"/>
    <xf numFmtId="0" fontId="23" fillId="0" borderId="12" xfId="0" applyFont="1" applyBorder="1"/>
    <xf numFmtId="9" fontId="0" fillId="0" borderId="8" xfId="2" applyFont="1" applyBorder="1"/>
    <xf numFmtId="165" fontId="0" fillId="0" borderId="12" xfId="1" applyNumberFormat="1" applyFont="1" applyBorder="1"/>
    <xf numFmtId="9" fontId="0" fillId="0" borderId="12" xfId="2" applyFont="1" applyBorder="1"/>
    <xf numFmtId="0" fontId="23" fillId="0" borderId="9" xfId="0" applyFont="1" applyBorder="1"/>
    <xf numFmtId="165" fontId="0" fillId="0" borderId="9" xfId="1" applyNumberFormat="1" applyFont="1" applyBorder="1"/>
    <xf numFmtId="9" fontId="0" fillId="0" borderId="9" xfId="2" applyFont="1" applyBorder="1"/>
    <xf numFmtId="0" fontId="23" fillId="5" borderId="0" xfId="0" applyFont="1" applyFill="1"/>
    <xf numFmtId="9" fontId="0" fillId="5" borderId="0" xfId="2" applyFont="1" applyFill="1"/>
    <xf numFmtId="0" fontId="23" fillId="7" borderId="0" xfId="0" applyFont="1" applyFill="1"/>
    <xf numFmtId="0" fontId="23" fillId="17" borderId="0" xfId="0" applyFont="1" applyFill="1"/>
    <xf numFmtId="9" fontId="0" fillId="17" borderId="0" xfId="2" applyFont="1" applyFill="1"/>
    <xf numFmtId="0" fontId="23" fillId="9" borderId="0" xfId="0" applyFont="1" applyFill="1"/>
    <xf numFmtId="0" fontId="23" fillId="11" borderId="0" xfId="0" applyFont="1" applyFill="1"/>
    <xf numFmtId="0" fontId="23" fillId="13" borderId="0" xfId="0" applyFont="1" applyFill="1"/>
    <xf numFmtId="165" fontId="6" fillId="0" borderId="0" xfId="1" applyNumberFormat="1" applyFont="1" applyAlignment="1">
      <alignment vertical="center" wrapText="1"/>
    </xf>
    <xf numFmtId="9" fontId="0" fillId="0" borderId="0" xfId="2" applyFont="1" applyAlignment="1">
      <alignment vertical="center" wrapText="1"/>
    </xf>
    <xf numFmtId="0" fontId="24" fillId="3" borderId="13" xfId="0" applyFont="1" applyFill="1" applyBorder="1" applyAlignment="1">
      <alignment wrapText="1"/>
    </xf>
    <xf numFmtId="0" fontId="25" fillId="3" borderId="13" xfId="0" applyFont="1" applyFill="1" applyBorder="1" applyAlignment="1">
      <alignment wrapText="1"/>
    </xf>
    <xf numFmtId="0" fontId="6" fillId="2" borderId="14" xfId="4" applyFill="1" applyBorder="1" applyAlignment="1">
      <alignment wrapText="1"/>
    </xf>
    <xf numFmtId="0" fontId="26" fillId="2" borderId="14" xfId="0" applyFont="1" applyFill="1" applyBorder="1" applyAlignment="1">
      <alignment wrapText="1"/>
    </xf>
    <xf numFmtId="4" fontId="26" fillId="2" borderId="14" xfId="0" applyNumberFormat="1" applyFont="1" applyFill="1" applyBorder="1" applyAlignment="1">
      <alignment wrapText="1"/>
    </xf>
    <xf numFmtId="0" fontId="6" fillId="2" borderId="15" xfId="4" applyFill="1" applyBorder="1" applyAlignment="1">
      <alignment wrapText="1"/>
    </xf>
    <xf numFmtId="0" fontId="26" fillId="2" borderId="15" xfId="0" applyFont="1" applyFill="1" applyBorder="1" applyAlignment="1">
      <alignment wrapText="1"/>
    </xf>
    <xf numFmtId="4" fontId="26" fillId="2" borderId="15" xfId="0" applyNumberFormat="1" applyFont="1" applyFill="1" applyBorder="1" applyAlignment="1">
      <alignment wrapText="1"/>
    </xf>
    <xf numFmtId="9" fontId="27" fillId="0" borderId="0" xfId="2" applyFont="1" applyAlignment="1">
      <alignment vertical="center" wrapText="1"/>
    </xf>
    <xf numFmtId="0" fontId="19" fillId="3" borderId="1" xfId="0" applyFont="1" applyFill="1" applyBorder="1" applyAlignment="1">
      <alignment horizontal="center" vertical="center" wrapText="1" indent="1"/>
    </xf>
    <xf numFmtId="9" fontId="27" fillId="0" borderId="0" xfId="2" applyFont="1"/>
    <xf numFmtId="0" fontId="28" fillId="18" borderId="16" xfId="0" applyFont="1" applyFill="1" applyBorder="1"/>
    <xf numFmtId="0" fontId="28" fillId="19" borderId="16" xfId="0" applyFont="1" applyFill="1" applyBorder="1"/>
    <xf numFmtId="0" fontId="29" fillId="0" borderId="16" xfId="0" applyFont="1" applyBorder="1"/>
    <xf numFmtId="165" fontId="29" fillId="0" borderId="16" xfId="0" applyNumberFormat="1" applyFont="1" applyBorder="1"/>
    <xf numFmtId="0" fontId="6" fillId="0" borderId="0" xfId="4" applyFill="1" applyBorder="1" applyAlignment="1">
      <alignment wrapText="1"/>
    </xf>
    <xf numFmtId="0" fontId="26" fillId="0" borderId="0" xfId="0" applyFont="1" applyAlignment="1">
      <alignment wrapText="1"/>
    </xf>
    <xf numFmtId="4" fontId="26" fillId="0" borderId="0" xfId="0" applyNumberFormat="1" applyFont="1" applyAlignment="1">
      <alignment wrapText="1"/>
    </xf>
    <xf numFmtId="164" fontId="26" fillId="2" borderId="14" xfId="0" applyNumberFormat="1" applyFont="1" applyFill="1" applyBorder="1" applyAlignment="1">
      <alignment wrapText="1"/>
    </xf>
    <xf numFmtId="164" fontId="26" fillId="2" borderId="15" xfId="0" applyNumberFormat="1" applyFont="1" applyFill="1" applyBorder="1" applyAlignment="1">
      <alignment wrapText="1"/>
    </xf>
    <xf numFmtId="3" fontId="26" fillId="2" borderId="14" xfId="0" applyNumberFormat="1" applyFont="1" applyFill="1" applyBorder="1" applyAlignment="1">
      <alignment wrapText="1"/>
    </xf>
    <xf numFmtId="3" fontId="26" fillId="2" borderId="15" xfId="0" applyNumberFormat="1" applyFont="1" applyFill="1" applyBorder="1" applyAlignment="1">
      <alignment wrapText="1"/>
    </xf>
    <xf numFmtId="168" fontId="0" fillId="0" borderId="0" xfId="0" applyNumberFormat="1"/>
    <xf numFmtId="14" fontId="11" fillId="4" borderId="0" xfId="0" applyNumberFormat="1" applyFont="1" applyFill="1"/>
    <xf numFmtId="0" fontId="11" fillId="4" borderId="10" xfId="0" applyFont="1" applyFill="1" applyBorder="1"/>
    <xf numFmtId="0" fontId="11" fillId="0" borderId="17" xfId="0" applyFont="1" applyBorder="1"/>
    <xf numFmtId="0" fontId="0" fillId="0" borderId="17" xfId="0" applyBorder="1"/>
    <xf numFmtId="1" fontId="0" fillId="0" borderId="17" xfId="0" applyNumberFormat="1" applyBorder="1"/>
    <xf numFmtId="167" fontId="0" fillId="0" borderId="0" xfId="0" applyNumberFormat="1"/>
    <xf numFmtId="165" fontId="26" fillId="2" borderId="14" xfId="0" applyNumberFormat="1" applyFont="1" applyFill="1" applyBorder="1" applyAlignment="1">
      <alignment wrapText="1"/>
    </xf>
    <xf numFmtId="165" fontId="26" fillId="2" borderId="15" xfId="0" applyNumberFormat="1" applyFont="1" applyFill="1" applyBorder="1" applyAlignment="1">
      <alignment wrapText="1"/>
    </xf>
    <xf numFmtId="0" fontId="6" fillId="0" borderId="0" xfId="4"/>
    <xf numFmtId="164" fontId="0" fillId="0" borderId="0" xfId="0" applyNumberFormat="1"/>
    <xf numFmtId="3" fontId="0" fillId="0" borderId="0" xfId="0" applyNumberFormat="1"/>
    <xf numFmtId="169" fontId="0" fillId="0" borderId="0" xfId="0" applyNumberFormat="1"/>
    <xf numFmtId="0" fontId="11" fillId="6" borderId="10" xfId="0" applyFont="1" applyFill="1" applyBorder="1"/>
    <xf numFmtId="9" fontId="28" fillId="18" borderId="16" xfId="0" applyNumberFormat="1" applyFont="1" applyFill="1" applyBorder="1"/>
    <xf numFmtId="9" fontId="29" fillId="0" borderId="16" xfId="0" applyNumberFormat="1" applyFont="1" applyBorder="1"/>
    <xf numFmtId="9" fontId="0" fillId="0" borderId="0" xfId="0" applyNumberFormat="1" applyAlignment="1">
      <alignment vertical="center" wrapText="1"/>
    </xf>
    <xf numFmtId="9" fontId="16" fillId="0" borderId="6" xfId="1" applyNumberFormat="1" applyFont="1" applyBorder="1"/>
    <xf numFmtId="9" fontId="0" fillId="0" borderId="0" xfId="0" applyNumberFormat="1"/>
    <xf numFmtId="165" fontId="28" fillId="18" borderId="16" xfId="0" applyNumberFormat="1" applyFont="1" applyFill="1" applyBorder="1"/>
    <xf numFmtId="165" fontId="0" fillId="0" borderId="0" xfId="0" applyNumberFormat="1" applyAlignment="1">
      <alignment vertical="center" wrapText="1"/>
    </xf>
    <xf numFmtId="0" fontId="19" fillId="3" borderId="4" xfId="0" applyFont="1" applyFill="1" applyBorder="1" applyAlignment="1">
      <alignment horizontal="center" vertical="center" wrapText="1" indent="1"/>
    </xf>
    <xf numFmtId="164" fontId="26" fillId="0" borderId="0" xfId="0" applyNumberFormat="1" applyFont="1" applyAlignment="1">
      <alignment wrapText="1"/>
    </xf>
    <xf numFmtId="165" fontId="26" fillId="0" borderId="0" xfId="0" applyNumberFormat="1" applyFont="1" applyAlignment="1">
      <alignment wrapText="1"/>
    </xf>
    <xf numFmtId="165" fontId="11" fillId="0" borderId="0" xfId="1" applyNumberFormat="1" applyFont="1" applyBorder="1"/>
    <xf numFmtId="9" fontId="11" fillId="0" borderId="0" xfId="2" applyFont="1" applyBorder="1"/>
    <xf numFmtId="165" fontId="0" fillId="13" borderId="0" xfId="2" applyNumberFormat="1" applyFont="1" applyFill="1"/>
    <xf numFmtId="165" fontId="11" fillId="0" borderId="8" xfId="2" applyNumberFormat="1" applyFont="1" applyBorder="1"/>
    <xf numFmtId="165" fontId="11" fillId="0" borderId="0" xfId="2" applyNumberFormat="1" applyFont="1" applyBorder="1"/>
    <xf numFmtId="4" fontId="0" fillId="0" borderId="0" xfId="0" applyNumberFormat="1"/>
    <xf numFmtId="0" fontId="30" fillId="2" borderId="0" xfId="0" applyFont="1" applyFill="1" applyAlignment="1">
      <alignment wrapText="1"/>
    </xf>
    <xf numFmtId="4" fontId="30" fillId="2" borderId="0" xfId="0" applyNumberFormat="1" applyFont="1" applyFill="1" applyAlignment="1">
      <alignment wrapText="1"/>
    </xf>
    <xf numFmtId="9" fontId="30" fillId="2" borderId="0" xfId="0" applyNumberFormat="1" applyFont="1" applyFill="1" applyAlignment="1">
      <alignment wrapText="1"/>
    </xf>
    <xf numFmtId="9" fontId="31" fillId="0" borderId="0" xfId="2" applyFont="1"/>
    <xf numFmtId="0" fontId="11" fillId="6" borderId="10" xfId="0" applyFont="1" applyFill="1" applyBorder="1" applyAlignment="1">
      <alignment horizontal="left"/>
    </xf>
    <xf numFmtId="0" fontId="11" fillId="14" borderId="10" xfId="0" applyFont="1" applyFill="1" applyBorder="1" applyAlignment="1">
      <alignment horizontal="left"/>
    </xf>
    <xf numFmtId="166" fontId="11" fillId="0" borderId="0" xfId="1" applyNumberFormat="1" applyFont="1" applyBorder="1"/>
    <xf numFmtId="170" fontId="0" fillId="13" borderId="0" xfId="2" applyNumberFormat="1" applyFont="1" applyFill="1"/>
    <xf numFmtId="1" fontId="0" fillId="13" borderId="0" xfId="2" applyNumberFormat="1" applyFont="1" applyFill="1"/>
    <xf numFmtId="9" fontId="0" fillId="13" borderId="0" xfId="1" applyNumberFormat="1" applyFont="1" applyFill="1"/>
    <xf numFmtId="9" fontId="11" fillId="0" borderId="8" xfId="1" applyNumberFormat="1" applyFont="1" applyBorder="1"/>
    <xf numFmtId="9" fontId="0" fillId="13" borderId="0" xfId="1" applyNumberFormat="1" applyFont="1" applyFill="1" applyAlignment="1">
      <alignment horizontal="right"/>
    </xf>
    <xf numFmtId="0" fontId="11" fillId="8" borderId="10" xfId="0" applyFont="1" applyFill="1" applyBorder="1" applyAlignment="1">
      <alignment horizontal="center"/>
    </xf>
    <xf numFmtId="165" fontId="8" fillId="0" borderId="0" xfId="0" applyNumberFormat="1" applyFont="1"/>
    <xf numFmtId="0" fontId="11" fillId="12" borderId="10" xfId="0" applyFont="1" applyFill="1" applyBorder="1" applyAlignment="1">
      <alignment horizontal="left"/>
    </xf>
    <xf numFmtId="0" fontId="11" fillId="16" borderId="10" xfId="0" applyFont="1" applyFill="1" applyBorder="1" applyAlignment="1">
      <alignment horizontal="left"/>
    </xf>
    <xf numFmtId="0" fontId="11" fillId="8" borderId="10" xfId="0" applyFont="1" applyFill="1" applyBorder="1" applyAlignment="1">
      <alignment horizontal="left"/>
    </xf>
    <xf numFmtId="0" fontId="11" fillId="10" borderId="10" xfId="0" applyFont="1" applyFill="1" applyBorder="1" applyAlignment="1">
      <alignment horizontal="left"/>
    </xf>
    <xf numFmtId="0" fontId="32" fillId="0" borderId="18" xfId="0" applyFont="1" applyBorder="1"/>
    <xf numFmtId="0" fontId="32" fillId="0" borderId="19" xfId="0" applyFont="1" applyBorder="1"/>
    <xf numFmtId="0" fontId="32" fillId="0" borderId="20" xfId="0" applyFont="1" applyBorder="1"/>
    <xf numFmtId="0" fontId="0" fillId="0" borderId="0" xfId="0" applyAlignment="1">
      <alignment wrapText="1"/>
    </xf>
    <xf numFmtId="43" fontId="0" fillId="0" borderId="0" xfId="0" applyNumberFormat="1"/>
    <xf numFmtId="3" fontId="8" fillId="0" borderId="0" xfId="0" applyNumberFormat="1" applyFont="1"/>
    <xf numFmtId="171" fontId="8" fillId="0" borderId="0" xfId="0" applyNumberFormat="1" applyFont="1"/>
    <xf numFmtId="170" fontId="0" fillId="0" borderId="0" xfId="0" applyNumberFormat="1"/>
    <xf numFmtId="165" fontId="0" fillId="17" borderId="0" xfId="1" applyNumberFormat="1" applyFont="1" applyFill="1" applyAlignment="1">
      <alignment wrapText="1"/>
    </xf>
  </cellXfs>
  <cellStyles count="5">
    <cellStyle name="Comma" xfId="1" builtinId="3"/>
    <cellStyle name="Hyperlink" xfId="4" builtinId="8"/>
    <cellStyle name="Normal" xfId="0" builtinId="0"/>
    <cellStyle name="Normal 2" xfId="3" xr:uid="{9D22A5CF-C683-44DD-AE6A-116A7BFA8DD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Portfolio Breakup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7"/>
          <c:order val="0"/>
          <c:tx>
            <c:strRef>
              <c:f>Annual!$A$12</c:f>
              <c:strCache>
                <c:ptCount val="1"/>
                <c:pt idx="0">
                  <c:v>Equity</c:v>
                </c:pt>
              </c:strCache>
            </c:strRef>
          </c:tx>
          <c:spPr>
            <a:gradFill>
              <a:gsLst>
                <a:gs pos="100000">
                  <a:schemeClr val="accent2">
                    <a:lumMod val="60000"/>
                  </a:schemeClr>
                </a:gs>
                <a:gs pos="0">
                  <a:schemeClr val="accent2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Annual!$B$1:$G$1</c:f>
              <c:numCache>
                <c:formatCode>0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2024</c:v>
                </c:pt>
              </c:numCache>
            </c:numRef>
          </c:cat>
          <c:val>
            <c:numRef>
              <c:f>Annual!$B$12:$G$12</c:f>
              <c:numCache>
                <c:formatCode>0%</c:formatCode>
                <c:ptCount val="6"/>
                <c:pt idx="0">
                  <c:v>0.54601985753681559</c:v>
                </c:pt>
                <c:pt idx="1">
                  <c:v>0.6565641848814604</c:v>
                </c:pt>
                <c:pt idx="2">
                  <c:v>0.6670692406415526</c:v>
                </c:pt>
                <c:pt idx="3">
                  <c:v>0.7318561038077529</c:v>
                </c:pt>
                <c:pt idx="4">
                  <c:v>0.76629877481426845</c:v>
                </c:pt>
                <c:pt idx="5">
                  <c:v>0.74467504674226093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2-4040-A47C-1360BC4B1931}"/>
            </c:ext>
          </c:extLst>
        </c:ser>
        <c:ser>
          <c:idx val="8"/>
          <c:order val="1"/>
          <c:tx>
            <c:strRef>
              <c:f>Annual!$A$13</c:f>
              <c:strCache>
                <c:ptCount val="1"/>
                <c:pt idx="0">
                  <c:v>Debt</c:v>
                </c:pt>
              </c:strCache>
            </c:strRef>
          </c:tx>
          <c:spPr>
            <a:gradFill>
              <a:gsLst>
                <a:gs pos="100000">
                  <a:schemeClr val="accent3">
                    <a:lumMod val="60000"/>
                  </a:schemeClr>
                </a:gs>
                <a:gs pos="0">
                  <a:schemeClr val="accent3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Annual!$B$1:$G$1</c:f>
              <c:numCache>
                <c:formatCode>0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2024</c:v>
                </c:pt>
              </c:numCache>
            </c:numRef>
          </c:cat>
          <c:val>
            <c:numRef>
              <c:f>Annual!$B$13:$G$13</c:f>
              <c:numCache>
                <c:formatCode>0%</c:formatCode>
                <c:ptCount val="6"/>
                <c:pt idx="0">
                  <c:v>0.38679869131292266</c:v>
                </c:pt>
                <c:pt idx="1">
                  <c:v>0.31233203217142219</c:v>
                </c:pt>
                <c:pt idx="2">
                  <c:v>0.31499850693623926</c:v>
                </c:pt>
                <c:pt idx="3">
                  <c:v>0.2526849706615043</c:v>
                </c:pt>
                <c:pt idx="4">
                  <c:v>0.22703397671859935</c:v>
                </c:pt>
                <c:pt idx="5">
                  <c:v>0.2407678565696853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82-4040-A47C-1360BC4B1931}"/>
            </c:ext>
          </c:extLst>
        </c:ser>
        <c:ser>
          <c:idx val="9"/>
          <c:order val="2"/>
          <c:tx>
            <c:strRef>
              <c:f>Annual!$A$14</c:f>
              <c:strCache>
                <c:ptCount val="1"/>
                <c:pt idx="0">
                  <c:v>Gold</c:v>
                </c:pt>
              </c:strCache>
            </c:strRef>
          </c:tx>
          <c:spPr>
            <a:gradFill>
              <a:gsLst>
                <a:gs pos="100000">
                  <a:schemeClr val="accent4">
                    <a:lumMod val="60000"/>
                  </a:schemeClr>
                </a:gs>
                <a:gs pos="0">
                  <a:schemeClr val="accent4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Annual!$B$1:$G$1</c:f>
              <c:numCache>
                <c:formatCode>0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2024</c:v>
                </c:pt>
              </c:numCache>
            </c:numRef>
          </c:cat>
          <c:val>
            <c:numRef>
              <c:f>Annual!$B$14:$G$14</c:f>
              <c:numCache>
                <c:formatCode>0%</c:formatCode>
                <c:ptCount val="6"/>
                <c:pt idx="0">
                  <c:v>1.1890522327479947E-2</c:v>
                </c:pt>
                <c:pt idx="1">
                  <c:v>9.1011445696728387E-3</c:v>
                </c:pt>
                <c:pt idx="2">
                  <c:v>8.3124166869376348E-3</c:v>
                </c:pt>
                <c:pt idx="3">
                  <c:v>6.7735845339588355E-3</c:v>
                </c:pt>
                <c:pt idx="4">
                  <c:v>6.6672484671323751E-3</c:v>
                </c:pt>
                <c:pt idx="5">
                  <c:v>1.4557096688053718E-2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82-4040-A47C-1360BC4B1931}"/>
            </c:ext>
          </c:extLst>
        </c:ser>
        <c:ser>
          <c:idx val="10"/>
          <c:order val="3"/>
          <c:tx>
            <c:strRef>
              <c:f>Annual!$A$16</c:f>
              <c:strCache>
                <c:ptCount val="1"/>
                <c:pt idx="0">
                  <c:v>Liquid</c:v>
                </c:pt>
              </c:strCache>
            </c:strRef>
          </c:tx>
          <c:spPr>
            <a:gradFill>
              <a:gsLst>
                <a:gs pos="100000">
                  <a:schemeClr val="accent5">
                    <a:lumMod val="60000"/>
                  </a:schemeClr>
                </a:gs>
                <a:gs pos="0">
                  <a:schemeClr val="accent5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Annual!$B$1:$G$1</c:f>
              <c:numCache>
                <c:formatCode>0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2024</c:v>
                </c:pt>
              </c:numCache>
            </c:numRef>
          </c:cat>
          <c:val>
            <c:numRef>
              <c:f>Annual!$B$16:$G$16</c:f>
              <c:numCache>
                <c:formatCode>0%</c:formatCode>
                <c:ptCount val="6"/>
                <c:pt idx="0">
                  <c:v>5.5290928822781756E-2</c:v>
                </c:pt>
                <c:pt idx="1">
                  <c:v>2.2002638377444594E-2</c:v>
                </c:pt>
                <c:pt idx="2">
                  <c:v>9.6198357352706189E-3</c:v>
                </c:pt>
                <c:pt idx="3">
                  <c:v>8.6853409967839398E-3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82-4040-A47C-1360BC4B1931}"/>
            </c:ext>
          </c:extLst>
        </c:ser>
        <c:ser>
          <c:idx val="0"/>
          <c:order val="4"/>
          <c:tx>
            <c:strRef>
              <c:f>Annual!$A$7</c:f>
              <c:strCache>
                <c:ptCount val="1"/>
                <c:pt idx="0">
                  <c:v>Alternate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val>
            <c:numRef>
              <c:f>Annual!$B$15:$G$15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82-4040-A47C-1360BC4B1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90275008"/>
        <c:axId val="861459040"/>
      </c:areaChart>
      <c:catAx>
        <c:axId val="69027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459040"/>
        <c:crosses val="autoZero"/>
        <c:auto val="1"/>
        <c:lblAlgn val="ctr"/>
        <c:lblOffset val="100"/>
        <c:noMultiLvlLbl val="0"/>
      </c:catAx>
      <c:valAx>
        <c:axId val="861459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% Contribution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27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Annual!$A$9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Annual!$B$1:$G$1</c:f>
              <c:numCache>
                <c:formatCode>0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2024</c:v>
                </c:pt>
              </c:numCache>
            </c:numRef>
          </c:cat>
          <c:val>
            <c:numRef>
              <c:f>Annual!$B$9:$G$9</c:f>
              <c:numCache>
                <c:formatCode>_ * #,##0_ ;_ * \-#,##0_ ;_ * "-"??_ ;_ @_ </c:formatCode>
                <c:ptCount val="6"/>
                <c:pt idx="0">
                  <c:v>84.100594781183005</c:v>
                </c:pt>
                <c:pt idx="1">
                  <c:v>129.873774771</c:v>
                </c:pt>
                <c:pt idx="2">
                  <c:v>155.92781844499999</c:v>
                </c:pt>
                <c:pt idx="3">
                  <c:v>230.27305441900003</c:v>
                </c:pt>
                <c:pt idx="4">
                  <c:v>305.19194087799997</c:v>
                </c:pt>
                <c:pt idx="5">
                  <c:v>340.00900770699997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6-478A-98A1-149660FE32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00279272"/>
        <c:axId val="500283864"/>
      </c:lineChart>
      <c:catAx>
        <c:axId val="500279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83864"/>
        <c:crosses val="autoZero"/>
        <c:auto val="1"/>
        <c:lblAlgn val="ctr"/>
        <c:lblOffset val="100"/>
        <c:noMultiLvlLbl val="0"/>
      </c:catAx>
      <c:valAx>
        <c:axId val="500283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crossAx val="5002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Annual!$A$42</c:f>
              <c:strCache>
                <c:ptCount val="1"/>
                <c:pt idx="0">
                  <c:v>% Change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Annual!$B$1:$G$1</c:f>
              <c:numCache>
                <c:formatCode>0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2024</c:v>
                </c:pt>
              </c:numCache>
            </c:numRef>
          </c:cat>
          <c:val>
            <c:numRef>
              <c:f>Annual!$B$42:$G$42</c:f>
              <c:numCache>
                <c:formatCode>0%</c:formatCode>
                <c:ptCount val="6"/>
                <c:pt idx="1">
                  <c:v>0.54551373993471353</c:v>
                </c:pt>
                <c:pt idx="2">
                  <c:v>0.20061050600815905</c:v>
                </c:pt>
                <c:pt idx="3">
                  <c:v>0.57244225098630819</c:v>
                </c:pt>
                <c:pt idx="4">
                  <c:v>0.57685835797951146</c:v>
                </c:pt>
                <c:pt idx="5">
                  <c:v>0.22321941765174508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7C-49D5-813E-ADFEB0540A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00279272"/>
        <c:axId val="500283864"/>
      </c:lineChart>
      <c:catAx>
        <c:axId val="500279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83864"/>
        <c:crosses val="autoZero"/>
        <c:auto val="1"/>
        <c:lblAlgn val="ctr"/>
        <c:lblOffset val="100"/>
        <c:noMultiLvlLbl val="0"/>
      </c:catAx>
      <c:valAx>
        <c:axId val="500283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crossAx val="5002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Annual!$A$42</c:f>
              <c:strCache>
                <c:ptCount val="1"/>
                <c:pt idx="0">
                  <c:v>% Change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Annual!$B$1:$G$1</c:f>
              <c:numCache>
                <c:formatCode>0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2024</c:v>
                </c:pt>
              </c:numCache>
            </c:numRef>
          </c:cat>
          <c:val>
            <c:numRef>
              <c:f>Annual!$B$42:$G$42</c:f>
              <c:numCache>
                <c:formatCode>0%</c:formatCode>
                <c:ptCount val="6"/>
                <c:pt idx="1">
                  <c:v>0.54551373993471353</c:v>
                </c:pt>
                <c:pt idx="2">
                  <c:v>0.20061050600815905</c:v>
                </c:pt>
                <c:pt idx="3">
                  <c:v>0.57244225098630819</c:v>
                </c:pt>
                <c:pt idx="4">
                  <c:v>0.57685835797951146</c:v>
                </c:pt>
                <c:pt idx="5">
                  <c:v>0.22321941765174508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9-4EAF-95A1-899F23D838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00279272"/>
        <c:axId val="500283864"/>
      </c:lineChart>
      <c:catAx>
        <c:axId val="500279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83864"/>
        <c:crosses val="autoZero"/>
        <c:auto val="1"/>
        <c:lblAlgn val="ctr"/>
        <c:lblOffset val="100"/>
        <c:noMultiLvlLbl val="0"/>
      </c:catAx>
      <c:valAx>
        <c:axId val="500283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crossAx val="5002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Portfolio Breakup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7"/>
          <c:order val="0"/>
          <c:tx>
            <c:strRef>
              <c:f>Quarterly!$A$12</c:f>
              <c:strCache>
                <c:ptCount val="1"/>
                <c:pt idx="0">
                  <c:v>Equity</c:v>
                </c:pt>
              </c:strCache>
            </c:strRef>
          </c:tx>
          <c:spPr>
            <a:gradFill>
              <a:gsLst>
                <a:gs pos="100000">
                  <a:schemeClr val="accent2">
                    <a:lumMod val="60000"/>
                  </a:schemeClr>
                </a:gs>
                <a:gs pos="0">
                  <a:schemeClr val="accent2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Quarterly!$B$1:$W$1</c:f>
              <c:strCache>
                <c:ptCount val="22"/>
                <c:pt idx="0">
                  <c:v>2020-Q4</c:v>
                </c:pt>
                <c:pt idx="1">
                  <c:v>2021-Q1</c:v>
                </c:pt>
                <c:pt idx="2">
                  <c:v>2021-Q2</c:v>
                </c:pt>
                <c:pt idx="3">
                  <c:v>2021-Q3</c:v>
                </c:pt>
                <c:pt idx="4">
                  <c:v>2021-Q4</c:v>
                </c:pt>
                <c:pt idx="5">
                  <c:v>2022-Q1</c:v>
                </c:pt>
                <c:pt idx="6">
                  <c:v>2022-Q2</c:v>
                </c:pt>
                <c:pt idx="7">
                  <c:v>2022-Q3</c:v>
                </c:pt>
                <c:pt idx="8">
                  <c:v>2022-Q4</c:v>
                </c:pt>
                <c:pt idx="9">
                  <c:v>2023-Q1</c:v>
                </c:pt>
                <c:pt idx="10">
                  <c:v>2023-Q2</c:v>
                </c:pt>
                <c:pt idx="11">
                  <c:v>2023-Q3</c:v>
                </c:pt>
                <c:pt idx="12">
                  <c:v>2023-Q4</c:v>
                </c:pt>
                <c:pt idx="13">
                  <c:v>2024-Q1</c:v>
                </c:pt>
                <c:pt idx="14">
                  <c:v>2024-Q2</c:v>
                </c:pt>
                <c:pt idx="15">
                  <c:v>2024-Q3</c:v>
                </c:pt>
                <c:pt idx="16">
                  <c:v>2024-Q4</c:v>
                </c:pt>
                <c:pt idx="17">
                  <c:v>2025-Q1</c:v>
                </c:pt>
                <c:pt idx="18">
                  <c:v>2025-Q2</c:v>
                </c:pt>
                <c:pt idx="19">
                  <c:v>2025-Q3</c:v>
                </c:pt>
                <c:pt idx="20">
                  <c:v>2025-Q4</c:v>
                </c:pt>
                <c:pt idx="21">
                  <c:v>2026-Q1</c:v>
                </c:pt>
              </c:strCache>
            </c:strRef>
          </c:cat>
          <c:val>
            <c:numRef>
              <c:f>Quarterly!$B$12:$W$12</c:f>
              <c:numCache>
                <c:formatCode>0%</c:formatCode>
                <c:ptCount val="22"/>
                <c:pt idx="0">
                  <c:v>0.54601985753681559</c:v>
                </c:pt>
                <c:pt idx="1">
                  <c:v>0.59298803075684203</c:v>
                </c:pt>
                <c:pt idx="2">
                  <c:v>0.60569355742606135</c:v>
                </c:pt>
                <c:pt idx="3">
                  <c:v>0.6307471408846943</c:v>
                </c:pt>
                <c:pt idx="4">
                  <c:v>0.6565641848814604</c:v>
                </c:pt>
                <c:pt idx="5">
                  <c:v>0.65507252087857126</c:v>
                </c:pt>
                <c:pt idx="6">
                  <c:v>0.64006251988328877</c:v>
                </c:pt>
                <c:pt idx="7">
                  <c:v>0.65083262668761177</c:v>
                </c:pt>
                <c:pt idx="8">
                  <c:v>0.6670692406415526</c:v>
                </c:pt>
                <c:pt idx="9">
                  <c:v>0.65398306545883367</c:v>
                </c:pt>
                <c:pt idx="10">
                  <c:v>0.70178768566921135</c:v>
                </c:pt>
                <c:pt idx="11">
                  <c:v>0.71647896576853232</c:v>
                </c:pt>
                <c:pt idx="12">
                  <c:v>0.7318561038077529</c:v>
                </c:pt>
                <c:pt idx="13">
                  <c:v>0.73511606993160761</c:v>
                </c:pt>
                <c:pt idx="14">
                  <c:v>0.76037383413030324</c:v>
                </c:pt>
                <c:pt idx="15">
                  <c:v>0.76441831304122165</c:v>
                </c:pt>
                <c:pt idx="16">
                  <c:v>0.76629877481426845</c:v>
                </c:pt>
                <c:pt idx="17">
                  <c:v>0.70049825327998161</c:v>
                </c:pt>
                <c:pt idx="18">
                  <c:v>0.74936695361034644</c:v>
                </c:pt>
                <c:pt idx="19">
                  <c:v>0.74148811301021389</c:v>
                </c:pt>
                <c:pt idx="20">
                  <c:v>0.74467504674226093</c:v>
                </c:pt>
                <c:pt idx="21">
                  <c:v>0.70787703793268664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6-4353-88F4-5C8C00DC8E26}"/>
            </c:ext>
          </c:extLst>
        </c:ser>
        <c:ser>
          <c:idx val="8"/>
          <c:order val="1"/>
          <c:tx>
            <c:strRef>
              <c:f>Quarterly!$A$13</c:f>
              <c:strCache>
                <c:ptCount val="1"/>
                <c:pt idx="0">
                  <c:v>Debt</c:v>
                </c:pt>
              </c:strCache>
            </c:strRef>
          </c:tx>
          <c:spPr>
            <a:gradFill>
              <a:gsLst>
                <a:gs pos="100000">
                  <a:schemeClr val="accent3">
                    <a:lumMod val="60000"/>
                  </a:schemeClr>
                </a:gs>
                <a:gs pos="0">
                  <a:schemeClr val="accent3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Quarterly!$B$1:$W$1</c:f>
              <c:strCache>
                <c:ptCount val="22"/>
                <c:pt idx="0">
                  <c:v>2020-Q4</c:v>
                </c:pt>
                <c:pt idx="1">
                  <c:v>2021-Q1</c:v>
                </c:pt>
                <c:pt idx="2">
                  <c:v>2021-Q2</c:v>
                </c:pt>
                <c:pt idx="3">
                  <c:v>2021-Q3</c:v>
                </c:pt>
                <c:pt idx="4">
                  <c:v>2021-Q4</c:v>
                </c:pt>
                <c:pt idx="5">
                  <c:v>2022-Q1</c:v>
                </c:pt>
                <c:pt idx="6">
                  <c:v>2022-Q2</c:v>
                </c:pt>
                <c:pt idx="7">
                  <c:v>2022-Q3</c:v>
                </c:pt>
                <c:pt idx="8">
                  <c:v>2022-Q4</c:v>
                </c:pt>
                <c:pt idx="9">
                  <c:v>2023-Q1</c:v>
                </c:pt>
                <c:pt idx="10">
                  <c:v>2023-Q2</c:v>
                </c:pt>
                <c:pt idx="11">
                  <c:v>2023-Q3</c:v>
                </c:pt>
                <c:pt idx="12">
                  <c:v>2023-Q4</c:v>
                </c:pt>
                <c:pt idx="13">
                  <c:v>2024-Q1</c:v>
                </c:pt>
                <c:pt idx="14">
                  <c:v>2024-Q2</c:v>
                </c:pt>
                <c:pt idx="15">
                  <c:v>2024-Q3</c:v>
                </c:pt>
                <c:pt idx="16">
                  <c:v>2024-Q4</c:v>
                </c:pt>
                <c:pt idx="17">
                  <c:v>2025-Q1</c:v>
                </c:pt>
                <c:pt idx="18">
                  <c:v>2025-Q2</c:v>
                </c:pt>
                <c:pt idx="19">
                  <c:v>2025-Q3</c:v>
                </c:pt>
                <c:pt idx="20">
                  <c:v>2025-Q4</c:v>
                </c:pt>
                <c:pt idx="21">
                  <c:v>2026-Q1</c:v>
                </c:pt>
              </c:strCache>
            </c:strRef>
          </c:cat>
          <c:val>
            <c:numRef>
              <c:f>Quarterly!$B$13:$W$13</c:f>
              <c:numCache>
                <c:formatCode>0%</c:formatCode>
                <c:ptCount val="22"/>
                <c:pt idx="0">
                  <c:v>0.38679869131292266</c:v>
                </c:pt>
                <c:pt idx="1">
                  <c:v>0.38389927885104436</c:v>
                </c:pt>
                <c:pt idx="2">
                  <c:v>0.35003106466936446</c:v>
                </c:pt>
                <c:pt idx="3">
                  <c:v>0.32035784404046069</c:v>
                </c:pt>
                <c:pt idx="4">
                  <c:v>0.31233203217142219</c:v>
                </c:pt>
                <c:pt idx="5">
                  <c:v>0.32628034147577462</c:v>
                </c:pt>
                <c:pt idx="6">
                  <c:v>0.35056514418104701</c:v>
                </c:pt>
                <c:pt idx="7">
                  <c:v>0.32400935835744737</c:v>
                </c:pt>
                <c:pt idx="8">
                  <c:v>0.31499850693623926</c:v>
                </c:pt>
                <c:pt idx="9">
                  <c:v>0.31967913619202204</c:v>
                </c:pt>
                <c:pt idx="10">
                  <c:v>0.29032278619157703</c:v>
                </c:pt>
                <c:pt idx="11">
                  <c:v>0.27641029854913579</c:v>
                </c:pt>
                <c:pt idx="12">
                  <c:v>0.2526849706615043</c:v>
                </c:pt>
                <c:pt idx="13">
                  <c:v>0.25045889687776579</c:v>
                </c:pt>
                <c:pt idx="14">
                  <c:v>0.23297710702891311</c:v>
                </c:pt>
                <c:pt idx="15">
                  <c:v>0.21937912301531287</c:v>
                </c:pt>
                <c:pt idx="16">
                  <c:v>0.22703397671859935</c:v>
                </c:pt>
                <c:pt idx="17">
                  <c:v>0.26180429822405699</c:v>
                </c:pt>
                <c:pt idx="18">
                  <c:v>0.24309959444995841</c:v>
                </c:pt>
                <c:pt idx="19">
                  <c:v>0.24533740028214551</c:v>
                </c:pt>
                <c:pt idx="20">
                  <c:v>0.2407678565696853</c:v>
                </c:pt>
                <c:pt idx="21">
                  <c:v>0.27635942040317596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6-4353-88F4-5C8C00DC8E26}"/>
            </c:ext>
          </c:extLst>
        </c:ser>
        <c:ser>
          <c:idx val="9"/>
          <c:order val="2"/>
          <c:tx>
            <c:strRef>
              <c:f>Quarterly!$A$14</c:f>
              <c:strCache>
                <c:ptCount val="1"/>
                <c:pt idx="0">
                  <c:v>Gold</c:v>
                </c:pt>
              </c:strCache>
            </c:strRef>
          </c:tx>
          <c:spPr>
            <a:gradFill>
              <a:gsLst>
                <a:gs pos="100000">
                  <a:schemeClr val="accent4">
                    <a:lumMod val="60000"/>
                  </a:schemeClr>
                </a:gs>
                <a:gs pos="0">
                  <a:schemeClr val="accent4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Quarterly!$B$1:$W$1</c:f>
              <c:strCache>
                <c:ptCount val="22"/>
                <c:pt idx="0">
                  <c:v>2020-Q4</c:v>
                </c:pt>
                <c:pt idx="1">
                  <c:v>2021-Q1</c:v>
                </c:pt>
                <c:pt idx="2">
                  <c:v>2021-Q2</c:v>
                </c:pt>
                <c:pt idx="3">
                  <c:v>2021-Q3</c:v>
                </c:pt>
                <c:pt idx="4">
                  <c:v>2021-Q4</c:v>
                </c:pt>
                <c:pt idx="5">
                  <c:v>2022-Q1</c:v>
                </c:pt>
                <c:pt idx="6">
                  <c:v>2022-Q2</c:v>
                </c:pt>
                <c:pt idx="7">
                  <c:v>2022-Q3</c:v>
                </c:pt>
                <c:pt idx="8">
                  <c:v>2022-Q4</c:v>
                </c:pt>
                <c:pt idx="9">
                  <c:v>2023-Q1</c:v>
                </c:pt>
                <c:pt idx="10">
                  <c:v>2023-Q2</c:v>
                </c:pt>
                <c:pt idx="11">
                  <c:v>2023-Q3</c:v>
                </c:pt>
                <c:pt idx="12">
                  <c:v>2023-Q4</c:v>
                </c:pt>
                <c:pt idx="13">
                  <c:v>2024-Q1</c:v>
                </c:pt>
                <c:pt idx="14">
                  <c:v>2024-Q2</c:v>
                </c:pt>
                <c:pt idx="15">
                  <c:v>2024-Q3</c:v>
                </c:pt>
                <c:pt idx="16">
                  <c:v>2024-Q4</c:v>
                </c:pt>
                <c:pt idx="17">
                  <c:v>2025-Q1</c:v>
                </c:pt>
                <c:pt idx="18">
                  <c:v>2025-Q2</c:v>
                </c:pt>
                <c:pt idx="19">
                  <c:v>2025-Q3</c:v>
                </c:pt>
                <c:pt idx="20">
                  <c:v>2025-Q4</c:v>
                </c:pt>
                <c:pt idx="21">
                  <c:v>2026-Q1</c:v>
                </c:pt>
              </c:strCache>
            </c:strRef>
          </c:cat>
          <c:val>
            <c:numRef>
              <c:f>Quarterly!$B$14:$W$14</c:f>
              <c:numCache>
                <c:formatCode>0%</c:formatCode>
                <c:ptCount val="22"/>
                <c:pt idx="0">
                  <c:v>1.1890522327479947E-2</c:v>
                </c:pt>
                <c:pt idx="1">
                  <c:v>1.2417125664040572E-2</c:v>
                </c:pt>
                <c:pt idx="2">
                  <c:v>1.1200488730659425E-2</c:v>
                </c:pt>
                <c:pt idx="3">
                  <c:v>9.4638180849409108E-3</c:v>
                </c:pt>
                <c:pt idx="4">
                  <c:v>9.1011445696728387E-3</c:v>
                </c:pt>
                <c:pt idx="5">
                  <c:v>8.7223072684460123E-3</c:v>
                </c:pt>
                <c:pt idx="6">
                  <c:v>9.3723359356641372E-3</c:v>
                </c:pt>
                <c:pt idx="7">
                  <c:v>8.2334583144607881E-3</c:v>
                </c:pt>
                <c:pt idx="8">
                  <c:v>8.3124166869376348E-3</c:v>
                </c:pt>
                <c:pt idx="9">
                  <c:v>8.3081596708914005E-3</c:v>
                </c:pt>
                <c:pt idx="10">
                  <c:v>7.8895281392117479E-3</c:v>
                </c:pt>
                <c:pt idx="11">
                  <c:v>7.1107356823319106E-3</c:v>
                </c:pt>
                <c:pt idx="12">
                  <c:v>6.7735845339588355E-3</c:v>
                </c:pt>
                <c:pt idx="13">
                  <c:v>6.5543914791230404E-3</c:v>
                </c:pt>
                <c:pt idx="14">
                  <c:v>6.649058840783771E-3</c:v>
                </c:pt>
                <c:pt idx="15">
                  <c:v>6.3972431599765914E-3</c:v>
                </c:pt>
                <c:pt idx="16">
                  <c:v>6.6672484671323751E-3</c:v>
                </c:pt>
                <c:pt idx="17">
                  <c:v>7.3779175927765747E-3</c:v>
                </c:pt>
                <c:pt idx="18">
                  <c:v>7.5334519396952513E-3</c:v>
                </c:pt>
                <c:pt idx="19">
                  <c:v>1.3174486707640765E-2</c:v>
                </c:pt>
                <c:pt idx="20">
                  <c:v>1.4557096688053718E-2</c:v>
                </c:pt>
                <c:pt idx="21">
                  <c:v>1.5763541664137421E-2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6-4353-88F4-5C8C00DC8E26}"/>
            </c:ext>
          </c:extLst>
        </c:ser>
        <c:ser>
          <c:idx val="10"/>
          <c:order val="3"/>
          <c:tx>
            <c:strRef>
              <c:f>Quarterly!$A$16</c:f>
              <c:strCache>
                <c:ptCount val="1"/>
                <c:pt idx="0">
                  <c:v>Liquid</c:v>
                </c:pt>
              </c:strCache>
            </c:strRef>
          </c:tx>
          <c:spPr>
            <a:gradFill>
              <a:gsLst>
                <a:gs pos="100000">
                  <a:schemeClr val="accent5">
                    <a:lumMod val="60000"/>
                  </a:schemeClr>
                </a:gs>
                <a:gs pos="0">
                  <a:schemeClr val="accent5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Quarterly!$B$1:$W$1</c:f>
              <c:strCache>
                <c:ptCount val="22"/>
                <c:pt idx="0">
                  <c:v>2020-Q4</c:v>
                </c:pt>
                <c:pt idx="1">
                  <c:v>2021-Q1</c:v>
                </c:pt>
                <c:pt idx="2">
                  <c:v>2021-Q2</c:v>
                </c:pt>
                <c:pt idx="3">
                  <c:v>2021-Q3</c:v>
                </c:pt>
                <c:pt idx="4">
                  <c:v>2021-Q4</c:v>
                </c:pt>
                <c:pt idx="5">
                  <c:v>2022-Q1</c:v>
                </c:pt>
                <c:pt idx="6">
                  <c:v>2022-Q2</c:v>
                </c:pt>
                <c:pt idx="7">
                  <c:v>2022-Q3</c:v>
                </c:pt>
                <c:pt idx="8">
                  <c:v>2022-Q4</c:v>
                </c:pt>
                <c:pt idx="9">
                  <c:v>2023-Q1</c:v>
                </c:pt>
                <c:pt idx="10">
                  <c:v>2023-Q2</c:v>
                </c:pt>
                <c:pt idx="11">
                  <c:v>2023-Q3</c:v>
                </c:pt>
                <c:pt idx="12">
                  <c:v>2023-Q4</c:v>
                </c:pt>
                <c:pt idx="13">
                  <c:v>2024-Q1</c:v>
                </c:pt>
                <c:pt idx="14">
                  <c:v>2024-Q2</c:v>
                </c:pt>
                <c:pt idx="15">
                  <c:v>2024-Q3</c:v>
                </c:pt>
                <c:pt idx="16">
                  <c:v>2024-Q4</c:v>
                </c:pt>
                <c:pt idx="17">
                  <c:v>2025-Q1</c:v>
                </c:pt>
                <c:pt idx="18">
                  <c:v>2025-Q2</c:v>
                </c:pt>
                <c:pt idx="19">
                  <c:v>2025-Q3</c:v>
                </c:pt>
                <c:pt idx="20">
                  <c:v>2025-Q4</c:v>
                </c:pt>
                <c:pt idx="21">
                  <c:v>2026-Q1</c:v>
                </c:pt>
              </c:strCache>
            </c:strRef>
          </c:cat>
          <c:val>
            <c:numRef>
              <c:f>Quarterly!$B$16:$W$16</c:f>
              <c:numCache>
                <c:formatCode>0%</c:formatCode>
                <c:ptCount val="22"/>
                <c:pt idx="0">
                  <c:v>5.5290928822781756E-2</c:v>
                </c:pt>
                <c:pt idx="1">
                  <c:v>1.0695564728072933E-2</c:v>
                </c:pt>
                <c:pt idx="2">
                  <c:v>3.3074889173914698E-2</c:v>
                </c:pt>
                <c:pt idx="3">
                  <c:v>3.507575167020572E-2</c:v>
                </c:pt>
                <c:pt idx="4">
                  <c:v>2.2002638377444594E-2</c:v>
                </c:pt>
                <c:pt idx="5">
                  <c:v>9.9248303772080815E-3</c:v>
                </c:pt>
                <c:pt idx="6">
                  <c:v>0</c:v>
                </c:pt>
                <c:pt idx="7">
                  <c:v>1.6924556640480162E-2</c:v>
                </c:pt>
                <c:pt idx="8">
                  <c:v>9.6198357352706189E-3</c:v>
                </c:pt>
                <c:pt idx="9">
                  <c:v>1.8029638678252802E-2</c:v>
                </c:pt>
                <c:pt idx="10">
                  <c:v>0</c:v>
                </c:pt>
                <c:pt idx="11">
                  <c:v>0</c:v>
                </c:pt>
                <c:pt idx="12">
                  <c:v>8.6853409967839398E-3</c:v>
                </c:pt>
                <c:pt idx="13">
                  <c:v>7.8706417115035152E-3</c:v>
                </c:pt>
                <c:pt idx="14">
                  <c:v>0</c:v>
                </c:pt>
                <c:pt idx="15">
                  <c:v>9.8053207834888634E-3</c:v>
                </c:pt>
                <c:pt idx="16">
                  <c:v>0</c:v>
                </c:pt>
                <c:pt idx="17">
                  <c:v>3.0319530903184892E-2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F6-4353-88F4-5C8C00DC8E26}"/>
            </c:ext>
          </c:extLst>
        </c:ser>
        <c:ser>
          <c:idx val="0"/>
          <c:order val="4"/>
          <c:tx>
            <c:strRef>
              <c:f>Quarterly!$A$7</c:f>
              <c:strCache>
                <c:ptCount val="1"/>
                <c:pt idx="0">
                  <c:v>Alternate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val>
            <c:numRef>
              <c:f>Quarterly!$B$15:$W$15</c:f>
              <c:numCache>
                <c:formatCode>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6.4208820568391715E-3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F6-4353-88F4-5C8C00DC8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90275008"/>
        <c:axId val="861459040"/>
      </c:areaChart>
      <c:catAx>
        <c:axId val="69027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459040"/>
        <c:crosses val="autoZero"/>
        <c:auto val="1"/>
        <c:lblAlgn val="ctr"/>
        <c:lblOffset val="100"/>
        <c:noMultiLvlLbl val="0"/>
      </c:catAx>
      <c:valAx>
        <c:axId val="861459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% Contribution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275008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Quarterly!$A$9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Quarterly!$B$1:$W$1</c:f>
              <c:strCache>
                <c:ptCount val="22"/>
                <c:pt idx="0">
                  <c:v>2020-Q4</c:v>
                </c:pt>
                <c:pt idx="1">
                  <c:v>2021-Q1</c:v>
                </c:pt>
                <c:pt idx="2">
                  <c:v>2021-Q2</c:v>
                </c:pt>
                <c:pt idx="3">
                  <c:v>2021-Q3</c:v>
                </c:pt>
                <c:pt idx="4">
                  <c:v>2021-Q4</c:v>
                </c:pt>
                <c:pt idx="5">
                  <c:v>2022-Q1</c:v>
                </c:pt>
                <c:pt idx="6">
                  <c:v>2022-Q2</c:v>
                </c:pt>
                <c:pt idx="7">
                  <c:v>2022-Q3</c:v>
                </c:pt>
                <c:pt idx="8">
                  <c:v>2022-Q4</c:v>
                </c:pt>
                <c:pt idx="9">
                  <c:v>2023-Q1</c:v>
                </c:pt>
                <c:pt idx="10">
                  <c:v>2023-Q2</c:v>
                </c:pt>
                <c:pt idx="11">
                  <c:v>2023-Q3</c:v>
                </c:pt>
                <c:pt idx="12">
                  <c:v>2023-Q4</c:v>
                </c:pt>
                <c:pt idx="13">
                  <c:v>2024-Q1</c:v>
                </c:pt>
                <c:pt idx="14">
                  <c:v>2024-Q2</c:v>
                </c:pt>
                <c:pt idx="15">
                  <c:v>2024-Q3</c:v>
                </c:pt>
                <c:pt idx="16">
                  <c:v>2024-Q4</c:v>
                </c:pt>
                <c:pt idx="17">
                  <c:v>2025-Q1</c:v>
                </c:pt>
                <c:pt idx="18">
                  <c:v>2025-Q2</c:v>
                </c:pt>
                <c:pt idx="19">
                  <c:v>2025-Q3</c:v>
                </c:pt>
                <c:pt idx="20">
                  <c:v>2025-Q4</c:v>
                </c:pt>
                <c:pt idx="21">
                  <c:v>2026-Q1</c:v>
                </c:pt>
              </c:strCache>
            </c:strRef>
          </c:cat>
          <c:val>
            <c:numRef>
              <c:f>Quarterly!$B$9:$W$9</c:f>
              <c:numCache>
                <c:formatCode>_ * #,##0_ ;_ * \-#,##0_ ;_ * "-"??_ ;_ @_ </c:formatCode>
                <c:ptCount val="22"/>
                <c:pt idx="0">
                  <c:v>84.100594781183005</c:v>
                </c:pt>
                <c:pt idx="1">
                  <c:v>93.824088724000006</c:v>
                </c:pt>
                <c:pt idx="2">
                  <c:v>106.70070108</c:v>
                </c:pt>
                <c:pt idx="3">
                  <c:v>123.98272974700001</c:v>
                </c:pt>
                <c:pt idx="4">
                  <c:v>129.873774771</c:v>
                </c:pt>
                <c:pt idx="5">
                  <c:v>135.806956066</c:v>
                </c:pt>
                <c:pt idx="6">
                  <c:v>129.210050548</c:v>
                </c:pt>
                <c:pt idx="7">
                  <c:v>147.71435690199996</c:v>
                </c:pt>
                <c:pt idx="8">
                  <c:v>155.92781844499999</c:v>
                </c:pt>
                <c:pt idx="9">
                  <c:v>166.39268559600004</c:v>
                </c:pt>
                <c:pt idx="10">
                  <c:v>186.77847065099996</c:v>
                </c:pt>
                <c:pt idx="11">
                  <c:v>206.55485812100002</c:v>
                </c:pt>
                <c:pt idx="12">
                  <c:v>230.27305441900003</c:v>
                </c:pt>
                <c:pt idx="13">
                  <c:v>255.819476963</c:v>
                </c:pt>
                <c:pt idx="14">
                  <c:v>279.91029175199998</c:v>
                </c:pt>
                <c:pt idx="15">
                  <c:v>310.10826857600006</c:v>
                </c:pt>
                <c:pt idx="16">
                  <c:v>305.19194087799997</c:v>
                </c:pt>
                <c:pt idx="17">
                  <c:v>296.83836563099999</c:v>
                </c:pt>
                <c:pt idx="18">
                  <c:v>324.93789296</c:v>
                </c:pt>
                <c:pt idx="19">
                  <c:v>326.98924789999995</c:v>
                </c:pt>
                <c:pt idx="20">
                  <c:v>340.00900770699997</c:v>
                </c:pt>
                <c:pt idx="21">
                  <c:v>320.65091130499997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5-4774-965B-CD67A2D004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00279272"/>
        <c:axId val="500283864"/>
      </c:lineChart>
      <c:catAx>
        <c:axId val="500279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83864"/>
        <c:crosses val="autoZero"/>
        <c:auto val="1"/>
        <c:lblAlgn val="ctr"/>
        <c:lblOffset val="100"/>
        <c:noMultiLvlLbl val="0"/>
      </c:catAx>
      <c:valAx>
        <c:axId val="500283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crossAx val="5002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Quarterly!$A$42:$B$42</c:f>
              <c:strCache>
                <c:ptCount val="2"/>
                <c:pt idx="0">
                  <c:v>% Change</c:v>
                </c:pt>
                <c:pt idx="1">
                  <c:v> -   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Quarterly!$C$1:$W$1</c:f>
              <c:strCache>
                <c:ptCount val="21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</c:strCache>
            </c:strRef>
          </c:cat>
          <c:val>
            <c:numRef>
              <c:f>Quarterly!$C$42:$W$42</c:f>
              <c:numCache>
                <c:formatCode>0%</c:formatCode>
                <c:ptCount val="21"/>
                <c:pt idx="0">
                  <c:v>0.11561742182818152</c:v>
                </c:pt>
                <c:pt idx="1">
                  <c:v>0.13724207217060011</c:v>
                </c:pt>
                <c:pt idx="2">
                  <c:v>0.16294999462059781</c:v>
                </c:pt>
                <c:pt idx="3">
                  <c:v>4.7515045329468833E-2</c:v>
                </c:pt>
                <c:pt idx="4">
                  <c:v>4.5684213810383775E-2</c:v>
                </c:pt>
                <c:pt idx="5">
                  <c:v>-4.8575608415772277E-2</c:v>
                </c:pt>
                <c:pt idx="6">
                  <c:v>0.14321104492661627</c:v>
                </c:pt>
                <c:pt idx="7">
                  <c:v>5.5603678039563745E-2</c:v>
                </c:pt>
                <c:pt idx="8">
                  <c:v>6.7113535322699827E-2</c:v>
                </c:pt>
                <c:pt idx="9">
                  <c:v>0.12251611290472508</c:v>
                </c:pt>
                <c:pt idx="10">
                  <c:v>0.10588151515038724</c:v>
                </c:pt>
                <c:pt idx="11">
                  <c:v>0.11482758872757128</c:v>
                </c:pt>
                <c:pt idx="12">
                  <c:v>0.1109396955212841</c:v>
                </c:pt>
                <c:pt idx="13">
                  <c:v>9.4178148884592638E-2</c:v>
                </c:pt>
                <c:pt idx="14">
                  <c:v>0.1078776797916158</c:v>
                </c:pt>
                <c:pt idx="15">
                  <c:v>-1.5853584686972469E-2</c:v>
                </c:pt>
                <c:pt idx="16">
                  <c:v>-2.7371545994850862E-2</c:v>
                </c:pt>
                <c:pt idx="17">
                  <c:v>9.4662559097668866E-2</c:v>
                </c:pt>
                <c:pt idx="18">
                  <c:v>6.3495301246813129E-3</c:v>
                </c:pt>
                <c:pt idx="19">
                  <c:v>3.9747514300454E-2</c:v>
                </c:pt>
                <c:pt idx="20">
                  <c:v>-5.6908628781606262E-2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C-4B03-836A-C295E32F89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573718784"/>
        <c:axId val="573721408"/>
      </c:barChart>
      <c:catAx>
        <c:axId val="57371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21408"/>
        <c:crosses val="autoZero"/>
        <c:auto val="1"/>
        <c:lblAlgn val="ctr"/>
        <c:lblOffset val="100"/>
        <c:noMultiLvlLbl val="0"/>
      </c:catAx>
      <c:valAx>
        <c:axId val="5737214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1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Monthly!$A$9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Monthly!$B$1:$BN$1</c:f>
              <c:strCache>
                <c:ptCount val="65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</c:strCache>
            </c:strRef>
          </c:cat>
          <c:val>
            <c:numRef>
              <c:f>Monthly!$B$9:$BN$9</c:f>
              <c:numCache>
                <c:formatCode>_ * #,##0_ ;_ * \-#,##0_ ;_ * "-"??_ ;_ @_ </c:formatCode>
                <c:ptCount val="65"/>
                <c:pt idx="0">
                  <c:v>84.100594781183005</c:v>
                </c:pt>
                <c:pt idx="1">
                  <c:v>87.278830220000003</c:v>
                </c:pt>
                <c:pt idx="2">
                  <c:v>90.104911845000004</c:v>
                </c:pt>
                <c:pt idx="3">
                  <c:v>93.824088724000006</c:v>
                </c:pt>
                <c:pt idx="4">
                  <c:v>95.78942778599999</c:v>
                </c:pt>
                <c:pt idx="5">
                  <c:v>102.480096179</c:v>
                </c:pt>
                <c:pt idx="6">
                  <c:v>106.70070108</c:v>
                </c:pt>
                <c:pt idx="7">
                  <c:v>109.81444055200001</c:v>
                </c:pt>
                <c:pt idx="8">
                  <c:v>116.07471425100002</c:v>
                </c:pt>
                <c:pt idx="9">
                  <c:v>123.98272974700001</c:v>
                </c:pt>
                <c:pt idx="10">
                  <c:v>126.23589552600001</c:v>
                </c:pt>
                <c:pt idx="11">
                  <c:v>126.29326705100002</c:v>
                </c:pt>
                <c:pt idx="12">
                  <c:v>129.873774771</c:v>
                </c:pt>
                <c:pt idx="13">
                  <c:v>132.34062925699999</c:v>
                </c:pt>
                <c:pt idx="14">
                  <c:v>125.30918082100001</c:v>
                </c:pt>
                <c:pt idx="15">
                  <c:v>135.806956066</c:v>
                </c:pt>
                <c:pt idx="16">
                  <c:v>136.336454855</c:v>
                </c:pt>
                <c:pt idx="17">
                  <c:v>131.59079236500003</c:v>
                </c:pt>
                <c:pt idx="18">
                  <c:v>129.210050548</c:v>
                </c:pt>
                <c:pt idx="19">
                  <c:v>138.48717480899998</c:v>
                </c:pt>
                <c:pt idx="20">
                  <c:v>148.20329120199997</c:v>
                </c:pt>
                <c:pt idx="21">
                  <c:v>147.71435690199996</c:v>
                </c:pt>
                <c:pt idx="22">
                  <c:v>152.091289378</c:v>
                </c:pt>
                <c:pt idx="23">
                  <c:v>156.2142686983</c:v>
                </c:pt>
                <c:pt idx="24">
                  <c:v>155.92781844499999</c:v>
                </c:pt>
                <c:pt idx="25">
                  <c:v>158.98088011199999</c:v>
                </c:pt>
                <c:pt idx="26">
                  <c:v>161.42906851699999</c:v>
                </c:pt>
                <c:pt idx="27">
                  <c:v>166.39268559600004</c:v>
                </c:pt>
                <c:pt idx="28">
                  <c:v>173.66919956700002</c:v>
                </c:pt>
                <c:pt idx="29">
                  <c:v>179.92439205700001</c:v>
                </c:pt>
                <c:pt idx="30">
                  <c:v>186.77847065099996</c:v>
                </c:pt>
                <c:pt idx="31">
                  <c:v>200.35867974300001</c:v>
                </c:pt>
                <c:pt idx="32">
                  <c:v>203.026920886</c:v>
                </c:pt>
                <c:pt idx="33">
                  <c:v>206.55485812100002</c:v>
                </c:pt>
                <c:pt idx="34">
                  <c:v>207.56874475800001</c:v>
                </c:pt>
                <c:pt idx="35">
                  <c:v>218.86780472499998</c:v>
                </c:pt>
                <c:pt idx="36">
                  <c:v>230.27305441900003</c:v>
                </c:pt>
                <c:pt idx="37">
                  <c:v>240.37285664900003</c:v>
                </c:pt>
                <c:pt idx="38">
                  <c:v>244.30658444400004</c:v>
                </c:pt>
                <c:pt idx="39">
                  <c:v>255.819476963</c:v>
                </c:pt>
                <c:pt idx="40">
                  <c:v>261.21936444699998</c:v>
                </c:pt>
                <c:pt idx="41">
                  <c:v>264.20790878900004</c:v>
                </c:pt>
                <c:pt idx="42">
                  <c:v>279.91029175199998</c:v>
                </c:pt>
                <c:pt idx="43">
                  <c:v>297.32793788800001</c:v>
                </c:pt>
                <c:pt idx="44">
                  <c:v>303.22227691900008</c:v>
                </c:pt>
                <c:pt idx="45">
                  <c:v>310.10826857600006</c:v>
                </c:pt>
                <c:pt idx="46">
                  <c:v>297.75005265999994</c:v>
                </c:pt>
                <c:pt idx="47">
                  <c:v>299.8564537150001</c:v>
                </c:pt>
                <c:pt idx="48">
                  <c:v>305.19194087799997</c:v>
                </c:pt>
                <c:pt idx="49">
                  <c:v>292.72159567199998</c:v>
                </c:pt>
                <c:pt idx="50">
                  <c:v>278.84509800899997</c:v>
                </c:pt>
                <c:pt idx="51">
                  <c:v>296.83836563099999</c:v>
                </c:pt>
                <c:pt idx="52">
                  <c:v>304.71326746399995</c:v>
                </c:pt>
                <c:pt idx="53">
                  <c:v>316.63557166999999</c:v>
                </c:pt>
                <c:pt idx="54">
                  <c:v>324.93789296</c:v>
                </c:pt>
                <c:pt idx="55">
                  <c:v>325.44023271399999</c:v>
                </c:pt>
                <c:pt idx="56">
                  <c:v>324.34690384999999</c:v>
                </c:pt>
                <c:pt idx="57">
                  <c:v>326.98924789999995</c:v>
                </c:pt>
                <c:pt idx="58">
                  <c:v>337.53560352900001</c:v>
                </c:pt>
                <c:pt idx="59">
                  <c:v>338.46373845999995</c:v>
                </c:pt>
                <c:pt idx="60">
                  <c:v>340.00900770699997</c:v>
                </c:pt>
                <c:pt idx="61">
                  <c:v>336.03914736399997</c:v>
                </c:pt>
                <c:pt idx="62">
                  <c:v>334.33099670399997</c:v>
                </c:pt>
                <c:pt idx="63">
                  <c:v>320.65091130499997</c:v>
                </c:pt>
                <c:pt idx="64">
                  <c:v>347.66362245499994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1-429F-AD52-95F9C12D57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00279272"/>
        <c:axId val="500283864"/>
      </c:lineChart>
      <c:catAx>
        <c:axId val="500279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83864"/>
        <c:crosses val="autoZero"/>
        <c:auto val="1"/>
        <c:lblAlgn val="ctr"/>
        <c:lblOffset val="100"/>
        <c:noMultiLvlLbl val="1"/>
      </c:catAx>
      <c:valAx>
        <c:axId val="500283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crossAx val="5002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Monthly!$A$42</c:f>
              <c:strCache>
                <c:ptCount val="1"/>
                <c:pt idx="0">
                  <c:v>% Change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Monthly!$B$1:$BN$1</c:f>
              <c:strCache>
                <c:ptCount val="65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</c:strCache>
            </c:strRef>
          </c:cat>
          <c:val>
            <c:numRef>
              <c:f>Monthly!$B$42:$BN$42</c:f>
              <c:numCache>
                <c:formatCode>0%</c:formatCode>
                <c:ptCount val="65"/>
                <c:pt idx="1">
                  <c:v>3.7790879447241542E-2</c:v>
                </c:pt>
                <c:pt idx="2">
                  <c:v>3.2379920971401924E-2</c:v>
                </c:pt>
                <c:pt idx="3">
                  <c:v>4.1276072556374999E-2</c:v>
                </c:pt>
                <c:pt idx="4">
                  <c:v>2.0947062622493354E-2</c:v>
                </c:pt>
                <c:pt idx="5">
                  <c:v>6.9847670537790382E-2</c:v>
                </c:pt>
                <c:pt idx="6">
                  <c:v>4.1184630561118499E-2</c:v>
                </c:pt>
                <c:pt idx="7">
                  <c:v>2.918199637381436E-2</c:v>
                </c:pt>
                <c:pt idx="8">
                  <c:v>5.7962538141656757E-2</c:v>
                </c:pt>
                <c:pt idx="9">
                  <c:v>6.8128666497508761E-2</c:v>
                </c:pt>
                <c:pt idx="10">
                  <c:v>1.8173222864166821E-2</c:v>
                </c:pt>
                <c:pt idx="11">
                  <c:v>4.5447869451839572E-4</c:v>
                </c:pt>
                <c:pt idx="12">
                  <c:v>2.8350741125052131E-2</c:v>
                </c:pt>
                <c:pt idx="13">
                  <c:v>1.8994246454680213E-2</c:v>
                </c:pt>
                <c:pt idx="14">
                  <c:v>-5.3131441761133158E-2</c:v>
                </c:pt>
                <c:pt idx="15">
                  <c:v>8.3774989000971273E-2</c:v>
                </c:pt>
                <c:pt idx="16">
                  <c:v>3.8989077167938609E-3</c:v>
                </c:pt>
                <c:pt idx="17">
                  <c:v>-3.4808463334676215E-2</c:v>
                </c:pt>
                <c:pt idx="18">
                  <c:v>-1.8092009130824507E-2</c:v>
                </c:pt>
                <c:pt idx="19">
                  <c:v>7.1798782073486306E-2</c:v>
                </c:pt>
                <c:pt idx="20">
                  <c:v>7.0158961697358205E-2</c:v>
                </c:pt>
                <c:pt idx="21">
                  <c:v>-3.2990785564510961E-3</c:v>
                </c:pt>
                <c:pt idx="22">
                  <c:v>2.9631056640647704E-2</c:v>
                </c:pt>
                <c:pt idx="23">
                  <c:v>2.7108582859423119E-2</c:v>
                </c:pt>
                <c:pt idx="24">
                  <c:v>-1.8337009524605774E-3</c:v>
                </c:pt>
                <c:pt idx="25">
                  <c:v>1.9579967817461016E-2</c:v>
                </c:pt>
                <c:pt idx="26">
                  <c:v>1.5399263126957639E-2</c:v>
                </c:pt>
                <c:pt idx="27">
                  <c:v>3.0747975718371436E-2</c:v>
                </c:pt>
                <c:pt idx="28">
                  <c:v>4.3730972578129426E-2</c:v>
                </c:pt>
                <c:pt idx="29">
                  <c:v>3.6017857545239541E-2</c:v>
                </c:pt>
                <c:pt idx="30">
                  <c:v>3.8094215662702491E-2</c:v>
                </c:pt>
                <c:pt idx="31">
                  <c:v>7.2707571941602281E-2</c:v>
                </c:pt>
                <c:pt idx="32">
                  <c:v>1.3317322446038017E-2</c:v>
                </c:pt>
                <c:pt idx="33">
                  <c:v>1.7376696743487192E-2</c:v>
                </c:pt>
                <c:pt idx="34">
                  <c:v>4.9085586571198788E-3</c:v>
                </c:pt>
                <c:pt idx="35">
                  <c:v>5.4435266639846616E-2</c:v>
                </c:pt>
                <c:pt idx="36">
                  <c:v>5.2110221091358502E-2</c:v>
                </c:pt>
                <c:pt idx="37">
                  <c:v>4.3860113183814393E-2</c:v>
                </c:pt>
                <c:pt idx="38">
                  <c:v>1.6365108148396975E-2</c:v>
                </c:pt>
                <c:pt idx="39">
                  <c:v>4.7124773755899046E-2</c:v>
                </c:pt>
                <c:pt idx="40">
                  <c:v>2.1108195310637012E-2</c:v>
                </c:pt>
                <c:pt idx="41">
                  <c:v>1.144654933346907E-2</c:v>
                </c:pt>
                <c:pt idx="42">
                  <c:v>5.9432955792176369E-2</c:v>
                </c:pt>
                <c:pt idx="43">
                  <c:v>6.2219013195235769E-2</c:v>
                </c:pt>
                <c:pt idx="44">
                  <c:v>1.9824369929274426E-2</c:v>
                </c:pt>
                <c:pt idx="45">
                  <c:v>2.2709385758090089E-2</c:v>
                </c:pt>
                <c:pt idx="46">
                  <c:v>-4.0756292847511658E-2</c:v>
                </c:pt>
                <c:pt idx="47">
                  <c:v>6.9467226366179335E-3</c:v>
                </c:pt>
                <c:pt idx="48">
                  <c:v>1.7595960353616252E-2</c:v>
                </c:pt>
                <c:pt idx="49">
                  <c:v>-4.0212875532997454E-2</c:v>
                </c:pt>
                <c:pt idx="50">
                  <c:v>-4.5763450508970432E-2</c:v>
                </c:pt>
                <c:pt idx="51">
                  <c:v>5.9340190321196591E-2</c:v>
                </c:pt>
                <c:pt idx="52">
                  <c:v>2.5972372191848208E-2</c:v>
                </c:pt>
                <c:pt idx="53">
                  <c:v>3.9318041956346174E-2</c:v>
                </c:pt>
                <c:pt idx="54">
                  <c:v>2.7379160180298009E-2</c:v>
                </c:pt>
                <c:pt idx="55">
                  <c:v>1.6755291173268768E-3</c:v>
                </c:pt>
                <c:pt idx="56">
                  <c:v>-3.5937955320183945E-3</c:v>
                </c:pt>
                <c:pt idx="57">
                  <c:v>8.7225255244242021E-3</c:v>
                </c:pt>
                <c:pt idx="58">
                  <c:v>3.4743844469627277E-2</c:v>
                </c:pt>
                <c:pt idx="59">
                  <c:v>3.0684385740185238E-3</c:v>
                </c:pt>
                <c:pt idx="60">
                  <c:v>5.0506950299336779E-3</c:v>
                </c:pt>
                <c:pt idx="61">
                  <c:v>-1.3074898003153762E-2</c:v>
                </c:pt>
                <c:pt idx="62">
                  <c:v>-5.6468827996347393E-3</c:v>
                </c:pt>
                <c:pt idx="63">
                  <c:v>-4.5090966065967422E-2</c:v>
                </c:pt>
                <c:pt idx="64">
                  <c:v>8.7112837313395877E-2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C-4802-A75A-C84857CD15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78140920"/>
        <c:axId val="578146824"/>
      </c:lineChart>
      <c:catAx>
        <c:axId val="578140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46824"/>
        <c:crosses val="autoZero"/>
        <c:auto val="1"/>
        <c:lblAlgn val="ctr"/>
        <c:lblOffset val="100"/>
        <c:noMultiLvlLbl val="1"/>
      </c:catAx>
      <c:valAx>
        <c:axId val="578146824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578140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Monthly!$A$50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Monthly!$B$1:$BN$1</c:f>
              <c:strCache>
                <c:ptCount val="65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</c:strCache>
            </c:strRef>
          </c:cat>
          <c:val>
            <c:numRef>
              <c:f>Monthly!$B$50:$BN$50</c:f>
              <c:numCache>
                <c:formatCode>0%</c:formatCode>
                <c:ptCount val="65"/>
                <c:pt idx="1">
                  <c:v>2.7400098796121583E-2</c:v>
                </c:pt>
                <c:pt idx="2">
                  <c:v>4.750386336009723E-2</c:v>
                </c:pt>
                <c:pt idx="3">
                  <c:v>1.6821227988184299E-2</c:v>
                </c:pt>
                <c:pt idx="4">
                  <c:v>1.0210831312395582E-2</c:v>
                </c:pt>
                <c:pt idx="5">
                  <c:v>4.7485426702431832E-2</c:v>
                </c:pt>
                <c:pt idx="6">
                  <c:v>1.5109434609579385E-2</c:v>
                </c:pt>
                <c:pt idx="7">
                  <c:v>2.1288560628078001E-2</c:v>
                </c:pt>
                <c:pt idx="8">
                  <c:v>3.7519774897445922E-2</c:v>
                </c:pt>
                <c:pt idx="9">
                  <c:v>9.4439870308840133E-3</c:v>
                </c:pt>
                <c:pt idx="10">
                  <c:v>7.5638933254143469E-3</c:v>
                </c:pt>
                <c:pt idx="11">
                  <c:v>-9.5750139844417766E-3</c:v>
                </c:pt>
                <c:pt idx="12">
                  <c:v>5.6365666881713124E-3</c:v>
                </c:pt>
                <c:pt idx="13">
                  <c:v>2.3285074106241437E-3</c:v>
                </c:pt>
                <c:pt idx="14">
                  <c:v>-5.7192298642479593E-2</c:v>
                </c:pt>
                <c:pt idx="15">
                  <c:v>6.7211498804950864E-2</c:v>
                </c:pt>
                <c:pt idx="16">
                  <c:v>-7.6758111896225731E-3</c:v>
                </c:pt>
                <c:pt idx="17">
                  <c:v>-2.9822327302879113E-2</c:v>
                </c:pt>
                <c:pt idx="18">
                  <c:v>-2.255561170850932E-2</c:v>
                </c:pt>
                <c:pt idx="19">
                  <c:v>6.2975297807636013E-2</c:v>
                </c:pt>
                <c:pt idx="20">
                  <c:v>1.766430985666264E-2</c:v>
                </c:pt>
                <c:pt idx="21">
                  <c:v>-1.3873251824060911E-2</c:v>
                </c:pt>
                <c:pt idx="22">
                  <c:v>2.3200498359638954E-2</c:v>
                </c:pt>
                <c:pt idx="23">
                  <c:v>2.2079735182292943E-3</c:v>
                </c:pt>
                <c:pt idx="24">
                  <c:v>-2.0427371756711585E-2</c:v>
                </c:pt>
                <c:pt idx="25">
                  <c:v>-2.0117178392425926E-3</c:v>
                </c:pt>
                <c:pt idx="26">
                  <c:v>-5.7777767700926382E-3</c:v>
                </c:pt>
                <c:pt idx="27">
                  <c:v>1.2925207127614094E-2</c:v>
                </c:pt>
                <c:pt idx="28">
                  <c:v>3.2138407183257486E-2</c:v>
                </c:pt>
                <c:pt idx="29">
                  <c:v>3.7286913944126074E-2</c:v>
                </c:pt>
                <c:pt idx="30">
                  <c:v>2.594011142481116E-2</c:v>
                </c:pt>
                <c:pt idx="31">
                  <c:v>2.4129544820083944E-2</c:v>
                </c:pt>
                <c:pt idx="32">
                  <c:v>1.122894338735826E-2</c:v>
                </c:pt>
                <c:pt idx="33">
                  <c:v>9.4050935248738299E-3</c:v>
                </c:pt>
                <c:pt idx="34">
                  <c:v>-1.6488437217026491E-3</c:v>
                </c:pt>
                <c:pt idx="35">
                  <c:v>4.8965088187287238E-2</c:v>
                </c:pt>
                <c:pt idx="36">
                  <c:v>3.8569512037673358E-2</c:v>
                </c:pt>
                <c:pt idx="37">
                  <c:v>2.2783149896704141E-2</c:v>
                </c:pt>
                <c:pt idx="38">
                  <c:v>2.174022251451968E-2</c:v>
                </c:pt>
                <c:pt idx="39">
                  <c:v>2.3761371484158987E-2</c:v>
                </c:pt>
                <c:pt idx="40">
                  <c:v>1.1775910007961259E-2</c:v>
                </c:pt>
                <c:pt idx="41">
                  <c:v>9.9824769328274426E-3</c:v>
                </c:pt>
                <c:pt idx="42">
                  <c:v>4.9023009831033776E-2</c:v>
                </c:pt>
                <c:pt idx="43">
                  <c:v>3.5811808509282381E-2</c:v>
                </c:pt>
                <c:pt idx="44">
                  <c:v>9.3959974459325319E-3</c:v>
                </c:pt>
                <c:pt idx="45">
                  <c:v>1.0278771417024124E-2</c:v>
                </c:pt>
                <c:pt idx="46">
                  <c:v>-4.1112841855345285E-2</c:v>
                </c:pt>
                <c:pt idx="47">
                  <c:v>9.0284161026505804E-4</c:v>
                </c:pt>
                <c:pt idx="48">
                  <c:v>3.6979957284956999E-3</c:v>
                </c:pt>
                <c:pt idx="49">
                  <c:v>-3.9902570713399463E-2</c:v>
                </c:pt>
                <c:pt idx="50">
                  <c:v>-5.8762156715727869E-2</c:v>
                </c:pt>
                <c:pt idx="51">
                  <c:v>4.5088057063833537E-2</c:v>
                </c:pt>
                <c:pt idx="52">
                  <c:v>2.473171745638145E-2</c:v>
                </c:pt>
                <c:pt idx="53">
                  <c:v>3.4146506220735291E-2</c:v>
                </c:pt>
                <c:pt idx="54">
                  <c:v>3.0082381725977343E-2</c:v>
                </c:pt>
                <c:pt idx="55">
                  <c:v>-1.7777668004116672E-2</c:v>
                </c:pt>
                <c:pt idx="56">
                  <c:v>5.5435722496718362E-3</c:v>
                </c:pt>
                <c:pt idx="57">
                  <c:v>7.3943995103130534E-3</c:v>
                </c:pt>
                <c:pt idx="58">
                  <c:v>2.1896846856535465E-2</c:v>
                </c:pt>
                <c:pt idx="59">
                  <c:v>-1.7189364201402354E-3</c:v>
                </c:pt>
                <c:pt idx="60">
                  <c:v>-8.671837530823481E-4</c:v>
                </c:pt>
                <c:pt idx="61">
                  <c:v>-1.4031162439411354E-2</c:v>
                </c:pt>
                <c:pt idx="62">
                  <c:v>-8.8918517632213204E-3</c:v>
                </c:pt>
                <c:pt idx="63">
                  <c:v>-4.6653083892216299E-2</c:v>
                </c:pt>
                <c:pt idx="64">
                  <c:v>8.2611179317072223E-2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09-4DAB-A208-A27747D98B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78140920"/>
        <c:axId val="578146824"/>
      </c:lineChart>
      <c:catAx>
        <c:axId val="578140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46824"/>
        <c:crosses val="autoZero"/>
        <c:auto val="1"/>
        <c:lblAlgn val="ctr"/>
        <c:lblOffset val="100"/>
        <c:noMultiLvlLbl val="1"/>
      </c:catAx>
      <c:valAx>
        <c:axId val="578146824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578140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Portfolio Breakup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7"/>
          <c:order val="0"/>
          <c:tx>
            <c:strRef>
              <c:f>Monthly!$A$12</c:f>
              <c:strCache>
                <c:ptCount val="1"/>
                <c:pt idx="0">
                  <c:v>Equity</c:v>
                </c:pt>
              </c:strCache>
            </c:strRef>
          </c:tx>
          <c:spPr>
            <a:gradFill>
              <a:gsLst>
                <a:gs pos="100000">
                  <a:schemeClr val="accent2">
                    <a:lumMod val="60000"/>
                  </a:schemeClr>
                </a:gs>
                <a:gs pos="0">
                  <a:schemeClr val="accent2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Monthly!$B$1:$BN$1</c:f>
              <c:strCache>
                <c:ptCount val="65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</c:strCache>
            </c:strRef>
          </c:cat>
          <c:val>
            <c:numRef>
              <c:f>Monthly!$B$12:$BN$12</c:f>
              <c:numCache>
                <c:formatCode>0%</c:formatCode>
                <c:ptCount val="65"/>
                <c:pt idx="0">
                  <c:v>0.54601985753681559</c:v>
                </c:pt>
                <c:pt idx="1">
                  <c:v>0.57120914767457343</c:v>
                </c:pt>
                <c:pt idx="2">
                  <c:v>0.60480373077490579</c:v>
                </c:pt>
                <c:pt idx="3">
                  <c:v>0.59298803075684203</c:v>
                </c:pt>
                <c:pt idx="4">
                  <c:v>0.56590440412801657</c:v>
                </c:pt>
                <c:pt idx="5">
                  <c:v>0.59160812358237969</c:v>
                </c:pt>
                <c:pt idx="6">
                  <c:v>0.60569355742606135</c:v>
                </c:pt>
                <c:pt idx="7">
                  <c:v>0.62375437799152444</c:v>
                </c:pt>
                <c:pt idx="8">
                  <c:v>0.64523162632170572</c:v>
                </c:pt>
                <c:pt idx="9">
                  <c:v>0.6307471408846943</c:v>
                </c:pt>
                <c:pt idx="10">
                  <c:v>0.64158628306572874</c:v>
                </c:pt>
                <c:pt idx="11">
                  <c:v>0.65308126543034839</c:v>
                </c:pt>
                <c:pt idx="12">
                  <c:v>0.6565641848814604</c:v>
                </c:pt>
                <c:pt idx="13">
                  <c:v>0.66488244328297108</c:v>
                </c:pt>
                <c:pt idx="14">
                  <c:v>0.65163318768033707</c:v>
                </c:pt>
                <c:pt idx="15">
                  <c:v>0.65507252087857126</c:v>
                </c:pt>
                <c:pt idx="16">
                  <c:v>0.65268659919784167</c:v>
                </c:pt>
                <c:pt idx="17">
                  <c:v>0.64891257689327464</c:v>
                </c:pt>
                <c:pt idx="18">
                  <c:v>0.64006251988328877</c:v>
                </c:pt>
                <c:pt idx="19">
                  <c:v>0.66184410892497614</c:v>
                </c:pt>
                <c:pt idx="20">
                  <c:v>0.64381019090831348</c:v>
                </c:pt>
                <c:pt idx="21">
                  <c:v>0.65083262668761177</c:v>
                </c:pt>
                <c:pt idx="22">
                  <c:v>0.67546634523344551</c:v>
                </c:pt>
                <c:pt idx="23">
                  <c:v>0.6796958919505891</c:v>
                </c:pt>
                <c:pt idx="24">
                  <c:v>0.6670692406415526</c:v>
                </c:pt>
                <c:pt idx="25">
                  <c:v>0.6710834066136675</c:v>
                </c:pt>
                <c:pt idx="26">
                  <c:v>0.67416830510633308</c:v>
                </c:pt>
                <c:pt idx="27">
                  <c:v>0.65398306545883367</c:v>
                </c:pt>
                <c:pt idx="28">
                  <c:v>0.67185973596881465</c:v>
                </c:pt>
                <c:pt idx="29">
                  <c:v>0.68653321622933483</c:v>
                </c:pt>
                <c:pt idx="30">
                  <c:v>0.70178768566921135</c:v>
                </c:pt>
                <c:pt idx="31">
                  <c:v>0.70098570185805442</c:v>
                </c:pt>
                <c:pt idx="32">
                  <c:v>0.71309927892416458</c:v>
                </c:pt>
                <c:pt idx="33">
                  <c:v>0.71647896576853232</c:v>
                </c:pt>
                <c:pt idx="34">
                  <c:v>0.71606192411717373</c:v>
                </c:pt>
                <c:pt idx="35">
                  <c:v>0.72889605406078983</c:v>
                </c:pt>
                <c:pt idx="36">
                  <c:v>0.7318561038077529</c:v>
                </c:pt>
                <c:pt idx="37">
                  <c:v>0.73300088290036547</c:v>
                </c:pt>
                <c:pt idx="38">
                  <c:v>0.75220661924535048</c:v>
                </c:pt>
                <c:pt idx="39">
                  <c:v>0.73511606993160761</c:v>
                </c:pt>
                <c:pt idx="40">
                  <c:v>0.73882669948137714</c:v>
                </c:pt>
                <c:pt idx="41">
                  <c:v>0.7476098262703621</c:v>
                </c:pt>
                <c:pt idx="42">
                  <c:v>0.76037383413030324</c:v>
                </c:pt>
                <c:pt idx="43">
                  <c:v>0.75739322535788089</c:v>
                </c:pt>
                <c:pt idx="44">
                  <c:v>0.76075824542937986</c:v>
                </c:pt>
                <c:pt idx="45">
                  <c:v>0.76441831304122165</c:v>
                </c:pt>
                <c:pt idx="46">
                  <c:v>0.75960451386473993</c:v>
                </c:pt>
                <c:pt idx="47">
                  <c:v>0.76189567649639534</c:v>
                </c:pt>
                <c:pt idx="48">
                  <c:v>0.76629877481426845</c:v>
                </c:pt>
                <c:pt idx="49">
                  <c:v>0.75471636851674917</c:v>
                </c:pt>
                <c:pt idx="50">
                  <c:v>0.74086914019314132</c:v>
                </c:pt>
                <c:pt idx="51">
                  <c:v>0.70049825327998161</c:v>
                </c:pt>
                <c:pt idx="52">
                  <c:v>0.71624813993301073</c:v>
                </c:pt>
                <c:pt idx="53">
                  <c:v>0.73029839771445049</c:v>
                </c:pt>
                <c:pt idx="54">
                  <c:v>0.74936695361034644</c:v>
                </c:pt>
                <c:pt idx="55">
                  <c:v>0.73299521236096399</c:v>
                </c:pt>
                <c:pt idx="56">
                  <c:v>0.74233351541826353</c:v>
                </c:pt>
                <c:pt idx="57">
                  <c:v>0.74148811301021389</c:v>
                </c:pt>
                <c:pt idx="58">
                  <c:v>0.74761076873278431</c:v>
                </c:pt>
                <c:pt idx="59">
                  <c:v>0.74619074294083543</c:v>
                </c:pt>
                <c:pt idx="60">
                  <c:v>0.74467504674226093</c:v>
                </c:pt>
                <c:pt idx="61">
                  <c:v>0.73722557864857896</c:v>
                </c:pt>
                <c:pt idx="62">
                  <c:v>0.73571582990784401</c:v>
                </c:pt>
                <c:pt idx="63">
                  <c:v>0.70787703793268664</c:v>
                </c:pt>
                <c:pt idx="64">
                  <c:v>0.72672747632002466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6-4FEF-98B0-0B2B4C64FED9}"/>
            </c:ext>
          </c:extLst>
        </c:ser>
        <c:ser>
          <c:idx val="8"/>
          <c:order val="1"/>
          <c:tx>
            <c:strRef>
              <c:f>Monthly!$A$13</c:f>
              <c:strCache>
                <c:ptCount val="1"/>
                <c:pt idx="0">
                  <c:v>Debt</c:v>
                </c:pt>
              </c:strCache>
            </c:strRef>
          </c:tx>
          <c:spPr>
            <a:gradFill>
              <a:gsLst>
                <a:gs pos="100000">
                  <a:schemeClr val="accent3">
                    <a:lumMod val="60000"/>
                  </a:schemeClr>
                </a:gs>
                <a:gs pos="0">
                  <a:schemeClr val="accent3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Monthly!$B$1:$BN$1</c:f>
              <c:strCache>
                <c:ptCount val="65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</c:strCache>
            </c:strRef>
          </c:cat>
          <c:val>
            <c:numRef>
              <c:f>Monthly!$B$13:$BN$13</c:f>
              <c:numCache>
                <c:formatCode>0%</c:formatCode>
                <c:ptCount val="65"/>
                <c:pt idx="0">
                  <c:v>0.38679869131292266</c:v>
                </c:pt>
                <c:pt idx="1">
                  <c:v>0.37807564465315774</c:v>
                </c:pt>
                <c:pt idx="2">
                  <c:v>0.37101196056333596</c:v>
                </c:pt>
                <c:pt idx="3">
                  <c:v>0.38389927885104436</c:v>
                </c:pt>
                <c:pt idx="4">
                  <c:v>0.38499447018713612</c:v>
                </c:pt>
                <c:pt idx="5">
                  <c:v>0.36221570220975779</c:v>
                </c:pt>
                <c:pt idx="6">
                  <c:v>0.35003106466936446</c:v>
                </c:pt>
                <c:pt idx="7">
                  <c:v>0.3422851294516332</c:v>
                </c:pt>
                <c:pt idx="8">
                  <c:v>0.32609858438375527</c:v>
                </c:pt>
                <c:pt idx="9">
                  <c:v>0.32035784404046069</c:v>
                </c:pt>
                <c:pt idx="10">
                  <c:v>0.31670975861034356</c:v>
                </c:pt>
                <c:pt idx="11">
                  <c:v>0.31890409473480402</c:v>
                </c:pt>
                <c:pt idx="12">
                  <c:v>0.31233203217142219</c:v>
                </c:pt>
                <c:pt idx="13">
                  <c:v>0.30843921650645267</c:v>
                </c:pt>
                <c:pt idx="14">
                  <c:v>0.32803135197825301</c:v>
                </c:pt>
                <c:pt idx="15">
                  <c:v>0.32628034147577462</c:v>
                </c:pt>
                <c:pt idx="16">
                  <c:v>0.32837101454349682</c:v>
                </c:pt>
                <c:pt idx="17">
                  <c:v>0.34200143635558833</c:v>
                </c:pt>
                <c:pt idx="18">
                  <c:v>0.35056514418104701</c:v>
                </c:pt>
                <c:pt idx="19">
                  <c:v>0.32942288022641641</c:v>
                </c:pt>
                <c:pt idx="20">
                  <c:v>0.32085178145732229</c:v>
                </c:pt>
                <c:pt idx="21">
                  <c:v>0.32400935835744737</c:v>
                </c:pt>
                <c:pt idx="22">
                  <c:v>0.31647599410096428</c:v>
                </c:pt>
                <c:pt idx="23">
                  <c:v>0.3123397779637716</c:v>
                </c:pt>
                <c:pt idx="24">
                  <c:v>0.31499850693623926</c:v>
                </c:pt>
                <c:pt idx="25">
                  <c:v>0.31109740973352945</c:v>
                </c:pt>
                <c:pt idx="26">
                  <c:v>0.30836343452454357</c:v>
                </c:pt>
                <c:pt idx="27">
                  <c:v>0.31967913619202204</c:v>
                </c:pt>
                <c:pt idx="28">
                  <c:v>0.30834351821458689</c:v>
                </c:pt>
                <c:pt idx="29">
                  <c:v>0.29961068304136435</c:v>
                </c:pt>
                <c:pt idx="30">
                  <c:v>0.29032278619157703</c:v>
                </c:pt>
                <c:pt idx="31">
                  <c:v>0.28164125493530801</c:v>
                </c:pt>
                <c:pt idx="32">
                  <c:v>0.27961104740329318</c:v>
                </c:pt>
                <c:pt idx="33">
                  <c:v>0.27641029854913579</c:v>
                </c:pt>
                <c:pt idx="34">
                  <c:v>0.2767527455396725</c:v>
                </c:pt>
                <c:pt idx="35">
                  <c:v>0.26409470352492476</c:v>
                </c:pt>
                <c:pt idx="36">
                  <c:v>0.2526849706615043</c:v>
                </c:pt>
                <c:pt idx="37">
                  <c:v>0.24379454825705171</c:v>
                </c:pt>
                <c:pt idx="38">
                  <c:v>0.24139304363905922</c:v>
                </c:pt>
                <c:pt idx="39">
                  <c:v>0.25045889687776579</c:v>
                </c:pt>
                <c:pt idx="40">
                  <c:v>0.24662934211016874</c:v>
                </c:pt>
                <c:pt idx="41">
                  <c:v>0.2453836234394329</c:v>
                </c:pt>
                <c:pt idx="42">
                  <c:v>0.23297710702891311</c:v>
                </c:pt>
                <c:pt idx="43">
                  <c:v>0.22613443754258658</c:v>
                </c:pt>
                <c:pt idx="44">
                  <c:v>0.22300330532134105</c:v>
                </c:pt>
                <c:pt idx="45">
                  <c:v>0.21937912301531287</c:v>
                </c:pt>
                <c:pt idx="46">
                  <c:v>0.2298822767234234</c:v>
                </c:pt>
                <c:pt idx="47">
                  <c:v>0.22963117567396049</c:v>
                </c:pt>
                <c:pt idx="48">
                  <c:v>0.22703397671859935</c:v>
                </c:pt>
                <c:pt idx="49">
                  <c:v>0.23819745803151732</c:v>
                </c:pt>
                <c:pt idx="50">
                  <c:v>0.25149403916627772</c:v>
                </c:pt>
                <c:pt idx="51">
                  <c:v>0.26180429822405699</c:v>
                </c:pt>
                <c:pt idx="52">
                  <c:v>0.25657642888567944</c:v>
                </c:pt>
                <c:pt idx="53">
                  <c:v>0.24830460957160091</c:v>
                </c:pt>
                <c:pt idx="54">
                  <c:v>0.24309959444995841</c:v>
                </c:pt>
                <c:pt idx="55">
                  <c:v>0.24404499510605027</c:v>
                </c:pt>
                <c:pt idx="56">
                  <c:v>0.24589339085192563</c:v>
                </c:pt>
                <c:pt idx="57">
                  <c:v>0.24533740028214551</c:v>
                </c:pt>
                <c:pt idx="58">
                  <c:v>0.23964792203928259</c:v>
                </c:pt>
                <c:pt idx="59">
                  <c:v>0.2403950874330244</c:v>
                </c:pt>
                <c:pt idx="60">
                  <c:v>0.2407678565696853</c:v>
                </c:pt>
                <c:pt idx="61">
                  <c:v>0.2449850877368922</c:v>
                </c:pt>
                <c:pt idx="62">
                  <c:v>0.24780484255652263</c:v>
                </c:pt>
                <c:pt idx="63">
                  <c:v>0.27635942040317596</c:v>
                </c:pt>
                <c:pt idx="64">
                  <c:v>0.25835564666138172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6-4FEF-98B0-0B2B4C64FED9}"/>
            </c:ext>
          </c:extLst>
        </c:ser>
        <c:ser>
          <c:idx val="9"/>
          <c:order val="2"/>
          <c:tx>
            <c:strRef>
              <c:f>Monthly!$A$14</c:f>
              <c:strCache>
                <c:ptCount val="1"/>
                <c:pt idx="0">
                  <c:v>Gold</c:v>
                </c:pt>
              </c:strCache>
            </c:strRef>
          </c:tx>
          <c:spPr>
            <a:gradFill>
              <a:gsLst>
                <a:gs pos="100000">
                  <a:schemeClr val="accent4">
                    <a:lumMod val="60000"/>
                  </a:schemeClr>
                </a:gs>
                <a:gs pos="0">
                  <a:schemeClr val="accent4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Monthly!$B$1:$BN$1</c:f>
              <c:strCache>
                <c:ptCount val="65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</c:strCache>
            </c:strRef>
          </c:cat>
          <c:val>
            <c:numRef>
              <c:f>Monthly!$B$14:$BN$14</c:f>
              <c:numCache>
                <c:formatCode>0%</c:formatCode>
                <c:ptCount val="65"/>
                <c:pt idx="0">
                  <c:v>1.1890522327479947E-2</c:v>
                </c:pt>
                <c:pt idx="1">
                  <c:v>1.4051104911795414E-2</c:v>
                </c:pt>
                <c:pt idx="2">
                  <c:v>1.3086134549782934E-2</c:v>
                </c:pt>
                <c:pt idx="3">
                  <c:v>1.2417125664040572E-2</c:v>
                </c:pt>
                <c:pt idx="4">
                  <c:v>1.2449703767562287E-2</c:v>
                </c:pt>
                <c:pt idx="5">
                  <c:v>1.1829160443824918E-2</c:v>
                </c:pt>
                <c:pt idx="6">
                  <c:v>1.1200488730659425E-2</c:v>
                </c:pt>
                <c:pt idx="7">
                  <c:v>1.0845235781500409E-2</c:v>
                </c:pt>
                <c:pt idx="8">
                  <c:v>1.0144310994845765E-2</c:v>
                </c:pt>
                <c:pt idx="9">
                  <c:v>9.4638180849409108E-3</c:v>
                </c:pt>
                <c:pt idx="10">
                  <c:v>9.3760969894353188E-3</c:v>
                </c:pt>
                <c:pt idx="11">
                  <c:v>9.3987591557090928E-3</c:v>
                </c:pt>
                <c:pt idx="12">
                  <c:v>9.1011445696728387E-3</c:v>
                </c:pt>
                <c:pt idx="13">
                  <c:v>8.8646246174467827E-3</c:v>
                </c:pt>
                <c:pt idx="14">
                  <c:v>9.6102296105520877E-3</c:v>
                </c:pt>
                <c:pt idx="15">
                  <c:v>8.7223072684460123E-3</c:v>
                </c:pt>
                <c:pt idx="16">
                  <c:v>9.0283996405005392E-3</c:v>
                </c:pt>
                <c:pt idx="17">
                  <c:v>9.0857420835623818E-3</c:v>
                </c:pt>
                <c:pt idx="18">
                  <c:v>9.3723359356641372E-3</c:v>
                </c:pt>
                <c:pt idx="19">
                  <c:v>8.7330108486074996E-3</c:v>
                </c:pt>
                <c:pt idx="20">
                  <c:v>8.3480737166200265E-3</c:v>
                </c:pt>
                <c:pt idx="21">
                  <c:v>8.2334583144607881E-3</c:v>
                </c:pt>
                <c:pt idx="22">
                  <c:v>8.0576606655901536E-3</c:v>
                </c:pt>
                <c:pt idx="23">
                  <c:v>7.9643300856392218E-3</c:v>
                </c:pt>
                <c:pt idx="24">
                  <c:v>8.3124166869376348E-3</c:v>
                </c:pt>
                <c:pt idx="25">
                  <c:v>8.3840868100678676E-3</c:v>
                </c:pt>
                <c:pt idx="26">
                  <c:v>8.17625358385193E-3</c:v>
                </c:pt>
                <c:pt idx="27">
                  <c:v>8.3081596708914005E-3</c:v>
                </c:pt>
                <c:pt idx="28">
                  <c:v>8.2805989984723796E-3</c:v>
                </c:pt>
                <c:pt idx="29">
                  <c:v>8.2982106146397422E-3</c:v>
                </c:pt>
                <c:pt idx="30">
                  <c:v>7.8895281392117479E-3</c:v>
                </c:pt>
                <c:pt idx="31">
                  <c:v>7.3909450885755127E-3</c:v>
                </c:pt>
                <c:pt idx="32">
                  <c:v>7.2896736725422875E-3</c:v>
                </c:pt>
                <c:pt idx="33">
                  <c:v>7.1107356823319106E-3</c:v>
                </c:pt>
                <c:pt idx="34">
                  <c:v>7.1853303431537816E-3</c:v>
                </c:pt>
                <c:pt idx="35">
                  <c:v>7.0092424142853792E-3</c:v>
                </c:pt>
                <c:pt idx="36">
                  <c:v>6.7735845339588355E-3</c:v>
                </c:pt>
                <c:pt idx="37">
                  <c:v>6.5637548348642287E-3</c:v>
                </c:pt>
                <c:pt idx="38">
                  <c:v>6.4003371155901805E-3</c:v>
                </c:pt>
                <c:pt idx="39">
                  <c:v>6.5543914791230404E-3</c:v>
                </c:pt>
                <c:pt idx="40">
                  <c:v>6.792991797359758E-3</c:v>
                </c:pt>
                <c:pt idx="41">
                  <c:v>7.0065502902049073E-3</c:v>
                </c:pt>
                <c:pt idx="42">
                  <c:v>6.649058840783771E-3</c:v>
                </c:pt>
                <c:pt idx="43">
                  <c:v>6.3657421951144157E-3</c:v>
                </c:pt>
                <c:pt idx="44">
                  <c:v>6.2717555560998966E-3</c:v>
                </c:pt>
                <c:pt idx="45">
                  <c:v>6.3972431599765914E-3</c:v>
                </c:pt>
                <c:pt idx="46">
                  <c:v>7.012883730315847E-3</c:v>
                </c:pt>
                <c:pt idx="47">
                  <c:v>6.7233553756230165E-3</c:v>
                </c:pt>
                <c:pt idx="48">
                  <c:v>6.6672484671323751E-3</c:v>
                </c:pt>
                <c:pt idx="49">
                  <c:v>7.0861734517335215E-3</c:v>
                </c:pt>
                <c:pt idx="50">
                  <c:v>7.6368206405811332E-3</c:v>
                </c:pt>
                <c:pt idx="51">
                  <c:v>7.3779175927765747E-3</c:v>
                </c:pt>
                <c:pt idx="52">
                  <c:v>7.484413195987403E-3</c:v>
                </c:pt>
                <c:pt idx="53">
                  <c:v>7.4652604176246385E-3</c:v>
                </c:pt>
                <c:pt idx="54">
                  <c:v>7.5334519396952513E-3</c:v>
                </c:pt>
                <c:pt idx="55">
                  <c:v>1.0668892936330044E-2</c:v>
                </c:pt>
                <c:pt idx="56">
                  <c:v>1.1773093729810858E-2</c:v>
                </c:pt>
                <c:pt idx="57">
                  <c:v>1.3174486707640765E-2</c:v>
                </c:pt>
                <c:pt idx="58">
                  <c:v>1.2741309227933052E-2</c:v>
                </c:pt>
                <c:pt idx="59">
                  <c:v>1.3414169626140225E-2</c:v>
                </c:pt>
                <c:pt idx="60">
                  <c:v>1.4557096688053718E-2</c:v>
                </c:pt>
                <c:pt idx="61">
                  <c:v>1.7789333614528797E-2</c:v>
                </c:pt>
                <c:pt idx="62">
                  <c:v>1.6479327535633442E-2</c:v>
                </c:pt>
                <c:pt idx="63">
                  <c:v>1.5763541664137421E-2</c:v>
                </c:pt>
                <c:pt idx="64">
                  <c:v>1.4916877018593629E-2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66-4FEF-98B0-0B2B4C64FED9}"/>
            </c:ext>
          </c:extLst>
        </c:ser>
        <c:ser>
          <c:idx val="10"/>
          <c:order val="3"/>
          <c:tx>
            <c:strRef>
              <c:f>Monthly!$A$16</c:f>
              <c:strCache>
                <c:ptCount val="1"/>
                <c:pt idx="0">
                  <c:v>Liquid</c:v>
                </c:pt>
              </c:strCache>
            </c:strRef>
          </c:tx>
          <c:spPr>
            <a:gradFill>
              <a:gsLst>
                <a:gs pos="100000">
                  <a:schemeClr val="accent5">
                    <a:lumMod val="60000"/>
                  </a:schemeClr>
                </a:gs>
                <a:gs pos="0">
                  <a:schemeClr val="accent5">
                    <a:lumMod val="6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Monthly!$B$1:$BN$1</c:f>
              <c:strCache>
                <c:ptCount val="65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</c:strCache>
            </c:strRef>
          </c:cat>
          <c:val>
            <c:numRef>
              <c:f>Monthly!$B$16:$BN$16</c:f>
              <c:numCache>
                <c:formatCode>0%</c:formatCode>
                <c:ptCount val="65"/>
                <c:pt idx="0">
                  <c:v>5.5290928822781756E-2</c:v>
                </c:pt>
                <c:pt idx="1">
                  <c:v>3.6664102760473501E-2</c:v>
                </c:pt>
                <c:pt idx="2">
                  <c:v>1.1098174111975348E-2</c:v>
                </c:pt>
                <c:pt idx="3">
                  <c:v>1.0695564728072933E-2</c:v>
                </c:pt>
                <c:pt idx="4">
                  <c:v>3.6651421917285112E-2</c:v>
                </c:pt>
                <c:pt idx="5">
                  <c:v>3.4347013764037503E-2</c:v>
                </c:pt>
                <c:pt idx="6">
                  <c:v>3.3074889173914698E-2</c:v>
                </c:pt>
                <c:pt idx="7">
                  <c:v>2.3115256775341916E-2</c:v>
                </c:pt>
                <c:pt idx="8">
                  <c:v>1.7622180792767943E-2</c:v>
                </c:pt>
                <c:pt idx="9">
                  <c:v>3.507575167020572E-2</c:v>
                </c:pt>
                <c:pt idx="10">
                  <c:v>2.6545037067605137E-2</c:v>
                </c:pt>
                <c:pt idx="11">
                  <c:v>1.8615880679138577E-2</c:v>
                </c:pt>
                <c:pt idx="12">
                  <c:v>2.2002638377444594E-2</c:v>
                </c:pt>
                <c:pt idx="13">
                  <c:v>1.7813715593129567E-2</c:v>
                </c:pt>
                <c:pt idx="14">
                  <c:v>1.072523073085775E-2</c:v>
                </c:pt>
                <c:pt idx="15">
                  <c:v>9.9248303772080815E-3</c:v>
                </c:pt>
                <c:pt idx="16">
                  <c:v>9.9139866181611365E-3</c:v>
                </c:pt>
                <c:pt idx="17">
                  <c:v>2.4466757454196585E-7</c:v>
                </c:pt>
                <c:pt idx="18">
                  <c:v>0</c:v>
                </c:pt>
                <c:pt idx="19">
                  <c:v>0</c:v>
                </c:pt>
                <c:pt idx="20">
                  <c:v>2.6989953917744176E-2</c:v>
                </c:pt>
                <c:pt idx="21">
                  <c:v>1.6924556640480162E-2</c:v>
                </c:pt>
                <c:pt idx="22">
                  <c:v>0</c:v>
                </c:pt>
                <c:pt idx="23">
                  <c:v>0</c:v>
                </c:pt>
                <c:pt idx="24">
                  <c:v>9.6198357352706189E-3</c:v>
                </c:pt>
                <c:pt idx="25">
                  <c:v>9.4350968427352345E-3</c:v>
                </c:pt>
                <c:pt idx="26">
                  <c:v>9.2920067852713655E-3</c:v>
                </c:pt>
                <c:pt idx="27">
                  <c:v>1.8029638678252802E-2</c:v>
                </c:pt>
                <c:pt idx="28">
                  <c:v>1.151614681812602E-2</c:v>
                </c:pt>
                <c:pt idx="29">
                  <c:v>5.5578901146610526E-3</c:v>
                </c:pt>
                <c:pt idx="30">
                  <c:v>0</c:v>
                </c:pt>
                <c:pt idx="31">
                  <c:v>9.9820981180620636E-3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8.6853409967839398E-3</c:v>
                </c:pt>
                <c:pt idx="37">
                  <c:v>1.6640814007718538E-2</c:v>
                </c:pt>
                <c:pt idx="38">
                  <c:v>0</c:v>
                </c:pt>
                <c:pt idx="39">
                  <c:v>7.8706417115035152E-3</c:v>
                </c:pt>
                <c:pt idx="40">
                  <c:v>7.7509666110944127E-3</c:v>
                </c:pt>
                <c:pt idx="41">
                  <c:v>0</c:v>
                </c:pt>
                <c:pt idx="42">
                  <c:v>0</c:v>
                </c:pt>
                <c:pt idx="43">
                  <c:v>1.0106594904418091E-2</c:v>
                </c:pt>
                <c:pt idx="44">
                  <c:v>9.966693693179084E-3</c:v>
                </c:pt>
                <c:pt idx="45">
                  <c:v>9.8053207834888634E-3</c:v>
                </c:pt>
                <c:pt idx="46">
                  <c:v>3.5003256815209064E-3</c:v>
                </c:pt>
                <c:pt idx="47">
                  <c:v>1.7497924540209853E-3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3.0319530903184892E-2</c:v>
                </c:pt>
                <c:pt idx="52">
                  <c:v>1.9691017985322471E-2</c:v>
                </c:pt>
                <c:pt idx="53">
                  <c:v>1.3931732296324153E-2</c:v>
                </c:pt>
                <c:pt idx="54">
                  <c:v>0</c:v>
                </c:pt>
                <c:pt idx="55">
                  <c:v>1.2290899596655578E-2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66-4FEF-98B0-0B2B4C64FED9}"/>
            </c:ext>
          </c:extLst>
        </c:ser>
        <c:ser>
          <c:idx val="0"/>
          <c:order val="4"/>
          <c:tx>
            <c:strRef>
              <c:f>Monthly!$A$7</c:f>
              <c:strCache>
                <c:ptCount val="1"/>
                <c:pt idx="0">
                  <c:v>Alternate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val>
            <c:numRef>
              <c:f>Monthly!$B$15:$BN$15</c:f>
              <c:numCache>
                <c:formatCode>0%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9.0329750692534389E-4</c:v>
                </c:pt>
                <c:pt idx="9">
                  <c:v>4.3554453196983775E-3</c:v>
                </c:pt>
                <c:pt idx="10">
                  <c:v>5.7828242668872777E-3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66-4FEF-98B0-0B2B4C64F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90275008"/>
        <c:axId val="861459040"/>
      </c:areaChart>
      <c:catAx>
        <c:axId val="69027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459040"/>
        <c:crosses val="autoZero"/>
        <c:auto val="1"/>
        <c:lblAlgn val="ctr"/>
        <c:lblOffset val="100"/>
        <c:noMultiLvlLbl val="1"/>
      </c:catAx>
      <c:valAx>
        <c:axId val="861459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% Contribution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27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Instrument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2"/>
          <c:order val="0"/>
          <c:tx>
            <c:strRef>
              <c:f>Breakup!$A$18</c:f>
              <c:strCache>
                <c:ptCount val="1"/>
                <c:pt idx="0">
                  <c:v>Stocks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80000"/>
                    <a:lumOff val="20000"/>
                  </a:schemeClr>
                </a:gs>
                <a:gs pos="0">
                  <a:schemeClr val="accent1">
                    <a:lumMod val="80000"/>
                    <a:lumOff val="2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Breakup!$C$1:$BO$1</c:f>
              <c:numCache>
                <c:formatCode>m/d/yyyy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44381</c:v>
                </c:pt>
                <c:pt idx="7">
                  <c:v>44409</c:v>
                </c:pt>
                <c:pt idx="8">
                  <c:v>44446</c:v>
                </c:pt>
                <c:pt idx="9">
                  <c:v>44471</c:v>
                </c:pt>
                <c:pt idx="10">
                  <c:v>44501</c:v>
                </c:pt>
                <c:pt idx="11">
                  <c:v>44534</c:v>
                </c:pt>
                <c:pt idx="12">
                  <c:v>44563</c:v>
                </c:pt>
                <c:pt idx="13">
                  <c:v>44594</c:v>
                </c:pt>
                <c:pt idx="14">
                  <c:v>44625</c:v>
                </c:pt>
                <c:pt idx="15">
                  <c:v>44653</c:v>
                </c:pt>
                <c:pt idx="16">
                  <c:v>44682</c:v>
                </c:pt>
                <c:pt idx="17">
                  <c:v>44717</c:v>
                </c:pt>
                <c:pt idx="18">
                  <c:v>44744</c:v>
                </c:pt>
                <c:pt idx="19">
                  <c:v>44774</c:v>
                </c:pt>
                <c:pt idx="20">
                  <c:v>44807</c:v>
                </c:pt>
                <c:pt idx="21">
                  <c:v>44835</c:v>
                </c:pt>
                <c:pt idx="22">
                  <c:v>44868</c:v>
                </c:pt>
                <c:pt idx="23">
                  <c:v>44898</c:v>
                </c:pt>
                <c:pt idx="24">
                  <c:v>44927</c:v>
                </c:pt>
                <c:pt idx="25">
                  <c:v>44960</c:v>
                </c:pt>
                <c:pt idx="26">
                  <c:v>44988</c:v>
                </c:pt>
                <c:pt idx="27">
                  <c:v>45018</c:v>
                </c:pt>
                <c:pt idx="28">
                  <c:v>45047</c:v>
                </c:pt>
                <c:pt idx="29">
                  <c:v>45080</c:v>
                </c:pt>
                <c:pt idx="30">
                  <c:v>45108</c:v>
                </c:pt>
                <c:pt idx="31">
                  <c:v>45143</c:v>
                </c:pt>
                <c:pt idx="32">
                  <c:v>45171</c:v>
                </c:pt>
                <c:pt idx="33">
                  <c:v>45201</c:v>
                </c:pt>
                <c:pt idx="34">
                  <c:v>45234</c:v>
                </c:pt>
                <c:pt idx="35">
                  <c:v>45262</c:v>
                </c:pt>
                <c:pt idx="36">
                  <c:v>45292</c:v>
                </c:pt>
                <c:pt idx="37">
                  <c:v>45325</c:v>
                </c:pt>
                <c:pt idx="38">
                  <c:v>45354</c:v>
                </c:pt>
                <c:pt idx="39">
                  <c:v>45385</c:v>
                </c:pt>
                <c:pt idx="40">
                  <c:v>45413</c:v>
                </c:pt>
                <c:pt idx="41">
                  <c:v>45446</c:v>
                </c:pt>
                <c:pt idx="42">
                  <c:v>45474</c:v>
                </c:pt>
                <c:pt idx="43">
                  <c:v>45506</c:v>
                </c:pt>
                <c:pt idx="44">
                  <c:v>45536</c:v>
                </c:pt>
                <c:pt idx="45">
                  <c:v>45567</c:v>
                </c:pt>
                <c:pt idx="46">
                  <c:v>45598</c:v>
                </c:pt>
                <c:pt idx="47">
                  <c:v>45627</c:v>
                </c:pt>
                <c:pt idx="48">
                  <c:v>45661</c:v>
                </c:pt>
                <c:pt idx="49">
                  <c:v>45689</c:v>
                </c:pt>
                <c:pt idx="50">
                  <c:v>45718</c:v>
                </c:pt>
                <c:pt idx="51">
                  <c:v>45752</c:v>
                </c:pt>
                <c:pt idx="52">
                  <c:v>45779</c:v>
                </c:pt>
                <c:pt idx="53">
                  <c:v>45810</c:v>
                </c:pt>
                <c:pt idx="54">
                  <c:v>45845</c:v>
                </c:pt>
                <c:pt idx="55">
                  <c:v>45871</c:v>
                </c:pt>
                <c:pt idx="56">
                  <c:v>45901</c:v>
                </c:pt>
                <c:pt idx="57">
                  <c:v>45934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46114</c:v>
                </c:pt>
                <c:pt idx="64">
                  <c:v>46143</c:v>
                </c:pt>
              </c:numCache>
            </c:numRef>
          </c:cat>
          <c:val>
            <c:numRef>
              <c:f>Breakup!$C$18:$BO$18</c:f>
              <c:numCache>
                <c:formatCode>0%</c:formatCode>
                <c:ptCount val="65"/>
                <c:pt idx="0">
                  <c:v>0.22403915868875326</c:v>
                </c:pt>
                <c:pt idx="1">
                  <c:v>0.22833457952823599</c:v>
                </c:pt>
                <c:pt idx="2">
                  <c:v>0.22315518752838975</c:v>
                </c:pt>
                <c:pt idx="3">
                  <c:v>0.22429353470093394</c:v>
                </c:pt>
                <c:pt idx="4">
                  <c:v>0.23139668972153057</c:v>
                </c:pt>
                <c:pt idx="5">
                  <c:v>0.23774742519213876</c:v>
                </c:pt>
                <c:pt idx="6">
                  <c:v>0.24367890029612535</c:v>
                </c:pt>
                <c:pt idx="7">
                  <c:v>0.25243136841255015</c:v>
                </c:pt>
                <c:pt idx="8">
                  <c:v>0.25871495522325849</c:v>
                </c:pt>
                <c:pt idx="9">
                  <c:v>0.25814469535644696</c:v>
                </c:pt>
                <c:pt idx="10">
                  <c:v>0.26347699963953269</c:v>
                </c:pt>
                <c:pt idx="11">
                  <c:v>0.26784879186267085</c:v>
                </c:pt>
                <c:pt idx="12">
                  <c:v>0.26988367791575602</c:v>
                </c:pt>
                <c:pt idx="13">
                  <c:v>0.27908863292673503</c:v>
                </c:pt>
                <c:pt idx="14">
                  <c:v>0.27094606698051388</c:v>
                </c:pt>
                <c:pt idx="15">
                  <c:v>0.27466273437328392</c:v>
                </c:pt>
                <c:pt idx="16">
                  <c:v>0.27817918868681157</c:v>
                </c:pt>
                <c:pt idx="17">
                  <c:v>0.27796077782208595</c:v>
                </c:pt>
                <c:pt idx="18">
                  <c:v>0.27414355655592842</c:v>
                </c:pt>
                <c:pt idx="19">
                  <c:v>0.28360308060416556</c:v>
                </c:pt>
                <c:pt idx="20">
                  <c:v>0.27437930136501076</c:v>
                </c:pt>
                <c:pt idx="21">
                  <c:v>0.27329231461761455</c:v>
                </c:pt>
                <c:pt idx="22">
                  <c:v>0.28070631049680317</c:v>
                </c:pt>
                <c:pt idx="23">
                  <c:v>0.27851450806986033</c:v>
                </c:pt>
                <c:pt idx="24">
                  <c:v>0.27541643581159903</c:v>
                </c:pt>
                <c:pt idx="25">
                  <c:v>0.2729782434807661</c:v>
                </c:pt>
                <c:pt idx="26">
                  <c:v>0.27210038999496744</c:v>
                </c:pt>
                <c:pt idx="27">
                  <c:v>0.26417572168242426</c:v>
                </c:pt>
                <c:pt idx="28">
                  <c:v>0.27138929077528756</c:v>
                </c:pt>
                <c:pt idx="29">
                  <c:v>0.26772798868059822</c:v>
                </c:pt>
                <c:pt idx="30">
                  <c:v>0.27238633993884021</c:v>
                </c:pt>
                <c:pt idx="31">
                  <c:v>0.27035250616285056</c:v>
                </c:pt>
                <c:pt idx="32">
                  <c:v>0.27237767168350574</c:v>
                </c:pt>
                <c:pt idx="33">
                  <c:v>0.27715173402730919</c:v>
                </c:pt>
                <c:pt idx="34">
                  <c:v>0.27489220193783942</c:v>
                </c:pt>
                <c:pt idx="35">
                  <c:v>0.2820027814394665</c:v>
                </c:pt>
                <c:pt idx="36">
                  <c:v>0.28213647473396875</c:v>
                </c:pt>
                <c:pt idx="37">
                  <c:v>0.27885762783057921</c:v>
                </c:pt>
                <c:pt idx="38">
                  <c:v>0.28631824418155949</c:v>
                </c:pt>
                <c:pt idx="39">
                  <c:v>0.27923204186025125</c:v>
                </c:pt>
                <c:pt idx="40">
                  <c:v>0.27723277236092247</c:v>
                </c:pt>
                <c:pt idx="41">
                  <c:v>0.2765012759642323</c:v>
                </c:pt>
                <c:pt idx="42">
                  <c:v>0.28053606821135729</c:v>
                </c:pt>
                <c:pt idx="43">
                  <c:v>0.28561404590236916</c:v>
                </c:pt>
                <c:pt idx="44">
                  <c:v>0.28481231879631919</c:v>
                </c:pt>
                <c:pt idx="45">
                  <c:v>0.2823278879406696</c:v>
                </c:pt>
                <c:pt idx="46">
                  <c:v>0.27471186241368034</c:v>
                </c:pt>
                <c:pt idx="47">
                  <c:v>0.26984129671894524</c:v>
                </c:pt>
                <c:pt idx="48">
                  <c:v>0.26573852758589095</c:v>
                </c:pt>
                <c:pt idx="49">
                  <c:v>0.25841538963445748</c:v>
                </c:pt>
                <c:pt idx="50">
                  <c:v>0.24983592000513308</c:v>
                </c:pt>
                <c:pt idx="51">
                  <c:v>0.21397413021387018</c:v>
                </c:pt>
                <c:pt idx="52">
                  <c:v>0.21705917812657807</c:v>
                </c:pt>
                <c:pt idx="53">
                  <c:v>0.21676944330036907</c:v>
                </c:pt>
                <c:pt idx="54">
                  <c:v>0.21892749057973704</c:v>
                </c:pt>
                <c:pt idx="55">
                  <c:v>0.20936776203659851</c:v>
                </c:pt>
                <c:pt idx="56">
                  <c:v>0.21424393843493128</c:v>
                </c:pt>
                <c:pt idx="57">
                  <c:v>0.20083820040493749</c:v>
                </c:pt>
                <c:pt idx="58">
                  <c:v>0.2013807829139421</c:v>
                </c:pt>
                <c:pt idx="59">
                  <c:v>0.2032775121289134</c:v>
                </c:pt>
                <c:pt idx="60">
                  <c:v>0.20125486604451284</c:v>
                </c:pt>
                <c:pt idx="61">
                  <c:v>0.19774638437592612</c:v>
                </c:pt>
                <c:pt idx="62">
                  <c:v>0.20054169508955325</c:v>
                </c:pt>
                <c:pt idx="63">
                  <c:v>0.18997636604892482</c:v>
                </c:pt>
                <c:pt idx="64">
                  <c:v>0.18818656705582815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56-4AD4-AC02-3761EA3406F9}"/>
            </c:ext>
          </c:extLst>
        </c:ser>
        <c:ser>
          <c:idx val="13"/>
          <c:order val="1"/>
          <c:tx>
            <c:strRef>
              <c:f>Breakup!$A$19</c:f>
              <c:strCache>
                <c:ptCount val="1"/>
                <c:pt idx="0">
                  <c:v>Mutual Funds</c:v>
                </c:pt>
              </c:strCache>
            </c:strRef>
          </c:tx>
          <c:spPr>
            <a:gradFill>
              <a:gsLst>
                <a:gs pos="100000">
                  <a:schemeClr val="accent2">
                    <a:lumMod val="80000"/>
                    <a:lumOff val="20000"/>
                  </a:schemeClr>
                </a:gs>
                <a:gs pos="0">
                  <a:schemeClr val="accent2">
                    <a:lumMod val="80000"/>
                    <a:lumOff val="2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Breakup!$C$1:$BO$1</c:f>
              <c:numCache>
                <c:formatCode>m/d/yyyy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44381</c:v>
                </c:pt>
                <c:pt idx="7">
                  <c:v>44409</c:v>
                </c:pt>
                <c:pt idx="8">
                  <c:v>44446</c:v>
                </c:pt>
                <c:pt idx="9">
                  <c:v>44471</c:v>
                </c:pt>
                <c:pt idx="10">
                  <c:v>44501</c:v>
                </c:pt>
                <c:pt idx="11">
                  <c:v>44534</c:v>
                </c:pt>
                <c:pt idx="12">
                  <c:v>44563</c:v>
                </c:pt>
                <c:pt idx="13">
                  <c:v>44594</c:v>
                </c:pt>
                <c:pt idx="14">
                  <c:v>44625</c:v>
                </c:pt>
                <c:pt idx="15">
                  <c:v>44653</c:v>
                </c:pt>
                <c:pt idx="16">
                  <c:v>44682</c:v>
                </c:pt>
                <c:pt idx="17">
                  <c:v>44717</c:v>
                </c:pt>
                <c:pt idx="18">
                  <c:v>44744</c:v>
                </c:pt>
                <c:pt idx="19">
                  <c:v>44774</c:v>
                </c:pt>
                <c:pt idx="20">
                  <c:v>44807</c:v>
                </c:pt>
                <c:pt idx="21">
                  <c:v>44835</c:v>
                </c:pt>
                <c:pt idx="22">
                  <c:v>44868</c:v>
                </c:pt>
                <c:pt idx="23">
                  <c:v>44898</c:v>
                </c:pt>
                <c:pt idx="24">
                  <c:v>44927</c:v>
                </c:pt>
                <c:pt idx="25">
                  <c:v>44960</c:v>
                </c:pt>
                <c:pt idx="26">
                  <c:v>44988</c:v>
                </c:pt>
                <c:pt idx="27">
                  <c:v>45018</c:v>
                </c:pt>
                <c:pt idx="28">
                  <c:v>45047</c:v>
                </c:pt>
                <c:pt idx="29">
                  <c:v>45080</c:v>
                </c:pt>
                <c:pt idx="30">
                  <c:v>45108</c:v>
                </c:pt>
                <c:pt idx="31">
                  <c:v>45143</c:v>
                </c:pt>
                <c:pt idx="32">
                  <c:v>45171</c:v>
                </c:pt>
                <c:pt idx="33">
                  <c:v>45201</c:v>
                </c:pt>
                <c:pt idx="34">
                  <c:v>45234</c:v>
                </c:pt>
                <c:pt idx="35">
                  <c:v>45262</c:v>
                </c:pt>
                <c:pt idx="36">
                  <c:v>45292</c:v>
                </c:pt>
                <c:pt idx="37">
                  <c:v>45325</c:v>
                </c:pt>
                <c:pt idx="38">
                  <c:v>45354</c:v>
                </c:pt>
                <c:pt idx="39">
                  <c:v>45385</c:v>
                </c:pt>
                <c:pt idx="40">
                  <c:v>45413</c:v>
                </c:pt>
                <c:pt idx="41">
                  <c:v>45446</c:v>
                </c:pt>
                <c:pt idx="42">
                  <c:v>45474</c:v>
                </c:pt>
                <c:pt idx="43">
                  <c:v>45506</c:v>
                </c:pt>
                <c:pt idx="44">
                  <c:v>45536</c:v>
                </c:pt>
                <c:pt idx="45">
                  <c:v>45567</c:v>
                </c:pt>
                <c:pt idx="46">
                  <c:v>45598</c:v>
                </c:pt>
                <c:pt idx="47">
                  <c:v>45627</c:v>
                </c:pt>
                <c:pt idx="48">
                  <c:v>45661</c:v>
                </c:pt>
                <c:pt idx="49">
                  <c:v>45689</c:v>
                </c:pt>
                <c:pt idx="50">
                  <c:v>45718</c:v>
                </c:pt>
                <c:pt idx="51">
                  <c:v>45752</c:v>
                </c:pt>
                <c:pt idx="52">
                  <c:v>45779</c:v>
                </c:pt>
                <c:pt idx="53">
                  <c:v>45810</c:v>
                </c:pt>
                <c:pt idx="54">
                  <c:v>45845</c:v>
                </c:pt>
                <c:pt idx="55">
                  <c:v>45871</c:v>
                </c:pt>
                <c:pt idx="56">
                  <c:v>45901</c:v>
                </c:pt>
                <c:pt idx="57">
                  <c:v>45934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46114</c:v>
                </c:pt>
                <c:pt idx="64">
                  <c:v>46143</c:v>
                </c:pt>
              </c:numCache>
            </c:numRef>
          </c:cat>
          <c:val>
            <c:numRef>
              <c:f>Breakup!$C$19:$BO$19</c:f>
              <c:numCache>
                <c:formatCode>0%</c:formatCode>
                <c:ptCount val="65"/>
                <c:pt idx="0">
                  <c:v>0.26787882225802845</c:v>
                </c:pt>
                <c:pt idx="1">
                  <c:v>0.27424395079157593</c:v>
                </c:pt>
                <c:pt idx="2">
                  <c:v>0.31062022892987379</c:v>
                </c:pt>
                <c:pt idx="3">
                  <c:v>0.30624784637689795</c:v>
                </c:pt>
                <c:pt idx="4">
                  <c:v>0.2739582348443198</c:v>
                </c:pt>
                <c:pt idx="5">
                  <c:v>0.29248292617373772</c:v>
                </c:pt>
                <c:pt idx="6">
                  <c:v>0.30251176787300632</c:v>
                </c:pt>
                <c:pt idx="7">
                  <c:v>0.31283889794741859</c:v>
                </c:pt>
                <c:pt idx="8">
                  <c:v>0.32624600797303926</c:v>
                </c:pt>
                <c:pt idx="9">
                  <c:v>0.31283605697460859</c:v>
                </c:pt>
                <c:pt idx="10">
                  <c:v>0.3188551388832962</c:v>
                </c:pt>
                <c:pt idx="11">
                  <c:v>0.32766804301838937</c:v>
                </c:pt>
                <c:pt idx="12">
                  <c:v>0.33020259205999353</c:v>
                </c:pt>
                <c:pt idx="13">
                  <c:v>0.32957524738150629</c:v>
                </c:pt>
                <c:pt idx="14">
                  <c:v>0.32586272591095644</c:v>
                </c:pt>
                <c:pt idx="15">
                  <c:v>0.32783515994101869</c:v>
                </c:pt>
                <c:pt idx="16">
                  <c:v>0.3230611556743489</c:v>
                </c:pt>
                <c:pt idx="17">
                  <c:v>0.31935244414697617</c:v>
                </c:pt>
                <c:pt idx="18">
                  <c:v>0.31545849239380946</c:v>
                </c:pt>
                <c:pt idx="19">
                  <c:v>0.3269005340851095</c:v>
                </c:pt>
                <c:pt idx="20">
                  <c:v>0.31754270313643967</c:v>
                </c:pt>
                <c:pt idx="21">
                  <c:v>0.32669894392199467</c:v>
                </c:pt>
                <c:pt idx="22">
                  <c:v>0.3428175465618874</c:v>
                </c:pt>
                <c:pt idx="23">
                  <c:v>0.34922710295857684</c:v>
                </c:pt>
                <c:pt idx="24">
                  <c:v>0.3411807333389002</c:v>
                </c:pt>
                <c:pt idx="25">
                  <c:v>0.34967795607142244</c:v>
                </c:pt>
                <c:pt idx="26">
                  <c:v>0.35417691214007718</c:v>
                </c:pt>
                <c:pt idx="27">
                  <c:v>0.34389186394245896</c:v>
                </c:pt>
                <c:pt idx="28">
                  <c:v>0.35422159957193305</c:v>
                </c:pt>
                <c:pt idx="29">
                  <c:v>0.37253579234418344</c:v>
                </c:pt>
                <c:pt idx="30">
                  <c:v>0.38319687703587479</c:v>
                </c:pt>
                <c:pt idx="31">
                  <c:v>0.38102216804843536</c:v>
                </c:pt>
                <c:pt idx="32">
                  <c:v>0.39145227903360447</c:v>
                </c:pt>
                <c:pt idx="33">
                  <c:v>0.39067187649359797</c:v>
                </c:pt>
                <c:pt idx="34">
                  <c:v>0.39318561931446327</c:v>
                </c:pt>
                <c:pt idx="35">
                  <c:v>0.3987875221514034</c:v>
                </c:pt>
                <c:pt idx="36">
                  <c:v>0.40078641789790342</c:v>
                </c:pt>
                <c:pt idx="37">
                  <c:v>0.40654220660070739</c:v>
                </c:pt>
                <c:pt idx="38">
                  <c:v>0.41746970461771693</c:v>
                </c:pt>
                <c:pt idx="39">
                  <c:v>0.41139953402461921</c:v>
                </c:pt>
                <c:pt idx="40">
                  <c:v>0.41740884143802698</c:v>
                </c:pt>
                <c:pt idx="41">
                  <c:v>0.42693500511024934</c:v>
                </c:pt>
                <c:pt idx="42">
                  <c:v>0.43548426993888489</c:v>
                </c:pt>
                <c:pt idx="43">
                  <c:v>0.42712814499738799</c:v>
                </c:pt>
                <c:pt idx="44">
                  <c:v>0.43171105003927074</c:v>
                </c:pt>
                <c:pt idx="45">
                  <c:v>0.4380412932836999</c:v>
                </c:pt>
                <c:pt idx="46">
                  <c:v>0.44185991346988063</c:v>
                </c:pt>
                <c:pt idx="47">
                  <c:v>0.44920054141313287</c:v>
                </c:pt>
                <c:pt idx="48">
                  <c:v>0.45839006421838507</c:v>
                </c:pt>
                <c:pt idx="49">
                  <c:v>0.45411071966466149</c:v>
                </c:pt>
                <c:pt idx="50">
                  <c:v>0.44971996030911943</c:v>
                </c:pt>
                <c:pt idx="51">
                  <c:v>0.44781618861304545</c:v>
                </c:pt>
                <c:pt idx="52">
                  <c:v>0.45938104631606735</c:v>
                </c:pt>
                <c:pt idx="53">
                  <c:v>0.47425667703092039</c:v>
                </c:pt>
                <c:pt idx="54">
                  <c:v>0.49086266919209243</c:v>
                </c:pt>
                <c:pt idx="55">
                  <c:v>0.48552521601673082</c:v>
                </c:pt>
                <c:pt idx="56">
                  <c:v>0.49004389239832741</c:v>
                </c:pt>
                <c:pt idx="57">
                  <c:v>0.50191469399688482</c:v>
                </c:pt>
                <c:pt idx="58">
                  <c:v>0.50610817390208407</c:v>
                </c:pt>
                <c:pt idx="59">
                  <c:v>0.50214729806302694</c:v>
                </c:pt>
                <c:pt idx="60">
                  <c:v>0.50290066595632643</c:v>
                </c:pt>
                <c:pt idx="61">
                  <c:v>0.49946599906764544</c:v>
                </c:pt>
                <c:pt idx="62">
                  <c:v>0.49467534728891421</c:v>
                </c:pt>
                <c:pt idx="63">
                  <c:v>0.48047679570900875</c:v>
                </c:pt>
                <c:pt idx="64">
                  <c:v>0.50319064767164001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56-4AD4-AC02-3761EA3406F9}"/>
            </c:ext>
          </c:extLst>
        </c:ser>
        <c:ser>
          <c:idx val="14"/>
          <c:order val="2"/>
          <c:tx>
            <c:strRef>
              <c:f>Breakup!$A$20</c:f>
              <c:strCache>
                <c:ptCount val="1"/>
                <c:pt idx="0">
                  <c:v>Gold</c:v>
                </c:pt>
              </c:strCache>
            </c:strRef>
          </c:tx>
          <c:spPr>
            <a:gradFill>
              <a:gsLst>
                <a:gs pos="100000">
                  <a:schemeClr val="accent3">
                    <a:lumMod val="80000"/>
                    <a:lumOff val="20000"/>
                  </a:schemeClr>
                </a:gs>
                <a:gs pos="0">
                  <a:schemeClr val="accent3">
                    <a:lumMod val="80000"/>
                    <a:lumOff val="2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Breakup!$C$1:$BO$1</c:f>
              <c:numCache>
                <c:formatCode>m/d/yyyy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44381</c:v>
                </c:pt>
                <c:pt idx="7">
                  <c:v>44409</c:v>
                </c:pt>
                <c:pt idx="8">
                  <c:v>44446</c:v>
                </c:pt>
                <c:pt idx="9">
                  <c:v>44471</c:v>
                </c:pt>
                <c:pt idx="10">
                  <c:v>44501</c:v>
                </c:pt>
                <c:pt idx="11">
                  <c:v>44534</c:v>
                </c:pt>
                <c:pt idx="12">
                  <c:v>44563</c:v>
                </c:pt>
                <c:pt idx="13">
                  <c:v>44594</c:v>
                </c:pt>
                <c:pt idx="14">
                  <c:v>44625</c:v>
                </c:pt>
                <c:pt idx="15">
                  <c:v>44653</c:v>
                </c:pt>
                <c:pt idx="16">
                  <c:v>44682</c:v>
                </c:pt>
                <c:pt idx="17">
                  <c:v>44717</c:v>
                </c:pt>
                <c:pt idx="18">
                  <c:v>44744</c:v>
                </c:pt>
                <c:pt idx="19">
                  <c:v>44774</c:v>
                </c:pt>
                <c:pt idx="20">
                  <c:v>44807</c:v>
                </c:pt>
                <c:pt idx="21">
                  <c:v>44835</c:v>
                </c:pt>
                <c:pt idx="22">
                  <c:v>44868</c:v>
                </c:pt>
                <c:pt idx="23">
                  <c:v>44898</c:v>
                </c:pt>
                <c:pt idx="24">
                  <c:v>44927</c:v>
                </c:pt>
                <c:pt idx="25">
                  <c:v>44960</c:v>
                </c:pt>
                <c:pt idx="26">
                  <c:v>44988</c:v>
                </c:pt>
                <c:pt idx="27">
                  <c:v>45018</c:v>
                </c:pt>
                <c:pt idx="28">
                  <c:v>45047</c:v>
                </c:pt>
                <c:pt idx="29">
                  <c:v>45080</c:v>
                </c:pt>
                <c:pt idx="30">
                  <c:v>45108</c:v>
                </c:pt>
                <c:pt idx="31">
                  <c:v>45143</c:v>
                </c:pt>
                <c:pt idx="32">
                  <c:v>45171</c:v>
                </c:pt>
                <c:pt idx="33">
                  <c:v>45201</c:v>
                </c:pt>
                <c:pt idx="34">
                  <c:v>45234</c:v>
                </c:pt>
                <c:pt idx="35">
                  <c:v>45262</c:v>
                </c:pt>
                <c:pt idx="36">
                  <c:v>45292</c:v>
                </c:pt>
                <c:pt idx="37">
                  <c:v>45325</c:v>
                </c:pt>
                <c:pt idx="38">
                  <c:v>45354</c:v>
                </c:pt>
                <c:pt idx="39">
                  <c:v>45385</c:v>
                </c:pt>
                <c:pt idx="40">
                  <c:v>45413</c:v>
                </c:pt>
                <c:pt idx="41">
                  <c:v>45446</c:v>
                </c:pt>
                <c:pt idx="42">
                  <c:v>45474</c:v>
                </c:pt>
                <c:pt idx="43">
                  <c:v>45506</c:v>
                </c:pt>
                <c:pt idx="44">
                  <c:v>45536</c:v>
                </c:pt>
                <c:pt idx="45">
                  <c:v>45567</c:v>
                </c:pt>
                <c:pt idx="46">
                  <c:v>45598</c:v>
                </c:pt>
                <c:pt idx="47">
                  <c:v>45627</c:v>
                </c:pt>
                <c:pt idx="48">
                  <c:v>45661</c:v>
                </c:pt>
                <c:pt idx="49">
                  <c:v>45689</c:v>
                </c:pt>
                <c:pt idx="50">
                  <c:v>45718</c:v>
                </c:pt>
                <c:pt idx="51">
                  <c:v>45752</c:v>
                </c:pt>
                <c:pt idx="52">
                  <c:v>45779</c:v>
                </c:pt>
                <c:pt idx="53">
                  <c:v>45810</c:v>
                </c:pt>
                <c:pt idx="54">
                  <c:v>45845</c:v>
                </c:pt>
                <c:pt idx="55">
                  <c:v>45871</c:v>
                </c:pt>
                <c:pt idx="56">
                  <c:v>45901</c:v>
                </c:pt>
                <c:pt idx="57">
                  <c:v>45934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46114</c:v>
                </c:pt>
                <c:pt idx="64">
                  <c:v>46143</c:v>
                </c:pt>
              </c:numCache>
            </c:numRef>
          </c:cat>
          <c:val>
            <c:numRef>
              <c:f>Breakup!$C$20:$BO$20</c:f>
              <c:numCache>
                <c:formatCode>0%</c:formatCode>
                <c:ptCount val="65"/>
                <c:pt idx="0">
                  <c:v>1.1890522327479945E-2</c:v>
                </c:pt>
                <c:pt idx="1">
                  <c:v>1.4051104911795412E-2</c:v>
                </c:pt>
                <c:pt idx="2">
                  <c:v>1.3086134549782934E-2</c:v>
                </c:pt>
                <c:pt idx="3">
                  <c:v>1.2417125664040572E-2</c:v>
                </c:pt>
                <c:pt idx="4">
                  <c:v>1.2449703767562287E-2</c:v>
                </c:pt>
                <c:pt idx="5">
                  <c:v>1.1829160443824918E-2</c:v>
                </c:pt>
                <c:pt idx="6">
                  <c:v>1.1200488730659425E-2</c:v>
                </c:pt>
                <c:pt idx="7">
                  <c:v>1.0845235781500409E-2</c:v>
                </c:pt>
                <c:pt idx="8">
                  <c:v>1.0144310994845765E-2</c:v>
                </c:pt>
                <c:pt idx="9">
                  <c:v>9.4638180849409108E-3</c:v>
                </c:pt>
                <c:pt idx="10">
                  <c:v>9.3760969894353188E-3</c:v>
                </c:pt>
                <c:pt idx="11">
                  <c:v>9.3987591557090928E-3</c:v>
                </c:pt>
                <c:pt idx="12">
                  <c:v>9.1011445696728387E-3</c:v>
                </c:pt>
                <c:pt idx="13">
                  <c:v>8.8646246174467792E-3</c:v>
                </c:pt>
                <c:pt idx="14">
                  <c:v>9.6102296105520877E-3</c:v>
                </c:pt>
                <c:pt idx="15">
                  <c:v>8.722307268446014E-3</c:v>
                </c:pt>
                <c:pt idx="16">
                  <c:v>9.0283996405005392E-3</c:v>
                </c:pt>
                <c:pt idx="17">
                  <c:v>9.0857420835623835E-3</c:v>
                </c:pt>
                <c:pt idx="18">
                  <c:v>9.3723359356641372E-3</c:v>
                </c:pt>
                <c:pt idx="19">
                  <c:v>8.7330108486074996E-3</c:v>
                </c:pt>
                <c:pt idx="20">
                  <c:v>8.3480737166200282E-3</c:v>
                </c:pt>
                <c:pt idx="21">
                  <c:v>8.2334583144607863E-3</c:v>
                </c:pt>
                <c:pt idx="22">
                  <c:v>8.0576606655901536E-3</c:v>
                </c:pt>
                <c:pt idx="23">
                  <c:v>7.9643300856392218E-3</c:v>
                </c:pt>
                <c:pt idx="24">
                  <c:v>8.3124166869376331E-3</c:v>
                </c:pt>
                <c:pt idx="25">
                  <c:v>8.3840868100678693E-3</c:v>
                </c:pt>
                <c:pt idx="26">
                  <c:v>8.1762535838519317E-3</c:v>
                </c:pt>
                <c:pt idx="27">
                  <c:v>8.3081596708914005E-3</c:v>
                </c:pt>
                <c:pt idx="28">
                  <c:v>8.2805989984723796E-3</c:v>
                </c:pt>
                <c:pt idx="29">
                  <c:v>8.2982106146397422E-3</c:v>
                </c:pt>
                <c:pt idx="30">
                  <c:v>7.8895281392117461E-3</c:v>
                </c:pt>
                <c:pt idx="31">
                  <c:v>7.390945088575511E-3</c:v>
                </c:pt>
                <c:pt idx="32">
                  <c:v>7.2896736725422875E-3</c:v>
                </c:pt>
                <c:pt idx="33">
                  <c:v>7.1107356823319088E-3</c:v>
                </c:pt>
                <c:pt idx="34">
                  <c:v>7.1853303431537808E-3</c:v>
                </c:pt>
                <c:pt idx="35">
                  <c:v>7.0092424142853783E-3</c:v>
                </c:pt>
                <c:pt idx="36">
                  <c:v>6.7735845339588355E-3</c:v>
                </c:pt>
                <c:pt idx="37">
                  <c:v>6.5637548348642287E-3</c:v>
                </c:pt>
                <c:pt idx="38">
                  <c:v>6.4003371155901797E-3</c:v>
                </c:pt>
                <c:pt idx="39">
                  <c:v>6.5543914791230404E-3</c:v>
                </c:pt>
                <c:pt idx="40">
                  <c:v>6.792991797359758E-3</c:v>
                </c:pt>
                <c:pt idx="41">
                  <c:v>7.006550290204909E-3</c:v>
                </c:pt>
                <c:pt idx="42">
                  <c:v>6.6490588407837692E-3</c:v>
                </c:pt>
                <c:pt idx="43">
                  <c:v>6.3657421951144174E-3</c:v>
                </c:pt>
                <c:pt idx="44">
                  <c:v>6.2717555560998974E-3</c:v>
                </c:pt>
                <c:pt idx="45">
                  <c:v>6.3972431599765914E-3</c:v>
                </c:pt>
                <c:pt idx="46">
                  <c:v>7.0128837303158453E-3</c:v>
                </c:pt>
                <c:pt idx="47">
                  <c:v>6.7233553756230174E-3</c:v>
                </c:pt>
                <c:pt idx="48">
                  <c:v>6.6672484671323742E-3</c:v>
                </c:pt>
                <c:pt idx="49">
                  <c:v>7.0861734517335215E-3</c:v>
                </c:pt>
                <c:pt idx="50">
                  <c:v>7.6368206405811332E-3</c:v>
                </c:pt>
                <c:pt idx="51">
                  <c:v>7.3779175927765747E-3</c:v>
                </c:pt>
                <c:pt idx="52">
                  <c:v>7.484413195987403E-3</c:v>
                </c:pt>
                <c:pt idx="53">
                  <c:v>7.4652604176246385E-3</c:v>
                </c:pt>
                <c:pt idx="54">
                  <c:v>7.5334519396952513E-3</c:v>
                </c:pt>
                <c:pt idx="55">
                  <c:v>1.0668892936330046E-2</c:v>
                </c:pt>
                <c:pt idx="56">
                  <c:v>1.1773093729810858E-2</c:v>
                </c:pt>
                <c:pt idx="57">
                  <c:v>1.3174486707640761E-2</c:v>
                </c:pt>
                <c:pt idx="58">
                  <c:v>1.2741309227933052E-2</c:v>
                </c:pt>
                <c:pt idx="59">
                  <c:v>1.3414169626140225E-2</c:v>
                </c:pt>
                <c:pt idx="60">
                  <c:v>1.4557096688053724E-2</c:v>
                </c:pt>
                <c:pt idx="61">
                  <c:v>1.7789333614528797E-2</c:v>
                </c:pt>
                <c:pt idx="62">
                  <c:v>1.6479327535633442E-2</c:v>
                </c:pt>
                <c:pt idx="63">
                  <c:v>1.5763541664137418E-2</c:v>
                </c:pt>
                <c:pt idx="64">
                  <c:v>1.4916877018593625E-2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56-4AD4-AC02-3761EA3406F9}"/>
            </c:ext>
          </c:extLst>
        </c:ser>
        <c:ser>
          <c:idx val="15"/>
          <c:order val="3"/>
          <c:tx>
            <c:strRef>
              <c:f>Breakup!$A$21</c:f>
              <c:strCache>
                <c:ptCount val="1"/>
                <c:pt idx="0">
                  <c:v>NPS</c:v>
                </c:pt>
              </c:strCache>
            </c:strRef>
          </c:tx>
          <c:spPr>
            <a:gradFill>
              <a:gsLst>
                <a:gs pos="100000">
                  <a:schemeClr val="accent4">
                    <a:lumMod val="80000"/>
                    <a:lumOff val="20000"/>
                  </a:schemeClr>
                </a:gs>
                <a:gs pos="0">
                  <a:schemeClr val="accent4">
                    <a:lumMod val="80000"/>
                    <a:lumOff val="2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Breakup!$C$1:$BO$1</c:f>
              <c:numCache>
                <c:formatCode>m/d/yyyy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44381</c:v>
                </c:pt>
                <c:pt idx="7">
                  <c:v>44409</c:v>
                </c:pt>
                <c:pt idx="8">
                  <c:v>44446</c:v>
                </c:pt>
                <c:pt idx="9">
                  <c:v>44471</c:v>
                </c:pt>
                <c:pt idx="10">
                  <c:v>44501</c:v>
                </c:pt>
                <c:pt idx="11">
                  <c:v>44534</c:v>
                </c:pt>
                <c:pt idx="12">
                  <c:v>44563</c:v>
                </c:pt>
                <c:pt idx="13">
                  <c:v>44594</c:v>
                </c:pt>
                <c:pt idx="14">
                  <c:v>44625</c:v>
                </c:pt>
                <c:pt idx="15">
                  <c:v>44653</c:v>
                </c:pt>
                <c:pt idx="16">
                  <c:v>44682</c:v>
                </c:pt>
                <c:pt idx="17">
                  <c:v>44717</c:v>
                </c:pt>
                <c:pt idx="18">
                  <c:v>44744</c:v>
                </c:pt>
                <c:pt idx="19">
                  <c:v>44774</c:v>
                </c:pt>
                <c:pt idx="20">
                  <c:v>44807</c:v>
                </c:pt>
                <c:pt idx="21">
                  <c:v>44835</c:v>
                </c:pt>
                <c:pt idx="22">
                  <c:v>44868</c:v>
                </c:pt>
                <c:pt idx="23">
                  <c:v>44898</c:v>
                </c:pt>
                <c:pt idx="24">
                  <c:v>44927</c:v>
                </c:pt>
                <c:pt idx="25">
                  <c:v>44960</c:v>
                </c:pt>
                <c:pt idx="26">
                  <c:v>44988</c:v>
                </c:pt>
                <c:pt idx="27">
                  <c:v>45018</c:v>
                </c:pt>
                <c:pt idx="28">
                  <c:v>45047</c:v>
                </c:pt>
                <c:pt idx="29">
                  <c:v>45080</c:v>
                </c:pt>
                <c:pt idx="30">
                  <c:v>45108</c:v>
                </c:pt>
                <c:pt idx="31">
                  <c:v>45143</c:v>
                </c:pt>
                <c:pt idx="32">
                  <c:v>45171</c:v>
                </c:pt>
                <c:pt idx="33">
                  <c:v>45201</c:v>
                </c:pt>
                <c:pt idx="34">
                  <c:v>45234</c:v>
                </c:pt>
                <c:pt idx="35">
                  <c:v>45262</c:v>
                </c:pt>
                <c:pt idx="36">
                  <c:v>45292</c:v>
                </c:pt>
                <c:pt idx="37">
                  <c:v>45325</c:v>
                </c:pt>
                <c:pt idx="38">
                  <c:v>45354</c:v>
                </c:pt>
                <c:pt idx="39">
                  <c:v>45385</c:v>
                </c:pt>
                <c:pt idx="40">
                  <c:v>45413</c:v>
                </c:pt>
                <c:pt idx="41">
                  <c:v>45446</c:v>
                </c:pt>
                <c:pt idx="42">
                  <c:v>45474</c:v>
                </c:pt>
                <c:pt idx="43">
                  <c:v>45506</c:v>
                </c:pt>
                <c:pt idx="44">
                  <c:v>45536</c:v>
                </c:pt>
                <c:pt idx="45">
                  <c:v>45567</c:v>
                </c:pt>
                <c:pt idx="46">
                  <c:v>45598</c:v>
                </c:pt>
                <c:pt idx="47">
                  <c:v>45627</c:v>
                </c:pt>
                <c:pt idx="48">
                  <c:v>45661</c:v>
                </c:pt>
                <c:pt idx="49">
                  <c:v>45689</c:v>
                </c:pt>
                <c:pt idx="50">
                  <c:v>45718</c:v>
                </c:pt>
                <c:pt idx="51">
                  <c:v>45752</c:v>
                </c:pt>
                <c:pt idx="52">
                  <c:v>45779</c:v>
                </c:pt>
                <c:pt idx="53">
                  <c:v>45810</c:v>
                </c:pt>
                <c:pt idx="54">
                  <c:v>45845</c:v>
                </c:pt>
                <c:pt idx="55">
                  <c:v>45871</c:v>
                </c:pt>
                <c:pt idx="56">
                  <c:v>45901</c:v>
                </c:pt>
                <c:pt idx="57">
                  <c:v>45934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46114</c:v>
                </c:pt>
                <c:pt idx="64">
                  <c:v>46143</c:v>
                </c:pt>
              </c:numCache>
            </c:numRef>
          </c:cat>
          <c:val>
            <c:numRef>
              <c:f>Breakup!$C$21:$BO$21</c:f>
              <c:numCache>
                <c:formatCode>0%</c:formatCode>
                <c:ptCount val="65"/>
                <c:pt idx="0">
                  <c:v>6.7419261596811289E-2</c:v>
                </c:pt>
                <c:pt idx="1">
                  <c:v>8.4189945963737259E-2</c:v>
                </c:pt>
                <c:pt idx="2">
                  <c:v>8.5677904144449701E-2</c:v>
                </c:pt>
                <c:pt idx="3">
                  <c:v>7.6824620393634677E-2</c:v>
                </c:pt>
                <c:pt idx="4">
                  <c:v>8.1203115832129913E-2</c:v>
                </c:pt>
                <c:pt idx="5">
                  <c:v>8.0765927322539774E-2</c:v>
                </c:pt>
                <c:pt idx="6">
                  <c:v>7.8083835585609634E-2</c:v>
                </c:pt>
                <c:pt idx="7">
                  <c:v>7.6595846208559568E-2</c:v>
                </c:pt>
                <c:pt idx="8">
                  <c:v>7.7672558215428275E-2</c:v>
                </c:pt>
                <c:pt idx="9">
                  <c:v>7.7139775995546819E-2</c:v>
                </c:pt>
                <c:pt idx="10">
                  <c:v>7.6206533489665218E-2</c:v>
                </c:pt>
                <c:pt idx="11">
                  <c:v>7.4667480065995578E-2</c:v>
                </c:pt>
                <c:pt idx="12">
                  <c:v>7.3209545320177122E-2</c:v>
                </c:pt>
                <c:pt idx="13">
                  <c:v>7.2487187448465218E-2</c:v>
                </c:pt>
                <c:pt idx="14">
                  <c:v>7.2093680134297344E-2</c:v>
                </c:pt>
                <c:pt idx="15">
                  <c:v>6.8586324808526777E-2</c:v>
                </c:pt>
                <c:pt idx="16">
                  <c:v>6.8734367561240184E-2</c:v>
                </c:pt>
                <c:pt idx="17">
                  <c:v>6.9206969851959357E-2</c:v>
                </c:pt>
                <c:pt idx="18">
                  <c:v>6.852408123399692E-2</c:v>
                </c:pt>
                <c:pt idx="19">
                  <c:v>6.8381783461615997E-2</c:v>
                </c:pt>
                <c:pt idx="20">
                  <c:v>6.8858119932644846E-2</c:v>
                </c:pt>
                <c:pt idx="21">
                  <c:v>6.8124725389260718E-2</c:v>
                </c:pt>
                <c:pt idx="22">
                  <c:v>6.8669284366726702E-2</c:v>
                </c:pt>
                <c:pt idx="23">
                  <c:v>6.8495663611018401E-2</c:v>
                </c:pt>
                <c:pt idx="24">
                  <c:v>6.7069494746306746E-2</c:v>
                </c:pt>
                <c:pt idx="25">
                  <c:v>6.4837985503276546E-2</c:v>
                </c:pt>
                <c:pt idx="26">
                  <c:v>6.4046705435280432E-2</c:v>
                </c:pt>
                <c:pt idx="27">
                  <c:v>6.1174564035311754E-2</c:v>
                </c:pt>
                <c:pt idx="28">
                  <c:v>6.1098916943567602E-2</c:v>
                </c:pt>
                <c:pt idx="29">
                  <c:v>6.0786644184047944E-2</c:v>
                </c:pt>
                <c:pt idx="30">
                  <c:v>6.0175029599643118E-2</c:v>
                </c:pt>
                <c:pt idx="31">
                  <c:v>6.4543248221577476E-2</c:v>
                </c:pt>
                <c:pt idx="32">
                  <c:v>6.4109724676898919E-2</c:v>
                </c:pt>
                <c:pt idx="33">
                  <c:v>6.3261644479672974E-2</c:v>
                </c:pt>
                <c:pt idx="34">
                  <c:v>6.2538317197679605E-2</c:v>
                </c:pt>
                <c:pt idx="35">
                  <c:v>6.198033565075773E-2</c:v>
                </c:pt>
                <c:pt idx="36">
                  <c:v>6.2278237617439239E-2</c:v>
                </c:pt>
                <c:pt idx="37">
                  <c:v>6.0614165023114779E-2</c:v>
                </c:pt>
                <c:pt idx="38">
                  <c:v>6.1302891340748775E-2</c:v>
                </c:pt>
                <c:pt idx="39">
                  <c:v>5.9154995466544305E-2</c:v>
                </c:pt>
                <c:pt idx="40">
                  <c:v>5.8548492499311135E-2</c:v>
                </c:pt>
                <c:pt idx="41">
                  <c:v>5.8586739779851946E-2</c:v>
                </c:pt>
                <c:pt idx="42">
                  <c:v>5.8067889888096122E-2</c:v>
                </c:pt>
                <c:pt idx="43">
                  <c:v>5.8110247300434813E-2</c:v>
                </c:pt>
                <c:pt idx="44">
                  <c:v>5.7515563095183658E-2</c:v>
                </c:pt>
                <c:pt idx="45">
                  <c:v>5.7263871361907727E-2</c:v>
                </c:pt>
                <c:pt idx="46">
                  <c:v>5.6826186423284707E-2</c:v>
                </c:pt>
                <c:pt idx="47">
                  <c:v>5.6603417367604734E-2</c:v>
                </c:pt>
                <c:pt idx="48">
                  <c:v>5.5758353090989782E-2</c:v>
                </c:pt>
                <c:pt idx="49">
                  <c:v>5.6459790614556547E-2</c:v>
                </c:pt>
                <c:pt idx="50">
                  <c:v>5.6271385482607829E-2</c:v>
                </c:pt>
                <c:pt idx="51">
                  <c:v>5.5063636956950782E-2</c:v>
                </c:pt>
                <c:pt idx="52">
                  <c:v>5.5946694221360359E-2</c:v>
                </c:pt>
                <c:pt idx="53">
                  <c:v>5.4910760368138779E-2</c:v>
                </c:pt>
                <c:pt idx="54">
                  <c:v>5.46873737566443E-2</c:v>
                </c:pt>
                <c:pt idx="55">
                  <c:v>5.3250945205750799E-2</c:v>
                </c:pt>
                <c:pt idx="56">
                  <c:v>5.3011142686756371E-2</c:v>
                </c:pt>
                <c:pt idx="57">
                  <c:v>5.3802992339920301E-2</c:v>
                </c:pt>
                <c:pt idx="58">
                  <c:v>5.5280716478245104E-2</c:v>
                </c:pt>
                <c:pt idx="59">
                  <c:v>5.592475012574203E-2</c:v>
                </c:pt>
                <c:pt idx="60">
                  <c:v>5.5662084153691012E-2</c:v>
                </c:pt>
                <c:pt idx="61">
                  <c:v>5.5306056290723167E-2</c:v>
                </c:pt>
                <c:pt idx="62">
                  <c:v>5.5994508988271817E-2</c:v>
                </c:pt>
                <c:pt idx="63">
                  <c:v>5.336021011250186E-2</c:v>
                </c:pt>
                <c:pt idx="64">
                  <c:v>5.2165365682880556E-2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56-4AD4-AC02-3761EA3406F9}"/>
            </c:ext>
          </c:extLst>
        </c:ser>
        <c:ser>
          <c:idx val="16"/>
          <c:order val="4"/>
          <c:tx>
            <c:strRef>
              <c:f>Breakup!$A$22</c:f>
              <c:strCache>
                <c:ptCount val="1"/>
                <c:pt idx="0">
                  <c:v>PF</c:v>
                </c:pt>
              </c:strCache>
            </c:strRef>
          </c:tx>
          <c:spPr>
            <a:gradFill>
              <a:gsLst>
                <a:gs pos="100000">
                  <a:schemeClr val="accent5">
                    <a:lumMod val="80000"/>
                    <a:lumOff val="20000"/>
                  </a:schemeClr>
                </a:gs>
                <a:gs pos="0">
                  <a:schemeClr val="accent5">
                    <a:lumMod val="80000"/>
                    <a:lumOff val="2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Breakup!$C$1:$BO$1</c:f>
              <c:numCache>
                <c:formatCode>m/d/yyyy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44381</c:v>
                </c:pt>
                <c:pt idx="7">
                  <c:v>44409</c:v>
                </c:pt>
                <c:pt idx="8">
                  <c:v>44446</c:v>
                </c:pt>
                <c:pt idx="9">
                  <c:v>44471</c:v>
                </c:pt>
                <c:pt idx="10">
                  <c:v>44501</c:v>
                </c:pt>
                <c:pt idx="11">
                  <c:v>44534</c:v>
                </c:pt>
                <c:pt idx="12">
                  <c:v>44563</c:v>
                </c:pt>
                <c:pt idx="13">
                  <c:v>44594</c:v>
                </c:pt>
                <c:pt idx="14">
                  <c:v>44625</c:v>
                </c:pt>
                <c:pt idx="15">
                  <c:v>44653</c:v>
                </c:pt>
                <c:pt idx="16">
                  <c:v>44682</c:v>
                </c:pt>
                <c:pt idx="17">
                  <c:v>44717</c:v>
                </c:pt>
                <c:pt idx="18">
                  <c:v>44744</c:v>
                </c:pt>
                <c:pt idx="19">
                  <c:v>44774</c:v>
                </c:pt>
                <c:pt idx="20">
                  <c:v>44807</c:v>
                </c:pt>
                <c:pt idx="21">
                  <c:v>44835</c:v>
                </c:pt>
                <c:pt idx="22">
                  <c:v>44868</c:v>
                </c:pt>
                <c:pt idx="23">
                  <c:v>44898</c:v>
                </c:pt>
                <c:pt idx="24">
                  <c:v>44927</c:v>
                </c:pt>
                <c:pt idx="25">
                  <c:v>44960</c:v>
                </c:pt>
                <c:pt idx="26">
                  <c:v>44988</c:v>
                </c:pt>
                <c:pt idx="27">
                  <c:v>45018</c:v>
                </c:pt>
                <c:pt idx="28">
                  <c:v>45047</c:v>
                </c:pt>
                <c:pt idx="29">
                  <c:v>45080</c:v>
                </c:pt>
                <c:pt idx="30">
                  <c:v>45108</c:v>
                </c:pt>
                <c:pt idx="31">
                  <c:v>45143</c:v>
                </c:pt>
                <c:pt idx="32">
                  <c:v>45171</c:v>
                </c:pt>
                <c:pt idx="33">
                  <c:v>45201</c:v>
                </c:pt>
                <c:pt idx="34">
                  <c:v>45234</c:v>
                </c:pt>
                <c:pt idx="35">
                  <c:v>45262</c:v>
                </c:pt>
                <c:pt idx="36">
                  <c:v>45292</c:v>
                </c:pt>
                <c:pt idx="37">
                  <c:v>45325</c:v>
                </c:pt>
                <c:pt idx="38">
                  <c:v>45354</c:v>
                </c:pt>
                <c:pt idx="39">
                  <c:v>45385</c:v>
                </c:pt>
                <c:pt idx="40">
                  <c:v>45413</c:v>
                </c:pt>
                <c:pt idx="41">
                  <c:v>45446</c:v>
                </c:pt>
                <c:pt idx="42">
                  <c:v>45474</c:v>
                </c:pt>
                <c:pt idx="43">
                  <c:v>45506</c:v>
                </c:pt>
                <c:pt idx="44">
                  <c:v>45536</c:v>
                </c:pt>
                <c:pt idx="45">
                  <c:v>45567</c:v>
                </c:pt>
                <c:pt idx="46">
                  <c:v>45598</c:v>
                </c:pt>
                <c:pt idx="47">
                  <c:v>45627</c:v>
                </c:pt>
                <c:pt idx="48">
                  <c:v>45661</c:v>
                </c:pt>
                <c:pt idx="49">
                  <c:v>45689</c:v>
                </c:pt>
                <c:pt idx="50">
                  <c:v>45718</c:v>
                </c:pt>
                <c:pt idx="51">
                  <c:v>45752</c:v>
                </c:pt>
                <c:pt idx="52">
                  <c:v>45779</c:v>
                </c:pt>
                <c:pt idx="53">
                  <c:v>45810</c:v>
                </c:pt>
                <c:pt idx="54">
                  <c:v>45845</c:v>
                </c:pt>
                <c:pt idx="55">
                  <c:v>45871</c:v>
                </c:pt>
                <c:pt idx="56">
                  <c:v>45901</c:v>
                </c:pt>
                <c:pt idx="57">
                  <c:v>45934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46114</c:v>
                </c:pt>
                <c:pt idx="64">
                  <c:v>46143</c:v>
                </c:pt>
              </c:numCache>
            </c:numRef>
          </c:cat>
          <c:val>
            <c:numRef>
              <c:f>Breakup!$C$22:$BO$22</c:f>
              <c:numCache>
                <c:formatCode>0%</c:formatCode>
                <c:ptCount val="65"/>
                <c:pt idx="0">
                  <c:v>0.15921409396495648</c:v>
                </c:pt>
                <c:pt idx="1">
                  <c:v>0.1560515873742653</c:v>
                </c:pt>
                <c:pt idx="2">
                  <c:v>0.15637327323773267</c:v>
                </c:pt>
                <c:pt idx="3">
                  <c:v>0.16456328230822964</c:v>
                </c:pt>
                <c:pt idx="4">
                  <c:v>0.16358799047226621</c:v>
                </c:pt>
                <c:pt idx="5">
                  <c:v>0.15518135318903817</c:v>
                </c:pt>
                <c:pt idx="6">
                  <c:v>0.15122637280426013</c:v>
                </c:pt>
                <c:pt idx="7">
                  <c:v>0.14905981324240222</c:v>
                </c:pt>
                <c:pt idx="8">
                  <c:v>0.14302753280184771</c:v>
                </c:pt>
                <c:pt idx="9">
                  <c:v>0.1357837501590205</c:v>
                </c:pt>
                <c:pt idx="10">
                  <c:v>0.13554100383813525</c:v>
                </c:pt>
                <c:pt idx="11">
                  <c:v>0.13765927832858565</c:v>
                </c:pt>
                <c:pt idx="12">
                  <c:v>0.13598388151218607</c:v>
                </c:pt>
                <c:pt idx="13">
                  <c:v>0.1355293540668373</c:v>
                </c:pt>
                <c:pt idx="14">
                  <c:v>0.1453312509161982</c:v>
                </c:pt>
                <c:pt idx="15">
                  <c:v>0.14731675445458844</c:v>
                </c:pt>
                <c:pt idx="16">
                  <c:v>0.14876387992903847</c:v>
                </c:pt>
                <c:pt idx="17">
                  <c:v>0.15622096068073929</c:v>
                </c:pt>
                <c:pt idx="18">
                  <c:v>0.16123002747577247</c:v>
                </c:pt>
                <c:pt idx="19">
                  <c:v>0.15241729083658248</c:v>
                </c:pt>
                <c:pt idx="20">
                  <c:v>0.144282490804168</c:v>
                </c:pt>
                <c:pt idx="21">
                  <c:v>0.14662379780977633</c:v>
                </c:pt>
                <c:pt idx="22">
                  <c:v>0.14421430766812016</c:v>
                </c:pt>
                <c:pt idx="23">
                  <c:v>0.14448577705530435</c:v>
                </c:pt>
                <c:pt idx="24">
                  <c:v>0.14679381927012364</c:v>
                </c:pt>
                <c:pt idx="25">
                  <c:v>0.14597818293401341</c:v>
                </c:pt>
                <c:pt idx="26">
                  <c:v>0.14573732114128166</c:v>
                </c:pt>
                <c:pt idx="27">
                  <c:v>0.15266939113945446</c:v>
                </c:pt>
                <c:pt idx="28">
                  <c:v>0.14810668825635287</c:v>
                </c:pt>
                <c:pt idx="29">
                  <c:v>0.14472784763808186</c:v>
                </c:pt>
                <c:pt idx="30">
                  <c:v>0.14112209993009103</c:v>
                </c:pt>
                <c:pt idx="31">
                  <c:v>0.13314656512120496</c:v>
                </c:pt>
                <c:pt idx="32">
                  <c:v>0.13296547020558946</c:v>
                </c:pt>
                <c:pt idx="33">
                  <c:v>0.13223639593119318</c:v>
                </c:pt>
                <c:pt idx="34">
                  <c:v>0.13328427664894729</c:v>
                </c:pt>
                <c:pt idx="35">
                  <c:v>0.12800982782827611</c:v>
                </c:pt>
                <c:pt idx="36">
                  <c:v>0.12319639426148712</c:v>
                </c:pt>
                <c:pt idx="37">
                  <c:v>0.1194826670547849</c:v>
                </c:pt>
                <c:pt idx="38">
                  <c:v>0.11899789793288967</c:v>
                </c:pt>
                <c:pt idx="39">
                  <c:v>0.12403277645896062</c:v>
                </c:pt>
                <c:pt idx="40">
                  <c:v>0.12281470812057345</c:v>
                </c:pt>
                <c:pt idx="41">
                  <c:v>0.12275620419032029</c:v>
                </c:pt>
                <c:pt idx="42">
                  <c:v>0.11712588270618936</c:v>
                </c:pt>
                <c:pt idx="43">
                  <c:v>0.11144704475259258</c:v>
                </c:pt>
                <c:pt idx="44">
                  <c:v>0.11044010466600923</c:v>
                </c:pt>
                <c:pt idx="45">
                  <c:v>0.10912150183995095</c:v>
                </c:pt>
                <c:pt idx="46">
                  <c:v>0.11501479074163262</c:v>
                </c:pt>
                <c:pt idx="47">
                  <c:v>0.11556142804561743</c:v>
                </c:pt>
                <c:pt idx="48">
                  <c:v>0.1148720372469284</c:v>
                </c:pt>
                <c:pt idx="49">
                  <c:v>0.1211533433964274</c:v>
                </c:pt>
                <c:pt idx="50">
                  <c:v>0.12863909122348008</c:v>
                </c:pt>
                <c:pt idx="51">
                  <c:v>0.13204681246872671</c:v>
                </c:pt>
                <c:pt idx="52">
                  <c:v>0.12996723224294399</c:v>
                </c:pt>
                <c:pt idx="53">
                  <c:v>0.12635636542345782</c:v>
                </c:pt>
                <c:pt idx="54">
                  <c:v>0.12437792229106104</c:v>
                </c:pt>
                <c:pt idx="55">
                  <c:v>0.1254340302659325</c:v>
                </c:pt>
                <c:pt idx="56">
                  <c:v>0.12710915230153194</c:v>
                </c:pt>
                <c:pt idx="57">
                  <c:v>0.12732418655163977</c:v>
                </c:pt>
                <c:pt idx="58">
                  <c:v>0.12475335804503401</c:v>
                </c:pt>
                <c:pt idx="59">
                  <c:v>0.12581483674958754</c:v>
                </c:pt>
                <c:pt idx="60">
                  <c:v>0.126640233123193</c:v>
                </c:pt>
                <c:pt idx="61">
                  <c:v>0.12955002517264388</c:v>
                </c:pt>
                <c:pt idx="62">
                  <c:v>0.1316328441988982</c:v>
                </c:pt>
                <c:pt idx="63">
                  <c:v>0.14808627802349722</c:v>
                </c:pt>
                <c:pt idx="64">
                  <c:v>0.13794673040952848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56-4AD4-AC02-3761EA3406F9}"/>
            </c:ext>
          </c:extLst>
        </c:ser>
        <c:ser>
          <c:idx val="17"/>
          <c:order val="5"/>
          <c:tx>
            <c:strRef>
              <c:f>Breakup!$A$23</c:f>
              <c:strCache>
                <c:ptCount val="1"/>
                <c:pt idx="0">
                  <c:v>PPF</c:v>
                </c:pt>
              </c:strCache>
            </c:strRef>
          </c:tx>
          <c:spPr>
            <a:gradFill>
              <a:gsLst>
                <a:gs pos="100000">
                  <a:schemeClr val="accent6">
                    <a:lumMod val="80000"/>
                    <a:lumOff val="20000"/>
                  </a:schemeClr>
                </a:gs>
                <a:gs pos="0">
                  <a:schemeClr val="accent6">
                    <a:lumMod val="80000"/>
                    <a:lumOff val="2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Breakup!$C$1:$BO$1</c:f>
              <c:numCache>
                <c:formatCode>m/d/yyyy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44381</c:v>
                </c:pt>
                <c:pt idx="7">
                  <c:v>44409</c:v>
                </c:pt>
                <c:pt idx="8">
                  <c:v>44446</c:v>
                </c:pt>
                <c:pt idx="9">
                  <c:v>44471</c:v>
                </c:pt>
                <c:pt idx="10">
                  <c:v>44501</c:v>
                </c:pt>
                <c:pt idx="11">
                  <c:v>44534</c:v>
                </c:pt>
                <c:pt idx="12">
                  <c:v>44563</c:v>
                </c:pt>
                <c:pt idx="13">
                  <c:v>44594</c:v>
                </c:pt>
                <c:pt idx="14">
                  <c:v>44625</c:v>
                </c:pt>
                <c:pt idx="15">
                  <c:v>44653</c:v>
                </c:pt>
                <c:pt idx="16">
                  <c:v>44682</c:v>
                </c:pt>
                <c:pt idx="17">
                  <c:v>44717</c:v>
                </c:pt>
                <c:pt idx="18">
                  <c:v>44744</c:v>
                </c:pt>
                <c:pt idx="19">
                  <c:v>44774</c:v>
                </c:pt>
                <c:pt idx="20">
                  <c:v>44807</c:v>
                </c:pt>
                <c:pt idx="21">
                  <c:v>44835</c:v>
                </c:pt>
                <c:pt idx="22">
                  <c:v>44868</c:v>
                </c:pt>
                <c:pt idx="23">
                  <c:v>44898</c:v>
                </c:pt>
                <c:pt idx="24">
                  <c:v>44927</c:v>
                </c:pt>
                <c:pt idx="25">
                  <c:v>44960</c:v>
                </c:pt>
                <c:pt idx="26">
                  <c:v>44988</c:v>
                </c:pt>
                <c:pt idx="27">
                  <c:v>45018</c:v>
                </c:pt>
                <c:pt idx="28">
                  <c:v>45047</c:v>
                </c:pt>
                <c:pt idx="29">
                  <c:v>45080</c:v>
                </c:pt>
                <c:pt idx="30">
                  <c:v>45108</c:v>
                </c:pt>
                <c:pt idx="31">
                  <c:v>45143</c:v>
                </c:pt>
                <c:pt idx="32">
                  <c:v>45171</c:v>
                </c:pt>
                <c:pt idx="33">
                  <c:v>45201</c:v>
                </c:pt>
                <c:pt idx="34">
                  <c:v>45234</c:v>
                </c:pt>
                <c:pt idx="35">
                  <c:v>45262</c:v>
                </c:pt>
                <c:pt idx="36">
                  <c:v>45292</c:v>
                </c:pt>
                <c:pt idx="37">
                  <c:v>45325</c:v>
                </c:pt>
                <c:pt idx="38">
                  <c:v>45354</c:v>
                </c:pt>
                <c:pt idx="39">
                  <c:v>45385</c:v>
                </c:pt>
                <c:pt idx="40">
                  <c:v>45413</c:v>
                </c:pt>
                <c:pt idx="41">
                  <c:v>45446</c:v>
                </c:pt>
                <c:pt idx="42">
                  <c:v>45474</c:v>
                </c:pt>
                <c:pt idx="43">
                  <c:v>45506</c:v>
                </c:pt>
                <c:pt idx="44">
                  <c:v>45536</c:v>
                </c:pt>
                <c:pt idx="45">
                  <c:v>45567</c:v>
                </c:pt>
                <c:pt idx="46">
                  <c:v>45598</c:v>
                </c:pt>
                <c:pt idx="47">
                  <c:v>45627</c:v>
                </c:pt>
                <c:pt idx="48">
                  <c:v>45661</c:v>
                </c:pt>
                <c:pt idx="49">
                  <c:v>45689</c:v>
                </c:pt>
                <c:pt idx="50">
                  <c:v>45718</c:v>
                </c:pt>
                <c:pt idx="51">
                  <c:v>45752</c:v>
                </c:pt>
                <c:pt idx="52">
                  <c:v>45779</c:v>
                </c:pt>
                <c:pt idx="53">
                  <c:v>45810</c:v>
                </c:pt>
                <c:pt idx="54">
                  <c:v>45845</c:v>
                </c:pt>
                <c:pt idx="55">
                  <c:v>45871</c:v>
                </c:pt>
                <c:pt idx="56">
                  <c:v>45901</c:v>
                </c:pt>
                <c:pt idx="57">
                  <c:v>45934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46114</c:v>
                </c:pt>
                <c:pt idx="64">
                  <c:v>46143</c:v>
                </c:pt>
              </c:numCache>
            </c:numRef>
          </c:cat>
          <c:val>
            <c:numRef>
              <c:f>Breakup!$C$23:$BO$23</c:f>
              <c:numCache>
                <c:formatCode>0%</c:formatCode>
                <c:ptCount val="65"/>
                <c:pt idx="0">
                  <c:v>0.21058115041966982</c:v>
                </c:pt>
                <c:pt idx="1">
                  <c:v>0.20291289371499549</c:v>
                </c:pt>
                <c:pt idx="2">
                  <c:v>0.19654866352308342</c:v>
                </c:pt>
                <c:pt idx="3">
                  <c:v>0.20165397028961823</c:v>
                </c:pt>
                <c:pt idx="4">
                  <c:v>0.19751657815796281</c:v>
                </c:pt>
                <c:pt idx="5">
                  <c:v>0.18462121626967254</c:v>
                </c:pt>
                <c:pt idx="6">
                  <c:v>0.17731842254545757</c:v>
                </c:pt>
                <c:pt idx="7">
                  <c:v>0.17229063777856143</c:v>
                </c:pt>
                <c:pt idx="8">
                  <c:v>0.16299846286149269</c:v>
                </c:pt>
                <c:pt idx="9">
                  <c:v>0.16470035820044607</c:v>
                </c:pt>
                <c:pt idx="10">
                  <c:v>0.16176064593128525</c:v>
                </c:pt>
                <c:pt idx="11">
                  <c:v>0.16168716256072427</c:v>
                </c:pt>
                <c:pt idx="12">
                  <c:v>0.15722958723580321</c:v>
                </c:pt>
                <c:pt idx="13">
                  <c:v>0.15429879784193265</c:v>
                </c:pt>
                <c:pt idx="14">
                  <c:v>0.16295693472906261</c:v>
                </c:pt>
                <c:pt idx="15">
                  <c:v>0.16066923692329749</c:v>
                </c:pt>
                <c:pt idx="16">
                  <c:v>0.16004523532027115</c:v>
                </c:pt>
                <c:pt idx="17">
                  <c:v>0.16581707281978186</c:v>
                </c:pt>
                <c:pt idx="18">
                  <c:v>0.16887231223467503</c:v>
                </c:pt>
                <c:pt idx="19">
                  <c:v>0.15755971648706033</c:v>
                </c:pt>
                <c:pt idx="20">
                  <c:v>0.15735143134044857</c:v>
                </c:pt>
                <c:pt idx="21">
                  <c:v>0.15787226434239893</c:v>
                </c:pt>
                <c:pt idx="22">
                  <c:v>0.15332896509307417</c:v>
                </c:pt>
                <c:pt idx="23">
                  <c:v>0.14928213788868686</c:v>
                </c:pt>
                <c:pt idx="24">
                  <c:v>0.14955637956434054</c:v>
                </c:pt>
                <c:pt idx="25">
                  <c:v>0.14668430558172382</c:v>
                </c:pt>
                <c:pt idx="26">
                  <c:v>0.14445973215501884</c:v>
                </c:pt>
                <c:pt idx="27">
                  <c:v>0.14982629741628078</c:v>
                </c:pt>
                <c:pt idx="28">
                  <c:v>0.14354877008794087</c:v>
                </c:pt>
                <c:pt idx="29">
                  <c:v>0.13855820055850007</c:v>
                </c:pt>
                <c:pt idx="30">
                  <c:v>0.13347362741063606</c:v>
                </c:pt>
                <c:pt idx="31">
                  <c:v>0.13191342663019015</c:v>
                </c:pt>
                <c:pt idx="32">
                  <c:v>0.13017978051708962</c:v>
                </c:pt>
                <c:pt idx="33">
                  <c:v>0.12795632230793272</c:v>
                </c:pt>
                <c:pt idx="34">
                  <c:v>0.12733130910828686</c:v>
                </c:pt>
                <c:pt idx="35">
                  <c:v>0.12075782472076421</c:v>
                </c:pt>
                <c:pt idx="36">
                  <c:v>0.11477678127249975</c:v>
                </c:pt>
                <c:pt idx="37">
                  <c:v>0.10995417855600025</c:v>
                </c:pt>
                <c:pt idx="38">
                  <c:v>0.10818373995179112</c:v>
                </c:pt>
                <c:pt idx="39">
                  <c:v>0.11051074115083466</c:v>
                </c:pt>
                <c:pt idx="40">
                  <c:v>0.10822627970115897</c:v>
                </c:pt>
                <c:pt idx="41">
                  <c:v>0.10700209592354575</c:v>
                </c:pt>
                <c:pt idx="42">
                  <c:v>0.10099950174410834</c:v>
                </c:pt>
                <c:pt idx="43">
                  <c:v>0.10012782589981276</c:v>
                </c:pt>
                <c:pt idx="44">
                  <c:v>9.8181440699202635E-2</c:v>
                </c:pt>
                <c:pt idx="45">
                  <c:v>9.6001309918970754E-2</c:v>
                </c:pt>
                <c:pt idx="46">
                  <c:v>9.9985876523068826E-2</c:v>
                </c:pt>
                <c:pt idx="47">
                  <c:v>9.9283505928125848E-2</c:v>
                </c:pt>
                <c:pt idx="48">
                  <c:v>9.7547792102088401E-2</c:v>
                </c:pt>
                <c:pt idx="49">
                  <c:v>0.10170346308633388</c:v>
                </c:pt>
                <c:pt idx="50">
                  <c:v>0.10676465253493221</c:v>
                </c:pt>
                <c:pt idx="51">
                  <c:v>0.11233655706571365</c:v>
                </c:pt>
                <c:pt idx="52">
                  <c:v>0.10943337084572338</c:v>
                </c:pt>
                <c:pt idx="53">
                  <c:v>0.10531286748398962</c:v>
                </c:pt>
                <c:pt idx="54">
                  <c:v>0.10262207247126111</c:v>
                </c:pt>
                <c:pt idx="55">
                  <c:v>0.10246366812705859</c:v>
                </c:pt>
                <c:pt idx="56">
                  <c:v>0.10280905907898343</c:v>
                </c:pt>
                <c:pt idx="57">
                  <c:v>0.10197827669917095</c:v>
                </c:pt>
                <c:pt idx="58">
                  <c:v>9.8791948616274008E-2</c:v>
                </c:pt>
                <c:pt idx="59">
                  <c:v>9.8521041431860357E-2</c:v>
                </c:pt>
                <c:pt idx="60">
                  <c:v>9.8073284072331082E-2</c:v>
                </c:pt>
                <c:pt idx="61">
                  <c:v>9.9231890872165551E-2</c:v>
                </c:pt>
                <c:pt idx="62">
                  <c:v>9.9738882510863075E-2</c:v>
                </c:pt>
                <c:pt idx="63">
                  <c:v>0.11135411982670773</c:v>
                </c:pt>
                <c:pt idx="64">
                  <c:v>0.10270214567709511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56-4AD4-AC02-3761EA3406F9}"/>
            </c:ext>
          </c:extLst>
        </c:ser>
        <c:ser>
          <c:idx val="18"/>
          <c:order val="6"/>
          <c:tx>
            <c:strRef>
              <c:f>Breakup!$A$24</c:f>
              <c:strCache>
                <c:ptCount val="1"/>
                <c:pt idx="0">
                  <c:v>Cash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80000"/>
                  </a:schemeClr>
                </a:gs>
                <a:gs pos="0">
                  <a:schemeClr val="accent1">
                    <a:lumMod val="8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Breakup!$C$1:$BO$1</c:f>
              <c:numCache>
                <c:formatCode>m/d/yyyy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44381</c:v>
                </c:pt>
                <c:pt idx="7">
                  <c:v>44409</c:v>
                </c:pt>
                <c:pt idx="8">
                  <c:v>44446</c:v>
                </c:pt>
                <c:pt idx="9">
                  <c:v>44471</c:v>
                </c:pt>
                <c:pt idx="10">
                  <c:v>44501</c:v>
                </c:pt>
                <c:pt idx="11">
                  <c:v>44534</c:v>
                </c:pt>
                <c:pt idx="12">
                  <c:v>44563</c:v>
                </c:pt>
                <c:pt idx="13">
                  <c:v>44594</c:v>
                </c:pt>
                <c:pt idx="14">
                  <c:v>44625</c:v>
                </c:pt>
                <c:pt idx="15">
                  <c:v>44653</c:v>
                </c:pt>
                <c:pt idx="16">
                  <c:v>44682</c:v>
                </c:pt>
                <c:pt idx="17">
                  <c:v>44717</c:v>
                </c:pt>
                <c:pt idx="18">
                  <c:v>44744</c:v>
                </c:pt>
                <c:pt idx="19">
                  <c:v>44774</c:v>
                </c:pt>
                <c:pt idx="20">
                  <c:v>44807</c:v>
                </c:pt>
                <c:pt idx="21">
                  <c:v>44835</c:v>
                </c:pt>
                <c:pt idx="22">
                  <c:v>44868</c:v>
                </c:pt>
                <c:pt idx="23">
                  <c:v>44898</c:v>
                </c:pt>
                <c:pt idx="24">
                  <c:v>44927</c:v>
                </c:pt>
                <c:pt idx="25">
                  <c:v>44960</c:v>
                </c:pt>
                <c:pt idx="26">
                  <c:v>44988</c:v>
                </c:pt>
                <c:pt idx="27">
                  <c:v>45018</c:v>
                </c:pt>
                <c:pt idx="28">
                  <c:v>45047</c:v>
                </c:pt>
                <c:pt idx="29">
                  <c:v>45080</c:v>
                </c:pt>
                <c:pt idx="30">
                  <c:v>45108</c:v>
                </c:pt>
                <c:pt idx="31">
                  <c:v>45143</c:v>
                </c:pt>
                <c:pt idx="32">
                  <c:v>45171</c:v>
                </c:pt>
                <c:pt idx="33">
                  <c:v>45201</c:v>
                </c:pt>
                <c:pt idx="34">
                  <c:v>45234</c:v>
                </c:pt>
                <c:pt idx="35">
                  <c:v>45262</c:v>
                </c:pt>
                <c:pt idx="36">
                  <c:v>45292</c:v>
                </c:pt>
                <c:pt idx="37">
                  <c:v>45325</c:v>
                </c:pt>
                <c:pt idx="38">
                  <c:v>45354</c:v>
                </c:pt>
                <c:pt idx="39">
                  <c:v>45385</c:v>
                </c:pt>
                <c:pt idx="40">
                  <c:v>45413</c:v>
                </c:pt>
                <c:pt idx="41">
                  <c:v>45446</c:v>
                </c:pt>
                <c:pt idx="42">
                  <c:v>45474</c:v>
                </c:pt>
                <c:pt idx="43">
                  <c:v>45506</c:v>
                </c:pt>
                <c:pt idx="44">
                  <c:v>45536</c:v>
                </c:pt>
                <c:pt idx="45">
                  <c:v>45567</c:v>
                </c:pt>
                <c:pt idx="46">
                  <c:v>45598</c:v>
                </c:pt>
                <c:pt idx="47">
                  <c:v>45627</c:v>
                </c:pt>
                <c:pt idx="48">
                  <c:v>45661</c:v>
                </c:pt>
                <c:pt idx="49">
                  <c:v>45689</c:v>
                </c:pt>
                <c:pt idx="50">
                  <c:v>45718</c:v>
                </c:pt>
                <c:pt idx="51">
                  <c:v>45752</c:v>
                </c:pt>
                <c:pt idx="52">
                  <c:v>45779</c:v>
                </c:pt>
                <c:pt idx="53">
                  <c:v>45810</c:v>
                </c:pt>
                <c:pt idx="54">
                  <c:v>45845</c:v>
                </c:pt>
                <c:pt idx="55">
                  <c:v>45871</c:v>
                </c:pt>
                <c:pt idx="56">
                  <c:v>45901</c:v>
                </c:pt>
                <c:pt idx="57">
                  <c:v>45934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46114</c:v>
                </c:pt>
                <c:pt idx="64">
                  <c:v>46143</c:v>
                </c:pt>
              </c:numCache>
            </c:numRef>
          </c:cat>
          <c:val>
            <c:numRef>
              <c:f>Breakup!$C$24:$BO$24</c:f>
              <c:numCache>
                <c:formatCode>0%</c:formatCode>
                <c:ptCount val="65"/>
                <c:pt idx="0">
                  <c:v>5.5290928822781749E-2</c:v>
                </c:pt>
                <c:pt idx="1">
                  <c:v>3.6664102760473494E-2</c:v>
                </c:pt>
                <c:pt idx="2">
                  <c:v>1.1098174111975348E-2</c:v>
                </c:pt>
                <c:pt idx="3">
                  <c:v>1.0695564728072933E-2</c:v>
                </c:pt>
                <c:pt idx="4">
                  <c:v>3.6651421917285112E-2</c:v>
                </c:pt>
                <c:pt idx="5">
                  <c:v>3.4347013764037503E-2</c:v>
                </c:pt>
                <c:pt idx="6">
                  <c:v>3.3074889173914698E-2</c:v>
                </c:pt>
                <c:pt idx="7">
                  <c:v>2.3115256775341916E-2</c:v>
                </c:pt>
                <c:pt idx="8">
                  <c:v>1.7622180792767943E-2</c:v>
                </c:pt>
                <c:pt idx="9">
                  <c:v>3.507575167020572E-2</c:v>
                </c:pt>
                <c:pt idx="10">
                  <c:v>2.6545037067605137E-2</c:v>
                </c:pt>
                <c:pt idx="11">
                  <c:v>1.8615880679138577E-2</c:v>
                </c:pt>
                <c:pt idx="12">
                  <c:v>2.2002638377444594E-2</c:v>
                </c:pt>
                <c:pt idx="13">
                  <c:v>1.7813715593129564E-2</c:v>
                </c:pt>
                <c:pt idx="14">
                  <c:v>1.0725230730857752E-2</c:v>
                </c:pt>
                <c:pt idx="15">
                  <c:v>9.9248303772080833E-3</c:v>
                </c:pt>
                <c:pt idx="16">
                  <c:v>9.9139866181611365E-3</c:v>
                </c:pt>
                <c:pt idx="17">
                  <c:v>2.446675745419659E-7</c:v>
                </c:pt>
                <c:pt idx="18">
                  <c:v>0</c:v>
                </c:pt>
                <c:pt idx="19">
                  <c:v>0</c:v>
                </c:pt>
                <c:pt idx="20">
                  <c:v>2.698995391774418E-2</c:v>
                </c:pt>
                <c:pt idx="21">
                  <c:v>1.6924556640480159E-2</c:v>
                </c:pt>
                <c:pt idx="22">
                  <c:v>0</c:v>
                </c:pt>
                <c:pt idx="23">
                  <c:v>0</c:v>
                </c:pt>
                <c:pt idx="24">
                  <c:v>9.6198357352706172E-3</c:v>
                </c:pt>
                <c:pt idx="25">
                  <c:v>9.4350968427352362E-3</c:v>
                </c:pt>
                <c:pt idx="26">
                  <c:v>9.2920067852713673E-3</c:v>
                </c:pt>
                <c:pt idx="27">
                  <c:v>1.8029638678252802E-2</c:v>
                </c:pt>
                <c:pt idx="28">
                  <c:v>1.1516146818126021E-2</c:v>
                </c:pt>
                <c:pt idx="29">
                  <c:v>5.5578901146610534E-3</c:v>
                </c:pt>
                <c:pt idx="30">
                  <c:v>0</c:v>
                </c:pt>
                <c:pt idx="31">
                  <c:v>9.9820981180620619E-3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8.6853409967839398E-3</c:v>
                </c:pt>
                <c:pt idx="37">
                  <c:v>1.6640814007718538E-2</c:v>
                </c:pt>
                <c:pt idx="38">
                  <c:v>0</c:v>
                </c:pt>
                <c:pt idx="39">
                  <c:v>7.8706417115035152E-3</c:v>
                </c:pt>
                <c:pt idx="40">
                  <c:v>7.7509666110944127E-3</c:v>
                </c:pt>
                <c:pt idx="41">
                  <c:v>0</c:v>
                </c:pt>
                <c:pt idx="42">
                  <c:v>0</c:v>
                </c:pt>
                <c:pt idx="43">
                  <c:v>1.0106594904418094E-2</c:v>
                </c:pt>
                <c:pt idx="44">
                  <c:v>9.9666936931790857E-3</c:v>
                </c:pt>
                <c:pt idx="45">
                  <c:v>9.8053207834888634E-3</c:v>
                </c:pt>
                <c:pt idx="46">
                  <c:v>3.5003256815209056E-3</c:v>
                </c:pt>
                <c:pt idx="47">
                  <c:v>1.7497924540209858E-3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3.0319530903184892E-2</c:v>
                </c:pt>
                <c:pt idx="52">
                  <c:v>1.9691017985322471E-2</c:v>
                </c:pt>
                <c:pt idx="53">
                  <c:v>1.3931732296324153E-2</c:v>
                </c:pt>
                <c:pt idx="54">
                  <c:v>0</c:v>
                </c:pt>
                <c:pt idx="55">
                  <c:v>1.229089959665558E-2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F56-4AD4-AC02-3761EA3406F9}"/>
            </c:ext>
          </c:extLst>
        </c:ser>
        <c:ser>
          <c:idx val="19"/>
          <c:order val="7"/>
          <c:tx>
            <c:strRef>
              <c:f>Breakup!$A$25</c:f>
              <c:strCache>
                <c:ptCount val="1"/>
                <c:pt idx="0">
                  <c:v>Crypto</c:v>
                </c:pt>
              </c:strCache>
            </c:strRef>
          </c:tx>
          <c:spPr>
            <a:gradFill>
              <a:gsLst>
                <a:gs pos="100000">
                  <a:schemeClr val="accent2">
                    <a:lumMod val="80000"/>
                  </a:schemeClr>
                </a:gs>
                <a:gs pos="0">
                  <a:schemeClr val="accent2">
                    <a:lumMod val="80000"/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Breakup!$C$1:$BO$1</c:f>
              <c:numCache>
                <c:formatCode>m/d/yyyy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44381</c:v>
                </c:pt>
                <c:pt idx="7">
                  <c:v>44409</c:v>
                </c:pt>
                <c:pt idx="8">
                  <c:v>44446</c:v>
                </c:pt>
                <c:pt idx="9">
                  <c:v>44471</c:v>
                </c:pt>
                <c:pt idx="10">
                  <c:v>44501</c:v>
                </c:pt>
                <c:pt idx="11">
                  <c:v>44534</c:v>
                </c:pt>
                <c:pt idx="12">
                  <c:v>44563</c:v>
                </c:pt>
                <c:pt idx="13">
                  <c:v>44594</c:v>
                </c:pt>
                <c:pt idx="14">
                  <c:v>44625</c:v>
                </c:pt>
                <c:pt idx="15">
                  <c:v>44653</c:v>
                </c:pt>
                <c:pt idx="16">
                  <c:v>44682</c:v>
                </c:pt>
                <c:pt idx="17">
                  <c:v>44717</c:v>
                </c:pt>
                <c:pt idx="18">
                  <c:v>44744</c:v>
                </c:pt>
                <c:pt idx="19">
                  <c:v>44774</c:v>
                </c:pt>
                <c:pt idx="20">
                  <c:v>44807</c:v>
                </c:pt>
                <c:pt idx="21">
                  <c:v>44835</c:v>
                </c:pt>
                <c:pt idx="22">
                  <c:v>44868</c:v>
                </c:pt>
                <c:pt idx="23">
                  <c:v>44898</c:v>
                </c:pt>
                <c:pt idx="24">
                  <c:v>44927</c:v>
                </c:pt>
                <c:pt idx="25">
                  <c:v>44960</c:v>
                </c:pt>
                <c:pt idx="26">
                  <c:v>44988</c:v>
                </c:pt>
                <c:pt idx="27">
                  <c:v>45018</c:v>
                </c:pt>
                <c:pt idx="28">
                  <c:v>45047</c:v>
                </c:pt>
                <c:pt idx="29">
                  <c:v>45080</c:v>
                </c:pt>
                <c:pt idx="30">
                  <c:v>45108</c:v>
                </c:pt>
                <c:pt idx="31">
                  <c:v>45143</c:v>
                </c:pt>
                <c:pt idx="32">
                  <c:v>45171</c:v>
                </c:pt>
                <c:pt idx="33">
                  <c:v>45201</c:v>
                </c:pt>
                <c:pt idx="34">
                  <c:v>45234</c:v>
                </c:pt>
                <c:pt idx="35">
                  <c:v>45262</c:v>
                </c:pt>
                <c:pt idx="36">
                  <c:v>45292</c:v>
                </c:pt>
                <c:pt idx="37">
                  <c:v>45325</c:v>
                </c:pt>
                <c:pt idx="38">
                  <c:v>45354</c:v>
                </c:pt>
                <c:pt idx="39">
                  <c:v>45385</c:v>
                </c:pt>
                <c:pt idx="40">
                  <c:v>45413</c:v>
                </c:pt>
                <c:pt idx="41">
                  <c:v>45446</c:v>
                </c:pt>
                <c:pt idx="42">
                  <c:v>45474</c:v>
                </c:pt>
                <c:pt idx="43">
                  <c:v>45506</c:v>
                </c:pt>
                <c:pt idx="44">
                  <c:v>45536</c:v>
                </c:pt>
                <c:pt idx="45">
                  <c:v>45567</c:v>
                </c:pt>
                <c:pt idx="46">
                  <c:v>45598</c:v>
                </c:pt>
                <c:pt idx="47">
                  <c:v>45627</c:v>
                </c:pt>
                <c:pt idx="48">
                  <c:v>45661</c:v>
                </c:pt>
                <c:pt idx="49">
                  <c:v>45689</c:v>
                </c:pt>
                <c:pt idx="50">
                  <c:v>45718</c:v>
                </c:pt>
                <c:pt idx="51">
                  <c:v>45752</c:v>
                </c:pt>
                <c:pt idx="52">
                  <c:v>45779</c:v>
                </c:pt>
                <c:pt idx="53">
                  <c:v>45810</c:v>
                </c:pt>
                <c:pt idx="54">
                  <c:v>45845</c:v>
                </c:pt>
                <c:pt idx="55">
                  <c:v>45871</c:v>
                </c:pt>
                <c:pt idx="56">
                  <c:v>45901</c:v>
                </c:pt>
                <c:pt idx="57">
                  <c:v>45934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46114</c:v>
                </c:pt>
                <c:pt idx="64">
                  <c:v>46143</c:v>
                </c:pt>
              </c:numCache>
            </c:numRef>
          </c:cat>
          <c:val>
            <c:numRef>
              <c:f>Breakup!$C$25:$BO$25</c:f>
              <c:numCache>
                <c:formatCode>0%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9.0329750692534389E-4</c:v>
                </c:pt>
                <c:pt idx="9">
                  <c:v>4.3554453196983775E-3</c:v>
                </c:pt>
                <c:pt idx="10">
                  <c:v>5.7828242668872777E-3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56-4AD4-AC02-3761EA3406F9}"/>
            </c:ext>
          </c:extLst>
        </c:ser>
        <c:ser>
          <c:idx val="0"/>
          <c:order val="8"/>
          <c:tx>
            <c:strRef>
              <c:f>Breakup!$A$26</c:f>
              <c:strCache>
                <c:ptCount val="1"/>
                <c:pt idx="0">
                  <c:v>Bonds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Breakup!$C$1:$BO$1</c:f>
              <c:numCache>
                <c:formatCode>m/d/yyyy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44381</c:v>
                </c:pt>
                <c:pt idx="7">
                  <c:v>44409</c:v>
                </c:pt>
                <c:pt idx="8">
                  <c:v>44446</c:v>
                </c:pt>
                <c:pt idx="9">
                  <c:v>44471</c:v>
                </c:pt>
                <c:pt idx="10">
                  <c:v>44501</c:v>
                </c:pt>
                <c:pt idx="11">
                  <c:v>44534</c:v>
                </c:pt>
                <c:pt idx="12">
                  <c:v>44563</c:v>
                </c:pt>
                <c:pt idx="13">
                  <c:v>44594</c:v>
                </c:pt>
                <c:pt idx="14">
                  <c:v>44625</c:v>
                </c:pt>
                <c:pt idx="15">
                  <c:v>44653</c:v>
                </c:pt>
                <c:pt idx="16">
                  <c:v>44682</c:v>
                </c:pt>
                <c:pt idx="17">
                  <c:v>44717</c:v>
                </c:pt>
                <c:pt idx="18">
                  <c:v>44744</c:v>
                </c:pt>
                <c:pt idx="19">
                  <c:v>44774</c:v>
                </c:pt>
                <c:pt idx="20">
                  <c:v>44807</c:v>
                </c:pt>
                <c:pt idx="21">
                  <c:v>44835</c:v>
                </c:pt>
                <c:pt idx="22">
                  <c:v>44868</c:v>
                </c:pt>
                <c:pt idx="23">
                  <c:v>44898</c:v>
                </c:pt>
                <c:pt idx="24">
                  <c:v>44927</c:v>
                </c:pt>
                <c:pt idx="25">
                  <c:v>44960</c:v>
                </c:pt>
                <c:pt idx="26">
                  <c:v>44988</c:v>
                </c:pt>
                <c:pt idx="27">
                  <c:v>45018</c:v>
                </c:pt>
                <c:pt idx="28">
                  <c:v>45047</c:v>
                </c:pt>
                <c:pt idx="29">
                  <c:v>45080</c:v>
                </c:pt>
                <c:pt idx="30">
                  <c:v>45108</c:v>
                </c:pt>
                <c:pt idx="31">
                  <c:v>45143</c:v>
                </c:pt>
                <c:pt idx="32">
                  <c:v>45171</c:v>
                </c:pt>
                <c:pt idx="33">
                  <c:v>45201</c:v>
                </c:pt>
                <c:pt idx="34">
                  <c:v>45234</c:v>
                </c:pt>
                <c:pt idx="35">
                  <c:v>45262</c:v>
                </c:pt>
                <c:pt idx="36">
                  <c:v>45292</c:v>
                </c:pt>
                <c:pt idx="37">
                  <c:v>45325</c:v>
                </c:pt>
                <c:pt idx="38">
                  <c:v>45354</c:v>
                </c:pt>
                <c:pt idx="39">
                  <c:v>45385</c:v>
                </c:pt>
                <c:pt idx="40">
                  <c:v>45413</c:v>
                </c:pt>
                <c:pt idx="41">
                  <c:v>45446</c:v>
                </c:pt>
                <c:pt idx="42">
                  <c:v>45474</c:v>
                </c:pt>
                <c:pt idx="43">
                  <c:v>45506</c:v>
                </c:pt>
                <c:pt idx="44">
                  <c:v>45536</c:v>
                </c:pt>
                <c:pt idx="45">
                  <c:v>45567</c:v>
                </c:pt>
                <c:pt idx="46">
                  <c:v>45598</c:v>
                </c:pt>
                <c:pt idx="47">
                  <c:v>45627</c:v>
                </c:pt>
                <c:pt idx="48">
                  <c:v>45661</c:v>
                </c:pt>
                <c:pt idx="49">
                  <c:v>45689</c:v>
                </c:pt>
                <c:pt idx="50">
                  <c:v>45718</c:v>
                </c:pt>
                <c:pt idx="51">
                  <c:v>45752</c:v>
                </c:pt>
                <c:pt idx="52">
                  <c:v>45779</c:v>
                </c:pt>
                <c:pt idx="53">
                  <c:v>45810</c:v>
                </c:pt>
                <c:pt idx="54">
                  <c:v>45845</c:v>
                </c:pt>
                <c:pt idx="55">
                  <c:v>45871</c:v>
                </c:pt>
                <c:pt idx="56">
                  <c:v>45901</c:v>
                </c:pt>
                <c:pt idx="57">
                  <c:v>45934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46114</c:v>
                </c:pt>
                <c:pt idx="64">
                  <c:v>46143</c:v>
                </c:pt>
              </c:numCache>
            </c:numRef>
          </c:cat>
          <c:val>
            <c:numRef>
              <c:f>Breakup!$C$26:$BO$26</c:f>
              <c:numCache>
                <c:formatCode>0%</c:formatCode>
                <c:ptCount val="65"/>
                <c:pt idx="0">
                  <c:v>3.6860619215187827E-3</c:v>
                </c:pt>
                <c:pt idx="1">
                  <c:v>3.5518349549208696E-3</c:v>
                </c:pt>
                <c:pt idx="2">
                  <c:v>3.4404339747123583E-3</c:v>
                </c:pt>
                <c:pt idx="3">
                  <c:v>3.3040555385719685E-3</c:v>
                </c:pt>
                <c:pt idx="4">
                  <c:v>3.2362652869433648E-3</c:v>
                </c:pt>
                <c:pt idx="5">
                  <c:v>3.0249776450104906E-3</c:v>
                </c:pt>
                <c:pt idx="6">
                  <c:v>2.9053229909667992E-3</c:v>
                </c:pt>
                <c:pt idx="7">
                  <c:v>2.8229438536656469E-3</c:v>
                </c:pt>
                <c:pt idx="8">
                  <c:v>2.6706936303944359E-3</c:v>
                </c:pt>
                <c:pt idx="9">
                  <c:v>2.5003482390861058E-3</c:v>
                </c:pt>
                <c:pt idx="10">
                  <c:v>2.4557198941576111E-3</c:v>
                </c:pt>
                <c:pt idx="11">
                  <c:v>2.4546043287867053E-3</c:v>
                </c:pt>
                <c:pt idx="12">
                  <c:v>2.3869330089666498E-3</c:v>
                </c:pt>
                <c:pt idx="13">
                  <c:v>2.3424401239470673E-3</c:v>
                </c:pt>
                <c:pt idx="14">
                  <c:v>2.4738809875616751E-3</c:v>
                </c:pt>
                <c:pt idx="15">
                  <c:v>2.2826518536307157E-3</c:v>
                </c:pt>
                <c:pt idx="16">
                  <c:v>2.2737865696280503E-3</c:v>
                </c:pt>
                <c:pt idx="17">
                  <c:v>2.3557879273204572E-3</c:v>
                </c:pt>
                <c:pt idx="18">
                  <c:v>2.3991941701534949E-3</c:v>
                </c:pt>
                <c:pt idx="19">
                  <c:v>2.4045836768587093E-3</c:v>
                </c:pt>
                <c:pt idx="20">
                  <c:v>2.2479257869241183E-3</c:v>
                </c:pt>
                <c:pt idx="21">
                  <c:v>2.2299389640137285E-3</c:v>
                </c:pt>
                <c:pt idx="22">
                  <c:v>2.2059251477983088E-3</c:v>
                </c:pt>
                <c:pt idx="23">
                  <c:v>2.030480330913919E-3</c:v>
                </c:pt>
                <c:pt idx="24">
                  <c:v>2.0508848465214603E-3</c:v>
                </c:pt>
                <c:pt idx="25">
                  <c:v>2.0241427759947993E-3</c:v>
                </c:pt>
                <c:pt idx="26">
                  <c:v>2.0106787642513004E-3</c:v>
                </c:pt>
                <c:pt idx="27">
                  <c:v>1.9243634349255156E-3</c:v>
                </c:pt>
                <c:pt idx="28">
                  <c:v>1.837988548319731E-3</c:v>
                </c:pt>
                <c:pt idx="29">
                  <c:v>1.8074258652877747E-3</c:v>
                </c:pt>
                <c:pt idx="30">
                  <c:v>1.7564979457028414E-3</c:v>
                </c:pt>
                <c:pt idx="31">
                  <c:v>1.6490426091038527E-3</c:v>
                </c:pt>
                <c:pt idx="32">
                  <c:v>1.6254002107695641E-3</c:v>
                </c:pt>
                <c:pt idx="33">
                  <c:v>1.6112910779616408E-3</c:v>
                </c:pt>
                <c:pt idx="34">
                  <c:v>1.5829454496295804E-3</c:v>
                </c:pt>
                <c:pt idx="35">
                  <c:v>1.4524657950465948E-3</c:v>
                </c:pt>
                <c:pt idx="36">
                  <c:v>1.3667686859589047E-3</c:v>
                </c:pt>
                <c:pt idx="37">
                  <c:v>1.3445860922306617E-3</c:v>
                </c:pt>
                <c:pt idx="38">
                  <c:v>1.3271848597036983E-3</c:v>
                </c:pt>
                <c:pt idx="39">
                  <c:v>1.2448778481634552E-3</c:v>
                </c:pt>
                <c:pt idx="40">
                  <c:v>1.2249474715528689E-3</c:v>
                </c:pt>
                <c:pt idx="41">
                  <c:v>1.2121287415955411E-3</c:v>
                </c:pt>
                <c:pt idx="42">
                  <c:v>1.1373286705801354E-3</c:v>
                </c:pt>
                <c:pt idx="43">
                  <c:v>1.100354047870334E-3</c:v>
                </c:pt>
                <c:pt idx="44">
                  <c:v>1.1010734547356061E-3</c:v>
                </c:pt>
                <c:pt idx="45">
                  <c:v>1.0415717113355218E-3</c:v>
                </c:pt>
                <c:pt idx="46">
                  <c:v>1.0881610166160903E-3</c:v>
                </c:pt>
                <c:pt idx="47">
                  <c:v>1.0366626969298077E-3</c:v>
                </c:pt>
                <c:pt idx="48">
                  <c:v>1.0259772885849866E-3</c:v>
                </c:pt>
                <c:pt idx="49">
                  <c:v>1.0711201518296156E-3</c:v>
                </c:pt>
                <c:pt idx="50">
                  <c:v>1.1321698041462807E-3</c:v>
                </c:pt>
                <c:pt idx="51">
                  <c:v>1.0652261857318959E-3</c:v>
                </c:pt>
                <c:pt idx="52">
                  <c:v>1.0370470660170179E-3</c:v>
                </c:pt>
                <c:pt idx="53">
                  <c:v>9.9689367917567685E-4</c:v>
                </c:pt>
                <c:pt idx="54">
                  <c:v>9.8901976950887898E-4</c:v>
                </c:pt>
                <c:pt idx="55">
                  <c:v>9.9858581494315611E-4</c:v>
                </c:pt>
                <c:pt idx="56">
                  <c:v>1.0097213696587596E-3</c:v>
                </c:pt>
                <c:pt idx="57">
                  <c:v>9.671632998058589E-4</c:v>
                </c:pt>
                <c:pt idx="58">
                  <c:v>9.4371081648763721E-4</c:v>
                </c:pt>
                <c:pt idx="59">
                  <c:v>9.0039187472963438E-4</c:v>
                </c:pt>
                <c:pt idx="60">
                  <c:v>9.1176996189215294E-4</c:v>
                </c:pt>
                <c:pt idx="61">
                  <c:v>9.1031060636708187E-4</c:v>
                </c:pt>
                <c:pt idx="62">
                  <c:v>9.3739438786607262E-4</c:v>
                </c:pt>
                <c:pt idx="63">
                  <c:v>9.8268861522205365E-4</c:v>
                </c:pt>
                <c:pt idx="64">
                  <c:v>8.9166648443388694E-4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00-4987-8A5D-42A978126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90275008"/>
        <c:axId val="861459040"/>
      </c:areaChart>
      <c:dateAx>
        <c:axId val="69027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459040"/>
        <c:crosses val="autoZero"/>
        <c:auto val="1"/>
        <c:lblOffset val="100"/>
        <c:baseTimeUnit val="months"/>
      </c:dateAx>
      <c:valAx>
        <c:axId val="8614590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Contribution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27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150746</xdr:rowOff>
    </xdr:from>
    <xdr:to>
      <xdr:col>7</xdr:col>
      <xdr:colOff>473121</xdr:colOff>
      <xdr:row>74</xdr:row>
      <xdr:rowOff>1325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D75C9-27A0-46C7-B3C4-EC012AF04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75</xdr:row>
      <xdr:rowOff>53305</xdr:rowOff>
    </xdr:from>
    <xdr:to>
      <xdr:col>7</xdr:col>
      <xdr:colOff>379050</xdr:colOff>
      <xdr:row>90</xdr:row>
      <xdr:rowOff>34255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932587-05A0-4FF6-B83D-B05E22A8B8AF}"/>
            </a:ext>
            <a:ext uri="{147F2762-F138-4A5C-976F-8EAC2B608ADB}">
              <a16:predDERef xmlns:a16="http://schemas.microsoft.com/office/drawing/2014/main" pred="{640D75C9-27A0-46C7-B3C4-EC012AF04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7</xdr:col>
      <xdr:colOff>379050</xdr:colOff>
      <xdr:row>105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EFD2DC-F3FF-43DF-B442-EADEB25AE920}"/>
            </a:ext>
            <a:ext uri="{147F2762-F138-4A5C-976F-8EAC2B608ADB}">
              <a16:predDERef xmlns:a16="http://schemas.microsoft.com/office/drawing/2014/main" pred="{16932587-05A0-4FF6-B83D-B05E22A8B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108</xdr:row>
      <xdr:rowOff>0</xdr:rowOff>
    </xdr:from>
    <xdr:to>
      <xdr:col>7</xdr:col>
      <xdr:colOff>379050</xdr:colOff>
      <xdr:row>122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13403A-9892-43F8-AC47-3C549EADB0C6}"/>
            </a:ext>
            <a:ext uri="{147F2762-F138-4A5C-976F-8EAC2B608ADB}">
              <a16:predDERef xmlns:a16="http://schemas.microsoft.com/office/drawing/2014/main" pred="{45EFD2DC-F3FF-43DF-B442-EADEB25AE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65</xdr:row>
      <xdr:rowOff>112646</xdr:rowOff>
    </xdr:from>
    <xdr:to>
      <xdr:col>23</xdr:col>
      <xdr:colOff>473121</xdr:colOff>
      <xdr:row>88</xdr:row>
      <xdr:rowOff>153725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5E299-57AE-4DC5-A626-BE7533535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90</xdr:row>
      <xdr:rowOff>177130</xdr:rowOff>
    </xdr:from>
    <xdr:to>
      <xdr:col>23</xdr:col>
      <xdr:colOff>379050</xdr:colOff>
      <xdr:row>105</xdr:row>
      <xdr:rowOff>158080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564014-0E9A-4862-BAC4-DC2A813615DB}"/>
            </a:ext>
            <a:ext uri="{147F2762-F138-4A5C-976F-8EAC2B608ADB}">
              <a16:predDERef xmlns:a16="http://schemas.microsoft.com/office/drawing/2014/main" pred="{72D5E299-57AE-4DC5-A626-BE7533535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133350</xdr:rowOff>
    </xdr:from>
    <xdr:to>
      <xdr:col>23</xdr:col>
      <xdr:colOff>381000</xdr:colOff>
      <xdr:row>65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E4483C-5465-48EA-9E0E-9288B41A596E}"/>
            </a:ext>
            <a:ext uri="{147F2762-F138-4A5C-976F-8EAC2B608ADB}">
              <a16:predDERef xmlns:a16="http://schemas.microsoft.com/office/drawing/2014/main" pred="{38564014-0E9A-4862-BAC4-DC2A81361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100</xdr:row>
      <xdr:rowOff>53305</xdr:rowOff>
    </xdr:from>
    <xdr:to>
      <xdr:col>66</xdr:col>
      <xdr:colOff>385400</xdr:colOff>
      <xdr:row>115</xdr:row>
      <xdr:rowOff>34255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F54320-1148-4DCC-9B2F-F8E07F958D8D}"/>
            </a:ext>
            <a:ext uri="{147F2762-F138-4A5C-976F-8EAC2B608ADB}">
              <a16:predDERef xmlns:a16="http://schemas.microsoft.com/office/drawing/2014/main" pred="{6F51588A-943D-4D30-8575-AF3FFA8D4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174625</xdr:colOff>
      <xdr:row>116</xdr:row>
      <xdr:rowOff>28575</xdr:rowOff>
    </xdr:from>
    <xdr:to>
      <xdr:col>66</xdr:col>
      <xdr:colOff>139701</xdr:colOff>
      <xdr:row>131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3E73A6-8BB8-4A9A-8007-E82AADFCADF8}"/>
            </a:ext>
            <a:ext uri="{147F2762-F138-4A5C-976F-8EAC2B608ADB}">
              <a16:predDERef xmlns:a16="http://schemas.microsoft.com/office/drawing/2014/main" pred="{FDF54320-1148-4DCC-9B2F-F8E07F958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131</xdr:row>
      <xdr:rowOff>28575</xdr:rowOff>
    </xdr:from>
    <xdr:to>
      <xdr:col>66</xdr:col>
      <xdr:colOff>88901</xdr:colOff>
      <xdr:row>146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20D05B-4F70-4FF0-A7B3-FBBE5B8B4D18}"/>
            </a:ext>
            <a:ext uri="{147F2762-F138-4A5C-976F-8EAC2B608ADB}">
              <a16:predDERef xmlns:a16="http://schemas.microsoft.com/office/drawing/2014/main" pred="{473E73A6-8BB8-4A9A-8007-E82AADFCA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171</xdr:row>
      <xdr:rowOff>57150</xdr:rowOff>
    </xdr:from>
    <xdr:to>
      <xdr:col>65</xdr:col>
      <xdr:colOff>561975</xdr:colOff>
      <xdr:row>190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D269F0-9406-414E-974D-3E50D5636AE3}"/>
            </a:ext>
            <a:ext uri="{147F2762-F138-4A5C-976F-8EAC2B608ADB}">
              <a16:predDERef xmlns:a16="http://schemas.microsoft.com/office/drawing/2014/main" pred="{7020D05B-4F70-4FF0-A7B3-FBBE5B8B4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114</xdr:row>
      <xdr:rowOff>88900</xdr:rowOff>
    </xdr:from>
    <xdr:to>
      <xdr:col>67</xdr:col>
      <xdr:colOff>95250</xdr:colOff>
      <xdr:row>134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C1732-8148-465C-AC80-618589260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61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63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65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67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69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71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73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/Relationships>
</file>

<file path=xl/worksheets/_rels/sheet75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77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79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81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83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85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87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89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91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93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95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96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84" Type="http://schemas.openxmlformats.org/officeDocument/2006/relationships/hyperlink" Target="https://etportfolio.indiatimes.com/pw_companyinfo.cms" TargetMode="External"/><Relationship Id="rId89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74" Type="http://schemas.openxmlformats.org/officeDocument/2006/relationships/hyperlink" Target="https://etportfolio.indiatimes.com/pw_companyinfo.cms" TargetMode="External"/><Relationship Id="rId79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77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72" Type="http://schemas.openxmlformats.org/officeDocument/2006/relationships/hyperlink" Target="https://etportfolio.indiatimes.com/pw_companyinfo.cms" TargetMode="External"/><Relationship Id="rId80" Type="http://schemas.openxmlformats.org/officeDocument/2006/relationships/hyperlink" Target="https://etportfolio.indiatimes.com/pw_companyinfo.cms" TargetMode="External"/><Relationship Id="rId85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75" Type="http://schemas.openxmlformats.org/officeDocument/2006/relationships/hyperlink" Target="https://etportfolio.indiatimes.com/pw_companyinfo.cms" TargetMode="External"/><Relationship Id="rId83" Type="http://schemas.openxmlformats.org/officeDocument/2006/relationships/hyperlink" Target="https://etportfolio.indiatimes.com/pw_companyinfo.cms" TargetMode="External"/><Relationship Id="rId88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73" Type="http://schemas.openxmlformats.org/officeDocument/2006/relationships/hyperlink" Target="https://etportfolio.indiatimes.com/pw_companyinfo.cms" TargetMode="External"/><Relationship Id="rId78" Type="http://schemas.openxmlformats.org/officeDocument/2006/relationships/hyperlink" Target="https://etportfolio.indiatimes.com/pw_companyinfo.cms" TargetMode="External"/><Relationship Id="rId81" Type="http://schemas.openxmlformats.org/officeDocument/2006/relationships/hyperlink" Target="https://etportfolio.indiatimes.com/pw_companyinfo.cms" TargetMode="External"/><Relationship Id="rId86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Relationship Id="rId76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87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82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/Relationships>
</file>

<file path=xl/worksheets/_rels/sheet97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98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84" Type="http://schemas.openxmlformats.org/officeDocument/2006/relationships/hyperlink" Target="https://etportfolio.indiatimes.com/pw_companyinfo.cms" TargetMode="External"/><Relationship Id="rId89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74" Type="http://schemas.openxmlformats.org/officeDocument/2006/relationships/hyperlink" Target="https://etportfolio.indiatimes.com/pw_companyinfo.cms" TargetMode="External"/><Relationship Id="rId79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90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72" Type="http://schemas.openxmlformats.org/officeDocument/2006/relationships/hyperlink" Target="https://etportfolio.indiatimes.com/pw_companyinfo.cms" TargetMode="External"/><Relationship Id="rId80" Type="http://schemas.openxmlformats.org/officeDocument/2006/relationships/hyperlink" Target="https://etportfolio.indiatimes.com/pw_companyinfo.cms" TargetMode="External"/><Relationship Id="rId85" Type="http://schemas.openxmlformats.org/officeDocument/2006/relationships/hyperlink" Target="https://etportfolio.indiatimes.com/pw_companyinfo.cms" TargetMode="External"/><Relationship Id="rId93" Type="http://schemas.openxmlformats.org/officeDocument/2006/relationships/printerSettings" Target="../printerSettings/printerSettings5.bin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75" Type="http://schemas.openxmlformats.org/officeDocument/2006/relationships/hyperlink" Target="https://etportfolio.indiatimes.com/pw_companyinfo.cms" TargetMode="External"/><Relationship Id="rId83" Type="http://schemas.openxmlformats.org/officeDocument/2006/relationships/hyperlink" Target="https://etportfolio.indiatimes.com/pw_companyinfo.cms" TargetMode="External"/><Relationship Id="rId88" Type="http://schemas.openxmlformats.org/officeDocument/2006/relationships/hyperlink" Target="https://etportfolio.indiatimes.com/pw_companyinfo.cms" TargetMode="External"/><Relationship Id="rId91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73" Type="http://schemas.openxmlformats.org/officeDocument/2006/relationships/hyperlink" Target="https://etportfolio.indiatimes.com/pw_companyinfo.cms" TargetMode="External"/><Relationship Id="rId78" Type="http://schemas.openxmlformats.org/officeDocument/2006/relationships/hyperlink" Target="https://etportfolio.indiatimes.com/pw_companyinfo.cms" TargetMode="External"/><Relationship Id="rId81" Type="http://schemas.openxmlformats.org/officeDocument/2006/relationships/hyperlink" Target="https://etportfolio.indiatimes.com/pw_companyinfo.cms" TargetMode="External"/><Relationship Id="rId86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Relationship Id="rId76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hyperlink" Target="https://etportfolio.indiatimes.com/pw_companyinfo.cms" TargetMode="External"/><Relationship Id="rId9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87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82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77" Type="http://schemas.openxmlformats.org/officeDocument/2006/relationships/hyperlink" Target="https://etportfolio.indiatimes.com/pw_companyinfo.cms" TargetMode="External"/></Relationships>
</file>

<file path=xl/worksheets/_rels/sheet99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printerSettings" Target="../printerSettings/printerSettings6.bin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100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84" Type="http://schemas.openxmlformats.org/officeDocument/2006/relationships/hyperlink" Target="https://etportfolio.indiatimes.com/pw_companyinfo.cms" TargetMode="External"/><Relationship Id="rId89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74" Type="http://schemas.openxmlformats.org/officeDocument/2006/relationships/hyperlink" Target="https://etportfolio.indiatimes.com/pw_companyinfo.cms" TargetMode="External"/><Relationship Id="rId79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90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72" Type="http://schemas.openxmlformats.org/officeDocument/2006/relationships/hyperlink" Target="https://etportfolio.indiatimes.com/pw_companyinfo.cms" TargetMode="External"/><Relationship Id="rId80" Type="http://schemas.openxmlformats.org/officeDocument/2006/relationships/hyperlink" Target="https://etportfolio.indiatimes.com/pw_companyinfo.cms" TargetMode="External"/><Relationship Id="rId85" Type="http://schemas.openxmlformats.org/officeDocument/2006/relationships/hyperlink" Target="https://etportfolio.indiatimes.com/pw_companyinfo.cms" TargetMode="External"/><Relationship Id="rId93" Type="http://schemas.openxmlformats.org/officeDocument/2006/relationships/printerSettings" Target="../printerSettings/printerSettings7.bin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75" Type="http://schemas.openxmlformats.org/officeDocument/2006/relationships/hyperlink" Target="https://etportfolio.indiatimes.com/pw_companyinfo.cms" TargetMode="External"/><Relationship Id="rId83" Type="http://schemas.openxmlformats.org/officeDocument/2006/relationships/hyperlink" Target="https://etportfolio.indiatimes.com/pw_companyinfo.cms" TargetMode="External"/><Relationship Id="rId88" Type="http://schemas.openxmlformats.org/officeDocument/2006/relationships/hyperlink" Target="https://etportfolio.indiatimes.com/pw_companyinfo.cms" TargetMode="External"/><Relationship Id="rId91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73" Type="http://schemas.openxmlformats.org/officeDocument/2006/relationships/hyperlink" Target="https://etportfolio.indiatimes.com/pw_companyinfo.cms" TargetMode="External"/><Relationship Id="rId78" Type="http://schemas.openxmlformats.org/officeDocument/2006/relationships/hyperlink" Target="https://etportfolio.indiatimes.com/pw_companyinfo.cms" TargetMode="External"/><Relationship Id="rId81" Type="http://schemas.openxmlformats.org/officeDocument/2006/relationships/hyperlink" Target="https://etportfolio.indiatimes.com/pw_companyinfo.cms" TargetMode="External"/><Relationship Id="rId86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Relationship Id="rId76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hyperlink" Target="https://etportfolio.indiatimes.com/pw_companyinfo.cms" TargetMode="External"/><Relationship Id="rId9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87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82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77" Type="http://schemas.openxmlformats.org/officeDocument/2006/relationships/hyperlink" Target="https://etportfolio.indiatimes.com/pw_companyinfo.cms" TargetMode="External"/></Relationships>
</file>

<file path=xl/worksheets/_rels/sheet101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102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84" Type="http://schemas.openxmlformats.org/officeDocument/2006/relationships/hyperlink" Target="https://etportfolio.indiatimes.com/pw_companyinfo.cms" TargetMode="External"/><Relationship Id="rId89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74" Type="http://schemas.openxmlformats.org/officeDocument/2006/relationships/hyperlink" Target="https://etportfolio.indiatimes.com/pw_companyinfo.cms" TargetMode="External"/><Relationship Id="rId79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90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72" Type="http://schemas.openxmlformats.org/officeDocument/2006/relationships/hyperlink" Target="https://etportfolio.indiatimes.com/pw_companyinfo.cms" TargetMode="External"/><Relationship Id="rId80" Type="http://schemas.openxmlformats.org/officeDocument/2006/relationships/hyperlink" Target="https://etportfolio.indiatimes.com/pw_companyinfo.cms" TargetMode="External"/><Relationship Id="rId85" Type="http://schemas.openxmlformats.org/officeDocument/2006/relationships/hyperlink" Target="https://etportfolio.indiatimes.com/pw_companyinfo.cms" TargetMode="External"/><Relationship Id="rId93" Type="http://schemas.openxmlformats.org/officeDocument/2006/relationships/printerSettings" Target="../printerSettings/printerSettings9.bin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75" Type="http://schemas.openxmlformats.org/officeDocument/2006/relationships/hyperlink" Target="https://etportfolio.indiatimes.com/pw_companyinfo.cms" TargetMode="External"/><Relationship Id="rId83" Type="http://schemas.openxmlformats.org/officeDocument/2006/relationships/hyperlink" Target="https://etportfolio.indiatimes.com/pw_companyinfo.cms" TargetMode="External"/><Relationship Id="rId88" Type="http://schemas.openxmlformats.org/officeDocument/2006/relationships/hyperlink" Target="https://etportfolio.indiatimes.com/pw_companyinfo.cms" TargetMode="External"/><Relationship Id="rId91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73" Type="http://schemas.openxmlformats.org/officeDocument/2006/relationships/hyperlink" Target="https://etportfolio.indiatimes.com/pw_companyinfo.cms" TargetMode="External"/><Relationship Id="rId78" Type="http://schemas.openxmlformats.org/officeDocument/2006/relationships/hyperlink" Target="https://etportfolio.indiatimes.com/pw_companyinfo.cms" TargetMode="External"/><Relationship Id="rId81" Type="http://schemas.openxmlformats.org/officeDocument/2006/relationships/hyperlink" Target="https://etportfolio.indiatimes.com/pw_companyinfo.cms" TargetMode="External"/><Relationship Id="rId86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Relationship Id="rId76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hyperlink" Target="https://etportfolio.indiatimes.com/pw_companyinfo.cms" TargetMode="External"/><Relationship Id="rId9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87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82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77" Type="http://schemas.openxmlformats.org/officeDocument/2006/relationships/hyperlink" Target="https://etportfolio.indiatimes.com/pw_companyinfo.cms" TargetMode="External"/></Relationships>
</file>

<file path=xl/worksheets/_rels/sheet103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printerSettings" Target="../printerSettings/printerSettings10.bin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104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84" Type="http://schemas.openxmlformats.org/officeDocument/2006/relationships/hyperlink" Target="https://etportfolio.indiatimes.com/pw_companyinfo.cms" TargetMode="External"/><Relationship Id="rId89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74" Type="http://schemas.openxmlformats.org/officeDocument/2006/relationships/hyperlink" Target="https://etportfolio.indiatimes.com/pw_companyinfo.cms" TargetMode="External"/><Relationship Id="rId79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90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77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72" Type="http://schemas.openxmlformats.org/officeDocument/2006/relationships/hyperlink" Target="https://etportfolio.indiatimes.com/pw_companyinfo.cms" TargetMode="External"/><Relationship Id="rId80" Type="http://schemas.openxmlformats.org/officeDocument/2006/relationships/hyperlink" Target="https://etportfolio.indiatimes.com/pw_companyinfo.cms" TargetMode="External"/><Relationship Id="rId85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75" Type="http://schemas.openxmlformats.org/officeDocument/2006/relationships/hyperlink" Target="https://etportfolio.indiatimes.com/pw_companyinfo.cms" TargetMode="External"/><Relationship Id="rId83" Type="http://schemas.openxmlformats.org/officeDocument/2006/relationships/hyperlink" Target="https://etportfolio.indiatimes.com/pw_companyinfo.cms" TargetMode="External"/><Relationship Id="rId88" Type="http://schemas.openxmlformats.org/officeDocument/2006/relationships/hyperlink" Target="https://etportfolio.indiatimes.com/pw_companyinfo.cms" TargetMode="External"/><Relationship Id="rId91" Type="http://schemas.openxmlformats.org/officeDocument/2006/relationships/printerSettings" Target="../printerSettings/printerSettings11.bin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73" Type="http://schemas.openxmlformats.org/officeDocument/2006/relationships/hyperlink" Target="https://etportfolio.indiatimes.com/pw_companyinfo.cms" TargetMode="External"/><Relationship Id="rId78" Type="http://schemas.openxmlformats.org/officeDocument/2006/relationships/hyperlink" Target="https://etportfolio.indiatimes.com/pw_companyinfo.cms" TargetMode="External"/><Relationship Id="rId81" Type="http://schemas.openxmlformats.org/officeDocument/2006/relationships/hyperlink" Target="https://etportfolio.indiatimes.com/pw_companyinfo.cms" TargetMode="External"/><Relationship Id="rId86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Relationship Id="rId76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87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82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/Relationships>
</file>

<file path=xl/worksheets/_rels/sheet105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printerSettings" Target="../printerSettings/printerSettings12.bin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106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84" Type="http://schemas.openxmlformats.org/officeDocument/2006/relationships/hyperlink" Target="https://etportfolio.indiatimes.com/pw_companyinfo.cms" TargetMode="External"/><Relationship Id="rId89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74" Type="http://schemas.openxmlformats.org/officeDocument/2006/relationships/hyperlink" Target="https://etportfolio.indiatimes.com/pw_companyinfo.cms" TargetMode="External"/><Relationship Id="rId79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90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77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72" Type="http://schemas.openxmlformats.org/officeDocument/2006/relationships/hyperlink" Target="https://etportfolio.indiatimes.com/pw_companyinfo.cms" TargetMode="External"/><Relationship Id="rId80" Type="http://schemas.openxmlformats.org/officeDocument/2006/relationships/hyperlink" Target="https://etportfolio.indiatimes.com/pw_companyinfo.cms" TargetMode="External"/><Relationship Id="rId85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75" Type="http://schemas.openxmlformats.org/officeDocument/2006/relationships/hyperlink" Target="https://etportfolio.indiatimes.com/pw_companyinfo.cms" TargetMode="External"/><Relationship Id="rId83" Type="http://schemas.openxmlformats.org/officeDocument/2006/relationships/hyperlink" Target="https://etportfolio.indiatimes.com/pw_companyinfo.cms" TargetMode="External"/><Relationship Id="rId88" Type="http://schemas.openxmlformats.org/officeDocument/2006/relationships/hyperlink" Target="https://etportfolio.indiatimes.com/pw_companyinfo.cms" TargetMode="External"/><Relationship Id="rId91" Type="http://schemas.openxmlformats.org/officeDocument/2006/relationships/printerSettings" Target="../printerSettings/printerSettings13.bin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73" Type="http://schemas.openxmlformats.org/officeDocument/2006/relationships/hyperlink" Target="https://etportfolio.indiatimes.com/pw_companyinfo.cms" TargetMode="External"/><Relationship Id="rId78" Type="http://schemas.openxmlformats.org/officeDocument/2006/relationships/hyperlink" Target="https://etportfolio.indiatimes.com/pw_companyinfo.cms" TargetMode="External"/><Relationship Id="rId81" Type="http://schemas.openxmlformats.org/officeDocument/2006/relationships/hyperlink" Target="https://etportfolio.indiatimes.com/pw_companyinfo.cms" TargetMode="External"/><Relationship Id="rId86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Relationship Id="rId76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87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82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/Relationships>
</file>

<file path=xl/worksheets/_rels/sheet107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printerSettings" Target="../printerSettings/printerSettings14.bin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108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84" Type="http://schemas.openxmlformats.org/officeDocument/2006/relationships/hyperlink" Target="https://etportfolio.indiatimes.com/pw_companyinfo.cms" TargetMode="External"/><Relationship Id="rId89" Type="http://schemas.openxmlformats.org/officeDocument/2006/relationships/printerSettings" Target="../printerSettings/printerSettings15.bin"/><Relationship Id="rId1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74" Type="http://schemas.openxmlformats.org/officeDocument/2006/relationships/hyperlink" Target="https://etportfolio.indiatimes.com/pw_companyinfo.cms" TargetMode="External"/><Relationship Id="rId79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77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72" Type="http://schemas.openxmlformats.org/officeDocument/2006/relationships/hyperlink" Target="https://etportfolio.indiatimes.com/pw_companyinfo.cms" TargetMode="External"/><Relationship Id="rId80" Type="http://schemas.openxmlformats.org/officeDocument/2006/relationships/hyperlink" Target="https://etportfolio.indiatimes.com/pw_companyinfo.cms" TargetMode="External"/><Relationship Id="rId85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75" Type="http://schemas.openxmlformats.org/officeDocument/2006/relationships/hyperlink" Target="https://etportfolio.indiatimes.com/pw_companyinfo.cms" TargetMode="External"/><Relationship Id="rId83" Type="http://schemas.openxmlformats.org/officeDocument/2006/relationships/hyperlink" Target="https://etportfolio.indiatimes.com/pw_companyinfo.cms" TargetMode="External"/><Relationship Id="rId88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73" Type="http://schemas.openxmlformats.org/officeDocument/2006/relationships/hyperlink" Target="https://etportfolio.indiatimes.com/pw_companyinfo.cms" TargetMode="External"/><Relationship Id="rId78" Type="http://schemas.openxmlformats.org/officeDocument/2006/relationships/hyperlink" Target="https://etportfolio.indiatimes.com/pw_companyinfo.cms" TargetMode="External"/><Relationship Id="rId81" Type="http://schemas.openxmlformats.org/officeDocument/2006/relationships/hyperlink" Target="https://etportfolio.indiatimes.com/pw_companyinfo.cms" TargetMode="External"/><Relationship Id="rId86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Relationship Id="rId76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87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82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/Relationships>
</file>

<file path=xl/worksheets/_rels/sheet109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printerSettings" Target="../printerSettings/printerSettings16.bin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110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84" Type="http://schemas.openxmlformats.org/officeDocument/2006/relationships/hyperlink" Target="https://etportfolio.indiatimes.com/pw_companyinfo.cms" TargetMode="External"/><Relationship Id="rId89" Type="http://schemas.openxmlformats.org/officeDocument/2006/relationships/printerSettings" Target="../printerSettings/printerSettings17.bin"/><Relationship Id="rId1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74" Type="http://schemas.openxmlformats.org/officeDocument/2006/relationships/hyperlink" Target="https://etportfolio.indiatimes.com/pw_companyinfo.cms" TargetMode="External"/><Relationship Id="rId79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77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72" Type="http://schemas.openxmlformats.org/officeDocument/2006/relationships/hyperlink" Target="https://etportfolio.indiatimes.com/pw_companyinfo.cms" TargetMode="External"/><Relationship Id="rId80" Type="http://schemas.openxmlformats.org/officeDocument/2006/relationships/hyperlink" Target="https://etportfolio.indiatimes.com/pw_companyinfo.cms" TargetMode="External"/><Relationship Id="rId85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75" Type="http://schemas.openxmlformats.org/officeDocument/2006/relationships/hyperlink" Target="https://etportfolio.indiatimes.com/pw_companyinfo.cms" TargetMode="External"/><Relationship Id="rId83" Type="http://schemas.openxmlformats.org/officeDocument/2006/relationships/hyperlink" Target="https://etportfolio.indiatimes.com/pw_companyinfo.cms" TargetMode="External"/><Relationship Id="rId88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73" Type="http://schemas.openxmlformats.org/officeDocument/2006/relationships/hyperlink" Target="https://etportfolio.indiatimes.com/pw_companyinfo.cms" TargetMode="External"/><Relationship Id="rId78" Type="http://schemas.openxmlformats.org/officeDocument/2006/relationships/hyperlink" Target="https://etportfolio.indiatimes.com/pw_companyinfo.cms" TargetMode="External"/><Relationship Id="rId81" Type="http://schemas.openxmlformats.org/officeDocument/2006/relationships/hyperlink" Target="https://etportfolio.indiatimes.com/pw_companyinfo.cms" TargetMode="External"/><Relationship Id="rId86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Relationship Id="rId76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87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82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/Relationships>
</file>

<file path=xl/worksheets/_rels/sheet111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13" Type="http://schemas.openxmlformats.org/officeDocument/2006/relationships/printerSettings" Target="../printerSettings/printerSettings18.bin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24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printerSettings" Target="../printerSettings/printerSettings31.bin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/Relationships>
</file>

<file path=xl/worksheets/_rels/sheet125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126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printerSettings" Target="../printerSettings/printerSettings32.bin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/Relationships>
</file>

<file path=xl/worksheets/_rels/sheet127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_rels/sheet130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71" Type="http://schemas.openxmlformats.org/officeDocument/2006/relationships/printerSettings" Target="../printerSettings/printerSettings33.bin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/Relationships>
</file>

<file path=xl/worksheets/_rels/sheet131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/Relationships>
</file>

<file path=xl/worksheets/_rels/sheet132.xml.rels><?xml version="1.0" encoding="UTF-8" standalone="yes"?>
<Relationships xmlns="http://schemas.openxmlformats.org/package/2006/relationships"><Relationship Id="rId26" Type="http://schemas.openxmlformats.org/officeDocument/2006/relationships/hyperlink" Target="https://etportfolio.indiatimes.com/pw_companyinfo.cms" TargetMode="External"/><Relationship Id="rId21" Type="http://schemas.openxmlformats.org/officeDocument/2006/relationships/hyperlink" Target="https://etportfolio.indiatimes.com/pw_companyinfo.cms" TargetMode="External"/><Relationship Id="rId42" Type="http://schemas.openxmlformats.org/officeDocument/2006/relationships/hyperlink" Target="https://etportfolio.indiatimes.com/pw_companyinfo.cms" TargetMode="External"/><Relationship Id="rId47" Type="http://schemas.openxmlformats.org/officeDocument/2006/relationships/hyperlink" Target="https://etportfolio.indiatimes.com/pw_companyinfo.cms" TargetMode="External"/><Relationship Id="rId63" Type="http://schemas.openxmlformats.org/officeDocument/2006/relationships/hyperlink" Target="https://etportfolio.indiatimes.com/pw_companyinfo.cms" TargetMode="External"/><Relationship Id="rId68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6" Type="http://schemas.openxmlformats.org/officeDocument/2006/relationships/hyperlink" Target="https://etportfolio.indiatimes.com/pw_companyinfo.cms" TargetMode="External"/><Relationship Id="rId29" Type="http://schemas.openxmlformats.org/officeDocument/2006/relationships/hyperlink" Target="https://etportfolio.indiatimes.com/pw_companyinfo.cms" TargetMode="External"/><Relationship Id="rId11" Type="http://schemas.openxmlformats.org/officeDocument/2006/relationships/hyperlink" Target="https://etportfolio.indiatimes.com/pw_companyinfo.cms" TargetMode="External"/><Relationship Id="rId24" Type="http://schemas.openxmlformats.org/officeDocument/2006/relationships/hyperlink" Target="https://etportfolio.indiatimes.com/pw_companyinfo.cms" TargetMode="External"/><Relationship Id="rId32" Type="http://schemas.openxmlformats.org/officeDocument/2006/relationships/hyperlink" Target="https://etportfolio.indiatimes.com/pw_companyinfo.cms" TargetMode="External"/><Relationship Id="rId37" Type="http://schemas.openxmlformats.org/officeDocument/2006/relationships/hyperlink" Target="https://etportfolio.indiatimes.com/pw_companyinfo.cms" TargetMode="External"/><Relationship Id="rId40" Type="http://schemas.openxmlformats.org/officeDocument/2006/relationships/hyperlink" Target="https://etportfolio.indiatimes.com/pw_companyinfo.cms" TargetMode="External"/><Relationship Id="rId45" Type="http://schemas.openxmlformats.org/officeDocument/2006/relationships/hyperlink" Target="https://etportfolio.indiatimes.com/pw_companyinfo.cms" TargetMode="External"/><Relationship Id="rId53" Type="http://schemas.openxmlformats.org/officeDocument/2006/relationships/hyperlink" Target="https://etportfolio.indiatimes.com/pw_companyinfo.cms" TargetMode="External"/><Relationship Id="rId58" Type="http://schemas.openxmlformats.org/officeDocument/2006/relationships/hyperlink" Target="https://etportfolio.indiatimes.com/pw_companyinfo.cms" TargetMode="External"/><Relationship Id="rId66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61" Type="http://schemas.openxmlformats.org/officeDocument/2006/relationships/hyperlink" Target="https://etportfolio.indiatimes.com/pw_companyinfo.cms" TargetMode="External"/><Relationship Id="rId19" Type="http://schemas.openxmlformats.org/officeDocument/2006/relationships/hyperlink" Target="https://etportfolio.indiatimes.com/pw_companyinfo.cms" TargetMode="External"/><Relationship Id="rId14" Type="http://schemas.openxmlformats.org/officeDocument/2006/relationships/hyperlink" Target="https://etportfolio.indiatimes.com/pw_companyinfo.cms" TargetMode="External"/><Relationship Id="rId22" Type="http://schemas.openxmlformats.org/officeDocument/2006/relationships/hyperlink" Target="https://etportfolio.indiatimes.com/pw_companyinfo.cms" TargetMode="External"/><Relationship Id="rId27" Type="http://schemas.openxmlformats.org/officeDocument/2006/relationships/hyperlink" Target="https://etportfolio.indiatimes.com/pw_companyinfo.cms" TargetMode="External"/><Relationship Id="rId30" Type="http://schemas.openxmlformats.org/officeDocument/2006/relationships/hyperlink" Target="https://etportfolio.indiatimes.com/pw_companyinfo.cms" TargetMode="External"/><Relationship Id="rId35" Type="http://schemas.openxmlformats.org/officeDocument/2006/relationships/hyperlink" Target="https://etportfolio.indiatimes.com/pw_companyinfo.cms" TargetMode="External"/><Relationship Id="rId43" Type="http://schemas.openxmlformats.org/officeDocument/2006/relationships/hyperlink" Target="https://etportfolio.indiatimes.com/pw_companyinfo.cms" TargetMode="External"/><Relationship Id="rId48" Type="http://schemas.openxmlformats.org/officeDocument/2006/relationships/hyperlink" Target="https://etportfolio.indiatimes.com/pw_companyinfo.cms" TargetMode="External"/><Relationship Id="rId56" Type="http://schemas.openxmlformats.org/officeDocument/2006/relationships/hyperlink" Target="https://etportfolio.indiatimes.com/pw_companyinfo.cms" TargetMode="External"/><Relationship Id="rId64" Type="http://schemas.openxmlformats.org/officeDocument/2006/relationships/hyperlink" Target="https://etportfolio.indiatimes.com/pw_companyinfo.cms" TargetMode="External"/><Relationship Id="rId69" Type="http://schemas.openxmlformats.org/officeDocument/2006/relationships/hyperlink" Target="https://etportfolio.indiatimes.com/pw_companyinfo.cms" TargetMode="External"/><Relationship Id="rId8" Type="http://schemas.openxmlformats.org/officeDocument/2006/relationships/hyperlink" Target="https://etportfolio.indiatimes.com/pw_companyinfo.cms" TargetMode="External"/><Relationship Id="rId51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12" Type="http://schemas.openxmlformats.org/officeDocument/2006/relationships/hyperlink" Target="https://etportfolio.indiatimes.com/pw_companyinfo.cms" TargetMode="External"/><Relationship Id="rId17" Type="http://schemas.openxmlformats.org/officeDocument/2006/relationships/hyperlink" Target="https://etportfolio.indiatimes.com/pw_companyinfo.cms" TargetMode="External"/><Relationship Id="rId25" Type="http://schemas.openxmlformats.org/officeDocument/2006/relationships/hyperlink" Target="https://etportfolio.indiatimes.com/pw_companyinfo.cms" TargetMode="External"/><Relationship Id="rId33" Type="http://schemas.openxmlformats.org/officeDocument/2006/relationships/hyperlink" Target="https://etportfolio.indiatimes.com/pw_companyinfo.cms" TargetMode="External"/><Relationship Id="rId38" Type="http://schemas.openxmlformats.org/officeDocument/2006/relationships/hyperlink" Target="https://etportfolio.indiatimes.com/pw_companyinfo.cms" TargetMode="External"/><Relationship Id="rId46" Type="http://schemas.openxmlformats.org/officeDocument/2006/relationships/hyperlink" Target="https://etportfolio.indiatimes.com/pw_companyinfo.cms" TargetMode="External"/><Relationship Id="rId59" Type="http://schemas.openxmlformats.org/officeDocument/2006/relationships/hyperlink" Target="https://etportfolio.indiatimes.com/pw_companyinfo.cms" TargetMode="External"/><Relationship Id="rId67" Type="http://schemas.openxmlformats.org/officeDocument/2006/relationships/hyperlink" Target="https://etportfolio.indiatimes.com/pw_companyinfo.cms" TargetMode="External"/><Relationship Id="rId20" Type="http://schemas.openxmlformats.org/officeDocument/2006/relationships/hyperlink" Target="https://etportfolio.indiatimes.com/pw_companyinfo.cms" TargetMode="External"/><Relationship Id="rId41" Type="http://schemas.openxmlformats.org/officeDocument/2006/relationships/hyperlink" Target="https://etportfolio.indiatimes.com/pw_companyinfo.cms" TargetMode="External"/><Relationship Id="rId54" Type="http://schemas.openxmlformats.org/officeDocument/2006/relationships/hyperlink" Target="https://etportfolio.indiatimes.com/pw_companyinfo.cms" TargetMode="External"/><Relationship Id="rId62" Type="http://schemas.openxmlformats.org/officeDocument/2006/relationships/hyperlink" Target="https://etportfolio.indiatimes.com/pw_companyinfo.cms" TargetMode="External"/><Relationship Id="rId70" Type="http://schemas.openxmlformats.org/officeDocument/2006/relationships/printerSettings" Target="../printerSettings/printerSettings34.bin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15" Type="http://schemas.openxmlformats.org/officeDocument/2006/relationships/hyperlink" Target="https://etportfolio.indiatimes.com/pw_companyinfo.cms" TargetMode="External"/><Relationship Id="rId23" Type="http://schemas.openxmlformats.org/officeDocument/2006/relationships/hyperlink" Target="https://etportfolio.indiatimes.com/pw_companyinfo.cms" TargetMode="External"/><Relationship Id="rId28" Type="http://schemas.openxmlformats.org/officeDocument/2006/relationships/hyperlink" Target="https://etportfolio.indiatimes.com/pw_companyinfo.cms" TargetMode="External"/><Relationship Id="rId36" Type="http://schemas.openxmlformats.org/officeDocument/2006/relationships/hyperlink" Target="https://etportfolio.indiatimes.com/pw_companyinfo.cms" TargetMode="External"/><Relationship Id="rId49" Type="http://schemas.openxmlformats.org/officeDocument/2006/relationships/hyperlink" Target="https://etportfolio.indiatimes.com/pw_companyinfo.cms" TargetMode="External"/><Relationship Id="rId57" Type="http://schemas.openxmlformats.org/officeDocument/2006/relationships/hyperlink" Target="https://etportfolio.indiatimes.com/pw_companyinfo.cms" TargetMode="External"/><Relationship Id="rId10" Type="http://schemas.openxmlformats.org/officeDocument/2006/relationships/hyperlink" Target="https://etportfolio.indiatimes.com/pw_companyinfo.cms" TargetMode="External"/><Relationship Id="rId31" Type="http://schemas.openxmlformats.org/officeDocument/2006/relationships/hyperlink" Target="https://etportfolio.indiatimes.com/pw_companyinfo.cms" TargetMode="External"/><Relationship Id="rId44" Type="http://schemas.openxmlformats.org/officeDocument/2006/relationships/hyperlink" Target="https://etportfolio.indiatimes.com/pw_companyinfo.cms" TargetMode="External"/><Relationship Id="rId52" Type="http://schemas.openxmlformats.org/officeDocument/2006/relationships/hyperlink" Target="https://etportfolio.indiatimes.com/pw_companyinfo.cms" TargetMode="External"/><Relationship Id="rId60" Type="http://schemas.openxmlformats.org/officeDocument/2006/relationships/hyperlink" Target="https://etportfolio.indiatimes.com/pw_companyinfo.cms" TargetMode="External"/><Relationship Id="rId65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Relationship Id="rId13" Type="http://schemas.openxmlformats.org/officeDocument/2006/relationships/hyperlink" Target="https://etportfolio.indiatimes.com/pw_companyinfo.cms" TargetMode="External"/><Relationship Id="rId18" Type="http://schemas.openxmlformats.org/officeDocument/2006/relationships/hyperlink" Target="https://etportfolio.indiatimes.com/pw_companyinfo.cms" TargetMode="External"/><Relationship Id="rId39" Type="http://schemas.openxmlformats.org/officeDocument/2006/relationships/hyperlink" Target="https://etportfolio.indiatimes.com/pw_companyinfo.cms" TargetMode="External"/><Relationship Id="rId34" Type="http://schemas.openxmlformats.org/officeDocument/2006/relationships/hyperlink" Target="https://etportfolio.indiatimes.com/pw_companyinfo.cms" TargetMode="External"/><Relationship Id="rId50" Type="http://schemas.openxmlformats.org/officeDocument/2006/relationships/hyperlink" Target="https://etportfolio.indiatimes.com/pw_companyinfo.cms" TargetMode="External"/><Relationship Id="rId55" Type="http://schemas.openxmlformats.org/officeDocument/2006/relationships/hyperlink" Target="https://etportfolio.indiatimes.com/pw_companyinfo.cms" TargetMode="External"/></Relationships>
</file>

<file path=xl/worksheets/_rels/sheet133.xml.rels><?xml version="1.0" encoding="UTF-8" standalone="yes"?>
<Relationships xmlns="http://schemas.openxmlformats.org/package/2006/relationships"><Relationship Id="rId8" Type="http://schemas.openxmlformats.org/officeDocument/2006/relationships/hyperlink" Target="https://etportfolio.indiatimes.com/pw_companyinfo.cms" TargetMode="External"/><Relationship Id="rId3" Type="http://schemas.openxmlformats.org/officeDocument/2006/relationships/hyperlink" Target="https://etportfolio.indiatimes.com/pw_companyinfo.cms" TargetMode="External"/><Relationship Id="rId7" Type="http://schemas.openxmlformats.org/officeDocument/2006/relationships/hyperlink" Target="https://etportfolio.indiatimes.com/pw_companyinfo.cms" TargetMode="External"/><Relationship Id="rId2" Type="http://schemas.openxmlformats.org/officeDocument/2006/relationships/hyperlink" Target="https://etportfolio.indiatimes.com/pw_companyinfo.cms" TargetMode="External"/><Relationship Id="rId1" Type="http://schemas.openxmlformats.org/officeDocument/2006/relationships/hyperlink" Target="https://etportfolio.indiatimes.com/pw_companyinfo.cms" TargetMode="External"/><Relationship Id="rId6" Type="http://schemas.openxmlformats.org/officeDocument/2006/relationships/hyperlink" Target="https://etportfolio.indiatimes.com/pw_companyinfo.cms" TargetMode="External"/><Relationship Id="rId5" Type="http://schemas.openxmlformats.org/officeDocument/2006/relationships/hyperlink" Target="https://etportfolio.indiatimes.com/pw_companyinfo.cms" TargetMode="External"/><Relationship Id="rId4" Type="http://schemas.openxmlformats.org/officeDocument/2006/relationships/hyperlink" Target="https://etportfolio.indiatimes.com/pw_companyinfo.cms" TargetMode="External"/><Relationship Id="rId9" Type="http://schemas.openxmlformats.org/officeDocument/2006/relationships/hyperlink" Target="https://etportfolio.indiatimes.com/pw_companyinfo.c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37D5-D256-44EB-9B30-8ABE7773E4C8}">
  <dimension ref="A1:I50"/>
  <sheetViews>
    <sheetView showGridLines="0" workbookViewId="0">
      <pane xSplit="1" ySplit="2" topLeftCell="B3" activePane="bottomRight" state="frozen"/>
      <selection pane="bottomRight" activeCell="J120" sqref="J120"/>
      <selection pane="bottomLeft"/>
      <selection pane="topRight"/>
    </sheetView>
  </sheetViews>
  <sheetFormatPr defaultRowHeight="15"/>
  <cols>
    <col min="1" max="1" width="10.5703125" bestFit="1" customWidth="1"/>
    <col min="2" max="2" width="10.28515625" bestFit="1" customWidth="1"/>
    <col min="3" max="8" width="10.28515625" customWidth="1"/>
    <col min="9" max="9" width="14.42578125" bestFit="1" customWidth="1"/>
  </cols>
  <sheetData>
    <row r="1" spans="1:9">
      <c r="A1" s="69" t="s">
        <v>0</v>
      </c>
      <c r="B1" s="81">
        <v>2020</v>
      </c>
      <c r="C1" s="81">
        <v>2021</v>
      </c>
      <c r="D1" s="81">
        <v>2022</v>
      </c>
      <c r="E1" s="81">
        <v>2023</v>
      </c>
      <c r="F1" s="81">
        <v>2024</v>
      </c>
      <c r="G1" s="81">
        <v>2024</v>
      </c>
      <c r="H1" s="81">
        <f>COUNTA($B1:G1)-1</f>
        <v>5</v>
      </c>
      <c r="I1" s="70" t="s">
        <v>1</v>
      </c>
    </row>
    <row r="2" spans="1:9">
      <c r="A2" s="69"/>
      <c r="B2" s="70" t="s">
        <v>2</v>
      </c>
      <c r="C2" s="70" t="s">
        <v>2</v>
      </c>
      <c r="D2" s="70" t="s">
        <v>2</v>
      </c>
      <c r="E2" s="70" t="s">
        <v>2</v>
      </c>
      <c r="F2" s="70" t="s">
        <v>2</v>
      </c>
      <c r="G2" s="70" t="s">
        <v>2</v>
      </c>
      <c r="H2" s="70" t="s">
        <v>3</v>
      </c>
      <c r="I2" s="70" t="s">
        <v>4</v>
      </c>
    </row>
    <row r="3" spans="1:9">
      <c r="A3" s="161" t="s">
        <v>5</v>
      </c>
      <c r="B3" s="161"/>
      <c r="C3" s="161"/>
      <c r="D3" s="161"/>
      <c r="E3" s="161"/>
      <c r="F3" s="161"/>
      <c r="G3" s="161"/>
      <c r="H3" s="161"/>
      <c r="I3" s="10"/>
    </row>
    <row r="4" spans="1:9">
      <c r="A4" s="127" t="s">
        <v>6</v>
      </c>
      <c r="B4" s="112">
        <f ca="1">Quarterly!B4</f>
        <v>45.920594781182999</v>
      </c>
      <c r="C4" s="112">
        <f ca="1">Quarterly!$F4</f>
        <v>85.27046906999999</v>
      </c>
      <c r="D4" s="112">
        <f ca="1">Quarterly!$J4</f>
        <v>104.01465144500001</v>
      </c>
      <c r="E4" s="112">
        <f ca="1">Quarterly!$N4</f>
        <v>168.52674041900002</v>
      </c>
      <c r="F4" s="112">
        <f ca="1">Quarterly!$R4</f>
        <v>233.86821037800001</v>
      </c>
      <c r="G4" s="112">
        <f ca="1">Quarterly!$V4</f>
        <v>253.19622370699994</v>
      </c>
      <c r="H4" s="128">
        <f ca="1">((G4/B4)^(1/$H$1)-1)</f>
        <v>0.40698654372707854</v>
      </c>
      <c r="I4" s="1"/>
    </row>
    <row r="5" spans="1:9">
      <c r="A5" s="127" t="s">
        <v>7</v>
      </c>
      <c r="B5" s="112">
        <f ca="1">Quarterly!B5</f>
        <v>32.53</v>
      </c>
      <c r="C5" s="112">
        <f ca="1">Quarterly!$F5</f>
        <v>40.56374000000001</v>
      </c>
      <c r="D5" s="112">
        <f ca="1">Quarterly!$J5</f>
        <v>49.117029999999986</v>
      </c>
      <c r="E5" s="112">
        <f ca="1">Quarterly!$N5</f>
        <v>58.186540000000008</v>
      </c>
      <c r="F5" s="112">
        <f ca="1">Quarterly!$R5</f>
        <v>69.288939999999997</v>
      </c>
      <c r="G5" s="112">
        <f ca="1">Quarterly!$V5</f>
        <v>81.86323999999999</v>
      </c>
      <c r="H5" s="128">
        <f t="shared" ref="H5:H9" ca="1" si="0">((G5/B5)^(1/$H$1)-1)</f>
        <v>0.20271014190526193</v>
      </c>
      <c r="I5" s="1"/>
    </row>
    <row r="6" spans="1:9">
      <c r="A6" s="127" t="s">
        <v>8</v>
      </c>
      <c r="B6" s="112">
        <f ca="1">Quarterly!B6</f>
        <v>1</v>
      </c>
      <c r="C6" s="112">
        <f ca="1">Quarterly!$F6</f>
        <v>1.1819999999999999</v>
      </c>
      <c r="D6" s="112">
        <f ca="1">Quarterly!$J6</f>
        <v>1.2961369999999999</v>
      </c>
      <c r="E6" s="112">
        <f ca="1">Quarterly!$N6</f>
        <v>1.559774</v>
      </c>
      <c r="F6" s="112">
        <f ca="1">Quarterly!$R6</f>
        <v>2.0347904999999997</v>
      </c>
      <c r="G6" s="112">
        <f ca="1">Quarterly!$V6</f>
        <v>4.9495440000000004</v>
      </c>
      <c r="H6" s="128">
        <f t="shared" ca="1" si="0"/>
        <v>0.37693372724373697</v>
      </c>
      <c r="I6" s="1"/>
    </row>
    <row r="7" spans="1:9">
      <c r="A7" s="127" t="s">
        <v>9</v>
      </c>
      <c r="B7" s="112">
        <f ca="1">Quarterly!B7</f>
        <v>0</v>
      </c>
      <c r="C7" s="112">
        <f ca="1">Quarterly!$F7</f>
        <v>0</v>
      </c>
      <c r="D7" s="112">
        <f ca="1">Quarterly!$J7</f>
        <v>0</v>
      </c>
      <c r="E7" s="112">
        <f ca="1">Quarterly!$N7</f>
        <v>0</v>
      </c>
      <c r="F7" s="112">
        <f ca="1">Quarterly!$R7</f>
        <v>0</v>
      </c>
      <c r="G7" s="112">
        <f ca="1">Quarterly!$V7</f>
        <v>0</v>
      </c>
      <c r="H7" s="128">
        <v>0</v>
      </c>
      <c r="I7" s="1"/>
    </row>
    <row r="8" spans="1:9">
      <c r="A8" s="127" t="s">
        <v>10</v>
      </c>
      <c r="B8" s="112">
        <f ca="1">Quarterly!B8</f>
        <v>4.6500000000000004</v>
      </c>
      <c r="C8" s="112">
        <f ca="1">Quarterly!$F8</f>
        <v>2.857565701</v>
      </c>
      <c r="D8" s="112">
        <f ca="1">Quarterly!$J8</f>
        <v>1.5</v>
      </c>
      <c r="E8" s="112">
        <f ca="1">Quarterly!$N8</f>
        <v>2</v>
      </c>
      <c r="F8" s="112">
        <f ca="1">Quarterly!$R8</f>
        <v>0</v>
      </c>
      <c r="G8" s="112">
        <f ca="1">Quarterly!$V8</f>
        <v>0</v>
      </c>
      <c r="H8" s="128">
        <f t="shared" ca="1" si="0"/>
        <v>-1</v>
      </c>
      <c r="I8" s="1"/>
    </row>
    <row r="9" spans="1:9">
      <c r="A9" s="98" t="s">
        <v>11</v>
      </c>
      <c r="B9" s="113">
        <f t="shared" ref="B9" ca="1" si="1">SUM(B4:B8)</f>
        <v>84.100594781183005</v>
      </c>
      <c r="C9" s="113">
        <f t="shared" ref="C9:G9" ca="1" si="2">SUM(C4:C8)</f>
        <v>129.873774771</v>
      </c>
      <c r="D9" s="113">
        <f t="shared" ref="D9:F9" ca="1" si="3">SUM(D4:D8)</f>
        <v>155.92781844499999</v>
      </c>
      <c r="E9" s="113">
        <f t="shared" ca="1" si="3"/>
        <v>230.27305441900003</v>
      </c>
      <c r="F9" s="113">
        <f t="shared" ca="1" si="3"/>
        <v>305.19194087799997</v>
      </c>
      <c r="G9" s="113">
        <f t="shared" ca="1" si="2"/>
        <v>340.00900770699997</v>
      </c>
      <c r="H9" s="121">
        <f t="shared" ca="1" si="0"/>
        <v>0.32232518961832946</v>
      </c>
      <c r="I9" s="1"/>
    </row>
    <row r="10" spans="1:9">
      <c r="B10" s="9"/>
      <c r="C10" s="9"/>
      <c r="D10" s="9"/>
      <c r="E10" s="9"/>
      <c r="F10" s="9"/>
      <c r="G10" s="9"/>
      <c r="H10" s="1"/>
      <c r="I10" s="1"/>
    </row>
    <row r="11" spans="1:9">
      <c r="A11" s="172" t="s">
        <v>12</v>
      </c>
      <c r="B11" s="172"/>
      <c r="C11" s="172"/>
      <c r="D11" s="172"/>
      <c r="E11" s="172"/>
      <c r="F11" s="172"/>
      <c r="G11" s="172"/>
      <c r="H11" s="1"/>
      <c r="I11" s="66"/>
    </row>
    <row r="12" spans="1:9">
      <c r="A12" s="129" t="s">
        <v>6</v>
      </c>
      <c r="B12" s="88">
        <f t="shared" ref="B12:G14" ca="1" si="4">B4/B$9</f>
        <v>0.54601985753681559</v>
      </c>
      <c r="C12" s="88">
        <f t="shared" ref="C12:F12" ca="1" si="5">C4/C$9</f>
        <v>0.6565641848814604</v>
      </c>
      <c r="D12" s="88">
        <f t="shared" ca="1" si="5"/>
        <v>0.6670692406415526</v>
      </c>
      <c r="E12" s="88">
        <f t="shared" ca="1" si="5"/>
        <v>0.7318561038077529</v>
      </c>
      <c r="F12" s="88">
        <f t="shared" ca="1" si="5"/>
        <v>0.76629877481426845</v>
      </c>
      <c r="G12" s="88">
        <f t="shared" ca="1" si="4"/>
        <v>0.74467504674226093</v>
      </c>
      <c r="H12" s="1"/>
      <c r="I12" s="1"/>
    </row>
    <row r="13" spans="1:9">
      <c r="A13" s="129" t="s">
        <v>7</v>
      </c>
      <c r="B13" s="88">
        <f t="shared" ca="1" si="4"/>
        <v>0.38679869131292266</v>
      </c>
      <c r="C13" s="88">
        <f t="shared" ref="C13:F13" ca="1" si="6">C5/C$9</f>
        <v>0.31233203217142219</v>
      </c>
      <c r="D13" s="88">
        <f t="shared" ca="1" si="6"/>
        <v>0.31499850693623926</v>
      </c>
      <c r="E13" s="88">
        <f t="shared" ca="1" si="6"/>
        <v>0.2526849706615043</v>
      </c>
      <c r="F13" s="88">
        <f t="shared" ca="1" si="6"/>
        <v>0.22703397671859935</v>
      </c>
      <c r="G13" s="88">
        <f t="shared" ca="1" si="4"/>
        <v>0.2407678565696853</v>
      </c>
      <c r="H13" s="1"/>
      <c r="I13" s="1"/>
    </row>
    <row r="14" spans="1:9">
      <c r="A14" s="129" t="s">
        <v>8</v>
      </c>
      <c r="B14" s="88">
        <f t="shared" ca="1" si="4"/>
        <v>1.1890522327479947E-2</v>
      </c>
      <c r="C14" s="88">
        <f t="shared" ref="C14:F14" ca="1" si="7">C6/C$9</f>
        <v>9.1011445696728387E-3</v>
      </c>
      <c r="D14" s="88">
        <f t="shared" ca="1" si="7"/>
        <v>8.3124166869376348E-3</v>
      </c>
      <c r="E14" s="88">
        <f t="shared" ca="1" si="7"/>
        <v>6.7735845339588355E-3</v>
      </c>
      <c r="F14" s="88">
        <f t="shared" ca="1" si="7"/>
        <v>6.6672484671323751E-3</v>
      </c>
      <c r="G14" s="88">
        <f t="shared" ca="1" si="4"/>
        <v>1.4557096688053718E-2</v>
      </c>
      <c r="H14" s="1"/>
      <c r="I14" s="1"/>
    </row>
    <row r="15" spans="1:9">
      <c r="A15" s="129" t="s">
        <v>9</v>
      </c>
      <c r="B15" s="88">
        <f t="shared" ref="B15:G15" ca="1" si="8">B7/$B$9</f>
        <v>0</v>
      </c>
      <c r="C15" s="88">
        <f t="shared" ref="C15:F15" ca="1" si="9">C7/$B$9</f>
        <v>0</v>
      </c>
      <c r="D15" s="88">
        <f t="shared" ca="1" si="9"/>
        <v>0</v>
      </c>
      <c r="E15" s="88">
        <f t="shared" ca="1" si="9"/>
        <v>0</v>
      </c>
      <c r="F15" s="88">
        <f t="shared" ca="1" si="9"/>
        <v>0</v>
      </c>
      <c r="G15" s="88">
        <f t="shared" ca="1" si="8"/>
        <v>0</v>
      </c>
      <c r="H15" s="1"/>
      <c r="I15" s="1"/>
    </row>
    <row r="16" spans="1:9">
      <c r="A16" s="129" t="s">
        <v>10</v>
      </c>
      <c r="B16" s="88">
        <f t="shared" ref="B16:G16" ca="1" si="10">B8/B$9</f>
        <v>5.5290928822781756E-2</v>
      </c>
      <c r="C16" s="88">
        <f t="shared" ref="C16:F16" ca="1" si="11">C8/C$9</f>
        <v>2.2002638377444594E-2</v>
      </c>
      <c r="D16" s="88">
        <f t="shared" ca="1" si="11"/>
        <v>9.6198357352706189E-3</v>
      </c>
      <c r="E16" s="88">
        <f t="shared" ca="1" si="11"/>
        <v>8.6853409967839398E-3</v>
      </c>
      <c r="F16" s="88">
        <f t="shared" ca="1" si="11"/>
        <v>0</v>
      </c>
      <c r="G16" s="88">
        <f t="shared" ca="1" si="10"/>
        <v>0</v>
      </c>
      <c r="H16" s="1"/>
      <c r="I16" s="1"/>
    </row>
    <row r="17" spans="1:9">
      <c r="A17" s="98" t="s">
        <v>11</v>
      </c>
      <c r="B17" s="121">
        <f ca="1">SUM(B12:B16)</f>
        <v>0.99999999999999989</v>
      </c>
      <c r="C17" s="121">
        <f ca="1">SUM(C12:C16)</f>
        <v>1</v>
      </c>
      <c r="D17" s="121">
        <f ca="1">SUM(D12:D16)</f>
        <v>1.0000000000000002</v>
      </c>
      <c r="E17" s="121">
        <f ca="1">SUM(E12:E16)</f>
        <v>1</v>
      </c>
      <c r="F17" s="121">
        <f ca="1">SUM(F12:F16)</f>
        <v>1.0000000000000002</v>
      </c>
      <c r="G17" s="121">
        <f ca="1">SUM(G12:G16)</f>
        <v>1</v>
      </c>
      <c r="H17" s="1"/>
      <c r="I17" s="1"/>
    </row>
    <row r="18" spans="1:9">
      <c r="B18" s="9"/>
      <c r="C18" s="9"/>
      <c r="D18" s="9"/>
      <c r="E18" s="9"/>
      <c r="F18" s="9"/>
      <c r="G18" s="9"/>
      <c r="H18" s="1"/>
      <c r="I18" s="1"/>
    </row>
    <row r="19" spans="1:9">
      <c r="A19" s="204" t="s">
        <v>13</v>
      </c>
      <c r="B19" s="204"/>
      <c r="C19" s="204"/>
      <c r="D19" s="204"/>
      <c r="E19" s="204"/>
      <c r="F19" s="204"/>
      <c r="G19" s="204"/>
      <c r="H19" s="1"/>
      <c r="I19" s="1"/>
    </row>
    <row r="20" spans="1:9">
      <c r="A20" s="130" t="s">
        <v>6</v>
      </c>
      <c r="B20" s="115">
        <v>0</v>
      </c>
      <c r="C20" s="115">
        <f ca="1">SUM(Quarterly!$C20:$F20)</f>
        <v>19.892195056999988</v>
      </c>
      <c r="D20" s="115">
        <f ca="1">SUM(Quarterly!$G20:$J20)</f>
        <v>19.851830518103071</v>
      </c>
      <c r="E20" s="115">
        <f ca="1">SUM(Quarterly!$K20:$N20)</f>
        <v>23.79193490799997</v>
      </c>
      <c r="F20" s="115">
        <f ca="1">SUM(Quarterly!$O20:$R20)</f>
        <v>31.473662111000017</v>
      </c>
      <c r="G20" s="115">
        <f ca="1">SUM(Quarterly!$S20:$V20)</f>
        <v>11.79812517699996</v>
      </c>
      <c r="H20" s="1"/>
      <c r="I20" s="73">
        <f t="shared" ref="I20:I25" ca="1" si="12">SUM(B20:G20)</f>
        <v>106.807747771103</v>
      </c>
    </row>
    <row r="21" spans="1:9">
      <c r="A21" s="130" t="s">
        <v>7</v>
      </c>
      <c r="B21" s="115">
        <v>0</v>
      </c>
      <c r="C21" s="115">
        <f ca="1">SUM(Quarterly!$C21:$F21)</f>
        <v>4.7707400000000035</v>
      </c>
      <c r="D21" s="115">
        <f ca="1">SUM(Quarterly!$G21:$J21)</f>
        <v>5.3761899999999798</v>
      </c>
      <c r="E21" s="115">
        <f ca="1">SUM(Quarterly!$K21:$N21)</f>
        <v>5.7777400000000076</v>
      </c>
      <c r="F21" s="115">
        <f ca="1">SUM(Quarterly!$O21:$R21)</f>
        <v>6.0327599999999979</v>
      </c>
      <c r="G21" s="115">
        <f ca="1">SUM(Quarterly!$S21:$V21)</f>
        <v>6.8307999999999893</v>
      </c>
      <c r="H21" s="1"/>
      <c r="I21" s="73">
        <f t="shared" ca="1" si="12"/>
        <v>28.788229999999977</v>
      </c>
    </row>
    <row r="22" spans="1:9">
      <c r="A22" s="130" t="s">
        <v>8</v>
      </c>
      <c r="B22" s="115">
        <v>0</v>
      </c>
      <c r="C22" s="115">
        <f ca="1">SUM(Quarterly!$C22:$F22)</f>
        <v>0.2475</v>
      </c>
      <c r="D22" s="115">
        <f ca="1">SUM(Quarterly!$G22:$J22)</f>
        <v>5.1600000000000534E-3</v>
      </c>
      <c r="E22" s="115">
        <f ca="1">SUM(Quarterly!$K22:$N22)</f>
        <v>0</v>
      </c>
      <c r="F22" s="115">
        <f ca="1">SUM(Quarterly!$O22:$R22)</f>
        <v>0</v>
      </c>
      <c r="G22" s="115">
        <f ca="1">SUM(Quarterly!$S22:$V22)</f>
        <v>1</v>
      </c>
      <c r="H22" s="1"/>
      <c r="I22" s="73">
        <f t="shared" ca="1" si="12"/>
        <v>1.2526600000000001</v>
      </c>
    </row>
    <row r="23" spans="1:9">
      <c r="A23" s="130" t="s">
        <v>9</v>
      </c>
      <c r="B23" s="115">
        <v>0</v>
      </c>
      <c r="C23" s="115">
        <f ca="1">SUM(Quarterly!$C23:$F23)</f>
        <v>-0.18999999999999995</v>
      </c>
      <c r="D23" s="115">
        <f ca="1">SUM(Quarterly!$G23:$J23)</f>
        <v>0</v>
      </c>
      <c r="E23" s="115">
        <f ca="1">SUM(Quarterly!$K23:$N23)</f>
        <v>0</v>
      </c>
      <c r="F23" s="115">
        <f ca="1">SUM(Quarterly!$O23:$R23)</f>
        <v>0</v>
      </c>
      <c r="G23" s="115">
        <f ca="1">SUM(Quarterly!$S23:$V23)</f>
        <v>0</v>
      </c>
      <c r="H23" s="1"/>
      <c r="I23" s="73">
        <f t="shared" ca="1" si="12"/>
        <v>-0.18999999999999995</v>
      </c>
    </row>
    <row r="24" spans="1:9">
      <c r="A24" s="130" t="s">
        <v>10</v>
      </c>
      <c r="B24" s="115">
        <v>0</v>
      </c>
      <c r="C24" s="115">
        <f ca="1">SUM(Quarterly!$C24:$F24)</f>
        <v>-1.7924342990000004</v>
      </c>
      <c r="D24" s="115">
        <f ca="1">SUM(Quarterly!$G24:$J24)</f>
        <v>-1.357565701</v>
      </c>
      <c r="E24" s="115">
        <f ca="1">SUM(Quarterly!$K24:$N24)</f>
        <v>0.5</v>
      </c>
      <c r="F24" s="115">
        <f ca="1">SUM(Quarterly!$O24:$R24)</f>
        <v>-2</v>
      </c>
      <c r="G24" s="115">
        <f ca="1">SUM(Quarterly!$S24:$V24)</f>
        <v>0</v>
      </c>
      <c r="H24" s="1"/>
      <c r="I24" s="73">
        <f t="shared" ca="1" si="12"/>
        <v>-4.6500000000000004</v>
      </c>
    </row>
    <row r="25" spans="1:9">
      <c r="A25" s="98" t="s">
        <v>11</v>
      </c>
      <c r="B25" s="113">
        <v>0</v>
      </c>
      <c r="C25" s="113">
        <f ca="1">SUM(C20:C24)</f>
        <v>22.928000757999989</v>
      </c>
      <c r="D25" s="113">
        <f ca="1">SUM(D20:D24)</f>
        <v>23.875614817103052</v>
      </c>
      <c r="E25" s="113">
        <f ca="1">SUM(E20:E24)</f>
        <v>30.069674907999978</v>
      </c>
      <c r="F25" s="113">
        <f ca="1">SUM(F20:F24)</f>
        <v>35.506422111000013</v>
      </c>
      <c r="G25" s="113">
        <f ca="1">SUM(G20:G24)</f>
        <v>19.62892517699995</v>
      </c>
      <c r="H25" s="1"/>
      <c r="I25" s="73">
        <f t="shared" ca="1" si="12"/>
        <v>132.008637771103</v>
      </c>
    </row>
    <row r="26" spans="1:9">
      <c r="B26" s="9"/>
      <c r="C26" s="9"/>
      <c r="D26" s="9"/>
      <c r="E26" s="9"/>
      <c r="F26" s="9"/>
      <c r="G26" s="9"/>
      <c r="H26" s="1"/>
      <c r="I26" s="1"/>
    </row>
    <row r="27" spans="1:9">
      <c r="A27" s="205" t="s">
        <v>14</v>
      </c>
      <c r="B27" s="205"/>
      <c r="C27" s="205"/>
      <c r="D27" s="205"/>
      <c r="E27" s="205"/>
      <c r="F27" s="205"/>
      <c r="G27" s="205"/>
      <c r="H27" s="66"/>
      <c r="I27" s="1"/>
    </row>
    <row r="28" spans="1:9">
      <c r="A28" s="132" t="s">
        <v>6</v>
      </c>
      <c r="B28" s="116">
        <v>0</v>
      </c>
      <c r="C28" s="116">
        <f ca="1">SUM(Quarterly!$C28:$F28)</f>
        <v>19.457679231817007</v>
      </c>
      <c r="D28" s="116">
        <f ca="1">SUM(Quarterly!$G28:$J28)</f>
        <v>-1.1076481431030603</v>
      </c>
      <c r="E28" s="116">
        <f ca="1">SUM(Quarterly!$K28:$N28)</f>
        <v>40.720154066000049</v>
      </c>
      <c r="F28" s="116">
        <f ca="1">SUM(Quarterly!$O28:$R28)</f>
        <v>33.86780784799997</v>
      </c>
      <c r="G28" s="116">
        <f ca="1">SUM(Quarterly!$S28:$V28)</f>
        <v>7.5298881519999821</v>
      </c>
      <c r="H28" s="1"/>
      <c r="I28" s="73">
        <f t="shared" ref="I28:I33" ca="1" si="13">SUM(B28:G28)</f>
        <v>100.46788115471395</v>
      </c>
    </row>
    <row r="29" spans="1:9">
      <c r="A29" s="132" t="s">
        <v>7</v>
      </c>
      <c r="B29" s="116">
        <v>0</v>
      </c>
      <c r="C29" s="116">
        <f ca="1">SUM(Quarterly!$C29:$F29)</f>
        <v>3.2630000000000008</v>
      </c>
      <c r="D29" s="116">
        <f ca="1">SUM(Quarterly!$G29:$J29)</f>
        <v>3.177099999999998</v>
      </c>
      <c r="E29" s="116">
        <f ca="1">SUM(Quarterly!$K29:$N29)</f>
        <v>3.2917700000000156</v>
      </c>
      <c r="F29" s="116">
        <f ca="1">SUM(Quarterly!$O29:$R29)</f>
        <v>5.0695259999999882</v>
      </c>
      <c r="G29" s="116">
        <f ca="1">SUM(Quarterly!$S29:$V29)</f>
        <v>5.7325500000000016</v>
      </c>
      <c r="H29" s="1"/>
      <c r="I29" s="73">
        <f t="shared" ca="1" si="13"/>
        <v>20.533946000000007</v>
      </c>
    </row>
    <row r="30" spans="1:9">
      <c r="A30" s="132" t="s">
        <v>8</v>
      </c>
      <c r="B30" s="116">
        <v>0</v>
      </c>
      <c r="C30" s="116">
        <f ca="1">SUM(Quarterly!$C30:$F30)</f>
        <v>-6.5500000000000058E-2</v>
      </c>
      <c r="D30" s="116">
        <f ca="1">SUM(Quarterly!$G30:$J30)</f>
        <v>0.10897699999999988</v>
      </c>
      <c r="E30" s="116">
        <f ca="1">SUM(Quarterly!$K30:$N30)</f>
        <v>0.26363700000000012</v>
      </c>
      <c r="F30" s="116">
        <f ca="1">SUM(Quarterly!$O30:$R30)</f>
        <v>0.47501649999999973</v>
      </c>
      <c r="G30" s="116">
        <f ca="1">SUM(Quarterly!$S30:$V30)</f>
        <v>1.9147535000000007</v>
      </c>
      <c r="H30" s="1"/>
      <c r="I30" s="73">
        <f t="shared" ca="1" si="13"/>
        <v>2.6968840000000003</v>
      </c>
    </row>
    <row r="31" spans="1:9">
      <c r="A31" s="132" t="s">
        <v>9</v>
      </c>
      <c r="B31" s="116">
        <v>0</v>
      </c>
      <c r="C31" s="116">
        <f ca="1">SUM(Quarterly!$C31:$F31)</f>
        <v>0.29484999999999995</v>
      </c>
      <c r="D31" s="116">
        <f ca="1">SUM(Quarterly!$G31:$J31)</f>
        <v>0</v>
      </c>
      <c r="E31" s="116">
        <f ca="1">SUM(Quarterly!$K31:$N31)</f>
        <v>0</v>
      </c>
      <c r="F31" s="116">
        <f ca="1">SUM(Quarterly!$O31:$R31)</f>
        <v>0</v>
      </c>
      <c r="G31" s="116">
        <f ca="1">SUM(Quarterly!$S31:$V31)</f>
        <v>0</v>
      </c>
      <c r="H31" s="1"/>
      <c r="I31" s="73">
        <f t="shared" ca="1" si="13"/>
        <v>0.29484999999999995</v>
      </c>
    </row>
    <row r="32" spans="1:9">
      <c r="A32" s="132" t="s">
        <v>10</v>
      </c>
      <c r="B32" s="116">
        <v>0</v>
      </c>
      <c r="C32" s="116">
        <f ca="1">SUM(Quarterly!$C32:$F32)</f>
        <v>0</v>
      </c>
      <c r="D32" s="116">
        <f ca="1">SUM(Quarterly!$G32:$J32)</f>
        <v>0</v>
      </c>
      <c r="E32" s="116">
        <f ca="1">SUM(Quarterly!$K32:$N32)</f>
        <v>0</v>
      </c>
      <c r="F32" s="116">
        <f ca="1">SUM(Quarterly!$O32:$R32)</f>
        <v>0</v>
      </c>
      <c r="G32" s="116">
        <f ca="1">SUM(Quarterly!$S32:$V32)</f>
        <v>0</v>
      </c>
      <c r="H32" s="1"/>
      <c r="I32" s="73">
        <f t="shared" ca="1" si="13"/>
        <v>0</v>
      </c>
    </row>
    <row r="33" spans="1:9">
      <c r="A33" s="98" t="s">
        <v>11</v>
      </c>
      <c r="B33" s="113">
        <v>0</v>
      </c>
      <c r="C33" s="113">
        <f ca="1">SUM(C28:C32)</f>
        <v>22.950029231817009</v>
      </c>
      <c r="D33" s="113">
        <f ca="1">SUM(D28:D32)</f>
        <v>2.1784288568969377</v>
      </c>
      <c r="E33" s="113">
        <f ca="1">SUM(E28:E32)</f>
        <v>44.275561066000066</v>
      </c>
      <c r="F33" s="113">
        <f ca="1">SUM(F28:F32)</f>
        <v>39.412350347999961</v>
      </c>
      <c r="G33" s="113">
        <f ca="1">SUM(G28:G32)</f>
        <v>15.177191651999983</v>
      </c>
      <c r="H33" s="1"/>
      <c r="I33" s="73">
        <f t="shared" ca="1" si="13"/>
        <v>123.99356115471394</v>
      </c>
    </row>
    <row r="34" spans="1:9">
      <c r="B34" s="9"/>
      <c r="C34" s="9"/>
      <c r="D34" s="9"/>
      <c r="E34" s="9"/>
      <c r="F34" s="9"/>
      <c r="G34" s="9"/>
      <c r="H34" s="1"/>
      <c r="I34" s="73"/>
    </row>
    <row r="35" spans="1:9">
      <c r="A35" s="206" t="s">
        <v>15</v>
      </c>
      <c r="B35" s="206"/>
      <c r="C35" s="206"/>
      <c r="D35" s="206"/>
      <c r="E35" s="206"/>
      <c r="F35" s="206"/>
      <c r="G35" s="206"/>
      <c r="H35" s="66"/>
      <c r="I35" s="73"/>
    </row>
    <row r="36" spans="1:9">
      <c r="A36" s="133" t="s">
        <v>6</v>
      </c>
      <c r="B36" s="117">
        <f ca="1">SUMIF(Breakup!$B$58:$L$68,Annual!$A36,Breakup!C$58:C$68)</f>
        <v>0</v>
      </c>
      <c r="C36" s="117">
        <f t="shared" ref="C36:G41" ca="1" si="14">C20+C28</f>
        <v>39.349874288816991</v>
      </c>
      <c r="D36" s="117">
        <f t="shared" ref="D36:F36" ca="1" si="15">D20+D28</f>
        <v>18.744182375000012</v>
      </c>
      <c r="E36" s="117">
        <f t="shared" ca="1" si="15"/>
        <v>64.512088974000022</v>
      </c>
      <c r="F36" s="117">
        <f t="shared" ca="1" si="15"/>
        <v>65.341469958999994</v>
      </c>
      <c r="G36" s="117">
        <f t="shared" ca="1" si="14"/>
        <v>19.328013328999944</v>
      </c>
      <c r="H36" s="1"/>
      <c r="I36" s="73">
        <f t="shared" ref="I36:I41" ca="1" si="16">SUM(B36:G36)</f>
        <v>207.27562892581693</v>
      </c>
    </row>
    <row r="37" spans="1:9">
      <c r="A37" s="133" t="s">
        <v>7</v>
      </c>
      <c r="B37" s="117">
        <f ca="1">SUMIF(Breakup!$B$58:$L$68,Annual!$A37,Breakup!C$58:C$68)</f>
        <v>0</v>
      </c>
      <c r="C37" s="117">
        <f t="shared" ca="1" si="14"/>
        <v>8.0337400000000052</v>
      </c>
      <c r="D37" s="117">
        <f t="shared" ref="D37:F37" ca="1" si="17">D21+D29</f>
        <v>8.5532899999999774</v>
      </c>
      <c r="E37" s="117">
        <f t="shared" ca="1" si="17"/>
        <v>9.0695100000000224</v>
      </c>
      <c r="F37" s="117">
        <f t="shared" ca="1" si="17"/>
        <v>11.102285999999985</v>
      </c>
      <c r="G37" s="117">
        <f t="shared" ca="1" si="14"/>
        <v>12.563349999999991</v>
      </c>
      <c r="H37" s="1"/>
      <c r="I37" s="73">
        <f t="shared" ca="1" si="16"/>
        <v>49.322175999999985</v>
      </c>
    </row>
    <row r="38" spans="1:9">
      <c r="A38" s="133" t="s">
        <v>8</v>
      </c>
      <c r="B38" s="117">
        <f ca="1">SUMIF(Breakup!$B$58:$L$68,Annual!$A38,Breakup!C$58:C$68)</f>
        <v>0</v>
      </c>
      <c r="C38" s="117">
        <f t="shared" ca="1" si="14"/>
        <v>0.18199999999999994</v>
      </c>
      <c r="D38" s="117">
        <f t="shared" ref="D38:F38" ca="1" si="18">D22+D30</f>
        <v>0.11413699999999993</v>
      </c>
      <c r="E38" s="117">
        <f t="shared" ca="1" si="18"/>
        <v>0.26363700000000012</v>
      </c>
      <c r="F38" s="117">
        <f t="shared" ca="1" si="18"/>
        <v>0.47501649999999973</v>
      </c>
      <c r="G38" s="117">
        <f t="shared" ca="1" si="14"/>
        <v>2.9147535000000007</v>
      </c>
      <c r="H38" s="1"/>
      <c r="I38" s="73">
        <f t="shared" ca="1" si="16"/>
        <v>3.9495440000000004</v>
      </c>
    </row>
    <row r="39" spans="1:9">
      <c r="A39" s="133" t="s">
        <v>9</v>
      </c>
      <c r="B39" s="117">
        <f ca="1">SUMIF(Breakup!$B$58:$L$68,Annual!$A39,Breakup!C$58:C$68)</f>
        <v>0</v>
      </c>
      <c r="C39" s="117">
        <f t="shared" ca="1" si="14"/>
        <v>0.10485</v>
      </c>
      <c r="D39" s="117">
        <f t="shared" ref="D39:F39" ca="1" si="19">D23+D31</f>
        <v>0</v>
      </c>
      <c r="E39" s="117">
        <f t="shared" ca="1" si="19"/>
        <v>0</v>
      </c>
      <c r="F39" s="117">
        <f t="shared" ca="1" si="19"/>
        <v>0</v>
      </c>
      <c r="G39" s="117">
        <f t="shared" ca="1" si="14"/>
        <v>0</v>
      </c>
      <c r="H39" s="1"/>
      <c r="I39" s="73">
        <f t="shared" ca="1" si="16"/>
        <v>0.10485</v>
      </c>
    </row>
    <row r="40" spans="1:9">
      <c r="A40" s="133" t="s">
        <v>10</v>
      </c>
      <c r="B40" s="117">
        <f ca="1">SUMIF(Breakup!$B$58:$L$68,Annual!$A40,Breakup!C$58:C$68)</f>
        <v>0</v>
      </c>
      <c r="C40" s="117">
        <f t="shared" ca="1" si="14"/>
        <v>-1.7924342990000004</v>
      </c>
      <c r="D40" s="117">
        <f t="shared" ref="D40:F40" ca="1" si="20">D24+D32</f>
        <v>-1.357565701</v>
      </c>
      <c r="E40" s="117">
        <f t="shared" ca="1" si="20"/>
        <v>0.5</v>
      </c>
      <c r="F40" s="117">
        <f t="shared" ca="1" si="20"/>
        <v>-2</v>
      </c>
      <c r="G40" s="117">
        <f t="shared" ca="1" si="14"/>
        <v>0</v>
      </c>
      <c r="H40" s="1"/>
      <c r="I40" s="73">
        <f t="shared" ca="1" si="16"/>
        <v>-4.6500000000000004</v>
      </c>
    </row>
    <row r="41" spans="1:9">
      <c r="A41" s="120" t="s">
        <v>11</v>
      </c>
      <c r="B41" s="122">
        <f ca="1">SUM(B36:B40)</f>
        <v>0</v>
      </c>
      <c r="C41" s="122">
        <f t="shared" ca="1" si="14"/>
        <v>45.878029989816994</v>
      </c>
      <c r="D41" s="122">
        <f t="shared" ref="D41:F41" ca="1" si="21">D25+D33</f>
        <v>26.054043673999992</v>
      </c>
      <c r="E41" s="122">
        <f t="shared" ca="1" si="21"/>
        <v>74.345235974000047</v>
      </c>
      <c r="F41" s="122">
        <f t="shared" ca="1" si="21"/>
        <v>74.918772458999968</v>
      </c>
      <c r="G41" s="122">
        <f t="shared" ca="1" si="14"/>
        <v>34.806116828999933</v>
      </c>
      <c r="H41" s="1"/>
      <c r="I41" s="73">
        <f t="shared" ca="1" si="16"/>
        <v>256.00219892581697</v>
      </c>
    </row>
    <row r="42" spans="1:9">
      <c r="A42" s="124" t="s">
        <v>16</v>
      </c>
      <c r="B42" s="125"/>
      <c r="C42" s="126">
        <f ca="1">C41/B9</f>
        <v>0.54551373993471353</v>
      </c>
      <c r="D42" s="126">
        <f ca="1">D41/C9</f>
        <v>0.20061050600815905</v>
      </c>
      <c r="E42" s="126">
        <f ca="1">E41/C9</f>
        <v>0.57244225098630819</v>
      </c>
      <c r="F42" s="126">
        <f ca="1">F41/C9</f>
        <v>0.57685835797951146</v>
      </c>
      <c r="G42" s="126">
        <f ca="1">G41/D9</f>
        <v>0.22321941765174508</v>
      </c>
      <c r="H42" s="1"/>
      <c r="I42" s="73"/>
    </row>
    <row r="43" spans="1:9">
      <c r="B43" s="9"/>
      <c r="C43" s="9"/>
      <c r="D43" s="9"/>
      <c r="E43" s="9"/>
      <c r="F43" s="9"/>
      <c r="G43" s="9"/>
      <c r="H43" s="1"/>
      <c r="I43" s="73"/>
    </row>
    <row r="44" spans="1:9">
      <c r="A44" s="203" t="s">
        <v>17</v>
      </c>
      <c r="B44" s="203"/>
      <c r="C44" s="203"/>
      <c r="D44" s="203"/>
      <c r="E44" s="203"/>
      <c r="F44" s="203"/>
      <c r="G44" s="203"/>
      <c r="H44" s="114"/>
      <c r="I44" s="73"/>
    </row>
    <row r="45" spans="1:9">
      <c r="A45" s="134" t="s">
        <v>6</v>
      </c>
      <c r="B45" s="118"/>
      <c r="C45" s="93">
        <f ca="1">C28/B4</f>
        <v>0.42372446011501208</v>
      </c>
      <c r="D45" s="93">
        <f ca="1">D28/C4</f>
        <v>-1.2989821155947587E-2</v>
      </c>
      <c r="E45" s="93">
        <f ca="1">E28/D4</f>
        <v>0.39148479084729432</v>
      </c>
      <c r="F45" s="93">
        <f ca="1">F28/D4</f>
        <v>0.32560612738204775</v>
      </c>
      <c r="G45" s="93">
        <f ca="1">G28/E4</f>
        <v>4.4680672831378443E-2</v>
      </c>
      <c r="H45" s="1"/>
      <c r="I45" s="73"/>
    </row>
    <row r="46" spans="1:9">
      <c r="A46" s="134" t="s">
        <v>7</v>
      </c>
      <c r="B46" s="118"/>
      <c r="C46" s="93">
        <f t="shared" ref="C46:C49" ca="1" si="22">C29/B5</f>
        <v>0.1003074085459576</v>
      </c>
      <c r="D46" s="93">
        <f t="shared" ref="D46:E49" ca="1" si="23">D29/C5</f>
        <v>7.8323645699336336E-2</v>
      </c>
      <c r="E46" s="93">
        <f t="shared" ca="1" si="23"/>
        <v>6.7018913806474387E-2</v>
      </c>
      <c r="F46" s="93">
        <f ca="1">F29/D5</f>
        <v>0.10321320324131955</v>
      </c>
      <c r="G46" s="93">
        <f ca="1">G29/E5</f>
        <v>9.8520207594402429E-2</v>
      </c>
      <c r="H46" s="1"/>
      <c r="I46" s="73"/>
    </row>
    <row r="47" spans="1:9">
      <c r="A47" s="134" t="s">
        <v>8</v>
      </c>
      <c r="B47" s="118"/>
      <c r="C47" s="93">
        <f t="shared" ca="1" si="22"/>
        <v>-6.5500000000000058E-2</v>
      </c>
      <c r="D47" s="93">
        <f t="shared" ca="1" si="23"/>
        <v>9.2197123519458454E-2</v>
      </c>
      <c r="E47" s="93">
        <f t="shared" ca="1" si="23"/>
        <v>0.20340210949922743</v>
      </c>
      <c r="F47" s="93">
        <f ca="1">F30/D6</f>
        <v>0.36648633593516716</v>
      </c>
      <c r="G47" s="93">
        <f ca="1">G30/E6</f>
        <v>1.2275839320311792</v>
      </c>
      <c r="H47" s="1"/>
      <c r="I47" s="73"/>
    </row>
    <row r="48" spans="1:9">
      <c r="A48" s="134" t="s">
        <v>9</v>
      </c>
      <c r="B48" s="118"/>
      <c r="C48" s="93"/>
      <c r="D48" s="93"/>
      <c r="E48" s="93"/>
      <c r="F48" s="93"/>
      <c r="G48" s="93"/>
      <c r="H48" s="1"/>
      <c r="I48" s="73"/>
    </row>
    <row r="49" spans="1:9">
      <c r="A49" s="134" t="s">
        <v>10</v>
      </c>
      <c r="B49" s="118"/>
      <c r="C49" s="93">
        <f t="shared" ca="1" si="22"/>
        <v>0</v>
      </c>
      <c r="D49" s="93">
        <f t="shared" ca="1" si="23"/>
        <v>0</v>
      </c>
      <c r="E49" s="93">
        <f t="shared" ca="1" si="23"/>
        <v>0</v>
      </c>
      <c r="F49" s="93">
        <f ca="1">F32/D8</f>
        <v>0</v>
      </c>
      <c r="G49" s="93">
        <f ca="1">G32/E8</f>
        <v>0</v>
      </c>
      <c r="H49" s="1"/>
      <c r="I49" s="73"/>
    </row>
    <row r="50" spans="1:9">
      <c r="A50" s="98" t="s">
        <v>11</v>
      </c>
      <c r="B50" s="113"/>
      <c r="C50" s="121">
        <f ca="1">C33/B9</f>
        <v>0.27288783499723757</v>
      </c>
      <c r="D50" s="121">
        <f ca="1">D33/C9</f>
        <v>1.6773431439396087E-2</v>
      </c>
      <c r="E50" s="121">
        <f ca="1">E33/D9</f>
        <v>0.28394908302790928</v>
      </c>
      <c r="F50" s="121">
        <f ca="1">F33/D9</f>
        <v>0.25276022419246363</v>
      </c>
      <c r="G50" s="121">
        <f ca="1">G33/E9</f>
        <v>6.5909542435581212E-2</v>
      </c>
      <c r="H50" s="1"/>
      <c r="I50" s="7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BA54-A106-4BBD-AF75-EF71922E04AD}">
  <dimension ref="A1:AD50"/>
  <sheetViews>
    <sheetView showGridLines="0" tabSelected="1" workbookViewId="0">
      <pane xSplit="1" ySplit="2" topLeftCell="J39" activePane="bottomRight" state="frozen"/>
      <selection pane="bottomRight" activeCell="W36" sqref="W36"/>
      <selection pane="bottomLeft"/>
      <selection pane="topRight"/>
    </sheetView>
  </sheetViews>
  <sheetFormatPr defaultRowHeight="15"/>
  <cols>
    <col min="1" max="1" width="10.5703125" style="99" bestFit="1" customWidth="1"/>
    <col min="2" max="2" width="10.28515625" bestFit="1" customWidth="1"/>
    <col min="3" max="24" width="10.28515625" customWidth="1"/>
    <col min="25" max="25" width="16.28515625" bestFit="1" customWidth="1"/>
  </cols>
  <sheetData>
    <row r="1" spans="1:30" ht="14.45" customHeight="1">
      <c r="A1" s="108" t="s">
        <v>18</v>
      </c>
      <c r="B1" s="109" t="s">
        <v>19</v>
      </c>
      <c r="C1" s="109" t="s">
        <v>20</v>
      </c>
      <c r="D1" s="109" t="s">
        <v>21</v>
      </c>
      <c r="E1" s="109" t="s">
        <v>22</v>
      </c>
      <c r="F1" s="109" t="s">
        <v>23</v>
      </c>
      <c r="G1" s="109" t="s">
        <v>24</v>
      </c>
      <c r="H1" s="109" t="s">
        <v>25</v>
      </c>
      <c r="I1" s="109" t="s">
        <v>26</v>
      </c>
      <c r="J1" s="109" t="s">
        <v>27</v>
      </c>
      <c r="K1" s="109" t="s">
        <v>28</v>
      </c>
      <c r="L1" s="109" t="s">
        <v>29</v>
      </c>
      <c r="M1" s="109" t="s">
        <v>30</v>
      </c>
      <c r="N1" s="109" t="s">
        <v>31</v>
      </c>
      <c r="O1" s="109" t="s">
        <v>32</v>
      </c>
      <c r="P1" s="109" t="s">
        <v>33</v>
      </c>
      <c r="Q1" s="109" t="s">
        <v>34</v>
      </c>
      <c r="R1" s="109" t="s">
        <v>35</v>
      </c>
      <c r="S1" s="109" t="s">
        <v>36</v>
      </c>
      <c r="T1" s="109" t="s">
        <v>37</v>
      </c>
      <c r="U1" s="109" t="s">
        <v>38</v>
      </c>
      <c r="V1" s="109" t="s">
        <v>39</v>
      </c>
      <c r="W1" s="109" t="s">
        <v>40</v>
      </c>
      <c r="X1" s="81">
        <f>COUNTA(B1:W1)-1</f>
        <v>21</v>
      </c>
      <c r="Y1" s="70" t="s">
        <v>41</v>
      </c>
    </row>
    <row r="2" spans="1:30" ht="14.45" customHeight="1">
      <c r="A2" s="120"/>
      <c r="B2" s="111" t="s">
        <v>2</v>
      </c>
      <c r="C2" s="111" t="s">
        <v>2</v>
      </c>
      <c r="D2" s="111" t="s">
        <v>2</v>
      </c>
      <c r="E2" s="111" t="s">
        <v>2</v>
      </c>
      <c r="F2" s="111" t="s">
        <v>2</v>
      </c>
      <c r="G2" s="111" t="s">
        <v>2</v>
      </c>
      <c r="H2" s="111" t="s">
        <v>2</v>
      </c>
      <c r="I2" s="111" t="s">
        <v>2</v>
      </c>
      <c r="J2" s="111" t="s">
        <v>2</v>
      </c>
      <c r="K2" s="111" t="s">
        <v>2</v>
      </c>
      <c r="L2" s="111" t="s">
        <v>2</v>
      </c>
      <c r="M2" s="111" t="s">
        <v>2</v>
      </c>
      <c r="N2" s="111" t="s">
        <v>2</v>
      </c>
      <c r="O2" s="111" t="s">
        <v>2</v>
      </c>
      <c r="P2" s="111" t="s">
        <v>2</v>
      </c>
      <c r="Q2" s="111" t="s">
        <v>2</v>
      </c>
      <c r="R2" s="111" t="s">
        <v>2</v>
      </c>
      <c r="S2" s="111" t="s">
        <v>2</v>
      </c>
      <c r="T2" s="111" t="s">
        <v>2</v>
      </c>
      <c r="U2" s="111" t="s">
        <v>2</v>
      </c>
      <c r="V2" s="111" t="s">
        <v>2</v>
      </c>
      <c r="W2" s="111" t="s">
        <v>2</v>
      </c>
      <c r="X2" s="70" t="s">
        <v>3</v>
      </c>
      <c r="Y2" s="70" t="s">
        <v>4</v>
      </c>
      <c r="Z2" t="s">
        <v>42</v>
      </c>
    </row>
    <row r="3" spans="1:30" ht="14.45" customHeight="1">
      <c r="A3" s="161" t="s">
        <v>5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0"/>
    </row>
    <row r="4" spans="1:30" ht="14.45" customHeight="1">
      <c r="A4" s="127" t="s">
        <v>6</v>
      </c>
      <c r="B4" s="112">
        <f ca="1">Monthly!B4</f>
        <v>45.920594781182999</v>
      </c>
      <c r="C4" s="112">
        <f ca="1">Monthly!E4</f>
        <v>55.636561609999994</v>
      </c>
      <c r="D4" s="112">
        <f ca="1">Monthly!H4</f>
        <v>64.627927216999993</v>
      </c>
      <c r="E4" s="112">
        <f ca="1">Monthly!K4</f>
        <v>78.201752306999992</v>
      </c>
      <c r="F4" s="112">
        <f ca="1">Monthly!N4</f>
        <v>85.27046906999999</v>
      </c>
      <c r="G4" s="112">
        <f ca="1">Monthly!Q4</f>
        <v>88.963405062999996</v>
      </c>
      <c r="H4" s="112">
        <f ca="1">Monthly!T4</f>
        <v>82.702510547999992</v>
      </c>
      <c r="I4" s="112">
        <f ca="1">Monthly!$W4</f>
        <v>96.137322901999994</v>
      </c>
      <c r="J4" s="112">
        <f ca="1">Monthly!$Z4</f>
        <v>104.01465144500001</v>
      </c>
      <c r="K4" s="112">
        <f ca="1">Monthly!$AC4</f>
        <v>108.81799859600002</v>
      </c>
      <c r="L4" s="112">
        <f ca="1">Monthly!$AF4</f>
        <v>131.07883065099998</v>
      </c>
      <c r="M4" s="112">
        <f ca="1">Monthly!$AI4</f>
        <v>147.99221112100003</v>
      </c>
      <c r="N4" s="112">
        <f ca="1">Monthly!$AL4</f>
        <v>168.52674041900002</v>
      </c>
      <c r="O4" s="112">
        <f ca="1">Monthly!$AO4</f>
        <v>188.05700851699999</v>
      </c>
      <c r="P4" s="112">
        <f ca="1">Monthly!$AR4</f>
        <v>212.83646175200002</v>
      </c>
      <c r="Q4" s="112">
        <f ca="1">Monthly!$AU4</f>
        <v>237.05243952500004</v>
      </c>
      <c r="R4" s="112">
        <f ca="1">Monthly!$AX4</f>
        <v>233.86821037800001</v>
      </c>
      <c r="S4" s="112">
        <f ca="1">Monthly!$BA4</f>
        <v>207.93475663100003</v>
      </c>
      <c r="T4" s="112">
        <f ca="1">Monthly!$BD4</f>
        <v>243.49771896000004</v>
      </c>
      <c r="U4" s="112">
        <f ca="1">Monthly!$BG4</f>
        <v>242.45864040000001</v>
      </c>
      <c r="V4" s="112">
        <f ca="1">Monthly!$BJ4</f>
        <v>253.19622370699994</v>
      </c>
      <c r="W4" s="112">
        <f ca="1">Monthly!$BM4</f>
        <v>226.98141730500001</v>
      </c>
      <c r="X4" s="128">
        <f ca="1">((W4/B4)^(4/$X$1)-1)</f>
        <v>0.35577368378521901</v>
      </c>
      <c r="Y4" s="1"/>
    </row>
    <row r="5" spans="1:30" ht="14.45" customHeight="1">
      <c r="A5" s="127" t="s">
        <v>7</v>
      </c>
      <c r="B5" s="112">
        <f ca="1">Monthly!B5</f>
        <v>32.53</v>
      </c>
      <c r="C5" s="112">
        <f ca="1">Monthly!E5</f>
        <v>36.019000000000005</v>
      </c>
      <c r="D5" s="112">
        <f ca="1">Monthly!H5</f>
        <v>37.348560000000006</v>
      </c>
      <c r="E5" s="112">
        <f ca="1">Monthly!K5</f>
        <v>39.718840000000014</v>
      </c>
      <c r="F5" s="112">
        <f ca="1">Monthly!N5</f>
        <v>40.56374000000001</v>
      </c>
      <c r="G5" s="112">
        <f ca="1">Monthly!Q5</f>
        <v>44.311140000000002</v>
      </c>
      <c r="H5" s="112">
        <f ca="1">Monthly!T5</f>
        <v>45.296539999999993</v>
      </c>
      <c r="I5" s="112">
        <f ca="1">Monthly!$W5</f>
        <v>47.86083399999999</v>
      </c>
      <c r="J5" s="112">
        <f ca="1">Monthly!$Z5</f>
        <v>49.117029999999986</v>
      </c>
      <c r="K5" s="112">
        <f ca="1">Monthly!$AC5</f>
        <v>53.192270000000001</v>
      </c>
      <c r="L5" s="112">
        <f ca="1">Monthly!$AF5</f>
        <v>54.226046000000004</v>
      </c>
      <c r="M5" s="112">
        <f ca="1">Monthly!$AI5</f>
        <v>57.093890000000002</v>
      </c>
      <c r="N5" s="112">
        <f ca="1">Monthly!$AL5</f>
        <v>58.186540000000008</v>
      </c>
      <c r="O5" s="112">
        <f ca="1">Monthly!$AO5</f>
        <v>64.072264000000004</v>
      </c>
      <c r="P5" s="112">
        <f ca="1">Monthly!$AR5</f>
        <v>65.212689999999995</v>
      </c>
      <c r="Q5" s="112">
        <f ca="1">Monthly!$AU5</f>
        <v>68.031279999999995</v>
      </c>
      <c r="R5" s="112">
        <f ca="1">Monthly!$AX5</f>
        <v>69.288939999999997</v>
      </c>
      <c r="S5" s="112">
        <f ca="1">Monthly!$BA5</f>
        <v>77.713559999999987</v>
      </c>
      <c r="T5" s="112">
        <f ca="1">Monthly!$BD5</f>
        <v>78.992269999999991</v>
      </c>
      <c r="U5" s="112">
        <f ca="1">Monthly!$BG5</f>
        <v>80.222691999999995</v>
      </c>
      <c r="V5" s="112">
        <f ca="1">Monthly!$BJ5</f>
        <v>81.86323999999999</v>
      </c>
      <c r="W5" s="112">
        <f ca="1">Monthly!$BM5</f>
        <v>88.614899999999977</v>
      </c>
      <c r="X5" s="128">
        <f ca="1">((W5/B5)^(4/$X$1)-1)</f>
        <v>0.2103181880735332</v>
      </c>
      <c r="Y5" s="1"/>
      <c r="AC5" s="171"/>
      <c r="AD5" s="171"/>
    </row>
    <row r="6" spans="1:30" ht="14.45" customHeight="1">
      <c r="A6" s="127" t="s">
        <v>8</v>
      </c>
      <c r="B6" s="112">
        <f ca="1">Monthly!B6</f>
        <v>1</v>
      </c>
      <c r="C6" s="112">
        <f ca="1">Monthly!E6</f>
        <v>1.1650255</v>
      </c>
      <c r="D6" s="112">
        <f ca="1">Monthly!H6</f>
        <v>1.1951000000000001</v>
      </c>
      <c r="E6" s="112">
        <f ca="1">Monthly!K6</f>
        <v>1.1733500000000001</v>
      </c>
      <c r="F6" s="112">
        <f ca="1">Monthly!N6</f>
        <v>1.1819999999999999</v>
      </c>
      <c r="G6" s="112">
        <f ca="1">Monthly!Q6</f>
        <v>1.18455</v>
      </c>
      <c r="H6" s="112">
        <f ca="1">Monthly!T6</f>
        <v>1.2110000000000001</v>
      </c>
      <c r="I6" s="112">
        <f ca="1">Monthly!$W6</f>
        <v>1.2161999999999999</v>
      </c>
      <c r="J6" s="112">
        <f ca="1">Monthly!$Z6</f>
        <v>1.2961369999999999</v>
      </c>
      <c r="K6" s="112">
        <f ca="1">Monthly!$AC6</f>
        <v>1.382417</v>
      </c>
      <c r="L6" s="112">
        <f ca="1">Monthly!$AF6</f>
        <v>1.4735939999999998</v>
      </c>
      <c r="M6" s="112">
        <f ca="1">Monthly!$AI6</f>
        <v>1.4687570000000001</v>
      </c>
      <c r="N6" s="112">
        <f ca="1">Monthly!$AL6</f>
        <v>1.559774</v>
      </c>
      <c r="O6" s="112">
        <f ca="1">Monthly!$AO6</f>
        <v>1.676741</v>
      </c>
      <c r="P6" s="112">
        <f ca="1">Monthly!$AR6</f>
        <v>1.86114</v>
      </c>
      <c r="Q6" s="112">
        <f ca="1">Monthly!$AU6</f>
        <v>1.983838</v>
      </c>
      <c r="R6" s="112">
        <f ca="1">Monthly!$AX6</f>
        <v>2.0347904999999997</v>
      </c>
      <c r="S6" s="112">
        <f ca="1">Monthly!$BA6</f>
        <v>2.1900490000000001</v>
      </c>
      <c r="T6" s="112">
        <f ca="1">Monthly!$BD6</f>
        <v>2.4479039999999999</v>
      </c>
      <c r="U6" s="112">
        <f ca="1">Monthly!$BG6</f>
        <v>4.3079155</v>
      </c>
      <c r="V6" s="112">
        <f ca="1">Monthly!$BJ6</f>
        <v>4.9495440000000004</v>
      </c>
      <c r="W6" s="112">
        <f ca="1">Monthly!$BM6</f>
        <v>5.0545939999999998</v>
      </c>
      <c r="X6" s="128">
        <f ca="1">((W6/B6)^(4/$X$1)-1)</f>
        <v>0.3615559156936774</v>
      </c>
      <c r="Y6" s="1"/>
    </row>
    <row r="7" spans="1:30" ht="14.45" customHeight="1">
      <c r="A7" s="127" t="s">
        <v>9</v>
      </c>
      <c r="B7" s="112">
        <f ca="1">Monthly!B7</f>
        <v>0</v>
      </c>
      <c r="C7" s="112">
        <f ca="1">Monthly!E7</f>
        <v>0</v>
      </c>
      <c r="D7" s="112">
        <f ca="1">Monthly!H7</f>
        <v>0</v>
      </c>
      <c r="E7" s="112">
        <f ca="1">Monthly!K7</f>
        <v>0.54</v>
      </c>
      <c r="F7" s="112">
        <f ca="1">Monthly!N7</f>
        <v>0</v>
      </c>
      <c r="G7" s="112">
        <f ca="1">Monthly!Q7</f>
        <v>0</v>
      </c>
      <c r="H7" s="112">
        <f ca="1">Monthly!T7</f>
        <v>0</v>
      </c>
      <c r="I7" s="112">
        <f ca="1">Monthly!$W7</f>
        <v>0</v>
      </c>
      <c r="J7" s="112">
        <f ca="1">Monthly!$Z7</f>
        <v>0</v>
      </c>
      <c r="K7" s="112">
        <f ca="1">Monthly!$AC7</f>
        <v>0</v>
      </c>
      <c r="L7" s="112">
        <f ca="1">Monthly!$AF7</f>
        <v>0</v>
      </c>
      <c r="M7" s="112">
        <f ca="1">Monthly!$AI7</f>
        <v>0</v>
      </c>
      <c r="N7" s="112">
        <f ca="1">Monthly!$AL7</f>
        <v>0</v>
      </c>
      <c r="O7" s="112">
        <f ca="1">Monthly!$AO7</f>
        <v>0</v>
      </c>
      <c r="P7" s="112">
        <f ca="1">Monthly!$AR7</f>
        <v>0</v>
      </c>
      <c r="Q7" s="112">
        <f ca="1">Monthly!$AU7</f>
        <v>0</v>
      </c>
      <c r="R7" s="112">
        <f ca="1">Monthly!$AX7</f>
        <v>0</v>
      </c>
      <c r="S7" s="112">
        <f ca="1">Monthly!$BA7</f>
        <v>0</v>
      </c>
      <c r="T7" s="112">
        <f ca="1">Monthly!$BD7</f>
        <v>0</v>
      </c>
      <c r="U7" s="112">
        <f ca="1">Monthly!$BG7</f>
        <v>0</v>
      </c>
      <c r="V7" s="112">
        <f ca="1">Monthly!$BJ7</f>
        <v>0</v>
      </c>
      <c r="W7" s="112">
        <f ca="1">Monthly!$BM7</f>
        <v>0</v>
      </c>
      <c r="X7" s="128" t="s">
        <v>43</v>
      </c>
      <c r="Y7" s="1"/>
    </row>
    <row r="8" spans="1:30" ht="14.45" customHeight="1">
      <c r="A8" s="127" t="s">
        <v>10</v>
      </c>
      <c r="B8" s="112">
        <f ca="1">Monthly!B8</f>
        <v>4.6500000000000004</v>
      </c>
      <c r="C8" s="112">
        <f ca="1">Monthly!E8</f>
        <v>1.0035016139999999</v>
      </c>
      <c r="D8" s="112">
        <f ca="1">Monthly!H8</f>
        <v>3.5291138630000001</v>
      </c>
      <c r="E8" s="112">
        <f ca="1">Monthly!K8</f>
        <v>4.3487874399999997</v>
      </c>
      <c r="F8" s="112">
        <f ca="1">Monthly!N8</f>
        <v>2.857565701</v>
      </c>
      <c r="G8" s="112">
        <f ca="1">Monthly!Q8</f>
        <v>1.347861003</v>
      </c>
      <c r="H8" s="112">
        <f ca="1">Monthly!T8</f>
        <v>0</v>
      </c>
      <c r="I8" s="112">
        <f ca="1">Monthly!$W8</f>
        <v>2.5</v>
      </c>
      <c r="J8" s="112">
        <f ca="1">Monthly!$Z8</f>
        <v>1.5</v>
      </c>
      <c r="K8" s="112">
        <f ca="1">Monthly!$AC8</f>
        <v>3</v>
      </c>
      <c r="L8" s="112">
        <f ca="1">Monthly!$AF8</f>
        <v>0</v>
      </c>
      <c r="M8" s="112">
        <f ca="1">Monthly!$AI8</f>
        <v>0</v>
      </c>
      <c r="N8" s="112">
        <f ca="1">Monthly!$AL8</f>
        <v>2</v>
      </c>
      <c r="O8" s="112">
        <f ca="1">Monthly!$AO8</f>
        <v>2.0134634460000003</v>
      </c>
      <c r="P8" s="112">
        <f ca="1">Monthly!$AR8</f>
        <v>0</v>
      </c>
      <c r="Q8" s="112">
        <f ca="1">Monthly!$AU8</f>
        <v>3.0407110509999997</v>
      </c>
      <c r="R8" s="112">
        <f ca="1">Monthly!$AX8</f>
        <v>0</v>
      </c>
      <c r="S8" s="112">
        <f ca="1">Monthly!$BA8</f>
        <v>9</v>
      </c>
      <c r="T8" s="112">
        <f ca="1">Monthly!$BD8</f>
        <v>0</v>
      </c>
      <c r="U8" s="112">
        <f ca="1">Monthly!$BG8</f>
        <v>0</v>
      </c>
      <c r="V8" s="112">
        <f ca="1">Monthly!$BJ8</f>
        <v>0</v>
      </c>
      <c r="W8" s="112">
        <f ca="1">Monthly!$BM8</f>
        <v>0</v>
      </c>
      <c r="X8" s="128"/>
      <c r="Y8" s="1"/>
    </row>
    <row r="9" spans="1:30" ht="14.45" customHeight="1">
      <c r="A9" s="98" t="s">
        <v>11</v>
      </c>
      <c r="B9" s="113">
        <f t="shared" ref="B9:D9" ca="1" si="0">SUM(B4:B8)</f>
        <v>84.100594781183005</v>
      </c>
      <c r="C9" s="113">
        <f t="shared" ca="1" si="0"/>
        <v>93.824088724000006</v>
      </c>
      <c r="D9" s="113">
        <f t="shared" ca="1" si="0"/>
        <v>106.70070108</v>
      </c>
      <c r="E9" s="113">
        <f t="shared" ref="E9:W9" ca="1" si="1">SUM(E4:E8)</f>
        <v>123.98272974700001</v>
      </c>
      <c r="F9" s="113">
        <f t="shared" ref="F9:V9" ca="1" si="2">SUM(F4:F8)</f>
        <v>129.873774771</v>
      </c>
      <c r="G9" s="113">
        <f t="shared" ca="1" si="2"/>
        <v>135.806956066</v>
      </c>
      <c r="H9" s="113">
        <f t="shared" ca="1" si="2"/>
        <v>129.210050548</v>
      </c>
      <c r="I9" s="113">
        <f t="shared" ca="1" si="2"/>
        <v>147.71435690199996</v>
      </c>
      <c r="J9" s="113">
        <f t="shared" ca="1" si="2"/>
        <v>155.92781844499999</v>
      </c>
      <c r="K9" s="113">
        <f t="shared" ca="1" si="2"/>
        <v>166.39268559600004</v>
      </c>
      <c r="L9" s="113">
        <f t="shared" ca="1" si="2"/>
        <v>186.77847065099996</v>
      </c>
      <c r="M9" s="113">
        <f t="shared" ca="1" si="2"/>
        <v>206.55485812100002</v>
      </c>
      <c r="N9" s="113">
        <f t="shared" ca="1" si="2"/>
        <v>230.27305441900003</v>
      </c>
      <c r="O9" s="113">
        <f t="shared" ca="1" si="2"/>
        <v>255.819476963</v>
      </c>
      <c r="P9" s="113">
        <f t="shared" ca="1" si="2"/>
        <v>279.91029175199998</v>
      </c>
      <c r="Q9" s="113">
        <f t="shared" ca="1" si="2"/>
        <v>310.10826857600006</v>
      </c>
      <c r="R9" s="113">
        <f t="shared" ca="1" si="2"/>
        <v>305.19194087799997</v>
      </c>
      <c r="S9" s="113">
        <f t="shared" ca="1" si="2"/>
        <v>296.83836563099999</v>
      </c>
      <c r="T9" s="113">
        <f t="shared" ca="1" si="2"/>
        <v>324.93789296</v>
      </c>
      <c r="U9" s="113">
        <f t="shared" ca="1" si="2"/>
        <v>326.98924789999995</v>
      </c>
      <c r="V9" s="113">
        <f t="shared" ca="1" si="2"/>
        <v>340.00900770699997</v>
      </c>
      <c r="W9" s="113">
        <f t="shared" ca="1" si="1"/>
        <v>320.65091130499997</v>
      </c>
      <c r="X9" s="121">
        <f ca="1">((W9/B9)^(4/$X$1)-1)</f>
        <v>0.29036069557541122</v>
      </c>
      <c r="Y9" s="1"/>
    </row>
    <row r="10" spans="1:30" ht="14.45" customHeight="1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"/>
      <c r="Y10" s="1"/>
    </row>
    <row r="11" spans="1:30" ht="14.45" customHeight="1">
      <c r="A11" s="193" t="s">
        <v>12</v>
      </c>
      <c r="B11" s="193"/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66"/>
    </row>
    <row r="12" spans="1:30" ht="14.45" customHeight="1">
      <c r="A12" s="129" t="s">
        <v>6</v>
      </c>
      <c r="B12" s="88">
        <f t="shared" ref="B12:W15" ca="1" si="3">B4/B$9</f>
        <v>0.54601985753681559</v>
      </c>
      <c r="C12" s="88">
        <f t="shared" ca="1" si="3"/>
        <v>0.59298803075684203</v>
      </c>
      <c r="D12" s="88">
        <f t="shared" ca="1" si="3"/>
        <v>0.60569355742606135</v>
      </c>
      <c r="E12" s="88">
        <f t="shared" ref="E12:V12" ca="1" si="4">E4/E$9</f>
        <v>0.6307471408846943</v>
      </c>
      <c r="F12" s="88">
        <f t="shared" ca="1" si="4"/>
        <v>0.6565641848814604</v>
      </c>
      <c r="G12" s="88">
        <f t="shared" ca="1" si="4"/>
        <v>0.65507252087857126</v>
      </c>
      <c r="H12" s="88">
        <f t="shared" ca="1" si="4"/>
        <v>0.64006251988328877</v>
      </c>
      <c r="I12" s="88">
        <f t="shared" ca="1" si="4"/>
        <v>0.65083262668761177</v>
      </c>
      <c r="J12" s="88">
        <f t="shared" ca="1" si="4"/>
        <v>0.6670692406415526</v>
      </c>
      <c r="K12" s="88">
        <f t="shared" ca="1" si="4"/>
        <v>0.65398306545883367</v>
      </c>
      <c r="L12" s="88">
        <f t="shared" ca="1" si="4"/>
        <v>0.70178768566921135</v>
      </c>
      <c r="M12" s="88">
        <f t="shared" ca="1" si="4"/>
        <v>0.71647896576853232</v>
      </c>
      <c r="N12" s="88">
        <f t="shared" ca="1" si="4"/>
        <v>0.7318561038077529</v>
      </c>
      <c r="O12" s="88">
        <f t="shared" ca="1" si="4"/>
        <v>0.73511606993160761</v>
      </c>
      <c r="P12" s="88">
        <f t="shared" ca="1" si="4"/>
        <v>0.76037383413030324</v>
      </c>
      <c r="Q12" s="88">
        <f t="shared" ca="1" si="4"/>
        <v>0.76441831304122165</v>
      </c>
      <c r="R12" s="88">
        <f t="shared" ca="1" si="4"/>
        <v>0.76629877481426845</v>
      </c>
      <c r="S12" s="88">
        <f t="shared" ca="1" si="4"/>
        <v>0.70049825327998161</v>
      </c>
      <c r="T12" s="88">
        <f t="shared" ca="1" si="4"/>
        <v>0.74936695361034644</v>
      </c>
      <c r="U12" s="88">
        <f t="shared" ca="1" si="4"/>
        <v>0.74148811301021389</v>
      </c>
      <c r="V12" s="88">
        <f t="shared" ca="1" si="4"/>
        <v>0.74467504674226093</v>
      </c>
      <c r="W12" s="88">
        <f t="shared" ca="1" si="3"/>
        <v>0.70787703793268664</v>
      </c>
      <c r="X12" s="88"/>
      <c r="Y12" s="1"/>
    </row>
    <row r="13" spans="1:30" ht="14.45" customHeight="1">
      <c r="A13" s="129" t="s">
        <v>7</v>
      </c>
      <c r="B13" s="88">
        <f t="shared" ca="1" si="3"/>
        <v>0.38679869131292266</v>
      </c>
      <c r="C13" s="88">
        <f t="shared" ca="1" si="3"/>
        <v>0.38389927885104436</v>
      </c>
      <c r="D13" s="88">
        <f t="shared" ca="1" si="3"/>
        <v>0.35003106466936446</v>
      </c>
      <c r="E13" s="88">
        <f t="shared" ref="E13:V13" ca="1" si="5">E5/E$9</f>
        <v>0.32035784404046069</v>
      </c>
      <c r="F13" s="88">
        <f t="shared" ca="1" si="5"/>
        <v>0.31233203217142219</v>
      </c>
      <c r="G13" s="88">
        <f t="shared" ca="1" si="5"/>
        <v>0.32628034147577462</v>
      </c>
      <c r="H13" s="88">
        <f t="shared" ca="1" si="5"/>
        <v>0.35056514418104701</v>
      </c>
      <c r="I13" s="88">
        <f t="shared" ca="1" si="5"/>
        <v>0.32400935835744737</v>
      </c>
      <c r="J13" s="88">
        <f t="shared" ca="1" si="5"/>
        <v>0.31499850693623926</v>
      </c>
      <c r="K13" s="88">
        <f t="shared" ca="1" si="5"/>
        <v>0.31967913619202204</v>
      </c>
      <c r="L13" s="88">
        <f t="shared" ca="1" si="5"/>
        <v>0.29032278619157703</v>
      </c>
      <c r="M13" s="88">
        <f t="shared" ca="1" si="5"/>
        <v>0.27641029854913579</v>
      </c>
      <c r="N13" s="88">
        <f t="shared" ca="1" si="5"/>
        <v>0.2526849706615043</v>
      </c>
      <c r="O13" s="88">
        <f t="shared" ca="1" si="5"/>
        <v>0.25045889687776579</v>
      </c>
      <c r="P13" s="88">
        <f t="shared" ca="1" si="5"/>
        <v>0.23297710702891311</v>
      </c>
      <c r="Q13" s="88">
        <f t="shared" ca="1" si="5"/>
        <v>0.21937912301531287</v>
      </c>
      <c r="R13" s="88">
        <f t="shared" ca="1" si="5"/>
        <v>0.22703397671859935</v>
      </c>
      <c r="S13" s="88">
        <f t="shared" ca="1" si="5"/>
        <v>0.26180429822405699</v>
      </c>
      <c r="T13" s="88">
        <f t="shared" ca="1" si="5"/>
        <v>0.24309959444995841</v>
      </c>
      <c r="U13" s="88">
        <f t="shared" ca="1" si="5"/>
        <v>0.24533740028214551</v>
      </c>
      <c r="V13" s="88">
        <f t="shared" ca="1" si="5"/>
        <v>0.2407678565696853</v>
      </c>
      <c r="W13" s="88">
        <f t="shared" ca="1" si="3"/>
        <v>0.27635942040317596</v>
      </c>
      <c r="X13" s="88"/>
      <c r="Y13" s="1"/>
    </row>
    <row r="14" spans="1:30" ht="14.45" customHeight="1">
      <c r="A14" s="129" t="s">
        <v>8</v>
      </c>
      <c r="B14" s="88">
        <f t="shared" ca="1" si="3"/>
        <v>1.1890522327479947E-2</v>
      </c>
      <c r="C14" s="88">
        <f t="shared" ca="1" si="3"/>
        <v>1.2417125664040572E-2</v>
      </c>
      <c r="D14" s="88">
        <f t="shared" ca="1" si="3"/>
        <v>1.1200488730659425E-2</v>
      </c>
      <c r="E14" s="88">
        <f t="shared" ref="E14:V14" ca="1" si="6">E6/E$9</f>
        <v>9.4638180849409108E-3</v>
      </c>
      <c r="F14" s="88">
        <f t="shared" ca="1" si="6"/>
        <v>9.1011445696728387E-3</v>
      </c>
      <c r="G14" s="88">
        <f t="shared" ca="1" si="6"/>
        <v>8.7223072684460123E-3</v>
      </c>
      <c r="H14" s="88">
        <f t="shared" ca="1" si="6"/>
        <v>9.3723359356641372E-3</v>
      </c>
      <c r="I14" s="88">
        <f t="shared" ca="1" si="6"/>
        <v>8.2334583144607881E-3</v>
      </c>
      <c r="J14" s="88">
        <f t="shared" ca="1" si="6"/>
        <v>8.3124166869376348E-3</v>
      </c>
      <c r="K14" s="88">
        <f t="shared" ca="1" si="6"/>
        <v>8.3081596708914005E-3</v>
      </c>
      <c r="L14" s="88">
        <f t="shared" ca="1" si="6"/>
        <v>7.8895281392117479E-3</v>
      </c>
      <c r="M14" s="88">
        <f t="shared" ca="1" si="6"/>
        <v>7.1107356823319106E-3</v>
      </c>
      <c r="N14" s="88">
        <f t="shared" ca="1" si="6"/>
        <v>6.7735845339588355E-3</v>
      </c>
      <c r="O14" s="88">
        <f t="shared" ca="1" si="6"/>
        <v>6.5543914791230404E-3</v>
      </c>
      <c r="P14" s="88">
        <f t="shared" ca="1" si="6"/>
        <v>6.649058840783771E-3</v>
      </c>
      <c r="Q14" s="88">
        <f t="shared" ca="1" si="6"/>
        <v>6.3972431599765914E-3</v>
      </c>
      <c r="R14" s="88">
        <f t="shared" ca="1" si="6"/>
        <v>6.6672484671323751E-3</v>
      </c>
      <c r="S14" s="88">
        <f t="shared" ca="1" si="6"/>
        <v>7.3779175927765747E-3</v>
      </c>
      <c r="T14" s="88">
        <f t="shared" ca="1" si="6"/>
        <v>7.5334519396952513E-3</v>
      </c>
      <c r="U14" s="88">
        <f t="shared" ca="1" si="6"/>
        <v>1.3174486707640765E-2</v>
      </c>
      <c r="V14" s="88">
        <f t="shared" ca="1" si="6"/>
        <v>1.4557096688053718E-2</v>
      </c>
      <c r="W14" s="88">
        <f t="shared" ca="1" si="3"/>
        <v>1.5763541664137421E-2</v>
      </c>
      <c r="X14" s="88"/>
      <c r="Y14" s="1"/>
    </row>
    <row r="15" spans="1:30" ht="14.45" customHeight="1">
      <c r="A15" s="129" t="s">
        <v>9</v>
      </c>
      <c r="B15" s="88">
        <f t="shared" ref="B15:D15" ca="1" si="7">B7/$B$9</f>
        <v>0</v>
      </c>
      <c r="C15" s="88">
        <f t="shared" ca="1" si="7"/>
        <v>0</v>
      </c>
      <c r="D15" s="88">
        <f t="shared" ca="1" si="7"/>
        <v>0</v>
      </c>
      <c r="E15" s="88">
        <f t="shared" ref="E15:K15" ca="1" si="8">E7/$B$9</f>
        <v>6.4208820568391715E-3</v>
      </c>
      <c r="F15" s="88">
        <f t="shared" ca="1" si="8"/>
        <v>0</v>
      </c>
      <c r="G15" s="88">
        <f t="shared" ca="1" si="8"/>
        <v>0</v>
      </c>
      <c r="H15" s="88">
        <f t="shared" ca="1" si="8"/>
        <v>0</v>
      </c>
      <c r="I15" s="88">
        <f t="shared" ca="1" si="8"/>
        <v>0</v>
      </c>
      <c r="J15" s="88">
        <f t="shared" ca="1" si="8"/>
        <v>0</v>
      </c>
      <c r="K15" s="88">
        <f t="shared" ca="1" si="8"/>
        <v>0</v>
      </c>
      <c r="L15" s="88">
        <f t="shared" ref="L15:V15" ca="1" si="9">L7/L$9</f>
        <v>0</v>
      </c>
      <c r="M15" s="88">
        <f t="shared" ca="1" si="9"/>
        <v>0</v>
      </c>
      <c r="N15" s="88">
        <f t="shared" ca="1" si="9"/>
        <v>0</v>
      </c>
      <c r="O15" s="88">
        <f t="shared" ca="1" si="9"/>
        <v>0</v>
      </c>
      <c r="P15" s="88">
        <f t="shared" ca="1" si="9"/>
        <v>0</v>
      </c>
      <c r="Q15" s="88">
        <f t="shared" ca="1" si="9"/>
        <v>0</v>
      </c>
      <c r="R15" s="88">
        <f t="shared" ca="1" si="9"/>
        <v>0</v>
      </c>
      <c r="S15" s="88">
        <f t="shared" ca="1" si="9"/>
        <v>0</v>
      </c>
      <c r="T15" s="88">
        <f t="shared" ca="1" si="9"/>
        <v>0</v>
      </c>
      <c r="U15" s="88">
        <f t="shared" ca="1" si="9"/>
        <v>0</v>
      </c>
      <c r="V15" s="88">
        <f t="shared" ca="1" si="9"/>
        <v>0</v>
      </c>
      <c r="W15" s="88">
        <f t="shared" ca="1" si="3"/>
        <v>0</v>
      </c>
      <c r="X15" s="88"/>
      <c r="Y15" s="1"/>
    </row>
    <row r="16" spans="1:30" ht="14.45" customHeight="1">
      <c r="A16" s="129" t="s">
        <v>10</v>
      </c>
      <c r="B16" s="88">
        <f t="shared" ref="B16:W16" ca="1" si="10">B8/B$9</f>
        <v>5.5290928822781756E-2</v>
      </c>
      <c r="C16" s="88">
        <f t="shared" ca="1" si="10"/>
        <v>1.0695564728072933E-2</v>
      </c>
      <c r="D16" s="88">
        <f t="shared" ca="1" si="10"/>
        <v>3.3074889173914698E-2</v>
      </c>
      <c r="E16" s="88">
        <f t="shared" ref="E16:V16" ca="1" si="11">E8/E$9</f>
        <v>3.507575167020572E-2</v>
      </c>
      <c r="F16" s="88">
        <f t="shared" ca="1" si="11"/>
        <v>2.2002638377444594E-2</v>
      </c>
      <c r="G16" s="88">
        <f t="shared" ca="1" si="11"/>
        <v>9.9248303772080815E-3</v>
      </c>
      <c r="H16" s="88">
        <f t="shared" ca="1" si="11"/>
        <v>0</v>
      </c>
      <c r="I16" s="88">
        <f t="shared" ca="1" si="11"/>
        <v>1.6924556640480162E-2</v>
      </c>
      <c r="J16" s="88">
        <f t="shared" ca="1" si="11"/>
        <v>9.6198357352706189E-3</v>
      </c>
      <c r="K16" s="88">
        <f t="shared" ca="1" si="11"/>
        <v>1.8029638678252802E-2</v>
      </c>
      <c r="L16" s="88">
        <f t="shared" ca="1" si="11"/>
        <v>0</v>
      </c>
      <c r="M16" s="88">
        <f t="shared" ca="1" si="11"/>
        <v>0</v>
      </c>
      <c r="N16" s="88">
        <f t="shared" ca="1" si="11"/>
        <v>8.6853409967839398E-3</v>
      </c>
      <c r="O16" s="88">
        <f t="shared" ca="1" si="11"/>
        <v>7.8706417115035152E-3</v>
      </c>
      <c r="P16" s="88">
        <f t="shared" ca="1" si="11"/>
        <v>0</v>
      </c>
      <c r="Q16" s="88">
        <f t="shared" ca="1" si="11"/>
        <v>9.8053207834888634E-3</v>
      </c>
      <c r="R16" s="88">
        <f t="shared" ca="1" si="11"/>
        <v>0</v>
      </c>
      <c r="S16" s="88">
        <f t="shared" ca="1" si="11"/>
        <v>3.0319530903184892E-2</v>
      </c>
      <c r="T16" s="88">
        <f t="shared" ca="1" si="11"/>
        <v>0</v>
      </c>
      <c r="U16" s="88">
        <f t="shared" ca="1" si="11"/>
        <v>0</v>
      </c>
      <c r="V16" s="88">
        <f t="shared" ca="1" si="11"/>
        <v>0</v>
      </c>
      <c r="W16" s="88">
        <f t="shared" ca="1" si="10"/>
        <v>0</v>
      </c>
      <c r="X16" s="88"/>
      <c r="Y16" s="1"/>
    </row>
    <row r="17" spans="1:26" ht="14.45" customHeight="1">
      <c r="A17" s="98" t="s">
        <v>11</v>
      </c>
      <c r="B17" s="121">
        <f ca="1">SUM(B12:B16)</f>
        <v>0.99999999999999989</v>
      </c>
      <c r="C17" s="121">
        <f t="shared" ref="C17:W17" ca="1" si="12">SUM(C12:C16)</f>
        <v>0.99999999999999989</v>
      </c>
      <c r="D17" s="121">
        <f t="shared" ca="1" si="12"/>
        <v>0.99999999999999989</v>
      </c>
      <c r="E17" s="121">
        <f t="shared" ca="1" si="12"/>
        <v>1.0020654367371409</v>
      </c>
      <c r="F17" s="121">
        <f t="shared" ref="F17:V17" ca="1" si="13">SUM(F12:F16)</f>
        <v>1</v>
      </c>
      <c r="G17" s="121">
        <f t="shared" ca="1" si="13"/>
        <v>1</v>
      </c>
      <c r="H17" s="121">
        <f t="shared" ca="1" si="13"/>
        <v>0.99999999999999989</v>
      </c>
      <c r="I17" s="121">
        <f t="shared" ca="1" si="13"/>
        <v>1</v>
      </c>
      <c r="J17" s="121">
        <f t="shared" ca="1" si="13"/>
        <v>1.0000000000000002</v>
      </c>
      <c r="K17" s="121">
        <f t="shared" ca="1" si="13"/>
        <v>0.99999999999999989</v>
      </c>
      <c r="L17" s="121">
        <f t="shared" ca="1" si="13"/>
        <v>1.0000000000000002</v>
      </c>
      <c r="M17" s="121">
        <f t="shared" ca="1" si="13"/>
        <v>1</v>
      </c>
      <c r="N17" s="121">
        <f t="shared" ca="1" si="13"/>
        <v>1</v>
      </c>
      <c r="O17" s="121">
        <f t="shared" ca="1" si="13"/>
        <v>1</v>
      </c>
      <c r="P17" s="121">
        <f t="shared" ca="1" si="13"/>
        <v>1</v>
      </c>
      <c r="Q17" s="121">
        <f t="shared" ca="1" si="13"/>
        <v>0.99999999999999989</v>
      </c>
      <c r="R17" s="121">
        <f t="shared" ca="1" si="13"/>
        <v>1.0000000000000002</v>
      </c>
      <c r="S17" s="121">
        <f t="shared" ca="1" si="13"/>
        <v>1.0000000000000002</v>
      </c>
      <c r="T17" s="121">
        <f t="shared" ca="1" si="13"/>
        <v>1.0000000000000002</v>
      </c>
      <c r="U17" s="121">
        <f t="shared" ca="1" si="13"/>
        <v>1</v>
      </c>
      <c r="V17" s="121">
        <f t="shared" ca="1" si="13"/>
        <v>1</v>
      </c>
      <c r="W17" s="121">
        <f t="shared" ca="1" si="12"/>
        <v>1</v>
      </c>
      <c r="X17" s="121"/>
      <c r="Y17" s="1"/>
    </row>
    <row r="18" spans="1:26" ht="14.4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"/>
      <c r="Y18" s="1"/>
    </row>
    <row r="19" spans="1:26" ht="14.45" customHeight="1">
      <c r="A19" s="204" t="s">
        <v>13</v>
      </c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1"/>
    </row>
    <row r="20" spans="1:26" ht="14.45" customHeight="1">
      <c r="A20" s="130" t="s">
        <v>6</v>
      </c>
      <c r="B20" s="115">
        <v>0</v>
      </c>
      <c r="C20" s="115">
        <f ca="1">Monthly!C20+Monthly!D20+Monthly!E20</f>
        <v>4.2563708329999983</v>
      </c>
      <c r="D20" s="115">
        <f ca="1">Monthly!F20+Monthly!G20+Monthly!H20</f>
        <v>2.5999999999999996</v>
      </c>
      <c r="E20" s="115">
        <f ca="1">Monthly!K20+Monthly!I20+Monthly!J20</f>
        <v>6.1903995599999924</v>
      </c>
      <c r="F20" s="115">
        <f ca="1">Monthly!M20+Monthly!L20+Monthly!N20</f>
        <v>6.8454246639999994</v>
      </c>
      <c r="G20" s="115">
        <f ca="1">Monthly!Q20+Monthly!O20+Monthly!P20</f>
        <v>5.4704208799999945</v>
      </c>
      <c r="H20" s="115">
        <f ca="1">Monthly!T20+Monthly!R20+Monthly!S20</f>
        <v>1.9750152350000101</v>
      </c>
      <c r="I20" s="115">
        <f ca="1">Monthly!$W20+Monthly!$U20+Monthly!$V20</f>
        <v>4.9833421539999865</v>
      </c>
      <c r="J20" s="115">
        <f ca="1">Monthly!$X20+Monthly!$Y20+Monthly!$Z20</f>
        <v>7.4230522491030815</v>
      </c>
      <c r="K20" s="115">
        <f ca="1">Monthly!$AA20+Monthly!$AB20+Monthly!$AC20</f>
        <v>7.1736018139999826</v>
      </c>
      <c r="L20" s="115">
        <f ca="1">Monthly!$AD20+Monthly!$AE20+Monthly!$AF20</f>
        <v>5.9398418959999972</v>
      </c>
      <c r="M20" s="115">
        <f ca="1">Monthly!$AG20+Monthly!$AH20+Monthly!$AI20</f>
        <v>8.2797045399999938</v>
      </c>
      <c r="N20" s="115">
        <f ca="1">Monthly!$AJ20+Monthly!$AK20+Monthly!$AL20</f>
        <v>2.3987866579999961</v>
      </c>
      <c r="O20" s="115">
        <f ca="1">Monthly!$AM20+Monthly!$AN20+Monthly!$AO20</f>
        <v>8.2010546830000113</v>
      </c>
      <c r="P20" s="115">
        <f ca="1">Monthly!$AP20+Monthly!$AQ20+Monthly!$AR20</f>
        <v>6.4789379059999863</v>
      </c>
      <c r="Q20" s="115">
        <f ca="1">Monthly!$AS20+Monthly!$AT20+Monthly!$AU20</f>
        <v>8.5160829870000043</v>
      </c>
      <c r="R20" s="115">
        <f ca="1">Monthly!$AV20+Monthly!$AW20+Monthly!$AX20</f>
        <v>8.2775865350000153</v>
      </c>
      <c r="S20" s="115">
        <f ca="1">Monthly!$AY20+Monthly!$AZ20+Monthly!$BA20</f>
        <v>-3.2658036570000144</v>
      </c>
      <c r="T20" s="115">
        <f ca="1">Monthly!$BB20+Monthly!$BC20+Monthly!$BD20</f>
        <v>8.6095711219999931</v>
      </c>
      <c r="U20" s="115">
        <f ca="1">Monthly!$BE20+Monthly!$BF20+Monthly!$BG20</f>
        <v>1.4188488930000061</v>
      </c>
      <c r="V20" s="115">
        <f ca="1">Monthly!$BH20+Monthly!$BI20+Monthly!$BJ20</f>
        <v>5.0355088189999764</v>
      </c>
      <c r="W20" s="215">
        <f ca="1">SUM(Monthly!$BK20:$BM20)</f>
        <v>2.5816775379999961</v>
      </c>
      <c r="X20" s="131"/>
      <c r="Y20" s="73">
        <f t="shared" ref="Y20:Y25" ca="1" si="14">SUM(B20:W20)</f>
        <v>109.38942530910299</v>
      </c>
      <c r="Z20" s="6">
        <f ca="1">Y20/$X$1</f>
        <v>5.2090202528144278</v>
      </c>
    </row>
    <row r="21" spans="1:26" ht="14.45" customHeight="1">
      <c r="A21" s="130" t="s">
        <v>7</v>
      </c>
      <c r="B21" s="115">
        <v>0</v>
      </c>
      <c r="C21" s="115">
        <f ca="1">Monthly!C21+Monthly!D21+Monthly!E21</f>
        <v>0.89999999999999925</v>
      </c>
      <c r="D21" s="115">
        <f ca="1">Monthly!F21+Monthly!G21+Monthly!H21</f>
        <v>0.69596000000000124</v>
      </c>
      <c r="E21" s="115">
        <f ca="1">Monthly!K21+Monthly!I21+Monthly!J21</f>
        <v>2.3488800000000061</v>
      </c>
      <c r="F21" s="115">
        <f ca="1">Monthly!M21+Monthly!L21+Monthly!N21</f>
        <v>0.82589999999999719</v>
      </c>
      <c r="G21" s="115">
        <f ca="1">Monthly!Q21+Monthly!O21+Monthly!P21</f>
        <v>0.83639999999999359</v>
      </c>
      <c r="H21" s="115">
        <f ca="1">Monthly!T21+Monthly!R21+Monthly!S21</f>
        <v>0.82589999999999364</v>
      </c>
      <c r="I21" s="115">
        <f ca="1">Monthly!$W21+Monthly!$U21+Monthly!$V21</f>
        <v>2.4952939999999937</v>
      </c>
      <c r="J21" s="115">
        <f ca="1">Monthly!$X21+Monthly!$Y21+Monthly!$Z21</f>
        <v>1.2185959999999987</v>
      </c>
      <c r="K21" s="115">
        <f ca="1">Monthly!$AA21+Monthly!$AB21+Monthly!$AC21</f>
        <v>0.9370000000000005</v>
      </c>
      <c r="L21" s="115">
        <f ca="1">Monthly!$AD21+Monthly!$AE21+Monthly!$AF21</f>
        <v>0.95550000000000068</v>
      </c>
      <c r="M21" s="115">
        <f ca="1">Monthly!$AG21+Monthly!$AH21+Monthly!$AI21</f>
        <v>2.8305000000000007</v>
      </c>
      <c r="N21" s="115">
        <f ca="1">Monthly!$AJ21+Monthly!$AK21+Monthly!$AL21</f>
        <v>1.054740000000006</v>
      </c>
      <c r="O21" s="115">
        <f ca="1">Monthly!$AM21+Monthly!$AN21+Monthly!$AO21</f>
        <v>1.054740000000006</v>
      </c>
      <c r="P21" s="115">
        <f ca="1">Monthly!$AP21+Monthly!$AQ21+Monthly!$AR21</f>
        <v>1.0547399999999989</v>
      </c>
      <c r="Q21" s="115">
        <f ca="1">Monthly!$AS21+Monthly!$AT21+Monthly!$AU21</f>
        <v>2.7047399999999953</v>
      </c>
      <c r="R21" s="115">
        <f ca="1">Monthly!$AV21+Monthly!$AW21+Monthly!$AX21</f>
        <v>1.2185399999999973</v>
      </c>
      <c r="S21" s="115">
        <f ca="1">Monthly!$AY21+Monthly!$AZ21+Monthly!$BA21</f>
        <v>2.7185399999999973</v>
      </c>
      <c r="T21" s="115">
        <f ca="1">Monthly!$BB21+Monthly!$BC21+Monthly!$BD21</f>
        <v>1.2185399999999973</v>
      </c>
      <c r="U21" s="115">
        <f ca="1">Monthly!$BE21+Monthly!$BF21+Monthly!$BG21</f>
        <v>1.2185399999999973</v>
      </c>
      <c r="V21" s="115">
        <f ca="1">Monthly!$BH21+Monthly!$BI21+Monthly!$BJ21</f>
        <v>1.6751799999999974</v>
      </c>
      <c r="W21" s="215">
        <f ca="1">SUM(Monthly!$BK21:$BM21)</f>
        <v>1.4251799999999974</v>
      </c>
      <c r="X21" s="131"/>
      <c r="Y21" s="73">
        <f t="shared" ca="1" si="14"/>
        <v>30.213409999999975</v>
      </c>
      <c r="Z21" s="6">
        <f t="shared" ref="Z21:Z25" ca="1" si="15">Y21/$X$1</f>
        <v>1.4387338095238082</v>
      </c>
    </row>
    <row r="22" spans="1:26" ht="14.45" customHeight="1">
      <c r="A22" s="130" t="s">
        <v>8</v>
      </c>
      <c r="B22" s="115">
        <v>0</v>
      </c>
      <c r="C22" s="115">
        <f ca="1">Monthly!C22+Monthly!D22+Monthly!E22</f>
        <v>0.2475</v>
      </c>
      <c r="D22" s="115">
        <f ca="1">Monthly!F22+Monthly!G22+Monthly!H22</f>
        <v>0</v>
      </c>
      <c r="E22" s="115">
        <f ca="1">Monthly!K22+Monthly!I22+Monthly!J22</f>
        <v>0</v>
      </c>
      <c r="F22" s="115">
        <f ca="1">Monthly!M22+Monthly!L22+Monthly!N22</f>
        <v>0</v>
      </c>
      <c r="G22" s="115">
        <f ca="1">Monthly!Q22+Monthly!O22+Monthly!P22</f>
        <v>-1.9700000000000051E-2</v>
      </c>
      <c r="H22" s="115">
        <f ca="1">Monthly!T22+Monthly!R22+Monthly!S22</f>
        <v>2.6450000000000085E-2</v>
      </c>
      <c r="I22" s="115">
        <f ca="1">Monthly!$W22+Monthly!$U22+Monthly!$V22</f>
        <v>-1.5899999999999803E-3</v>
      </c>
      <c r="J22" s="115">
        <f ca="1">Monthly!$X22+Monthly!$Y22+Monthly!$Z22</f>
        <v>0</v>
      </c>
      <c r="K22" s="115">
        <f ca="1">Monthly!$AA22+Monthly!$AB22+Monthly!$AC22</f>
        <v>0</v>
      </c>
      <c r="L22" s="115">
        <f ca="1">Monthly!$AD22+Monthly!$AE22+Monthly!$AF22</f>
        <v>0</v>
      </c>
      <c r="M22" s="115">
        <f ca="1">Monthly!$AG22+Monthly!$AH22+Monthly!$AI22</f>
        <v>0</v>
      </c>
      <c r="N22" s="115">
        <f ca="1">Monthly!$AJ22+Monthly!$AK22+Monthly!$AL22</f>
        <v>0</v>
      </c>
      <c r="O22" s="115">
        <f ca="1">Monthly!$AM22+Monthly!$AN22+Monthly!$AO22</f>
        <v>0</v>
      </c>
      <c r="P22" s="115">
        <f ca="1">Monthly!$AP22+Monthly!$AQ22+Monthly!$AR22</f>
        <v>0</v>
      </c>
      <c r="Q22" s="115">
        <f ca="1">Monthly!$AS22+Monthly!$AT22+Monthly!$AU22</f>
        <v>0</v>
      </c>
      <c r="R22" s="115">
        <f ca="1">Monthly!$AV22+Monthly!$AW22+Monthly!$AX22</f>
        <v>0</v>
      </c>
      <c r="S22" s="115">
        <f ca="1">Monthly!$AY22+Monthly!$AZ22+Monthly!$BA22</f>
        <v>0</v>
      </c>
      <c r="T22" s="115">
        <f ca="1">Monthly!$BB22+Monthly!$BC22+Monthly!$BD22</f>
        <v>0</v>
      </c>
      <c r="U22" s="115">
        <f ca="1">Monthly!$BE22+Monthly!$BF22+Monthly!$BG22</f>
        <v>1</v>
      </c>
      <c r="V22" s="115">
        <f ca="1">Monthly!$BH22+Monthly!$BI22+Monthly!$BJ22</f>
        <v>0</v>
      </c>
      <c r="W22" s="215">
        <f ca="1">SUM(Monthly!$BK22:$BM22)</f>
        <v>0</v>
      </c>
      <c r="X22" s="131"/>
      <c r="Y22" s="73">
        <f t="shared" ca="1" si="14"/>
        <v>1.2526600000000001</v>
      </c>
      <c r="Z22" s="6">
        <f t="shared" ca="1" si="15"/>
        <v>5.9650476190476198E-2</v>
      </c>
    </row>
    <row r="23" spans="1:26" ht="14.45" customHeight="1">
      <c r="A23" s="130" t="s">
        <v>9</v>
      </c>
      <c r="B23" s="115">
        <v>0</v>
      </c>
      <c r="C23" s="115">
        <f ca="1">Monthly!C23+Monthly!D23+Monthly!E23</f>
        <v>0</v>
      </c>
      <c r="D23" s="115">
        <f ca="1">Monthly!F23+Monthly!G23+Monthly!H23</f>
        <v>0</v>
      </c>
      <c r="E23" s="115">
        <f ca="1">Monthly!K23+Monthly!I23+Monthly!J23</f>
        <v>0.54</v>
      </c>
      <c r="F23" s="115">
        <f ca="1">Monthly!M23+Monthly!L23+Monthly!N23</f>
        <v>-0.73</v>
      </c>
      <c r="G23" s="115">
        <f ca="1">Monthly!Q23+Monthly!O23+Monthly!P23</f>
        <v>0</v>
      </c>
      <c r="H23" s="115">
        <f ca="1">Monthly!T23+Monthly!R23+Monthly!S23</f>
        <v>0</v>
      </c>
      <c r="I23" s="115">
        <f ca="1">Monthly!$W23+Monthly!$U23+Monthly!$V23</f>
        <v>0</v>
      </c>
      <c r="J23" s="115">
        <f ca="1">Monthly!$X23+Monthly!$Y23+Monthly!$Z23</f>
        <v>0</v>
      </c>
      <c r="K23" s="115">
        <f ca="1">Monthly!$AA23+Monthly!$AB23+Monthly!$AC23</f>
        <v>0</v>
      </c>
      <c r="L23" s="115">
        <f ca="1">Monthly!$AD23+Monthly!$AE23+Monthly!$AF23</f>
        <v>0</v>
      </c>
      <c r="M23" s="115">
        <f ca="1">Monthly!$AG23+Monthly!$AH23+Monthly!$AI23</f>
        <v>0</v>
      </c>
      <c r="N23" s="115">
        <f ca="1">Monthly!$AJ23+Monthly!$AK23+Monthly!$AL23</f>
        <v>0</v>
      </c>
      <c r="O23" s="115">
        <f ca="1">Monthly!$AM23+Monthly!$AN23+Monthly!$AO23</f>
        <v>0</v>
      </c>
      <c r="P23" s="115">
        <f ca="1">Monthly!$AP23+Monthly!$AQ23+Monthly!$AR23</f>
        <v>0</v>
      </c>
      <c r="Q23" s="115">
        <f ca="1">Monthly!$AS23+Monthly!$AT23+Monthly!$AU23</f>
        <v>0</v>
      </c>
      <c r="R23" s="115">
        <f ca="1">Monthly!$AV23+Monthly!$AW23+Monthly!$AX23</f>
        <v>0</v>
      </c>
      <c r="S23" s="115">
        <f ca="1">Monthly!$AY23+Monthly!$AZ23+Monthly!$BA23</f>
        <v>0</v>
      </c>
      <c r="T23" s="115">
        <f ca="1">Monthly!$BB23+Monthly!$BC23+Monthly!$BD23</f>
        <v>0</v>
      </c>
      <c r="U23" s="115">
        <f ca="1">Monthly!$BE23+Monthly!$BF23+Monthly!$BG23</f>
        <v>0</v>
      </c>
      <c r="V23" s="115">
        <f ca="1">Monthly!$BH23+Monthly!$BI23+Monthly!$BJ23</f>
        <v>0</v>
      </c>
      <c r="W23" s="215">
        <f ca="1">SUM(Monthly!$BK23:$BM23)</f>
        <v>0</v>
      </c>
      <c r="X23" s="131"/>
      <c r="Y23" s="73">
        <f t="shared" ca="1" si="14"/>
        <v>-0.18999999999999995</v>
      </c>
      <c r="Z23" s="6">
        <f t="shared" ca="1" si="15"/>
        <v>-9.0476190476190457E-3</v>
      </c>
    </row>
    <row r="24" spans="1:26" ht="14.45" customHeight="1">
      <c r="A24" s="130" t="s">
        <v>10</v>
      </c>
      <c r="B24" s="115">
        <v>0</v>
      </c>
      <c r="C24" s="115">
        <f ca="1">Monthly!C24+Monthly!D24+Monthly!E24</f>
        <v>-3.6464983860000002</v>
      </c>
      <c r="D24" s="115">
        <f ca="1">Monthly!F24+Monthly!G24+Monthly!H24</f>
        <v>2.5256122489999999</v>
      </c>
      <c r="E24" s="115">
        <f ca="1">Monthly!K24+Monthly!I24+Monthly!J24</f>
        <v>0.81967357699999965</v>
      </c>
      <c r="F24" s="115">
        <f ca="1">Monthly!M24+Monthly!L24+Monthly!N24</f>
        <v>-1.4912217389999998</v>
      </c>
      <c r="G24" s="115">
        <f ca="1">Monthly!Q24+Monthly!O24+Monthly!P24</f>
        <v>-1.509704698</v>
      </c>
      <c r="H24" s="115">
        <f ca="1">Monthly!T24+Monthly!R24+Monthly!S24</f>
        <v>-1.347861003</v>
      </c>
      <c r="I24" s="115">
        <f ca="1">Monthly!$W24+Monthly!$U24+Monthly!$V24</f>
        <v>2.5</v>
      </c>
      <c r="J24" s="115">
        <f ca="1">Monthly!$X24+Monthly!$Y24+Monthly!$Z24</f>
        <v>-1</v>
      </c>
      <c r="K24" s="115">
        <f ca="1">Monthly!$AA24+Monthly!$AB24+Monthly!$AC24</f>
        <v>1.5</v>
      </c>
      <c r="L24" s="115">
        <f ca="1">Monthly!$AD24+Monthly!$AE24+Monthly!$AF24</f>
        <v>-3</v>
      </c>
      <c r="M24" s="115">
        <f ca="1">Monthly!$AG24+Monthly!$AH24+Monthly!$AI24</f>
        <v>0</v>
      </c>
      <c r="N24" s="115">
        <f ca="1">Monthly!$AJ24+Monthly!$AK24+Monthly!$AL24</f>
        <v>2</v>
      </c>
      <c r="O24" s="115">
        <f ca="1">Monthly!$AM24+Monthly!$AN24+Monthly!$AO24</f>
        <v>1.3463446000000268E-2</v>
      </c>
      <c r="P24" s="115">
        <f ca="1">Monthly!$AP24+Monthly!$AQ24+Monthly!$AR24</f>
        <v>-2.0134634460000003</v>
      </c>
      <c r="Q24" s="115">
        <f ca="1">Monthly!$AS24+Monthly!$AT24+Monthly!$AU24</f>
        <v>3.0407110509999997</v>
      </c>
      <c r="R24" s="115">
        <f ca="1">Monthly!$AV24+Monthly!$AW24+Monthly!$AX24</f>
        <v>-3.0407110509999997</v>
      </c>
      <c r="S24" s="115">
        <f ca="1">Monthly!$AY24+Monthly!$AZ24+Monthly!$BA24</f>
        <v>9</v>
      </c>
      <c r="T24" s="115">
        <f ca="1">Monthly!$BB24+Monthly!$BC24+Monthly!$BD24</f>
        <v>-9</v>
      </c>
      <c r="U24" s="115">
        <f ca="1">Monthly!$BE24+Monthly!$BF24+Monthly!$BG24</f>
        <v>0</v>
      </c>
      <c r="V24" s="115">
        <f ca="1">Monthly!$BH24+Monthly!$BI24+Monthly!$BJ24</f>
        <v>0</v>
      </c>
      <c r="W24" s="215">
        <f ca="1">SUM(Monthly!$BK24:$BM24)</f>
        <v>0</v>
      </c>
      <c r="X24" s="131"/>
      <c r="Y24" s="73">
        <f t="shared" ca="1" si="14"/>
        <v>-4.6500000000000004</v>
      </c>
      <c r="Z24" s="6">
        <f t="shared" ca="1" si="15"/>
        <v>-0.22142857142857145</v>
      </c>
    </row>
    <row r="25" spans="1:26" ht="14.45" customHeight="1">
      <c r="A25" s="98" t="s">
        <v>11</v>
      </c>
      <c r="B25" s="113">
        <f>SUM(B20:B24)</f>
        <v>0</v>
      </c>
      <c r="C25" s="113">
        <f t="shared" ref="C25:W25" ca="1" si="16">SUM(C20:C24)</f>
        <v>1.7573724469999972</v>
      </c>
      <c r="D25" s="113">
        <f t="shared" ca="1" si="16"/>
        <v>5.8215722490000008</v>
      </c>
      <c r="E25" s="113">
        <f t="shared" ca="1" si="16"/>
        <v>9.8989531369999995</v>
      </c>
      <c r="F25" s="113">
        <f t="shared" ca="1" si="16"/>
        <v>5.4501029249999959</v>
      </c>
      <c r="G25" s="113">
        <f t="shared" ref="G25:V25" ca="1" si="17">SUM(G20:G24)</f>
        <v>4.7774161819999872</v>
      </c>
      <c r="H25" s="113">
        <f t="shared" ca="1" si="17"/>
        <v>1.4795042320000038</v>
      </c>
      <c r="I25" s="113">
        <f t="shared" ca="1" si="17"/>
        <v>9.9770461539999804</v>
      </c>
      <c r="J25" s="113">
        <f t="shared" ca="1" si="17"/>
        <v>7.6416482491030795</v>
      </c>
      <c r="K25" s="113">
        <f t="shared" ca="1" si="17"/>
        <v>9.6106018139999829</v>
      </c>
      <c r="L25" s="113">
        <f t="shared" ca="1" si="17"/>
        <v>3.8953418959999979</v>
      </c>
      <c r="M25" s="113">
        <f t="shared" ca="1" si="17"/>
        <v>11.110204539999994</v>
      </c>
      <c r="N25" s="113">
        <f t="shared" ca="1" si="17"/>
        <v>5.4535266580000021</v>
      </c>
      <c r="O25" s="113">
        <f t="shared" ca="1" si="17"/>
        <v>9.2692581290000184</v>
      </c>
      <c r="P25" s="113">
        <f t="shared" ca="1" si="17"/>
        <v>5.5202144599999849</v>
      </c>
      <c r="Q25" s="113">
        <f t="shared" ca="1" si="17"/>
        <v>14.261534038000001</v>
      </c>
      <c r="R25" s="113">
        <f t="shared" ca="1" si="17"/>
        <v>6.4554154840000129</v>
      </c>
      <c r="S25" s="113">
        <f t="shared" ca="1" si="17"/>
        <v>8.4527363429999838</v>
      </c>
      <c r="T25" s="113">
        <f t="shared" ca="1" si="17"/>
        <v>0.82811112199999037</v>
      </c>
      <c r="U25" s="113">
        <f t="shared" ca="1" si="17"/>
        <v>3.6373888930000033</v>
      </c>
      <c r="V25" s="113">
        <f t="shared" ca="1" si="17"/>
        <v>6.7106888189999738</v>
      </c>
      <c r="W25" s="113">
        <f t="shared" ca="1" si="16"/>
        <v>4.0068575379999931</v>
      </c>
      <c r="X25" s="121"/>
      <c r="Y25" s="73">
        <f t="shared" ca="1" si="14"/>
        <v>136.01549530910299</v>
      </c>
      <c r="Z25" s="6">
        <f t="shared" ca="1" si="15"/>
        <v>6.4769283480525228</v>
      </c>
    </row>
    <row r="26" spans="1:26" ht="14.45" customHeight="1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"/>
      <c r="Y26" s="1"/>
    </row>
    <row r="27" spans="1:26" ht="14.45" customHeight="1">
      <c r="A27" s="201" t="s">
        <v>14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1"/>
    </row>
    <row r="28" spans="1:26" ht="14.45" customHeight="1">
      <c r="A28" s="132" t="s">
        <v>6</v>
      </c>
      <c r="B28" s="116">
        <v>0</v>
      </c>
      <c r="C28" s="116">
        <f ca="1">Monthly!C28+Monthly!D28+Monthly!E28</f>
        <v>5.4595959958169997</v>
      </c>
      <c r="D28" s="116">
        <f ca="1">Monthly!F28+Monthly!G28+Monthly!H28</f>
        <v>6.3913656069999965</v>
      </c>
      <c r="E28" s="116">
        <f ca="1">Monthly!K28+Monthly!I28+Monthly!J28</f>
        <v>7.3834255300000171</v>
      </c>
      <c r="F28" s="116">
        <f ca="1">Monthly!M28+Monthly!L28+Monthly!N28</f>
        <v>0.22329209899999358</v>
      </c>
      <c r="G28" s="116">
        <f ca="1">Monthly!Q28+Monthly!O28+Monthly!P28</f>
        <v>-1.7774848869999955</v>
      </c>
      <c r="H28" s="116">
        <f ca="1">Monthly!T28+Monthly!R28+Monthly!S28</f>
        <v>-8.2359097500000082</v>
      </c>
      <c r="I28" s="116">
        <f ca="1">Monthly!$W28+Monthly!$U28+Monthly!$V28</f>
        <v>8.4514702000000064</v>
      </c>
      <c r="J28" s="116">
        <f ca="1">Monthly!$X28+Monthly!$Y28+Monthly!$Z28</f>
        <v>0.45427629389693802</v>
      </c>
      <c r="K28" s="116">
        <f ca="1">Monthly!$AA28+Monthly!$AB28+Monthly!$AC28</f>
        <v>-2.370254662999967</v>
      </c>
      <c r="L28" s="116">
        <f ca="1">Monthly!$AD28+Monthly!$AE28+Monthly!$AF28</f>
        <v>16.320990158999969</v>
      </c>
      <c r="M28" s="116">
        <f ca="1">Monthly!$AG28+Monthly!$AH28+Monthly!$AI28</f>
        <v>8.6336759300000185</v>
      </c>
      <c r="N28" s="116">
        <f ca="1">Monthly!$AJ28+Monthly!$AK28+Monthly!$AL28</f>
        <v>18.135742640000025</v>
      </c>
      <c r="O28" s="116">
        <f ca="1">Monthly!$AM28+Monthly!$AN28+Monthly!$AO28</f>
        <v>11.329213414999943</v>
      </c>
      <c r="P28" s="116">
        <f ca="1">Monthly!$AP28+Monthly!$AQ28+Monthly!$AR28</f>
        <v>18.300515329000049</v>
      </c>
      <c r="Q28" s="116">
        <f ca="1">Monthly!$AS28+Monthly!$AT28+Monthly!$AU28</f>
        <v>15.699894786000012</v>
      </c>
      <c r="R28" s="116">
        <f ca="1">Monthly!$AV28+Monthly!$AW28+Monthly!$AX28</f>
        <v>-11.461815682000033</v>
      </c>
      <c r="S28" s="116">
        <f ca="1">Monthly!$AY28+Monthly!$AZ28+Monthly!$BA28</f>
        <v>-22.667650089999967</v>
      </c>
      <c r="T28" s="116">
        <f ca="1">Monthly!$BB28+Monthly!$BC28+Monthly!$BD28</f>
        <v>26.953391206999989</v>
      </c>
      <c r="U28" s="116">
        <f ca="1">Monthly!$BE28+Monthly!$BF28+Monthly!$BG28</f>
        <v>-2.457927453000011</v>
      </c>
      <c r="V28" s="116">
        <f ca="1">Monthly!$BH28+Monthly!$BI28+Monthly!$BJ28</f>
        <v>5.7020744879999716</v>
      </c>
      <c r="W28" s="116">
        <f ca="1">SUM(Monthly!$BK28:$BM28)</f>
        <v>-28.796483939999955</v>
      </c>
      <c r="X28" s="89"/>
      <c r="Y28" s="73">
        <f t="shared" ref="Y28:Y33" ca="1" si="18">SUM(B28:W28)</f>
        <v>71.671397214713977</v>
      </c>
      <c r="Z28" s="6">
        <f t="shared" ref="Z28:Z33" ca="1" si="19">Y28/$X$1</f>
        <v>3.412923676891142</v>
      </c>
    </row>
    <row r="29" spans="1:26" ht="14.45" customHeight="1">
      <c r="A29" s="132" t="s">
        <v>7</v>
      </c>
      <c r="B29" s="116">
        <v>0</v>
      </c>
      <c r="C29" s="116">
        <f ca="1">Monthly!C29+Monthly!D29+Monthly!E29</f>
        <v>2.5890000000000004</v>
      </c>
      <c r="D29" s="116">
        <f ca="1">Monthly!F29+Monthly!G29+Monthly!H29</f>
        <v>0.63360000000000016</v>
      </c>
      <c r="E29" s="116">
        <f ca="1">Monthly!K29+Monthly!I29+Monthly!J29</f>
        <v>2.1399999999999877E-2</v>
      </c>
      <c r="F29" s="116">
        <f ca="1">Monthly!M29+Monthly!L29+Monthly!N29</f>
        <v>1.9000000000000017E-2</v>
      </c>
      <c r="G29" s="116">
        <f ca="1">Monthly!Q29+Monthly!O29+Monthly!P29</f>
        <v>2.9109999999999983</v>
      </c>
      <c r="H29" s="116">
        <f ca="1">Monthly!T29+Monthly!R29+Monthly!S29</f>
        <v>0.15949999999999986</v>
      </c>
      <c r="I29" s="116">
        <f ca="1">Monthly!$W29+Monthly!$U29+Monthly!$V29</f>
        <v>6.9000000000000075E-2</v>
      </c>
      <c r="J29" s="116">
        <f ca="1">Monthly!$X29+Monthly!$Y29+Monthly!$Z29</f>
        <v>3.7599999999999911E-2</v>
      </c>
      <c r="K29" s="116">
        <f ca="1">Monthly!$AA29+Monthly!$AB29+Monthly!$AC29</f>
        <v>3.1382400000000157</v>
      </c>
      <c r="L29" s="116">
        <f ca="1">Monthly!$AD29+Monthly!$AE29+Monthly!$AF29</f>
        <v>7.827599999999979E-2</v>
      </c>
      <c r="M29" s="116">
        <f ca="1">Monthly!$AG29+Monthly!$AH29+Monthly!$AI29</f>
        <v>3.7343999999999988E-2</v>
      </c>
      <c r="N29" s="116">
        <f ca="1">Monthly!$AJ29+Monthly!$AK29+Monthly!$AL29</f>
        <v>3.7910000000000055E-2</v>
      </c>
      <c r="O29" s="116">
        <f ca="1">Monthly!$AM29+Monthly!$AN29+Monthly!$AO29</f>
        <v>4.8309839999999884</v>
      </c>
      <c r="P29" s="116">
        <f ca="1">Monthly!$AP29+Monthly!$AQ29+Monthly!$AR29</f>
        <v>8.7475999999999887E-2</v>
      </c>
      <c r="Q29" s="116">
        <f ca="1">Monthly!$AS29+Monthly!$AT29+Monthly!$AU29</f>
        <v>0.11194599999999984</v>
      </c>
      <c r="R29" s="116">
        <f ca="1">Monthly!$AV29+Monthly!$AW29+Monthly!$AX29</f>
        <v>3.9120000000000377E-2</v>
      </c>
      <c r="S29" s="116">
        <f ca="1">Monthly!$AY29+Monthly!$AZ29+Monthly!$BA29</f>
        <v>5.7060800000000009</v>
      </c>
      <c r="T29" s="116">
        <f ca="1">Monthly!$BB29+Monthly!$BC29+Monthly!$BD29</f>
        <v>6.0122000000000619E-2</v>
      </c>
      <c r="U29" s="116">
        <f ca="1">Monthly!$BE29+Monthly!$BF29+Monthly!$BG29</f>
        <v>2.3729999999999529E-2</v>
      </c>
      <c r="V29" s="116">
        <f ca="1">Monthly!$BH29+Monthly!$BI29+Monthly!$BJ29</f>
        <v>-5.7381999999999489E-2</v>
      </c>
      <c r="W29" s="116">
        <f ca="1">SUM(Monthly!$BK29:$BM29)</f>
        <v>5.3351299999999986</v>
      </c>
      <c r="X29" s="89"/>
      <c r="Y29" s="73">
        <f t="shared" ca="1" si="18"/>
        <v>25.869076000000003</v>
      </c>
      <c r="Z29" s="6">
        <f t="shared" ca="1" si="19"/>
        <v>1.2318607619047621</v>
      </c>
    </row>
    <row r="30" spans="1:26" ht="14.45" customHeight="1">
      <c r="A30" s="132" t="s">
        <v>8</v>
      </c>
      <c r="B30" s="116">
        <v>0</v>
      </c>
      <c r="C30" s="116">
        <f ca="1">Monthly!C30+Monthly!D30+Monthly!E30</f>
        <v>-8.2474499999999951E-2</v>
      </c>
      <c r="D30" s="116">
        <f ca="1">Monthly!F30+Monthly!G30+Monthly!H30</f>
        <v>3.0074500000000004E-2</v>
      </c>
      <c r="E30" s="116">
        <f ca="1">Monthly!K30+Monthly!I30+Monthly!J30</f>
        <v>-2.1749999999999936E-2</v>
      </c>
      <c r="F30" s="116">
        <f ca="1">Monthly!M30+Monthly!L30+Monthly!N30</f>
        <v>8.6499999999998245E-3</v>
      </c>
      <c r="G30" s="116">
        <f ca="1">Monthly!Q30+Monthly!O30+Monthly!P30</f>
        <v>2.2250000000000103E-2</v>
      </c>
      <c r="H30" s="116">
        <f ca="1">Monthly!T30+Monthly!R30+Monthly!S30</f>
        <v>0</v>
      </c>
      <c r="I30" s="116">
        <f ca="1">Monthly!$W30+Monthly!$U30+Monthly!$V30</f>
        <v>6.7899999999998517E-3</v>
      </c>
      <c r="J30" s="116">
        <f ca="1">Monthly!$X30+Monthly!$Y30+Monthly!$Z30</f>
        <v>7.9936999999999925E-2</v>
      </c>
      <c r="K30" s="116">
        <f ca="1">Monthly!$AA30+Monthly!$AB30+Monthly!$AC30</f>
        <v>8.6280000000000134E-2</v>
      </c>
      <c r="L30" s="116">
        <f ca="1">Monthly!$AD30+Monthly!$AE30+Monthly!$AF30</f>
        <v>9.1176999999999842E-2</v>
      </c>
      <c r="M30" s="116">
        <f ca="1">Monthly!$AG30+Monthly!$AH30+Monthly!$AI30</f>
        <v>-4.8369999999997582E-3</v>
      </c>
      <c r="N30" s="116">
        <f ca="1">Monthly!$AJ30+Monthly!$AK30+Monthly!$AL30</f>
        <v>9.1016999999999904E-2</v>
      </c>
      <c r="O30" s="116">
        <f ca="1">Monthly!$AM30+Monthly!$AN30+Monthly!$AO30</f>
        <v>0.11696700000000004</v>
      </c>
      <c r="P30" s="116">
        <f ca="1">Monthly!$AP30+Monthly!$AQ30+Monthly!$AR30</f>
        <v>0.18439899999999998</v>
      </c>
      <c r="Q30" s="116">
        <f ca="1">Monthly!$AS30+Monthly!$AT30+Monthly!$AU30</f>
        <v>0.12269799999999997</v>
      </c>
      <c r="R30" s="116">
        <f ca="1">Monthly!$AV30+Monthly!$AW30+Monthly!$AX30</f>
        <v>5.0952499999999734E-2</v>
      </c>
      <c r="S30" s="116">
        <f ca="1">Monthly!$AY30+Monthly!$AZ30+Monthly!$BA30</f>
        <v>0.15525850000000041</v>
      </c>
      <c r="T30" s="116">
        <f ca="1">Monthly!$BB30+Monthly!$BC30+Monthly!$BD30</f>
        <v>0.25785499999999972</v>
      </c>
      <c r="U30" s="116">
        <f ca="1">Monthly!$BE30+Monthly!$BF30+Monthly!$BG30</f>
        <v>0.86001150000000015</v>
      </c>
      <c r="V30" s="116">
        <f ca="1">Monthly!$BH30+Monthly!$BI30+Monthly!$BJ30</f>
        <v>0.64162850000000038</v>
      </c>
      <c r="W30" s="116">
        <f ca="1">SUM(Monthly!$BK30:$BM30)</f>
        <v>0.10504999999999942</v>
      </c>
      <c r="X30" s="89"/>
      <c r="Y30" s="73">
        <f t="shared" ca="1" si="18"/>
        <v>2.8019339999999997</v>
      </c>
      <c r="Z30" s="6">
        <f t="shared" ca="1" si="19"/>
        <v>0.13342542857142856</v>
      </c>
    </row>
    <row r="31" spans="1:26" ht="14.45" customHeight="1">
      <c r="A31" s="132" t="s">
        <v>9</v>
      </c>
      <c r="B31" s="116">
        <v>0</v>
      </c>
      <c r="C31" s="116">
        <f ca="1">Monthly!C31+Monthly!D31+Monthly!E31</f>
        <v>0</v>
      </c>
      <c r="D31" s="116">
        <f ca="1">Monthly!F31+Monthly!G31+Monthly!H31</f>
        <v>0</v>
      </c>
      <c r="E31" s="116">
        <f ca="1">Monthly!K31+Monthly!I31+Monthly!J31</f>
        <v>0.10485</v>
      </c>
      <c r="F31" s="116">
        <f ca="1">Monthly!M31+Monthly!L31+Monthly!N31</f>
        <v>0.18999999999999995</v>
      </c>
      <c r="G31" s="116">
        <f ca="1">Monthly!Q31+Monthly!O31+Monthly!P31</f>
        <v>0</v>
      </c>
      <c r="H31" s="116">
        <f ca="1">Monthly!T31+Monthly!R31+Monthly!S31</f>
        <v>0</v>
      </c>
      <c r="I31" s="116">
        <f ca="1">Monthly!$W31+Monthly!$U31+Monthly!$V31</f>
        <v>0</v>
      </c>
      <c r="J31" s="116">
        <f ca="1">Monthly!$X31+Monthly!$Y31+Monthly!$Z31</f>
        <v>0</v>
      </c>
      <c r="K31" s="116">
        <f ca="1">Monthly!$AA31+Monthly!$AB31+Monthly!$AC31</f>
        <v>0</v>
      </c>
      <c r="L31" s="116">
        <f ca="1">Monthly!$AD31+Monthly!$AE31+Monthly!$AF31</f>
        <v>0</v>
      </c>
      <c r="M31" s="116">
        <f ca="1">Monthly!$AG31+Monthly!$AH31+Monthly!$AI31</f>
        <v>0</v>
      </c>
      <c r="N31" s="116">
        <f ca="1">Monthly!$AJ31+Monthly!$AK31+Monthly!$AL31</f>
        <v>0</v>
      </c>
      <c r="O31" s="116">
        <f ca="1">Monthly!$AM31+Monthly!$AN31+Monthly!$AO31</f>
        <v>0</v>
      </c>
      <c r="P31" s="116">
        <f ca="1">Monthly!$AP31+Monthly!$AQ31+Monthly!$AR31</f>
        <v>0</v>
      </c>
      <c r="Q31" s="116">
        <f ca="1">Monthly!$AS31+Monthly!$AT31+Monthly!$AU31</f>
        <v>0</v>
      </c>
      <c r="R31" s="116">
        <f ca="1">Monthly!$AV31+Monthly!$AW31+Monthly!$AX31</f>
        <v>0</v>
      </c>
      <c r="S31" s="116">
        <f ca="1">Monthly!$AY31+Monthly!$AZ31+Monthly!$BA31</f>
        <v>0</v>
      </c>
      <c r="T31" s="116">
        <f ca="1">Monthly!$BB31+Monthly!$BC31+Monthly!$BD31</f>
        <v>0</v>
      </c>
      <c r="U31" s="116">
        <f ca="1">Monthly!$BE31+Monthly!$BF31+Monthly!$BG31</f>
        <v>0</v>
      </c>
      <c r="V31" s="116">
        <f ca="1">Monthly!$BH31+Monthly!$BI31+Monthly!$BJ31</f>
        <v>0</v>
      </c>
      <c r="W31" s="116">
        <f ca="1">SUM(Monthly!$BK31:$BM31)</f>
        <v>0</v>
      </c>
      <c r="X31" s="89"/>
      <c r="Y31" s="73">
        <f t="shared" ca="1" si="18"/>
        <v>0.29484999999999995</v>
      </c>
      <c r="Z31" s="6">
        <f t="shared" ca="1" si="19"/>
        <v>1.4040476190476188E-2</v>
      </c>
    </row>
    <row r="32" spans="1:26" ht="14.45" customHeight="1">
      <c r="A32" s="132" t="s">
        <v>10</v>
      </c>
      <c r="B32" s="116">
        <v>0</v>
      </c>
      <c r="C32" s="116">
        <f ca="1">Monthly!C32+Monthly!D32+Monthly!E32</f>
        <v>0</v>
      </c>
      <c r="D32" s="116">
        <f ca="1">Monthly!F32+Monthly!G32+Monthly!H32</f>
        <v>0</v>
      </c>
      <c r="E32" s="116">
        <f ca="1">Monthly!K32+Monthly!I32+Monthly!J32</f>
        <v>0</v>
      </c>
      <c r="F32" s="116">
        <f ca="1">Monthly!M32+Monthly!L32+Monthly!N32</f>
        <v>0</v>
      </c>
      <c r="G32" s="116">
        <f ca="1">Monthly!Q32+Monthly!O32+Monthly!P32</f>
        <v>0</v>
      </c>
      <c r="H32" s="116">
        <f ca="1">Monthly!T32+Monthly!R32+Monthly!S32</f>
        <v>0</v>
      </c>
      <c r="I32" s="116">
        <f ca="1">Monthly!$W32+Monthly!$U32+Monthly!$V32</f>
        <v>0</v>
      </c>
      <c r="J32" s="116">
        <f ca="1">Monthly!$X32+Monthly!$Y32+Monthly!$Z32</f>
        <v>0</v>
      </c>
      <c r="K32" s="116">
        <f ca="1">Monthly!$AA32+Monthly!$AB32+Monthly!$AC32</f>
        <v>0</v>
      </c>
      <c r="L32" s="116">
        <f ca="1">Monthly!$AD32+Monthly!$AE32+Monthly!$AF32</f>
        <v>0</v>
      </c>
      <c r="M32" s="116">
        <f ca="1">Monthly!$AG32+Monthly!$AH32+Monthly!$AI32</f>
        <v>0</v>
      </c>
      <c r="N32" s="116">
        <f ca="1">Monthly!$AJ32+Monthly!$AK32+Monthly!$AL32</f>
        <v>0</v>
      </c>
      <c r="O32" s="116">
        <f ca="1">Monthly!$AM32+Monthly!$AN32+Monthly!$AO32</f>
        <v>0</v>
      </c>
      <c r="P32" s="116">
        <f ca="1">Monthly!$AP32+Monthly!$AQ32+Monthly!$AR32</f>
        <v>0</v>
      </c>
      <c r="Q32" s="116">
        <f ca="1">Monthly!$AS32+Monthly!$AT32+Monthly!$AU32</f>
        <v>0</v>
      </c>
      <c r="R32" s="116">
        <f ca="1">Monthly!$AV32+Monthly!$AW32+Monthly!$AX32</f>
        <v>0</v>
      </c>
      <c r="S32" s="116">
        <f ca="1">Monthly!$AY32+Monthly!$AZ32+Monthly!$BA32</f>
        <v>0</v>
      </c>
      <c r="T32" s="116">
        <f ca="1">Monthly!$BB32+Monthly!$BC32+Monthly!$BD32</f>
        <v>0</v>
      </c>
      <c r="U32" s="116">
        <f ca="1">Monthly!$BE32+Monthly!$BF32+Monthly!$BG32</f>
        <v>0</v>
      </c>
      <c r="V32" s="116">
        <f ca="1">Monthly!$BH32+Monthly!$BI32+Monthly!$BJ32</f>
        <v>0</v>
      </c>
      <c r="W32" s="116">
        <f ca="1">SUM(Monthly!$BK32:$BM32)</f>
        <v>0</v>
      </c>
      <c r="X32" s="89"/>
      <c r="Y32" s="73">
        <f t="shared" ca="1" si="18"/>
        <v>0</v>
      </c>
      <c r="Z32" s="6">
        <f t="shared" ca="1" si="19"/>
        <v>0</v>
      </c>
    </row>
    <row r="33" spans="1:26" ht="14.45" customHeight="1">
      <c r="A33" s="98" t="s">
        <v>11</v>
      </c>
      <c r="B33" s="113">
        <f t="shared" ref="B33:W33" si="20">SUM(B28:B32)</f>
        <v>0</v>
      </c>
      <c r="C33" s="113">
        <f t="shared" ca="1" si="20"/>
        <v>7.9661214958169992</v>
      </c>
      <c r="D33" s="113">
        <f t="shared" ca="1" si="20"/>
        <v>7.0550401069999964</v>
      </c>
      <c r="E33" s="113">
        <f t="shared" ca="1" si="20"/>
        <v>7.4879255300000169</v>
      </c>
      <c r="F33" s="113">
        <f t="shared" ca="1" si="20"/>
        <v>0.44094209899999337</v>
      </c>
      <c r="G33" s="113">
        <f t="shared" ref="G33:V33" ca="1" si="21">SUM(G28:G32)</f>
        <v>1.1557651130000028</v>
      </c>
      <c r="H33" s="113">
        <f t="shared" ca="1" si="21"/>
        <v>-8.0764097500000087</v>
      </c>
      <c r="I33" s="113">
        <f t="shared" ca="1" si="21"/>
        <v>8.5272602000000077</v>
      </c>
      <c r="J33" s="113">
        <f t="shared" ca="1" si="21"/>
        <v>0.5718132938969378</v>
      </c>
      <c r="K33" s="113">
        <f t="shared" ca="1" si="21"/>
        <v>0.85426533700004881</v>
      </c>
      <c r="L33" s="113">
        <f t="shared" ca="1" si="21"/>
        <v>16.490443158999966</v>
      </c>
      <c r="M33" s="113">
        <f t="shared" ca="1" si="21"/>
        <v>8.6661829300000175</v>
      </c>
      <c r="N33" s="113">
        <f t="shared" ca="1" si="21"/>
        <v>18.264669640000026</v>
      </c>
      <c r="O33" s="113">
        <f t="shared" ca="1" si="21"/>
        <v>16.27716441499993</v>
      </c>
      <c r="P33" s="113">
        <f t="shared" ca="1" si="21"/>
        <v>18.572390329000047</v>
      </c>
      <c r="Q33" s="113">
        <f t="shared" ca="1" si="21"/>
        <v>15.934538786000012</v>
      </c>
      <c r="R33" s="113">
        <f t="shared" ca="1" si="21"/>
        <v>-11.371743182000033</v>
      </c>
      <c r="S33" s="113">
        <f t="shared" ca="1" si="21"/>
        <v>-16.806311589999964</v>
      </c>
      <c r="T33" s="113">
        <f t="shared" ca="1" si="21"/>
        <v>27.271368206999988</v>
      </c>
      <c r="U33" s="113">
        <f t="shared" ca="1" si="21"/>
        <v>-1.5741859530000113</v>
      </c>
      <c r="V33" s="113">
        <f t="shared" ca="1" si="21"/>
        <v>6.2863209879999724</v>
      </c>
      <c r="W33" s="113">
        <f t="shared" ca="1" si="20"/>
        <v>-23.356303939999957</v>
      </c>
      <c r="X33" s="121"/>
      <c r="Y33" s="73">
        <f t="shared" ca="1" si="18"/>
        <v>100.63725721471398</v>
      </c>
      <c r="Z33" s="6">
        <f t="shared" ca="1" si="19"/>
        <v>4.792250343557809</v>
      </c>
    </row>
    <row r="34" spans="1:26" ht="14.45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"/>
      <c r="Y34" s="73"/>
    </row>
    <row r="35" spans="1:26" ht="14.45" customHeight="1">
      <c r="A35" s="206" t="s">
        <v>15</v>
      </c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73"/>
    </row>
    <row r="36" spans="1:26" ht="14.45" customHeight="1">
      <c r="A36" s="133" t="s">
        <v>6</v>
      </c>
      <c r="B36" s="117">
        <f ca="1">SUMIF(Breakup!$B$58:$L$68,Quarterly!$A36,Breakup!C$58:C$68)</f>
        <v>0</v>
      </c>
      <c r="C36" s="117">
        <f t="shared" ref="C36:W36" ca="1" si="22">C20+C28</f>
        <v>9.7159668288169989</v>
      </c>
      <c r="D36" s="117">
        <f t="shared" ca="1" si="22"/>
        <v>8.9913656069999952</v>
      </c>
      <c r="E36" s="117">
        <f t="shared" ref="E36:V36" ca="1" si="23">E20+E28</f>
        <v>13.57382509000001</v>
      </c>
      <c r="F36" s="117">
        <f t="shared" ca="1" si="23"/>
        <v>7.0687167629999932</v>
      </c>
      <c r="G36" s="117">
        <f t="shared" ca="1" si="23"/>
        <v>3.692935992999999</v>
      </c>
      <c r="H36" s="117">
        <f t="shared" ca="1" si="23"/>
        <v>-6.2608945149999986</v>
      </c>
      <c r="I36" s="117">
        <f t="shared" ca="1" si="23"/>
        <v>13.434812353999993</v>
      </c>
      <c r="J36" s="117">
        <f t="shared" ca="1" si="23"/>
        <v>7.8773285430000195</v>
      </c>
      <c r="K36" s="117">
        <f t="shared" ca="1" si="23"/>
        <v>4.8033471510000156</v>
      </c>
      <c r="L36" s="117">
        <f t="shared" ca="1" si="23"/>
        <v>22.260832054999966</v>
      </c>
      <c r="M36" s="117">
        <f t="shared" ca="1" si="23"/>
        <v>16.913380470000014</v>
      </c>
      <c r="N36" s="117">
        <f t="shared" ca="1" si="23"/>
        <v>20.53452929800002</v>
      </c>
      <c r="O36" s="117">
        <f t="shared" ca="1" si="23"/>
        <v>19.530268097999954</v>
      </c>
      <c r="P36" s="117">
        <f t="shared" ca="1" si="23"/>
        <v>24.779453235000034</v>
      </c>
      <c r="Q36" s="117">
        <f t="shared" ca="1" si="23"/>
        <v>24.215977773000017</v>
      </c>
      <c r="R36" s="117">
        <f t="shared" ca="1" si="23"/>
        <v>-3.1842291470000177</v>
      </c>
      <c r="S36" s="117">
        <f t="shared" ca="1" si="23"/>
        <v>-25.93345374699998</v>
      </c>
      <c r="T36" s="117">
        <f t="shared" ca="1" si="23"/>
        <v>35.56296232899998</v>
      </c>
      <c r="U36" s="117">
        <f t="shared" ca="1" si="23"/>
        <v>-1.039078560000005</v>
      </c>
      <c r="V36" s="117">
        <f t="shared" ca="1" si="23"/>
        <v>10.737583306999948</v>
      </c>
      <c r="W36" s="117">
        <f t="shared" ca="1" si="22"/>
        <v>-26.214806401999958</v>
      </c>
      <c r="X36" s="91"/>
      <c r="Y36" s="73">
        <f t="shared" ref="Y36:Y41" ca="1" si="24">SUM(B36:W36)</f>
        <v>181.060822523817</v>
      </c>
      <c r="Z36" s="6">
        <f t="shared" ref="Z36:Z41" ca="1" si="25">Y36/$X$1</f>
        <v>8.6219439297055711</v>
      </c>
    </row>
    <row r="37" spans="1:26" ht="14.45" customHeight="1">
      <c r="A37" s="133" t="s">
        <v>7</v>
      </c>
      <c r="B37" s="117">
        <f ca="1">SUMIF(Breakup!$B$58:$L$68,Quarterly!$A37,Breakup!C$58:C$68)</f>
        <v>0</v>
      </c>
      <c r="C37" s="117">
        <f t="shared" ref="C37:W41" ca="1" si="26">C21+C29</f>
        <v>3.4889999999999999</v>
      </c>
      <c r="D37" s="117">
        <f t="shared" ca="1" si="26"/>
        <v>1.3295600000000014</v>
      </c>
      <c r="E37" s="117">
        <f t="shared" ref="E37:V37" ca="1" si="27">E21+E29</f>
        <v>2.3702800000000059</v>
      </c>
      <c r="F37" s="117">
        <f t="shared" ca="1" si="27"/>
        <v>0.84489999999999721</v>
      </c>
      <c r="G37" s="117">
        <f t="shared" ca="1" si="27"/>
        <v>3.7473999999999918</v>
      </c>
      <c r="H37" s="117">
        <f t="shared" ca="1" si="27"/>
        <v>0.9853999999999935</v>
      </c>
      <c r="I37" s="117">
        <f t="shared" ca="1" si="27"/>
        <v>2.5642939999999936</v>
      </c>
      <c r="J37" s="117">
        <f t="shared" ca="1" si="27"/>
        <v>1.2561959999999985</v>
      </c>
      <c r="K37" s="117">
        <f t="shared" ca="1" si="27"/>
        <v>4.075240000000016</v>
      </c>
      <c r="L37" s="117">
        <f t="shared" ca="1" si="27"/>
        <v>1.0337760000000005</v>
      </c>
      <c r="M37" s="117">
        <f t="shared" ca="1" si="27"/>
        <v>2.8678440000000007</v>
      </c>
      <c r="N37" s="117">
        <f t="shared" ca="1" si="27"/>
        <v>1.0926500000000061</v>
      </c>
      <c r="O37" s="117">
        <f t="shared" ca="1" si="27"/>
        <v>5.8857239999999944</v>
      </c>
      <c r="P37" s="117">
        <f t="shared" ca="1" si="27"/>
        <v>1.1422159999999988</v>
      </c>
      <c r="Q37" s="117">
        <f t="shared" ca="1" si="27"/>
        <v>2.8166859999999949</v>
      </c>
      <c r="R37" s="117">
        <f t="shared" ca="1" si="27"/>
        <v>1.2576599999999978</v>
      </c>
      <c r="S37" s="117">
        <f t="shared" ca="1" si="27"/>
        <v>8.4246199999999973</v>
      </c>
      <c r="T37" s="117">
        <f t="shared" ca="1" si="27"/>
        <v>1.278661999999998</v>
      </c>
      <c r="U37" s="117">
        <f t="shared" ca="1" si="27"/>
        <v>1.2422699999999969</v>
      </c>
      <c r="V37" s="117">
        <f t="shared" ca="1" si="27"/>
        <v>1.6177979999999978</v>
      </c>
      <c r="W37" s="117">
        <f t="shared" ca="1" si="26"/>
        <v>6.760309999999996</v>
      </c>
      <c r="X37" s="91"/>
      <c r="Y37" s="73">
        <f t="shared" ca="1" si="24"/>
        <v>56.082485999999975</v>
      </c>
      <c r="Z37" s="6">
        <f t="shared" ca="1" si="25"/>
        <v>2.6705945714285702</v>
      </c>
    </row>
    <row r="38" spans="1:26" ht="14.45" customHeight="1">
      <c r="A38" s="133" t="s">
        <v>8</v>
      </c>
      <c r="B38" s="117">
        <f ca="1">SUMIF(Breakup!$B$58:$L$68,Quarterly!$A38,Breakup!C$58:C$68)</f>
        <v>0</v>
      </c>
      <c r="C38" s="117">
        <f t="shared" ca="1" si="26"/>
        <v>0.16502550000000005</v>
      </c>
      <c r="D38" s="117">
        <f t="shared" ca="1" si="26"/>
        <v>3.0074500000000004E-2</v>
      </c>
      <c r="E38" s="117">
        <f t="shared" ref="E38:V38" ca="1" si="28">E22+E30</f>
        <v>-2.1749999999999936E-2</v>
      </c>
      <c r="F38" s="117">
        <f t="shared" ca="1" si="28"/>
        <v>8.6499999999998245E-3</v>
      </c>
      <c r="G38" s="117">
        <f t="shared" ca="1" si="28"/>
        <v>2.5500000000000522E-3</v>
      </c>
      <c r="H38" s="117">
        <f t="shared" ca="1" si="28"/>
        <v>2.6450000000000085E-2</v>
      </c>
      <c r="I38" s="117">
        <f t="shared" ca="1" si="28"/>
        <v>5.1999999999998714E-3</v>
      </c>
      <c r="J38" s="117">
        <f t="shared" ca="1" si="28"/>
        <v>7.9936999999999925E-2</v>
      </c>
      <c r="K38" s="117">
        <f t="shared" ca="1" si="28"/>
        <v>8.6280000000000134E-2</v>
      </c>
      <c r="L38" s="117">
        <f t="shared" ca="1" si="28"/>
        <v>9.1176999999999842E-2</v>
      </c>
      <c r="M38" s="117">
        <f t="shared" ca="1" si="28"/>
        <v>-4.8369999999997582E-3</v>
      </c>
      <c r="N38" s="117">
        <f t="shared" ca="1" si="28"/>
        <v>9.1016999999999904E-2</v>
      </c>
      <c r="O38" s="117">
        <f t="shared" ca="1" si="28"/>
        <v>0.11696700000000004</v>
      </c>
      <c r="P38" s="117">
        <f t="shared" ca="1" si="28"/>
        <v>0.18439899999999998</v>
      </c>
      <c r="Q38" s="117">
        <f t="shared" ca="1" si="28"/>
        <v>0.12269799999999997</v>
      </c>
      <c r="R38" s="117">
        <f t="shared" ca="1" si="28"/>
        <v>5.0952499999999734E-2</v>
      </c>
      <c r="S38" s="117">
        <f t="shared" ca="1" si="28"/>
        <v>0.15525850000000041</v>
      </c>
      <c r="T38" s="117">
        <f t="shared" ca="1" si="28"/>
        <v>0.25785499999999972</v>
      </c>
      <c r="U38" s="117">
        <f t="shared" ca="1" si="28"/>
        <v>1.8600115000000002</v>
      </c>
      <c r="V38" s="117">
        <f t="shared" ca="1" si="28"/>
        <v>0.64162850000000038</v>
      </c>
      <c r="W38" s="117">
        <f t="shared" ca="1" si="26"/>
        <v>0.10504999999999942</v>
      </c>
      <c r="X38" s="91"/>
      <c r="Y38" s="73">
        <f t="shared" ca="1" si="24"/>
        <v>4.0545939999999998</v>
      </c>
      <c r="Z38" s="6">
        <f t="shared" ca="1" si="25"/>
        <v>0.19307590476190475</v>
      </c>
    </row>
    <row r="39" spans="1:26" ht="14.45" customHeight="1">
      <c r="A39" s="133" t="s">
        <v>9</v>
      </c>
      <c r="B39" s="117">
        <f ca="1">SUMIF(Breakup!$B$58:$L$68,Quarterly!$A39,Breakup!C$58:C$68)</f>
        <v>0</v>
      </c>
      <c r="C39" s="117">
        <f t="shared" ca="1" si="26"/>
        <v>0</v>
      </c>
      <c r="D39" s="117">
        <f t="shared" ca="1" si="26"/>
        <v>0</v>
      </c>
      <c r="E39" s="117">
        <f t="shared" ref="E39:V39" ca="1" si="29">E23+E31</f>
        <v>0.64485000000000003</v>
      </c>
      <c r="F39" s="117">
        <f t="shared" ca="1" si="29"/>
        <v>-0.54</v>
      </c>
      <c r="G39" s="117">
        <f t="shared" ca="1" si="29"/>
        <v>0</v>
      </c>
      <c r="H39" s="117">
        <f t="shared" ca="1" si="29"/>
        <v>0</v>
      </c>
      <c r="I39" s="117">
        <f t="shared" ca="1" si="29"/>
        <v>0</v>
      </c>
      <c r="J39" s="117">
        <f t="shared" ca="1" si="29"/>
        <v>0</v>
      </c>
      <c r="K39" s="117">
        <f t="shared" ca="1" si="29"/>
        <v>0</v>
      </c>
      <c r="L39" s="117">
        <f t="shared" ca="1" si="29"/>
        <v>0</v>
      </c>
      <c r="M39" s="117">
        <f t="shared" ca="1" si="29"/>
        <v>0</v>
      </c>
      <c r="N39" s="117">
        <f t="shared" ca="1" si="29"/>
        <v>0</v>
      </c>
      <c r="O39" s="117">
        <f t="shared" ca="1" si="29"/>
        <v>0</v>
      </c>
      <c r="P39" s="117">
        <f t="shared" ca="1" si="29"/>
        <v>0</v>
      </c>
      <c r="Q39" s="117">
        <f t="shared" ca="1" si="29"/>
        <v>0</v>
      </c>
      <c r="R39" s="117">
        <f t="shared" ca="1" si="29"/>
        <v>0</v>
      </c>
      <c r="S39" s="117">
        <f t="shared" ca="1" si="29"/>
        <v>0</v>
      </c>
      <c r="T39" s="117">
        <f t="shared" ca="1" si="29"/>
        <v>0</v>
      </c>
      <c r="U39" s="117">
        <f t="shared" ca="1" si="29"/>
        <v>0</v>
      </c>
      <c r="V39" s="117">
        <f t="shared" ca="1" si="29"/>
        <v>0</v>
      </c>
      <c r="W39" s="117">
        <f t="shared" ca="1" si="26"/>
        <v>0</v>
      </c>
      <c r="X39" s="91"/>
      <c r="Y39" s="73">
        <f t="shared" ca="1" si="24"/>
        <v>0.10485</v>
      </c>
      <c r="Z39" s="6">
        <f t="shared" ca="1" si="25"/>
        <v>4.9928571428571426E-3</v>
      </c>
    </row>
    <row r="40" spans="1:26" ht="14.45" customHeight="1">
      <c r="A40" s="133" t="s">
        <v>10</v>
      </c>
      <c r="B40" s="117">
        <f ca="1">SUMIF(Breakup!$B$58:$L$68,Quarterly!$A40,Breakup!C$58:C$68)</f>
        <v>0</v>
      </c>
      <c r="C40" s="117">
        <f t="shared" ca="1" si="26"/>
        <v>-3.6464983860000002</v>
      </c>
      <c r="D40" s="117">
        <f t="shared" ca="1" si="26"/>
        <v>2.5256122489999999</v>
      </c>
      <c r="E40" s="117">
        <f t="shared" ref="E40:V40" ca="1" si="30">E24+E32</f>
        <v>0.81967357699999965</v>
      </c>
      <c r="F40" s="117">
        <f t="shared" ca="1" si="30"/>
        <v>-1.4912217389999998</v>
      </c>
      <c r="G40" s="117">
        <f t="shared" ca="1" si="30"/>
        <v>-1.509704698</v>
      </c>
      <c r="H40" s="117">
        <f t="shared" ca="1" si="30"/>
        <v>-1.347861003</v>
      </c>
      <c r="I40" s="117">
        <f t="shared" ca="1" si="30"/>
        <v>2.5</v>
      </c>
      <c r="J40" s="117">
        <f t="shared" ca="1" si="30"/>
        <v>-1</v>
      </c>
      <c r="K40" s="117">
        <f t="shared" ca="1" si="30"/>
        <v>1.5</v>
      </c>
      <c r="L40" s="117">
        <f t="shared" ca="1" si="30"/>
        <v>-3</v>
      </c>
      <c r="M40" s="117">
        <f t="shared" ca="1" si="30"/>
        <v>0</v>
      </c>
      <c r="N40" s="117">
        <f t="shared" ca="1" si="30"/>
        <v>2</v>
      </c>
      <c r="O40" s="117">
        <f t="shared" ca="1" si="30"/>
        <v>1.3463446000000268E-2</v>
      </c>
      <c r="P40" s="117">
        <f t="shared" ca="1" si="30"/>
        <v>-2.0134634460000003</v>
      </c>
      <c r="Q40" s="117">
        <f t="shared" ca="1" si="30"/>
        <v>3.0407110509999997</v>
      </c>
      <c r="R40" s="117">
        <f t="shared" ca="1" si="30"/>
        <v>-3.0407110509999997</v>
      </c>
      <c r="S40" s="117">
        <f t="shared" ca="1" si="30"/>
        <v>9</v>
      </c>
      <c r="T40" s="117">
        <f t="shared" ca="1" si="30"/>
        <v>-9</v>
      </c>
      <c r="U40" s="117">
        <f t="shared" ca="1" si="30"/>
        <v>0</v>
      </c>
      <c r="V40" s="117">
        <f t="shared" ca="1" si="30"/>
        <v>0</v>
      </c>
      <c r="W40" s="117">
        <f t="shared" ca="1" si="26"/>
        <v>0</v>
      </c>
      <c r="X40" s="91"/>
      <c r="Y40" s="73">
        <f t="shared" ca="1" si="24"/>
        <v>-4.6500000000000004</v>
      </c>
      <c r="Z40" s="6">
        <f t="shared" ca="1" si="25"/>
        <v>-0.22142857142857145</v>
      </c>
    </row>
    <row r="41" spans="1:26" ht="14.45" customHeight="1">
      <c r="A41" s="120" t="s">
        <v>11</v>
      </c>
      <c r="B41" s="122">
        <f ca="1">SUM(B36:B40)</f>
        <v>0</v>
      </c>
      <c r="C41" s="122">
        <f t="shared" ca="1" si="26"/>
        <v>9.7234939428169973</v>
      </c>
      <c r="D41" s="122">
        <f t="shared" ca="1" si="26"/>
        <v>12.876612355999997</v>
      </c>
      <c r="E41" s="122">
        <f t="shared" ref="E41:V41" ca="1" si="31">E25+E33</f>
        <v>17.386878667000015</v>
      </c>
      <c r="F41" s="122">
        <f t="shared" ca="1" si="31"/>
        <v>5.8910450239999896</v>
      </c>
      <c r="G41" s="122">
        <f t="shared" ca="1" si="31"/>
        <v>5.93318129499999</v>
      </c>
      <c r="H41" s="122">
        <f t="shared" ca="1" si="31"/>
        <v>-6.5969055180000051</v>
      </c>
      <c r="I41" s="122">
        <f t="shared" ca="1" si="31"/>
        <v>18.504306353999986</v>
      </c>
      <c r="J41" s="122">
        <f t="shared" ca="1" si="31"/>
        <v>8.2134615430000171</v>
      </c>
      <c r="K41" s="122">
        <f t="shared" ca="1" si="31"/>
        <v>10.464867151000032</v>
      </c>
      <c r="L41" s="122">
        <f t="shared" ca="1" si="31"/>
        <v>20.385785054999964</v>
      </c>
      <c r="M41" s="122">
        <f t="shared" ca="1" si="31"/>
        <v>19.77638747000001</v>
      </c>
      <c r="N41" s="122">
        <f t="shared" ca="1" si="31"/>
        <v>23.718196298000027</v>
      </c>
      <c r="O41" s="122">
        <f t="shared" ca="1" si="31"/>
        <v>25.546422543999949</v>
      </c>
      <c r="P41" s="122">
        <f t="shared" ca="1" si="31"/>
        <v>24.092604789000031</v>
      </c>
      <c r="Q41" s="122">
        <f t="shared" ca="1" si="31"/>
        <v>30.196072824000012</v>
      </c>
      <c r="R41" s="122">
        <f t="shared" ca="1" si="31"/>
        <v>-4.9163276980000203</v>
      </c>
      <c r="S41" s="122">
        <f t="shared" ca="1" si="31"/>
        <v>-8.3535752469999807</v>
      </c>
      <c r="T41" s="122">
        <f t="shared" ca="1" si="31"/>
        <v>28.099479328999976</v>
      </c>
      <c r="U41" s="122">
        <f t="shared" ca="1" si="31"/>
        <v>2.063202939999992</v>
      </c>
      <c r="V41" s="122">
        <f t="shared" ca="1" si="31"/>
        <v>12.997009806999946</v>
      </c>
      <c r="W41" s="122">
        <f t="shared" ca="1" si="26"/>
        <v>-19.349446401999963</v>
      </c>
      <c r="X41" s="123"/>
      <c r="Y41" s="73">
        <f t="shared" ca="1" si="24"/>
        <v>236.65275252381696</v>
      </c>
      <c r="Z41" s="6">
        <f t="shared" ca="1" si="25"/>
        <v>11.269178691610332</v>
      </c>
    </row>
    <row r="42" spans="1:26" ht="14.45" customHeight="1">
      <c r="A42" s="124" t="s">
        <v>16</v>
      </c>
      <c r="B42" s="125"/>
      <c r="C42" s="126">
        <f ca="1">C41/B9</f>
        <v>0.11561742182818152</v>
      </c>
      <c r="D42" s="126">
        <f t="shared" ref="D42" ca="1" si="32">D41/C9</f>
        <v>0.13724207217060011</v>
      </c>
      <c r="E42" s="126">
        <f ca="1">E41/D9</f>
        <v>0.16294999462059781</v>
      </c>
      <c r="F42" s="126">
        <f ca="1">F41/E9</f>
        <v>4.7515045329468833E-2</v>
      </c>
      <c r="G42" s="126">
        <f ca="1">G41/F9</f>
        <v>4.5684213810383775E-2</v>
      </c>
      <c r="H42" s="126">
        <f t="shared" ref="H42:N42" ca="1" si="33">H41/G9</f>
        <v>-4.8575608415772277E-2</v>
      </c>
      <c r="I42" s="126">
        <f t="shared" ca="1" si="33"/>
        <v>0.14321104492661627</v>
      </c>
      <c r="J42" s="126">
        <f t="shared" ca="1" si="33"/>
        <v>5.5603678039563745E-2</v>
      </c>
      <c r="K42" s="126">
        <f t="shared" ca="1" si="33"/>
        <v>6.7113535322699827E-2</v>
      </c>
      <c r="L42" s="126">
        <f t="shared" ca="1" si="33"/>
        <v>0.12251611290472508</v>
      </c>
      <c r="M42" s="126">
        <f t="shared" ca="1" si="33"/>
        <v>0.10588151515038724</v>
      </c>
      <c r="N42" s="126">
        <f t="shared" ca="1" si="33"/>
        <v>0.11482758872757128</v>
      </c>
      <c r="O42" s="126">
        <f ca="1">O41/N9</f>
        <v>0.1109396955212841</v>
      </c>
      <c r="P42" s="126">
        <f t="shared" ref="P42" ca="1" si="34">P41/O9</f>
        <v>9.4178148884592638E-2</v>
      </c>
      <c r="Q42" s="126">
        <f t="shared" ref="Q42" ca="1" si="35">Q41/P9</f>
        <v>0.1078776797916158</v>
      </c>
      <c r="R42" s="126">
        <f t="shared" ref="R42" ca="1" si="36">R41/Q9</f>
        <v>-1.5853584686972469E-2</v>
      </c>
      <c r="S42" s="126">
        <f t="shared" ref="S42" ca="1" si="37">S41/R9</f>
        <v>-2.7371545994850862E-2</v>
      </c>
      <c r="T42" s="126">
        <f t="shared" ref="T42" ca="1" si="38">T41/S9</f>
        <v>9.4662559097668866E-2</v>
      </c>
      <c r="U42" s="126">
        <f t="shared" ref="U42" ca="1" si="39">U41/T9</f>
        <v>6.3495301246813129E-3</v>
      </c>
      <c r="V42" s="126">
        <f t="shared" ref="V42" ca="1" si="40">V41/U9</f>
        <v>3.9747514300454E-2</v>
      </c>
      <c r="W42" s="126">
        <f t="shared" ref="W42" ca="1" si="41">W41/V9</f>
        <v>-5.6908628781606262E-2</v>
      </c>
      <c r="X42" s="126"/>
      <c r="Y42" s="73"/>
    </row>
    <row r="43" spans="1:26" ht="14.45" customHeight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"/>
      <c r="Y43" s="73"/>
    </row>
    <row r="44" spans="1:26" ht="14.45" customHeight="1">
      <c r="A44" s="203" t="s">
        <v>17</v>
      </c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73"/>
    </row>
    <row r="45" spans="1:26" ht="14.45" customHeight="1">
      <c r="A45" s="134" t="s">
        <v>6</v>
      </c>
      <c r="B45" s="118"/>
      <c r="C45" s="93">
        <f ca="1">C28/(B4)</f>
        <v>0.11889210106778043</v>
      </c>
      <c r="D45" s="93">
        <f t="shared" ref="D45" ca="1" si="42">D28/(C4)</f>
        <v>0.11487707762751512</v>
      </c>
      <c r="E45" s="93">
        <f ca="1">E28/(D4)</f>
        <v>0.11424512355485</v>
      </c>
      <c r="F45" s="93">
        <f ca="1">F28/(E4)</f>
        <v>2.8553337030531767E-3</v>
      </c>
      <c r="G45" s="93">
        <f ca="1">G28/(F4)</f>
        <v>-2.0845257524510951E-2</v>
      </c>
      <c r="H45" s="93">
        <f ca="1">H28/(G4)</f>
        <v>-9.2576377266221963E-2</v>
      </c>
      <c r="I45" s="93">
        <f ca="1">I28/(H4)</f>
        <v>0.10219121697756477</v>
      </c>
      <c r="J45" s="93">
        <f t="shared" ref="J45:K47" ca="1" si="43">J28/(I4)</f>
        <v>4.7252854581775281E-3</v>
      </c>
      <c r="K45" s="93">
        <f t="shared" ca="1" si="43"/>
        <v>-2.2787699906424146E-2</v>
      </c>
      <c r="L45" s="93">
        <f t="shared" ref="L45:L50" ca="1" si="44">L28/(K4)</f>
        <v>0.14998428908432343</v>
      </c>
      <c r="M45" s="93">
        <f t="shared" ref="M45:M47" ca="1" si="45">M28/(L4)</f>
        <v>6.5866287386918757E-2</v>
      </c>
      <c r="N45" s="93">
        <f t="shared" ref="N45:N49" ca="1" si="46">N28/(M4)</f>
        <v>0.12254525087926449</v>
      </c>
      <c r="O45" s="93">
        <f t="shared" ref="O45:O47" ca="1" si="47">O28/(N4)</f>
        <v>6.7225019524098428E-2</v>
      </c>
      <c r="P45" s="93">
        <f t="shared" ref="P45:W47" ca="1" si="48">P28/(O4)</f>
        <v>9.7313657562226499E-2</v>
      </c>
      <c r="Q45" s="93">
        <f t="shared" ca="1" si="48"/>
        <v>7.3765061948331698E-2</v>
      </c>
      <c r="R45" s="93">
        <f t="shared" ca="1" si="48"/>
        <v>-4.8351393071368272E-2</v>
      </c>
      <c r="S45" s="93">
        <f t="shared" ca="1" si="48"/>
        <v>-9.6924887967297299E-2</v>
      </c>
      <c r="T45" s="93">
        <f t="shared" ca="1" si="48"/>
        <v>0.12962427082275302</v>
      </c>
      <c r="U45" s="93">
        <f t="shared" ca="1" si="48"/>
        <v>-1.0094252478002805E-2</v>
      </c>
      <c r="V45" s="93">
        <f t="shared" ca="1" si="48"/>
        <v>2.3517720294863004E-2</v>
      </c>
      <c r="W45" s="93">
        <f t="shared" ca="1" si="48"/>
        <v>-0.11373188556446799</v>
      </c>
      <c r="X45" s="93">
        <f ca="1">AVERAGE(C45:W45)*4</f>
        <v>0.14901256040255753</v>
      </c>
      <c r="Y45" s="73"/>
    </row>
    <row r="46" spans="1:26" ht="14.45" customHeight="1">
      <c r="A46" s="134" t="s">
        <v>7</v>
      </c>
      <c r="B46" s="118"/>
      <c r="C46" s="93">
        <f t="shared" ref="C46:I46" ca="1" si="49">C29/(B5)</f>
        <v>7.9588072548416849E-2</v>
      </c>
      <c r="D46" s="93">
        <f t="shared" ca="1" si="49"/>
        <v>1.7590716010994198E-2</v>
      </c>
      <c r="E46" s="93">
        <f t="shared" ca="1" si="49"/>
        <v>5.7298059148732576E-4</v>
      </c>
      <c r="F46" s="93">
        <f t="shared" ca="1" si="49"/>
        <v>4.7836240937550065E-4</v>
      </c>
      <c r="G46" s="93">
        <f t="shared" ca="1" si="49"/>
        <v>7.1763599707521983E-2</v>
      </c>
      <c r="H46" s="93">
        <f t="shared" ca="1" si="49"/>
        <v>3.5995462991924797E-3</v>
      </c>
      <c r="I46" s="93">
        <f t="shared" ca="1" si="49"/>
        <v>1.5232951567603196E-3</v>
      </c>
      <c r="J46" s="93">
        <f t="shared" ca="1" si="43"/>
        <v>7.8561104890065053E-4</v>
      </c>
      <c r="K46" s="93">
        <f t="shared" ref="K46:K50" ca="1" si="50">K29/(J5)</f>
        <v>6.3893114058403297E-2</v>
      </c>
      <c r="L46" s="93">
        <f t="shared" ca="1" si="44"/>
        <v>1.4715672032797208E-3</v>
      </c>
      <c r="M46" s="93">
        <f t="shared" ca="1" si="45"/>
        <v>6.886727459346748E-4</v>
      </c>
      <c r="N46" s="93">
        <f t="shared" ca="1" si="46"/>
        <v>6.6399399305249742E-4</v>
      </c>
      <c r="O46" s="93">
        <f t="shared" ca="1" si="47"/>
        <v>8.3025799437464187E-2</v>
      </c>
      <c r="P46" s="93">
        <f t="shared" ca="1" si="48"/>
        <v>1.365270938451619E-3</v>
      </c>
      <c r="Q46" s="93">
        <f t="shared" ca="1" si="48"/>
        <v>1.7166290794015681E-3</v>
      </c>
      <c r="R46" s="93">
        <f t="shared" ca="1" si="48"/>
        <v>5.7502960402921099E-4</v>
      </c>
      <c r="S46" s="93">
        <f t="shared" ca="1" si="48"/>
        <v>8.2351959778862269E-2</v>
      </c>
      <c r="T46" s="93">
        <f t="shared" ca="1" si="48"/>
        <v>7.7363590086467057E-4</v>
      </c>
      <c r="U46" s="93">
        <f t="shared" ca="1" si="48"/>
        <v>3.0040914129951616E-4</v>
      </c>
      <c r="V46" s="93">
        <f t="shared" ca="1" si="48"/>
        <v>-7.1528389997183701E-4</v>
      </c>
      <c r="W46" s="93">
        <f t="shared" ca="1" si="48"/>
        <v>6.5171253910790719E-2</v>
      </c>
      <c r="X46" s="93">
        <f ca="1">AVERAGE(C46:W46)*4</f>
        <v>9.0892235364668866E-2</v>
      </c>
      <c r="Y46" s="73"/>
    </row>
    <row r="47" spans="1:26" ht="14.45" customHeight="1">
      <c r="A47" s="134" t="s">
        <v>8</v>
      </c>
      <c r="B47" s="118"/>
      <c r="C47" s="93">
        <f t="shared" ref="C47:I47" ca="1" si="51">C30/(B6)</f>
        <v>-8.2474499999999951E-2</v>
      </c>
      <c r="D47" s="93">
        <f t="shared" ca="1" si="51"/>
        <v>2.581445642176931E-2</v>
      </c>
      <c r="E47" s="93">
        <f t="shared" ca="1" si="51"/>
        <v>-1.8199313864948486E-2</v>
      </c>
      <c r="F47" s="93">
        <f t="shared" ca="1" si="51"/>
        <v>7.3720543742274887E-3</v>
      </c>
      <c r="G47" s="93">
        <f t="shared" ca="1" si="51"/>
        <v>1.8824027072758126E-2</v>
      </c>
      <c r="H47" s="93">
        <f t="shared" ca="1" si="51"/>
        <v>0</v>
      </c>
      <c r="I47" s="93">
        <f t="shared" ca="1" si="51"/>
        <v>5.6069364161848486E-3</v>
      </c>
      <c r="J47" s="93">
        <f t="shared" ca="1" si="43"/>
        <v>6.572685413583286E-2</v>
      </c>
      <c r="K47" s="93">
        <f t="shared" ca="1" si="50"/>
        <v>6.656703728078138E-2</v>
      </c>
      <c r="L47" s="93">
        <f t="shared" ca="1" si="44"/>
        <v>6.5954773414968013E-2</v>
      </c>
      <c r="M47" s="93">
        <f t="shared" ca="1" si="45"/>
        <v>-3.2824509328890851E-3</v>
      </c>
      <c r="N47" s="93">
        <f t="shared" ca="1" si="46"/>
        <v>6.196872593628483E-2</v>
      </c>
      <c r="O47" s="93">
        <f t="shared" ca="1" si="47"/>
        <v>7.4989710047737718E-2</v>
      </c>
      <c r="P47" s="93">
        <f t="shared" ca="1" si="48"/>
        <v>0.10997464724724926</v>
      </c>
      <c r="Q47" s="93">
        <f t="shared" ca="1" si="48"/>
        <v>6.592626024909462E-2</v>
      </c>
      <c r="R47" s="93">
        <f t="shared" ca="1" si="48"/>
        <v>2.5683800794217941E-2</v>
      </c>
      <c r="S47" s="93">
        <f t="shared" ca="1" si="48"/>
        <v>7.6301958358858279E-2</v>
      </c>
      <c r="T47" s="93">
        <f t="shared" ca="1" si="48"/>
        <v>0.11773937478111207</v>
      </c>
      <c r="U47" s="93">
        <f t="shared" ca="1" si="48"/>
        <v>0.35132566473195037</v>
      </c>
      <c r="V47" s="93">
        <f t="shared" ca="1" si="48"/>
        <v>0.14894175616954428</v>
      </c>
      <c r="W47" s="93">
        <f t="shared" ca="1" si="48"/>
        <v>2.1224177419172232E-2</v>
      </c>
      <c r="X47" s="93">
        <f ca="1">AVERAGE(C47:W47)*4</f>
        <v>0.22971160953407735</v>
      </c>
      <c r="Y47" s="73"/>
    </row>
    <row r="48" spans="1:26" ht="14.45" customHeight="1">
      <c r="A48" s="134" t="s">
        <v>9</v>
      </c>
      <c r="B48" s="118"/>
      <c r="C48" s="93">
        <v>0</v>
      </c>
      <c r="D48" s="93">
        <v>0</v>
      </c>
      <c r="E48" s="93">
        <v>0</v>
      </c>
      <c r="F48" s="93">
        <f t="shared" ref="F48" ca="1" si="52">F31/(E7)</f>
        <v>0.35185185185185175</v>
      </c>
      <c r="G48" s="93">
        <v>0</v>
      </c>
      <c r="H48" s="93">
        <v>0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>
        <v>0</v>
      </c>
      <c r="Y48" s="73"/>
    </row>
    <row r="49" spans="1:25" ht="14.45" customHeight="1">
      <c r="A49" s="134" t="s">
        <v>10</v>
      </c>
      <c r="B49" s="118"/>
      <c r="C49" s="93">
        <f t="shared" ref="C49:G50" ca="1" si="53">C32/(B8)</f>
        <v>0</v>
      </c>
      <c r="D49" s="93">
        <f t="shared" ca="1" si="53"/>
        <v>0</v>
      </c>
      <c r="E49" s="93">
        <f t="shared" ca="1" si="53"/>
        <v>0</v>
      </c>
      <c r="F49" s="93">
        <f t="shared" ca="1" si="53"/>
        <v>0</v>
      </c>
      <c r="G49" s="93">
        <f t="shared" ca="1" si="53"/>
        <v>0</v>
      </c>
      <c r="H49" s="93">
        <v>0</v>
      </c>
      <c r="I49" s="93">
        <v>0</v>
      </c>
      <c r="J49" s="93">
        <v>0</v>
      </c>
      <c r="K49" s="93">
        <f t="shared" ca="1" si="50"/>
        <v>0</v>
      </c>
      <c r="L49" s="93">
        <f t="shared" ca="1" si="44"/>
        <v>0</v>
      </c>
      <c r="M49" s="93">
        <v>0</v>
      </c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>
        <v>0</v>
      </c>
      <c r="Y49" s="73"/>
    </row>
    <row r="50" spans="1:25" ht="14.45" customHeight="1">
      <c r="A50" s="98" t="s">
        <v>11</v>
      </c>
      <c r="B50" s="113"/>
      <c r="C50" s="121">
        <f t="shared" ref="C50:E50" ca="1" si="54">C33/(B9)</f>
        <v>9.4721345509429983E-2</v>
      </c>
      <c r="D50" s="121">
        <f t="shared" ca="1" si="54"/>
        <v>7.5194336581873258E-2</v>
      </c>
      <c r="E50" s="121">
        <f t="shared" ca="1" si="54"/>
        <v>7.017691031276227E-2</v>
      </c>
      <c r="F50" s="121">
        <f t="shared" ca="1" si="53"/>
        <v>3.5564800024953701E-3</v>
      </c>
      <c r="G50" s="121">
        <f t="shared" ca="1" si="53"/>
        <v>8.8991416091347645E-3</v>
      </c>
      <c r="H50" s="121">
        <f t="shared" ref="H50" ca="1" si="55">H33/(G9)</f>
        <v>-5.9469779633931297E-2</v>
      </c>
      <c r="I50" s="121">
        <f t="shared" ref="I50" ca="1" si="56">I33/(H9)</f>
        <v>6.5995332126522407E-2</v>
      </c>
      <c r="J50" s="121">
        <f t="shared" ref="J50" ca="1" si="57">J33/(I9)</f>
        <v>3.8710745921353013E-3</v>
      </c>
      <c r="K50" s="121">
        <f t="shared" ca="1" si="50"/>
        <v>5.4785948108507119E-3</v>
      </c>
      <c r="L50" s="121">
        <f t="shared" ca="1" si="44"/>
        <v>9.9105577267011705E-2</v>
      </c>
      <c r="M50" s="121">
        <f t="shared" ref="M50" ca="1" si="58">M33/(L9)</f>
        <v>4.6398189790262216E-2</v>
      </c>
      <c r="N50" s="121">
        <f t="shared" ref="N50" ca="1" si="59">N33/(M9)</f>
        <v>8.8425272618379014E-2</v>
      </c>
      <c r="O50" s="121">
        <f t="shared" ref="O50" ca="1" si="60">O33/(N9)</f>
        <v>7.0686361702495773E-2</v>
      </c>
      <c r="P50" s="121">
        <f t="shared" ref="P50:W50" ca="1" si="61">P33/(O9)</f>
        <v>7.2599594641835005E-2</v>
      </c>
      <c r="Q50" s="121">
        <f t="shared" ca="1" si="61"/>
        <v>5.6927305838822051E-2</v>
      </c>
      <c r="R50" s="121">
        <f t="shared" ca="1" si="61"/>
        <v>-3.6670235315615564E-2</v>
      </c>
      <c r="S50" s="121">
        <f t="shared" ca="1" si="61"/>
        <v>-5.5068005864277597E-2</v>
      </c>
      <c r="T50" s="121">
        <f t="shared" ca="1" si="61"/>
        <v>9.1872787902696679E-2</v>
      </c>
      <c r="U50" s="121">
        <f t="shared" ca="1" si="61"/>
        <v>-4.8445748775560451E-3</v>
      </c>
      <c r="V50" s="121">
        <f t="shared" ca="1" si="61"/>
        <v>1.9224855338125547E-2</v>
      </c>
      <c r="W50" s="121">
        <f t="shared" ca="1" si="61"/>
        <v>-6.8693191681930568E-2</v>
      </c>
      <c r="X50" s="121">
        <f ca="1">X33/(W9)</f>
        <v>0</v>
      </c>
      <c r="Y50" s="73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1D14-04E3-4C4C-B79D-A91AA0586F4A}">
  <dimension ref="A1:BQ75"/>
  <sheetViews>
    <sheetView showGridLines="0" zoomScale="90" zoomScaleNormal="90" workbookViewId="0">
      <pane xSplit="1" ySplit="2" topLeftCell="BC135" activePane="bottomRight" state="frozen"/>
      <selection pane="bottomRight" activeCell="BN150" sqref="BN150"/>
      <selection pane="bottomLeft"/>
      <selection pane="topRight"/>
    </sheetView>
  </sheetViews>
  <sheetFormatPr defaultRowHeight="15"/>
  <cols>
    <col min="1" max="1" width="11.85546875" style="100" bestFit="1" customWidth="1"/>
    <col min="2" max="3" width="10.28515625" bestFit="1" customWidth="1"/>
    <col min="4" max="67" width="10.28515625" customWidth="1"/>
    <col min="68" max="68" width="14.42578125" bestFit="1" customWidth="1"/>
  </cols>
  <sheetData>
    <row r="1" spans="1:69">
      <c r="A1" s="108" t="s">
        <v>44</v>
      </c>
      <c r="B1" s="109" t="s">
        <v>45</v>
      </c>
      <c r="C1" s="109" t="s">
        <v>46</v>
      </c>
      <c r="D1" s="109" t="s">
        <v>47</v>
      </c>
      <c r="E1" s="109" t="s">
        <v>48</v>
      </c>
      <c r="F1" s="109" t="s">
        <v>49</v>
      </c>
      <c r="G1" s="109" t="s">
        <v>50</v>
      </c>
      <c r="H1" s="109" t="s">
        <v>51</v>
      </c>
      <c r="I1" s="109" t="s">
        <v>52</v>
      </c>
      <c r="J1" s="109" t="s">
        <v>53</v>
      </c>
      <c r="K1" s="109" t="s">
        <v>54</v>
      </c>
      <c r="L1" s="109" t="s">
        <v>55</v>
      </c>
      <c r="M1" s="109" t="s">
        <v>56</v>
      </c>
      <c r="N1" s="109" t="s">
        <v>57</v>
      </c>
      <c r="O1" s="109" t="s">
        <v>58</v>
      </c>
      <c r="P1" s="109" t="s">
        <v>59</v>
      </c>
      <c r="Q1" s="109" t="s">
        <v>60</v>
      </c>
      <c r="R1" s="109" t="s">
        <v>61</v>
      </c>
      <c r="S1" s="109" t="s">
        <v>62</v>
      </c>
      <c r="T1" s="109" t="s">
        <v>63</v>
      </c>
      <c r="U1" s="109" t="s">
        <v>64</v>
      </c>
      <c r="V1" s="109" t="s">
        <v>65</v>
      </c>
      <c r="W1" s="109" t="s">
        <v>66</v>
      </c>
      <c r="X1" s="109" t="s">
        <v>67</v>
      </c>
      <c r="Y1" s="109" t="s">
        <v>68</v>
      </c>
      <c r="Z1" s="109" t="s">
        <v>69</v>
      </c>
      <c r="AA1" s="109" t="s">
        <v>70</v>
      </c>
      <c r="AB1" s="109" t="s">
        <v>71</v>
      </c>
      <c r="AC1" s="109" t="s">
        <v>72</v>
      </c>
      <c r="AD1" s="109" t="s">
        <v>73</v>
      </c>
      <c r="AE1" s="109" t="s">
        <v>74</v>
      </c>
      <c r="AF1" s="109" t="s">
        <v>75</v>
      </c>
      <c r="AG1" s="109" t="s">
        <v>76</v>
      </c>
      <c r="AH1" s="109" t="s">
        <v>77</v>
      </c>
      <c r="AI1" s="109" t="s">
        <v>78</v>
      </c>
      <c r="AJ1" s="109" t="s">
        <v>79</v>
      </c>
      <c r="AK1" s="109" t="s">
        <v>80</v>
      </c>
      <c r="AL1" s="109" t="s">
        <v>81</v>
      </c>
      <c r="AM1" s="109" t="s">
        <v>82</v>
      </c>
      <c r="AN1" s="109" t="s">
        <v>83</v>
      </c>
      <c r="AO1" s="109" t="s">
        <v>84</v>
      </c>
      <c r="AP1" s="109" t="s">
        <v>85</v>
      </c>
      <c r="AQ1" s="109" t="s">
        <v>86</v>
      </c>
      <c r="AR1" s="109" t="s">
        <v>87</v>
      </c>
      <c r="AS1" s="109" t="s">
        <v>88</v>
      </c>
      <c r="AT1" s="109" t="s">
        <v>89</v>
      </c>
      <c r="AU1" s="109" t="s">
        <v>90</v>
      </c>
      <c r="AV1" s="109" t="s">
        <v>91</v>
      </c>
      <c r="AW1" s="109" t="s">
        <v>92</v>
      </c>
      <c r="AX1" s="109" t="s">
        <v>93</v>
      </c>
      <c r="AY1" s="109" t="s">
        <v>94</v>
      </c>
      <c r="AZ1" s="109" t="s">
        <v>95</v>
      </c>
      <c r="BA1" s="109" t="s">
        <v>96</v>
      </c>
      <c r="BB1" s="109" t="s">
        <v>97</v>
      </c>
      <c r="BC1" s="109" t="s">
        <v>98</v>
      </c>
      <c r="BD1" s="109" t="s">
        <v>99</v>
      </c>
      <c r="BE1" s="109" t="s">
        <v>100</v>
      </c>
      <c r="BF1" s="109" t="s">
        <v>101</v>
      </c>
      <c r="BG1" s="109" t="s">
        <v>102</v>
      </c>
      <c r="BH1" s="109" t="s">
        <v>103</v>
      </c>
      <c r="BI1" s="109" t="s">
        <v>104</v>
      </c>
      <c r="BJ1" s="109" t="s">
        <v>105</v>
      </c>
      <c r="BK1" s="109" t="s">
        <v>106</v>
      </c>
      <c r="BL1" s="109" t="s">
        <v>107</v>
      </c>
      <c r="BM1" s="109" t="s">
        <v>108</v>
      </c>
      <c r="BN1" s="109" t="s">
        <v>109</v>
      </c>
      <c r="BO1" s="164">
        <f>COUNTA($B1:BN1)-1</f>
        <v>64</v>
      </c>
      <c r="BP1" s="70"/>
    </row>
    <row r="2" spans="1:69">
      <c r="A2" s="99"/>
      <c r="B2" s="111" t="s">
        <v>2</v>
      </c>
      <c r="C2" s="111" t="s">
        <v>2</v>
      </c>
      <c r="D2" s="111" t="s">
        <v>2</v>
      </c>
      <c r="E2" s="111" t="s">
        <v>2</v>
      </c>
      <c r="F2" s="111" t="s">
        <v>2</v>
      </c>
      <c r="G2" s="111" t="s">
        <v>2</v>
      </c>
      <c r="H2" s="111" t="s">
        <v>2</v>
      </c>
      <c r="I2" s="111" t="s">
        <v>2</v>
      </c>
      <c r="J2" s="111" t="s">
        <v>2</v>
      </c>
      <c r="K2" s="111" t="s">
        <v>2</v>
      </c>
      <c r="L2" s="111" t="s">
        <v>2</v>
      </c>
      <c r="M2" s="111" t="s">
        <v>2</v>
      </c>
      <c r="N2" s="111" t="s">
        <v>2</v>
      </c>
      <c r="O2" s="111" t="s">
        <v>2</v>
      </c>
      <c r="P2" s="111" t="s">
        <v>2</v>
      </c>
      <c r="Q2" s="111" t="s">
        <v>2</v>
      </c>
      <c r="R2" s="111" t="s">
        <v>2</v>
      </c>
      <c r="S2" s="111" t="s">
        <v>2</v>
      </c>
      <c r="T2" s="111" t="s">
        <v>2</v>
      </c>
      <c r="U2" s="111" t="s">
        <v>2</v>
      </c>
      <c r="V2" s="111" t="s">
        <v>2</v>
      </c>
      <c r="W2" s="111" t="s">
        <v>2</v>
      </c>
      <c r="X2" s="111" t="s">
        <v>2</v>
      </c>
      <c r="Y2" s="111" t="s">
        <v>2</v>
      </c>
      <c r="Z2" s="111" t="s">
        <v>2</v>
      </c>
      <c r="AA2" s="111" t="s">
        <v>2</v>
      </c>
      <c r="AB2" s="111" t="s">
        <v>2</v>
      </c>
      <c r="AC2" s="111" t="s">
        <v>2</v>
      </c>
      <c r="AD2" s="111" t="s">
        <v>2</v>
      </c>
      <c r="AE2" s="111" t="s">
        <v>2</v>
      </c>
      <c r="AF2" s="111" t="s">
        <v>2</v>
      </c>
      <c r="AG2" s="111" t="s">
        <v>2</v>
      </c>
      <c r="AH2" s="111" t="s">
        <v>2</v>
      </c>
      <c r="AI2" s="111" t="s">
        <v>2</v>
      </c>
      <c r="AJ2" s="111" t="s">
        <v>2</v>
      </c>
      <c r="AK2" s="111" t="s">
        <v>2</v>
      </c>
      <c r="AL2" s="111" t="s">
        <v>2</v>
      </c>
      <c r="AM2" s="111" t="s">
        <v>2</v>
      </c>
      <c r="AN2" s="111" t="s">
        <v>2</v>
      </c>
      <c r="AO2" s="111" t="s">
        <v>2</v>
      </c>
      <c r="AP2" s="111" t="s">
        <v>2</v>
      </c>
      <c r="AQ2" s="111" t="s">
        <v>2</v>
      </c>
      <c r="AR2" s="111" t="s">
        <v>2</v>
      </c>
      <c r="AS2" s="111" t="s">
        <v>2</v>
      </c>
      <c r="AT2" s="111" t="s">
        <v>2</v>
      </c>
      <c r="AU2" s="111" t="s">
        <v>2</v>
      </c>
      <c r="AV2" s="111" t="s">
        <v>2</v>
      </c>
      <c r="AW2" s="111" t="s">
        <v>2</v>
      </c>
      <c r="AX2" s="111" t="s">
        <v>2</v>
      </c>
      <c r="AY2" s="111" t="s">
        <v>2</v>
      </c>
      <c r="AZ2" s="111" t="s">
        <v>2</v>
      </c>
      <c r="BA2" s="111" t="s">
        <v>2</v>
      </c>
      <c r="BB2" s="111" t="s">
        <v>2</v>
      </c>
      <c r="BC2" s="111" t="s">
        <v>2</v>
      </c>
      <c r="BD2" s="111" t="s">
        <v>2</v>
      </c>
      <c r="BE2" s="111" t="s">
        <v>2</v>
      </c>
      <c r="BF2" s="111" t="s">
        <v>2</v>
      </c>
      <c r="BG2" s="111" t="s">
        <v>2</v>
      </c>
      <c r="BH2" s="111" t="s">
        <v>2</v>
      </c>
      <c r="BI2" s="111" t="s">
        <v>2</v>
      </c>
      <c r="BJ2" s="111" t="s">
        <v>2</v>
      </c>
      <c r="BK2" s="111" t="s">
        <v>2</v>
      </c>
      <c r="BL2" s="111" t="s">
        <v>2</v>
      </c>
      <c r="BM2" s="111" t="s">
        <v>2</v>
      </c>
      <c r="BN2" s="111" t="s">
        <v>2</v>
      </c>
      <c r="BO2" s="70" t="s">
        <v>3</v>
      </c>
      <c r="BP2" s="70" t="s">
        <v>4</v>
      </c>
      <c r="BQ2" t="s">
        <v>110</v>
      </c>
    </row>
    <row r="3" spans="1:69">
      <c r="A3" s="160" t="s">
        <v>5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0"/>
      <c r="BP3" s="10"/>
    </row>
    <row r="4" spans="1:69">
      <c r="A4" s="101" t="s">
        <v>6</v>
      </c>
      <c r="B4" s="112">
        <f ca="1">SUMIF(Breakup!$B$4:$C$14,Monthly!$A4,Breakup!$C$4:$C$14)</f>
        <v>45.920594781182999</v>
      </c>
      <c r="C4" s="112">
        <f ca="1">SUMIF(Breakup!$B$4:D$14,Monthly!$A4,Breakup!D$4:D$14)</f>
        <v>49.854466219999999</v>
      </c>
      <c r="D4" s="112">
        <f ca="1">SUMIF(Breakup!$B$4:E$14,Monthly!$A4,Breakup!E$4:E$14)</f>
        <v>54.495786845000005</v>
      </c>
      <c r="E4" s="112">
        <f ca="1">SUMIF(Breakup!$B$4:F$14,Monthly!$A4,Breakup!F$4:F$14)</f>
        <v>55.636561609999994</v>
      </c>
      <c r="F4" s="112">
        <f ca="1">SUMIF(Breakup!$B$4:G$14,Monthly!$A4,Breakup!G$4:G$14)</f>
        <v>54.207659053</v>
      </c>
      <c r="G4" s="112">
        <f ca="1">SUMIF(Breakup!$B$4:H$14,Monthly!$A4,Breakup!H$4:H$14)</f>
        <v>60.628057404999986</v>
      </c>
      <c r="H4" s="112">
        <f ca="1">SUMIF(Breakup!$B$4:$L$14,Monthly!$A4,Breakup!$I$4:$I$14)</f>
        <v>64.627927216999993</v>
      </c>
      <c r="I4" s="112">
        <f ca="1">SUMIF(Breakup!$B$4:$L$14,Monthly!$A4,Breakup!$J$4:$J$14)</f>
        <v>68.497238061000004</v>
      </c>
      <c r="J4" s="112">
        <f ca="1">SUMIF(Breakup!$B$4:$L$14,Monthly!$A4,Breakup!$K$4:$K$14)</f>
        <v>74.895076651000011</v>
      </c>
      <c r="K4" s="112">
        <f ca="1">SUMIF(Breakup!$B$4:$L$14,Monthly!$A4,Breakup!L$4:L$14)</f>
        <v>78.201752306999992</v>
      </c>
      <c r="L4" s="112">
        <f ca="1">SUMIF(Breakup!$B$4:M$14,Monthly!$A4,Breakup!M$4:M$14)</f>
        <v>80.991219000000001</v>
      </c>
      <c r="M4" s="112">
        <f ca="1">SUMIF(Breakup!$B$4:N$14,Monthly!$A4,Breakup!N$4:N$14)</f>
        <v>82.479766661000014</v>
      </c>
      <c r="N4" s="112">
        <f ca="1">SUMIF(Breakup!$B$4:O$14,Monthly!$A4,Breakup!O$4:O$14)</f>
        <v>85.27046906999999</v>
      </c>
      <c r="O4" s="112">
        <f ca="1">SUMIF(Breakup!$B$4:P$14,Monthly!$A4,Breakup!P$4:P$14)</f>
        <v>87.990960926</v>
      </c>
      <c r="P4" s="112">
        <f ca="1">SUMIF(Breakup!$B$4:Q$14,Monthly!$A4,Breakup!Q$4:Q$14)</f>
        <v>81.655620943999992</v>
      </c>
      <c r="Q4" s="112">
        <f ca="1">SUMIF(Breakup!$B$4:R$14,Monthly!$A4,Breakup!R$4:R$14)</f>
        <v>88.963405062999996</v>
      </c>
      <c r="R4" s="112">
        <f ca="1">SUMIF(Breakup!$B$4:S$14,Monthly!$A4,Breakup!S$4:S$14)</f>
        <v>88.984977066000013</v>
      </c>
      <c r="S4" s="112">
        <f ca="1">SUMIF(Breakup!$B$4:T$14,Monthly!$A4,Breakup!T$4:T$14)</f>
        <v>85.390920169000012</v>
      </c>
      <c r="T4" s="112">
        <f ca="1">SUMIF(Breakup!$B$4:U$14,Monthly!$A4,Breakup!U$4:U$14)</f>
        <v>82.702510547999992</v>
      </c>
      <c r="U4" s="112">
        <f ca="1">SUMIF(Breakup!$B$4:V$14,Monthly!$A4,Breakup!V$4:V$14)</f>
        <v>91.656920808999999</v>
      </c>
      <c r="V4" s="112">
        <f ca="1">SUMIF(Breakup!$B$4:W$14,Monthly!$A4,Breakup!W$4:W$14)</f>
        <v>95.41478920199998</v>
      </c>
      <c r="W4" s="112">
        <f ca="1">SUMIF(Breakup!$B$4:X$14,Monthly!$A4,Breakup!X$4:X$14)</f>
        <v>96.137322901999994</v>
      </c>
      <c r="X4" s="112">
        <f ca="1">SUMIF(Breakup!$B$4:Y$14,Monthly!$A4,Breakup!Y$4:Y$14)</f>
        <v>102.73254737800001</v>
      </c>
      <c r="Y4" s="112">
        <f ca="1">SUMIF(Breakup!$B$4:Z$14,Monthly!$A4,Breakup!Z$4:Z$14)</f>
        <v>106.17819669830001</v>
      </c>
      <c r="Z4" s="112">
        <f ca="1">SUMIF(Breakup!$B$4:AA$14,Monthly!$A4,Breakup!AA$4:AA$14)</f>
        <v>104.01465144500001</v>
      </c>
      <c r="AA4" s="112">
        <f ca="1">SUMIF(Breakup!$B$4:AB$14,Monthly!$A4,Breakup!AB$4:AB$14)</f>
        <v>106.68943061200001</v>
      </c>
      <c r="AB4" s="112">
        <f ca="1">SUMIF(Breakup!$B$4:AC$14,Monthly!$A4,Breakup!AC$4:AC$14)</f>
        <v>108.830361517</v>
      </c>
      <c r="AC4" s="112">
        <f ca="1">SUMIF(Breakup!$B$4:AD$14,Monthly!$A4,Breakup!AD$4:AD$14)</f>
        <v>108.81799859600002</v>
      </c>
      <c r="AD4" s="112">
        <f ca="1">SUMIF(Breakup!$B$4:AE$14,Monthly!$A4,Breakup!AE$4:AE$14)</f>
        <v>116.68134256700002</v>
      </c>
      <c r="AE4" s="112">
        <f ca="1">SUMIF(Breakup!$B$4:AF$14,Monthly!$A4,Breakup!AF$4:AF$14)</f>
        <v>123.524071557</v>
      </c>
      <c r="AF4" s="112">
        <f ca="1">SUMIF(Breakup!$B$4:AG$14,Monthly!$A4,Breakup!AG$4:AG$14)</f>
        <v>131.07883065099998</v>
      </c>
      <c r="AG4" s="112">
        <f ca="1">SUMIF(Breakup!$B$4:AH$14,Monthly!$A4,Breakup!AH$4:AH$14)</f>
        <v>140.44856974300001</v>
      </c>
      <c r="AH4" s="112">
        <f ca="1">SUMIF(Breakup!$B$4:AI$14,Monthly!$A4,Breakup!AI$4:AI$14)</f>
        <v>144.778350886</v>
      </c>
      <c r="AI4" s="112">
        <f ca="1">SUMIF(Breakup!$B$4:AJ$14,Monthly!$A4,Breakup!AJ$4:AJ$14)</f>
        <v>147.99221112100003</v>
      </c>
      <c r="AJ4" s="112">
        <f ca="1">SUMIF(Breakup!$B$4:AK$14,Monthly!$A4,Breakup!AK$4:AK$14)</f>
        <v>148.63207475800002</v>
      </c>
      <c r="AK4" s="112">
        <f ca="1">SUMIF(Breakup!$B$4:AL$14,Monthly!$A4,Breakup!AL$4:AL$14)</f>
        <v>159.53187922499998</v>
      </c>
      <c r="AL4" s="112">
        <f ca="1">SUMIF(Breakup!$B$4:AM$14,Monthly!$A4,Breakup!AM$4:AM$14)</f>
        <v>168.52674041900002</v>
      </c>
      <c r="AM4" s="112">
        <f ca="1">SUMIF(Breakup!$B$4:AN$14,Monthly!$A4,Breakup!AN$4:AN$14)</f>
        <v>176.193516149</v>
      </c>
      <c r="AN4" s="112">
        <f ca="1">SUMIF(Breakup!$B$4:AO$14,Monthly!$A4,Breakup!AO$4:AO$14)</f>
        <v>183.76902994400001</v>
      </c>
      <c r="AO4" s="112">
        <f ca="1">SUMIF(Breakup!$B$4:AP$14,Monthly!$A4,Breakup!AP$4:AP$14)</f>
        <v>188.05700851699999</v>
      </c>
      <c r="AP4" s="112">
        <f ca="1">SUMIF(Breakup!$B$4:AQ$14,Monthly!$A4,Breakup!AQ$4:AQ$14)</f>
        <v>192.99584087499997</v>
      </c>
      <c r="AQ4" s="112">
        <f ca="1">SUMIF(Breakup!$B$4:AR$14,Monthly!$A4,Breakup!AR$4:AR$14)</f>
        <v>197.52442878900001</v>
      </c>
      <c r="AR4" s="112">
        <f ca="1">SUMIF(Breakup!$B$4:AS$14,Monthly!$A4,Breakup!AS$4:AS$14)</f>
        <v>212.83646175200002</v>
      </c>
      <c r="AS4" s="112">
        <f ca="1">SUMIF(Breakup!$B$4:AT$14,Monthly!$A4,Breakup!AT$4:AT$14)</f>
        <v>225.19416586599999</v>
      </c>
      <c r="AT4" s="112">
        <f ca="1">SUMIF(Breakup!$B$4:AU$14,Monthly!$A4,Breakup!AU$4:AU$14)</f>
        <v>230.67884736400003</v>
      </c>
      <c r="AU4" s="112">
        <f ca="1">SUMIF(Breakup!$B$4:AV$14,Monthly!$A4,Breakup!AV$4:AV$14)</f>
        <v>237.05243952500004</v>
      </c>
      <c r="AV4" s="112">
        <f ca="1">SUMIF(Breakup!$B$4:AW$14,Monthly!$A4,Breakup!AW$4:AW$14)</f>
        <v>226.17228400399998</v>
      </c>
      <c r="AW4" s="112">
        <f ca="1">SUMIF(Breakup!$B$4:AX$14,Monthly!$A4,Breakup!AX$4:AX$14)</f>
        <v>228.45933565500005</v>
      </c>
      <c r="AX4" s="112">
        <f ca="1">SUMIF(Breakup!$B$4:AY$14,Monthly!$A4,Breakup!AY$4:AY$14)</f>
        <v>233.86821037800001</v>
      </c>
      <c r="AY4" s="112">
        <f ca="1">SUMIF(Breakup!$B$4:AZ$14,Monthly!$A4,Breakup!AZ$4:AZ$14)</f>
        <v>220.92177967199999</v>
      </c>
      <c r="AZ4" s="112">
        <f ca="1">SUMIF(Breakup!$B$4:BA$14,Monthly!$A4,Breakup!BA$4:BA$14)</f>
        <v>206.58772800900002</v>
      </c>
      <c r="BA4" s="112">
        <f ca="1">SUMIF(Breakup!$B$4:BB$14,Monthly!$A4,Breakup!BB$4:BB$14)</f>
        <v>207.93475663100003</v>
      </c>
      <c r="BB4" s="112">
        <f ca="1">SUMIF(Breakup!$B$4:BC$14,Monthly!$A4,Breakup!BC$4:BC$14)</f>
        <v>218.25031103399996</v>
      </c>
      <c r="BC4" s="112">
        <f ca="1">SUMIF(Breakup!$B$4:BD$14,Monthly!$A4,Breakup!BD$4:BD$14)</f>
        <v>231.23845065000003</v>
      </c>
      <c r="BD4" s="112">
        <f ca="1">SUMIF(Breakup!$B$4:BE$14,Monthly!$A4,Breakup!BE$4:BE$14)</f>
        <v>243.49771896000004</v>
      </c>
      <c r="BE4" s="112">
        <f ca="1">SUMIF(Breakup!$B$4:BF$14,Monthly!$A4,Breakup!BF$4:BF$14)</f>
        <v>238.54613248899997</v>
      </c>
      <c r="BF4" s="112">
        <f ca="1">SUMIF(Breakup!$B$4:BG$14,Monthly!$A4,Breakup!BG$4:BG$14)</f>
        <v>240.77357735000001</v>
      </c>
      <c r="BG4" s="112">
        <f ca="1">SUMIF(Breakup!$B$4:BH$14,Monthly!$A4,Breakup!BH$4:BH$14)</f>
        <v>242.45864040000001</v>
      </c>
      <c r="BH4" s="112">
        <f ca="1">SUMIF(Breakup!$B$4:BI$14,Monthly!$A4,Breakup!BI$4:BI$14)</f>
        <v>252.34525202900002</v>
      </c>
      <c r="BI4" s="112">
        <f ca="1">SUMIF(Breakup!$B$4:BJ$14,Monthly!$A4,Breakup!BJ$4:BJ$14)</f>
        <v>252.55850845999998</v>
      </c>
      <c r="BJ4" s="112">
        <f ca="1">SUMIF(Breakup!$B$4:BK$14,Monthly!$A4,Breakup!BK$4:BK$14)</f>
        <v>253.19622370699994</v>
      </c>
      <c r="BK4" s="112">
        <f ca="1">SUMIF(Breakup!$B$4:BL$14,Monthly!$A4,Breakup!BL$4:BL$14)</f>
        <v>247.73665486399997</v>
      </c>
      <c r="BL4" s="112">
        <f ca="1">SUMIF(Breakup!$B$4:BM$14,Monthly!$A4,Breakup!BM$4:BM$14)</f>
        <v>245.97260670400001</v>
      </c>
      <c r="BM4" s="112">
        <f ca="1">SUMIF(Breakup!$B$4:BN$14,Monthly!$A4,Breakup!BN$4:BN$14)</f>
        <v>226.98141730500001</v>
      </c>
      <c r="BN4" s="112">
        <f ca="1">SUMIF(Breakup!$B$4:BO$14,Monthly!$A4,Breakup!BO$4:BO$14)</f>
        <v>252.65670695499998</v>
      </c>
      <c r="BO4" s="1">
        <f ca="1">((BN4/B4)^(12/$BO$1)-1)</f>
        <v>0.37672793203041177</v>
      </c>
      <c r="BP4" s="73"/>
      <c r="BQ4" s="6"/>
    </row>
    <row r="5" spans="1:69">
      <c r="A5" s="101" t="s">
        <v>7</v>
      </c>
      <c r="B5" s="112">
        <f ca="1">SUMIF(Breakup!$B$4:$C$14,Monthly!$A5,Breakup!$C$4:$C$14)</f>
        <v>32.53</v>
      </c>
      <c r="C5" s="112">
        <f ca="1">SUMIF(Breakup!$B$4:D$14,Monthly!$A5,Breakup!D$4:D$14)</f>
        <v>32.998000000000005</v>
      </c>
      <c r="D5" s="112">
        <f ca="1">SUMIF(Breakup!$B$4:E$14,Monthly!$A5,Breakup!E$4:E$14)</f>
        <v>33.430000000000007</v>
      </c>
      <c r="E5" s="112">
        <f ca="1">SUMIF(Breakup!$B$4:F$14,Monthly!$A5,Breakup!F$4:F$14)</f>
        <v>36.019000000000005</v>
      </c>
      <c r="F5" s="112">
        <f ca="1">SUMIF(Breakup!$B$4:G$14,Monthly!$A5,Breakup!G$4:G$14)</f>
        <v>36.878399999999999</v>
      </c>
      <c r="G5" s="112">
        <f ca="1">SUMIF(Breakup!$B$4:H$14,Monthly!$A5,Breakup!H$4:H$14)</f>
        <v>37.119900000000001</v>
      </c>
      <c r="H5" s="112">
        <f ca="1">SUMIF(Breakup!$B$4:$L$14,Monthly!$A5,Breakup!$I$4:$I$14)</f>
        <v>37.348560000000006</v>
      </c>
      <c r="I5" s="112">
        <f ca="1">SUMIF(Breakup!$B$4:$L$14,Monthly!$A5,Breakup!$J$4:$J$14)</f>
        <v>37.587850000000003</v>
      </c>
      <c r="J5" s="112">
        <f ca="1">SUMIF(Breakup!$B$4:$L$14,Monthly!$A5,Breakup!$K$4:$K$14)</f>
        <v>37.851800000000011</v>
      </c>
      <c r="K5" s="112">
        <f ca="1">SUMIF(Breakup!$B$4:$L$14,Monthly!$A5,Breakup!L$4:L$14)</f>
        <v>39.718840000000014</v>
      </c>
      <c r="L5" s="112">
        <f ca="1">SUMIF(Breakup!$B$4:M$14,Monthly!$A5,Breakup!M$4:M$14)</f>
        <v>39.980140000000013</v>
      </c>
      <c r="M5" s="112">
        <f ca="1">SUMIF(Breakup!$B$4:N$14,Monthly!$A5,Breakup!N$4:N$14)</f>
        <v>40.27544000000001</v>
      </c>
      <c r="N5" s="112">
        <f ca="1">SUMIF(Breakup!$B$4:O$14,Monthly!$A5,Breakup!O$4:O$14)</f>
        <v>40.56374000000001</v>
      </c>
      <c r="O5" s="112">
        <f ca="1">SUMIF(Breakup!$B$4:P$14,Monthly!$A5,Breakup!P$4:P$14)</f>
        <v>40.819040000000001</v>
      </c>
      <c r="P5" s="112">
        <f ca="1">SUMIF(Breakup!$B$4:Q$14,Monthly!$A5,Breakup!Q$4:Q$14)</f>
        <v>41.105340000000005</v>
      </c>
      <c r="Q5" s="112">
        <f ca="1">SUMIF(Breakup!$B$4:R$14,Monthly!$A5,Breakup!R$4:R$14)</f>
        <v>44.311140000000002</v>
      </c>
      <c r="R5" s="112">
        <f ca="1">SUMIF(Breakup!$B$4:S$14,Monthly!$A5,Breakup!S$4:S$14)</f>
        <v>44.768940000000001</v>
      </c>
      <c r="S5" s="112">
        <f ca="1">SUMIF(Breakup!$B$4:T$14,Monthly!$A5,Breakup!T$4:T$14)</f>
        <v>45.004239999999996</v>
      </c>
      <c r="T5" s="112">
        <f ca="1">SUMIF(Breakup!$B$4:U$14,Monthly!$A5,Breakup!U$4:U$14)</f>
        <v>45.296539999999993</v>
      </c>
      <c r="U5" s="112">
        <f ca="1">SUMIF(Breakup!$B$4:V$14,Monthly!$A5,Breakup!V$4:V$14)</f>
        <v>45.620843999999991</v>
      </c>
      <c r="V5" s="112">
        <f ca="1">SUMIF(Breakup!$B$4:W$14,Monthly!$A5,Breakup!W$4:W$14)</f>
        <v>47.551289999999995</v>
      </c>
      <c r="W5" s="112">
        <f ca="1">SUMIF(Breakup!$B$4:X$14,Monthly!$A5,Breakup!X$4:X$14)</f>
        <v>47.86083399999999</v>
      </c>
      <c r="X5" s="112">
        <f ca="1">SUMIF(Breakup!$B$4:Y$14,Monthly!$A5,Breakup!Y$4:Y$14)</f>
        <v>48.133241999999981</v>
      </c>
      <c r="Y5" s="112">
        <f ca="1">SUMIF(Breakup!$B$4:Z$14,Monthly!$A5,Breakup!Z$4:Z$14)</f>
        <v>48.791929999999979</v>
      </c>
      <c r="Z5" s="112">
        <f ca="1">SUMIF(Breakup!$B$4:AA$14,Monthly!$A5,Breakup!AA$4:AA$14)</f>
        <v>49.117029999999986</v>
      </c>
      <c r="AA5" s="112">
        <f ca="1">SUMIF(Breakup!$B$4:AB$14,Monthly!$A5,Breakup!AB$4:AB$14)</f>
        <v>49.458539999999985</v>
      </c>
      <c r="AB5" s="112">
        <f ca="1">SUMIF(Breakup!$B$4:AC$14,Monthly!$A5,Breakup!AC$4:AC$14)</f>
        <v>49.778821999999984</v>
      </c>
      <c r="AC5" s="112">
        <f ca="1">SUMIF(Breakup!$B$4:AD$14,Monthly!$A5,Breakup!AD$4:AD$14)</f>
        <v>53.192270000000001</v>
      </c>
      <c r="AD5" s="112">
        <f ca="1">SUMIF(Breakup!$B$4:AE$14,Monthly!$A5,Breakup!AE$4:AE$14)</f>
        <v>53.549771999999997</v>
      </c>
      <c r="AE5" s="112">
        <f ca="1">SUMIF(Breakup!$B$4:AF$14,Monthly!$A5,Breakup!AF$4:AF$14)</f>
        <v>53.907270000000004</v>
      </c>
      <c r="AF5" s="112">
        <f ca="1">SUMIF(Breakup!$B$4:AG$14,Monthly!$A5,Breakup!AG$4:AG$14)</f>
        <v>54.226046000000004</v>
      </c>
      <c r="AG5" s="112">
        <f ca="1">SUMIF(Breakup!$B$4:AH$14,Monthly!$A5,Breakup!AH$4:AH$14)</f>
        <v>56.429270000000002</v>
      </c>
      <c r="AH5" s="112">
        <f ca="1">SUMIF(Breakup!$B$4:AI$14,Monthly!$A5,Breakup!AI$4:AI$14)</f>
        <v>56.768569999999997</v>
      </c>
      <c r="AI5" s="112">
        <f ca="1">SUMIF(Breakup!$B$4:AJ$14,Monthly!$A5,Breakup!AJ$4:AJ$14)</f>
        <v>57.093890000000002</v>
      </c>
      <c r="AJ5" s="112">
        <f ca="1">SUMIF(Breakup!$B$4:AK$14,Monthly!$A5,Breakup!AK$4:AK$14)</f>
        <v>57.445220000000006</v>
      </c>
      <c r="AK5" s="112">
        <f ca="1">SUMIF(Breakup!$B$4:AL$14,Monthly!$A5,Breakup!AL$4:AL$14)</f>
        <v>57.801828</v>
      </c>
      <c r="AL5" s="112">
        <f ca="1">SUMIF(Breakup!$B$4:AM$14,Monthly!$A5,Breakup!AM$4:AM$14)</f>
        <v>58.186540000000008</v>
      </c>
      <c r="AM5" s="112">
        <f ca="1">SUMIF(Breakup!$B$4:AN$14,Monthly!$A5,Breakup!AN$4:AN$14)</f>
        <v>58.601592000000011</v>
      </c>
      <c r="AN5" s="112">
        <f ca="1">SUMIF(Breakup!$B$4:AO$14,Monthly!$A5,Breakup!AO$4:AO$14)</f>
        <v>58.973910000000011</v>
      </c>
      <c r="AO5" s="112">
        <f ca="1">SUMIF(Breakup!$B$4:AP$14,Monthly!$A5,Breakup!AP$4:AP$14)</f>
        <v>64.072264000000004</v>
      </c>
      <c r="AP5" s="112">
        <f ca="1">SUMIF(Breakup!$B$4:AQ$14,Monthly!$A5,Breakup!AQ$4:AQ$14)</f>
        <v>64.424360000000007</v>
      </c>
      <c r="AQ5" s="112">
        <f ca="1">SUMIF(Breakup!$B$4:AR$14,Monthly!$A5,Breakup!AR$4:AR$14)</f>
        <v>64.832294000000019</v>
      </c>
      <c r="AR5" s="112">
        <f ca="1">SUMIF(Breakup!$B$4:AS$14,Monthly!$A5,Breakup!AS$4:AS$14)</f>
        <v>65.212689999999995</v>
      </c>
      <c r="AS5" s="112">
        <f ca="1">SUMIF(Breakup!$B$4:AT$14,Monthly!$A5,Breakup!AT$4:AT$14)</f>
        <v>67.236086</v>
      </c>
      <c r="AT5" s="112">
        <f ca="1">SUMIF(Breakup!$B$4:AU$14,Monthly!$A5,Breakup!AU$4:AU$14)</f>
        <v>67.619569999999996</v>
      </c>
      <c r="AU5" s="112">
        <f ca="1">SUMIF(Breakup!$B$4:AV$14,Monthly!$A5,Breakup!AV$4:AV$14)</f>
        <v>68.031279999999995</v>
      </c>
      <c r="AV5" s="112">
        <f ca="1">SUMIF(Breakup!$B$4:AW$14,Monthly!$A5,Breakup!AW$4:AW$14)</f>
        <v>68.447459999999992</v>
      </c>
      <c r="AW5" s="112">
        <f ca="1">SUMIF(Breakup!$B$4:AX$14,Monthly!$A5,Breakup!AX$4:AX$14)</f>
        <v>68.85638999999999</v>
      </c>
      <c r="AX5" s="112">
        <f ca="1">SUMIF(Breakup!$B$4:AY$14,Monthly!$A5,Breakup!AY$4:AY$14)</f>
        <v>69.288939999999997</v>
      </c>
      <c r="AY5" s="112">
        <f ca="1">SUMIF(Breakup!$B$4:AZ$14,Monthly!$A5,Breakup!AZ$4:AZ$14)</f>
        <v>69.725539999999995</v>
      </c>
      <c r="AZ5" s="112">
        <f ca="1">SUMIF(Breakup!$B$4:BA$14,Monthly!$A5,Breakup!BA$4:BA$14)</f>
        <v>70.12787999999999</v>
      </c>
      <c r="BA5" s="112">
        <f ca="1">SUMIF(Breakup!$B$4:BB$14,Monthly!$A5,Breakup!BB$4:BB$14)</f>
        <v>77.713559999999987</v>
      </c>
      <c r="BB5" s="112">
        <f ca="1">SUMIF(Breakup!$B$4:BC$14,Monthly!$A5,Breakup!BC$4:BC$14)</f>
        <v>78.182242000000002</v>
      </c>
      <c r="BC5" s="112">
        <f ca="1">SUMIF(Breakup!$B$4:BD$14,Monthly!$A5,Breakup!BD$4:BD$14)</f>
        <v>78.622072000000003</v>
      </c>
      <c r="BD5" s="112">
        <f ca="1">SUMIF(Breakup!$B$4:BE$14,Monthly!$A5,Breakup!BE$4:BE$14)</f>
        <v>78.992269999999991</v>
      </c>
      <c r="BE5" s="112">
        <f ca="1">SUMIF(Breakup!$B$4:BF$14,Monthly!$A5,Breakup!BF$4:BF$14)</f>
        <v>79.422059999999988</v>
      </c>
      <c r="BF5" s="112">
        <f ca="1">SUMIF(Breakup!$B$4:BG$14,Monthly!$A5,Breakup!BG$4:BG$14)</f>
        <v>79.75475999999999</v>
      </c>
      <c r="BG5" s="112">
        <f ca="1">SUMIF(Breakup!$B$4:BH$14,Monthly!$A5,Breakup!BH$4:BH$14)</f>
        <v>80.222691999999995</v>
      </c>
      <c r="BH5" s="112">
        <f ca="1">SUMIF(Breakup!$B$4:BI$14,Monthly!$A5,Breakup!BI$4:BI$14)</f>
        <v>80.88970599999999</v>
      </c>
      <c r="BI5" s="112">
        <f ca="1">SUMIF(Breakup!$B$4:BJ$14,Monthly!$A5,Breakup!BJ$4:BJ$14)</f>
        <v>81.365019999999987</v>
      </c>
      <c r="BJ5" s="112">
        <f ca="1">SUMIF(Breakup!$B$4:BK$14,Monthly!$A5,Breakup!BK$4:BK$14)</f>
        <v>81.86323999999999</v>
      </c>
      <c r="BK5" s="112">
        <f ca="1">SUMIF(Breakup!$B$4:BL$14,Monthly!$A5,Breakup!BL$4:BL$14)</f>
        <v>82.324579999999983</v>
      </c>
      <c r="BL5" s="112">
        <f ca="1">SUMIF(Breakup!$B$4:BM$14,Monthly!$A5,Breakup!BM$4:BM$14)</f>
        <v>82.848839999999996</v>
      </c>
      <c r="BM5" s="112">
        <f ca="1">SUMIF(Breakup!$B$4:BN$14,Monthly!$A5,Breakup!BN$4:BN$14)</f>
        <v>88.614899999999977</v>
      </c>
      <c r="BN5" s="112">
        <f ca="1">SUMIF(Breakup!$B$4:BO$14,Monthly!$A5,Breakup!BO$4:BO$14)</f>
        <v>89.820859999999982</v>
      </c>
      <c r="BO5" s="1">
        <f t="shared" ref="BO5:BO9" ca="1" si="0">((BN5/B5)^(12/$BO$1)-1)</f>
        <v>0.20977600071331159</v>
      </c>
      <c r="BP5" s="73"/>
      <c r="BQ5" s="6"/>
    </row>
    <row r="6" spans="1:69">
      <c r="A6" s="101" t="s">
        <v>8</v>
      </c>
      <c r="B6" s="112">
        <f ca="1">SUMIF(Breakup!$B$4:$C$14,Monthly!$A6,Breakup!$C$4:$C$14)</f>
        <v>1</v>
      </c>
      <c r="C6" s="112">
        <f ca="1">SUMIF(Breakup!$B$4:D$14,Monthly!$A6,Breakup!D$4:D$14)</f>
        <v>1.226364</v>
      </c>
      <c r="D6" s="112">
        <f ca="1">SUMIF(Breakup!$B$4:E$14,Monthly!$A6,Breakup!E$4:E$14)</f>
        <v>1.179125</v>
      </c>
      <c r="E6" s="112">
        <f ca="1">SUMIF(Breakup!$B$4:F$14,Monthly!$A6,Breakup!F$4:F$14)</f>
        <v>1.1650255</v>
      </c>
      <c r="F6" s="112">
        <f ca="1">SUMIF(Breakup!$B$4:G$14,Monthly!$A6,Breakup!G$4:G$14)</f>
        <v>1.1925499999999998</v>
      </c>
      <c r="G6" s="112">
        <f ca="1">SUMIF(Breakup!$B$4:H$14,Monthly!$A6,Breakup!H$4:H$14)</f>
        <v>1.2122534999999999</v>
      </c>
      <c r="H6" s="112">
        <f ca="1">SUMIF(Breakup!$B$4:$L$14,Monthly!$A6,Breakup!$I$4:$I$14)</f>
        <v>1.1951000000000001</v>
      </c>
      <c r="I6" s="112">
        <f ca="1">SUMIF(Breakup!$B$4:$L$14,Monthly!$A6,Breakup!$J$4:$J$14)</f>
        <v>1.1909635000000001</v>
      </c>
      <c r="J6" s="112">
        <f ca="1">SUMIF(Breakup!$B$4:$L$14,Monthly!$A6,Breakup!$K$4:$K$14)</f>
        <v>1.1774979999999999</v>
      </c>
      <c r="K6" s="112">
        <f ca="1">SUMIF(Breakup!$B$4:$L$14,Monthly!$A6,Breakup!L$4:L$14)</f>
        <v>1.1733500000000001</v>
      </c>
      <c r="L6" s="112">
        <f ca="1">SUMIF(Breakup!$B$4:M$14,Monthly!$A6,Breakup!M$4:M$14)</f>
        <v>1.1836000000000002</v>
      </c>
      <c r="M6" s="112">
        <f ca="1">SUMIF(Breakup!$B$4:N$14,Monthly!$A6,Breakup!N$4:N$14)</f>
        <v>1.1869999999999998</v>
      </c>
      <c r="N6" s="112">
        <f ca="1">SUMIF(Breakup!$B$4:O$14,Monthly!$A6,Breakup!O$4:O$14)</f>
        <v>1.1819999999999999</v>
      </c>
      <c r="O6" s="112">
        <f ca="1">SUMIF(Breakup!$B$4:P$14,Monthly!$A6,Breakup!P$4:P$14)</f>
        <v>1.1731499999999999</v>
      </c>
      <c r="P6" s="112">
        <f ca="1">SUMIF(Breakup!$B$4:Q$14,Monthly!$A6,Breakup!Q$4:Q$14)</f>
        <v>1.20425</v>
      </c>
      <c r="Q6" s="112">
        <f ca="1">SUMIF(Breakup!$B$4:R$14,Monthly!$A6,Breakup!R$4:R$14)</f>
        <v>1.18455</v>
      </c>
      <c r="R6" s="112">
        <f ca="1">SUMIF(Breakup!$B$4:S$14,Monthly!$A6,Breakup!S$4:S$14)</f>
        <v>1.2309000000000001</v>
      </c>
      <c r="S6" s="112">
        <f ca="1">SUMIF(Breakup!$B$4:T$14,Monthly!$A6,Breakup!T$4:T$14)</f>
        <v>1.1956</v>
      </c>
      <c r="T6" s="112">
        <f ca="1">SUMIF(Breakup!$B$4:U$14,Monthly!$A6,Breakup!U$4:U$14)</f>
        <v>1.2110000000000001</v>
      </c>
      <c r="U6" s="112">
        <f ca="1">SUMIF(Breakup!$B$4:V$14,Monthly!$A6,Breakup!V$4:V$14)</f>
        <v>1.2094100000000001</v>
      </c>
      <c r="V6" s="112">
        <f ca="1">SUMIF(Breakup!$B$4:W$14,Monthly!$A6,Breakup!W$4:W$14)</f>
        <v>1.237212</v>
      </c>
      <c r="W6" s="112">
        <f ca="1">SUMIF(Breakup!$B$4:X$14,Monthly!$A6,Breakup!X$4:X$14)</f>
        <v>1.2161999999999999</v>
      </c>
      <c r="X6" s="112">
        <f ca="1">SUMIF(Breakup!$B$4:Y$14,Monthly!$A6,Breakup!Y$4:Y$14)</f>
        <v>1.2255</v>
      </c>
      <c r="Y6" s="112">
        <f ca="1">SUMIF(Breakup!$B$4:Z$14,Monthly!$A6,Breakup!Z$4:Z$14)</f>
        <v>1.2441420000000001</v>
      </c>
      <c r="Z6" s="112">
        <f ca="1">SUMIF(Breakup!$B$4:AA$14,Monthly!$A6,Breakup!AA$4:AA$14)</f>
        <v>1.2961369999999999</v>
      </c>
      <c r="AA6" s="112">
        <f ca="1">SUMIF(Breakup!$B$4:AB$14,Monthly!$A6,Breakup!AB$4:AB$14)</f>
        <v>1.3329095000000002</v>
      </c>
      <c r="AB6" s="112">
        <f ca="1">SUMIF(Breakup!$B$4:AC$14,Monthly!$A6,Breakup!AC$4:AC$14)</f>
        <v>1.319885</v>
      </c>
      <c r="AC6" s="112">
        <f ca="1">SUMIF(Breakup!$B$4:AD$14,Monthly!$A6,Breakup!AD$4:AD$14)</f>
        <v>1.382417</v>
      </c>
      <c r="AD6" s="112">
        <f ca="1">SUMIF(Breakup!$B$4:AE$14,Monthly!$A6,Breakup!AE$4:AE$14)</f>
        <v>1.4380850000000001</v>
      </c>
      <c r="AE6" s="112">
        <f ca="1">SUMIF(Breakup!$B$4:AF$14,Monthly!$A6,Breakup!AF$4:AF$14)</f>
        <v>1.4930504999999998</v>
      </c>
      <c r="AF6" s="112">
        <f ca="1">SUMIF(Breakup!$B$4:AG$14,Monthly!$A6,Breakup!AG$4:AG$14)</f>
        <v>1.4735939999999998</v>
      </c>
      <c r="AG6" s="112">
        <f ca="1">SUMIF(Breakup!$B$4:AH$14,Monthly!$A6,Breakup!AH$4:AH$14)</f>
        <v>1.4808399999999999</v>
      </c>
      <c r="AH6" s="112">
        <f ca="1">SUMIF(Breakup!$B$4:AI$14,Monthly!$A6,Breakup!AI$4:AI$14)</f>
        <v>1.48</v>
      </c>
      <c r="AI6" s="112">
        <f ca="1">SUMIF(Breakup!$B$4:AJ$14,Monthly!$A6,Breakup!AJ$4:AJ$14)</f>
        <v>1.4687570000000001</v>
      </c>
      <c r="AJ6" s="112">
        <f ca="1">SUMIF(Breakup!$B$4:AK$14,Monthly!$A6,Breakup!AK$4:AK$14)</f>
        <v>1.4914499999999999</v>
      </c>
      <c r="AK6" s="112">
        <f ca="1">SUMIF(Breakup!$B$4:AL$14,Monthly!$A6,Breakup!AL$4:AL$14)</f>
        <v>1.5340974999999999</v>
      </c>
      <c r="AL6" s="112">
        <f ca="1">SUMIF(Breakup!$B$4:AM$14,Monthly!$A6,Breakup!AM$4:AM$14)</f>
        <v>1.559774</v>
      </c>
      <c r="AM6" s="112">
        <f ca="1">SUMIF(Breakup!$B$4:AN$14,Monthly!$A6,Breakup!AN$4:AN$14)</f>
        <v>1.5777485</v>
      </c>
      <c r="AN6" s="112">
        <f ca="1">SUMIF(Breakup!$B$4:AO$14,Monthly!$A6,Breakup!AO$4:AO$14)</f>
        <v>1.5636445000000001</v>
      </c>
      <c r="AO6" s="112">
        <f ca="1">SUMIF(Breakup!$B$4:AP$14,Monthly!$A6,Breakup!AP$4:AP$14)</f>
        <v>1.676741</v>
      </c>
      <c r="AP6" s="112">
        <f ca="1">SUMIF(Breakup!$B$4:AQ$14,Monthly!$A6,Breakup!AQ$4:AQ$14)</f>
        <v>1.7744610000000001</v>
      </c>
      <c r="AQ6" s="112">
        <f ca="1">SUMIF(Breakup!$B$4:AR$14,Monthly!$A6,Breakup!AR$4:AR$14)</f>
        <v>1.851186</v>
      </c>
      <c r="AR6" s="112">
        <f ca="1">SUMIF(Breakup!$B$4:AS$14,Monthly!$A6,Breakup!AS$4:AS$14)</f>
        <v>1.86114</v>
      </c>
      <c r="AS6" s="112">
        <f ca="1">SUMIF(Breakup!$B$4:AT$14,Monthly!$A6,Breakup!AT$4:AT$14)</f>
        <v>1.8927129999999999</v>
      </c>
      <c r="AT6" s="112">
        <f ca="1">SUMIF(Breakup!$B$4:AU$14,Monthly!$A6,Breakup!AU$4:AU$14)</f>
        <v>1.9017360000000001</v>
      </c>
      <c r="AU6" s="112">
        <f ca="1">SUMIF(Breakup!$B$4:AV$14,Monthly!$A6,Breakup!AV$4:AV$14)</f>
        <v>1.983838</v>
      </c>
      <c r="AV6" s="112">
        <f ca="1">SUMIF(Breakup!$B$4:AW$14,Monthly!$A6,Breakup!AW$4:AW$14)</f>
        <v>2.0880865000000002</v>
      </c>
      <c r="AW6" s="112">
        <f ca="1">SUMIF(Breakup!$B$4:AX$14,Monthly!$A6,Breakup!AX$4:AX$14)</f>
        <v>2.0160415</v>
      </c>
      <c r="AX6" s="112">
        <f ca="1">SUMIF(Breakup!$B$4:AY$14,Monthly!$A6,Breakup!AY$4:AY$14)</f>
        <v>2.0347904999999997</v>
      </c>
      <c r="AY6" s="112">
        <f ca="1">SUMIF(Breakup!$B$4:AZ$14,Monthly!$A6,Breakup!AZ$4:AZ$14)</f>
        <v>2.0742760000000002</v>
      </c>
      <c r="AZ6" s="112">
        <f ca="1">SUMIF(Breakup!$B$4:BA$14,Monthly!$A6,Breakup!BA$4:BA$14)</f>
        <v>2.1294900000000001</v>
      </c>
      <c r="BA6" s="112">
        <f ca="1">SUMIF(Breakup!$B$4:BB$14,Monthly!$A6,Breakup!BB$4:BB$14)</f>
        <v>2.1900490000000001</v>
      </c>
      <c r="BB6" s="112">
        <f ca="1">SUMIF(Breakup!$B$4:BC$14,Monthly!$A6,Breakup!BC$4:BC$14)</f>
        <v>2.2806000000000002</v>
      </c>
      <c r="BC6" s="112">
        <f ca="1">SUMIF(Breakup!$B$4:BD$14,Monthly!$A6,Breakup!BD$4:BD$14)</f>
        <v>2.3637670000000002</v>
      </c>
      <c r="BD6" s="112">
        <f ca="1">SUMIF(Breakup!$B$4:BE$14,Monthly!$A6,Breakup!BE$4:BE$14)</f>
        <v>2.4479039999999999</v>
      </c>
      <c r="BE6" s="112">
        <f ca="1">SUMIF(Breakup!$B$4:BF$14,Monthly!$A6,Breakup!BF$4:BF$14)</f>
        <v>3.4720870000000001</v>
      </c>
      <c r="BF6" s="112">
        <f ca="1">SUMIF(Breakup!$B$4:BG$14,Monthly!$A6,Breakup!BG$4:BG$14)</f>
        <v>3.8185665000000002</v>
      </c>
      <c r="BG6" s="112">
        <f ca="1">SUMIF(Breakup!$B$4:BH$14,Monthly!$A6,Breakup!BH$4:BH$14)</f>
        <v>4.3079155</v>
      </c>
      <c r="BH6" s="112">
        <f ca="1">SUMIF(Breakup!$B$4:BI$14,Monthly!$A6,Breakup!BI$4:BI$14)</f>
        <v>4.3006454999999999</v>
      </c>
      <c r="BI6" s="112">
        <f ca="1">SUMIF(Breakup!$B$4:BJ$14,Monthly!$A6,Breakup!BJ$4:BJ$14)</f>
        <v>4.5402100000000001</v>
      </c>
      <c r="BJ6" s="112">
        <f ca="1">SUMIF(Breakup!$B$4:BK$14,Monthly!$A6,Breakup!BK$4:BK$14)</f>
        <v>4.9495440000000004</v>
      </c>
      <c r="BK6" s="112">
        <f ca="1">SUMIF(Breakup!$B$4:BL$14,Monthly!$A6,Breakup!BL$4:BL$14)</f>
        <v>5.9779125000000004</v>
      </c>
      <c r="BL6" s="112">
        <f ca="1">SUMIF(Breakup!$B$4:BM$14,Monthly!$A6,Breakup!BM$4:BM$14)</f>
        <v>5.5095499999999999</v>
      </c>
      <c r="BM6" s="112">
        <f ca="1">SUMIF(Breakup!$B$4:BN$14,Monthly!$A6,Breakup!BN$4:BN$14)</f>
        <v>5.0545939999999998</v>
      </c>
      <c r="BN6" s="112">
        <f ca="1">SUMIF(Breakup!$B$4:BO$14,Monthly!$A6,Breakup!BO$4:BO$14)</f>
        <v>5.1860555000000002</v>
      </c>
      <c r="BO6" s="1">
        <f t="shared" ca="1" si="0"/>
        <v>0.36154489932916078</v>
      </c>
      <c r="BP6" s="73"/>
      <c r="BQ6" s="6"/>
    </row>
    <row r="7" spans="1:69">
      <c r="A7" s="101" t="s">
        <v>9</v>
      </c>
      <c r="B7" s="112">
        <f ca="1">SUMIF(Breakup!$B$4:$C$14,Monthly!$A7,Breakup!$C$4:$C$14)</f>
        <v>0</v>
      </c>
      <c r="C7" s="112">
        <f ca="1">SUMIF(Breakup!$B$4:D$14,Monthly!$A7,Breakup!D$4:D$14)</f>
        <v>0</v>
      </c>
      <c r="D7" s="112">
        <f ca="1">SUMIF(Breakup!$B$4:E$14,Monthly!$A7,Breakup!E$4:E$14)</f>
        <v>0</v>
      </c>
      <c r="E7" s="112">
        <f ca="1">SUMIF(Breakup!$B$4:F$14,Monthly!$A7,Breakup!F$4:F$14)</f>
        <v>0</v>
      </c>
      <c r="F7" s="112">
        <f ca="1">SUMIF(Breakup!$B$4:G$14,Monthly!$A7,Breakup!G$4:G$14)</f>
        <v>0</v>
      </c>
      <c r="G7" s="112">
        <f ca="1">SUMIF(Breakup!$B$4:H$14,Monthly!$A7,Breakup!H$4:H$14)</f>
        <v>0</v>
      </c>
      <c r="H7" s="112">
        <f ca="1">SUMIF(Breakup!$B$4:$L$14,Monthly!$A7,Breakup!$I$4:$I$14)</f>
        <v>0</v>
      </c>
      <c r="I7" s="112">
        <f ca="1">SUMIF(Breakup!$B$4:$L$14,Monthly!$A7,Breakup!$J$4:$J$14)</f>
        <v>0</v>
      </c>
      <c r="J7" s="112">
        <f ca="1">SUMIF(Breakup!$B$4:$L$14,Monthly!$A7,Breakup!$K$4:$K$14)</f>
        <v>0.10485</v>
      </c>
      <c r="K7" s="112">
        <f ca="1">SUMIF(Breakup!$B$4:$L$14,Monthly!$A7,Breakup!L$4:L$14)</f>
        <v>0.54</v>
      </c>
      <c r="L7" s="112">
        <f ca="1">SUMIF(Breakup!$B$4:M$14,Monthly!$A7,Breakup!M$4:M$14)</f>
        <v>0.73</v>
      </c>
      <c r="M7" s="112">
        <f ca="1">SUMIF(Breakup!$B$4:N$14,Monthly!$A7,Breakup!N$4:N$14)</f>
        <v>0</v>
      </c>
      <c r="N7" s="112">
        <f ca="1">SUMIF(Breakup!$B$4:O$14,Monthly!$A7,Breakup!O$4:O$14)</f>
        <v>0</v>
      </c>
      <c r="O7" s="112">
        <f ca="1">SUMIF(Breakup!$B$4:P$14,Monthly!$A7,Breakup!P$4:P$14)</f>
        <v>0</v>
      </c>
      <c r="P7" s="112">
        <f ca="1">SUMIF(Breakup!$B$4:Q$14,Monthly!$A7,Breakup!Q$4:Q$14)</f>
        <v>0</v>
      </c>
      <c r="Q7" s="112">
        <f ca="1">SUMIF(Breakup!$B$4:R$14,Monthly!$A7,Breakup!R$4:R$14)</f>
        <v>0</v>
      </c>
      <c r="R7" s="112">
        <f ca="1">SUMIF(Breakup!$B$4:S$14,Monthly!$A7,Breakup!S$4:S$14)</f>
        <v>0</v>
      </c>
      <c r="S7" s="112">
        <f ca="1">SUMIF(Breakup!$B$4:T$14,Monthly!$A7,Breakup!T$4:T$14)</f>
        <v>0</v>
      </c>
      <c r="T7" s="112">
        <f ca="1">SUMIF(Breakup!$B$4:U$14,Monthly!$A7,Breakup!U$4:U$14)</f>
        <v>0</v>
      </c>
      <c r="U7" s="112">
        <f ca="1">SUMIF(Breakup!$B$4:V$14,Monthly!$A7,Breakup!V$4:V$14)</f>
        <v>0</v>
      </c>
      <c r="V7" s="112">
        <f ca="1">SUMIF(Breakup!$B$4:W$14,Monthly!$A7,Breakup!W$4:W$14)</f>
        <v>0</v>
      </c>
      <c r="W7" s="112">
        <f ca="1">SUMIF(Breakup!$B$4:X$14,Monthly!$A7,Breakup!X$4:X$14)</f>
        <v>0</v>
      </c>
      <c r="X7" s="112">
        <f ca="1">SUMIF(Breakup!$B$4:Y$14,Monthly!$A7,Breakup!Y$4:Y$14)</f>
        <v>0</v>
      </c>
      <c r="Y7" s="112">
        <f ca="1">SUMIF(Breakup!$B$4:Z$14,Monthly!$A7,Breakup!Z$4:Z$14)</f>
        <v>0</v>
      </c>
      <c r="Z7" s="112">
        <f ca="1">SUMIF(Breakup!$B$4:AA$14,Monthly!$A7,Breakup!AA$4:AA$14)</f>
        <v>0</v>
      </c>
      <c r="AA7" s="112">
        <f ca="1">SUMIF(Breakup!$B$4:AB$14,Monthly!$A7,Breakup!AB$4:AB$14)</f>
        <v>0</v>
      </c>
      <c r="AB7" s="112">
        <f ca="1">SUMIF(Breakup!$B$4:AC$14,Monthly!$A7,Breakup!AC$4:AC$14)</f>
        <v>0</v>
      </c>
      <c r="AC7" s="112">
        <f ca="1">SUMIF(Breakup!$B$4:AD$14,Monthly!$A7,Breakup!AD$4:AD$14)</f>
        <v>0</v>
      </c>
      <c r="AD7" s="112">
        <f ca="1">SUMIF(Breakup!$B$4:AE$14,Monthly!$A7,Breakup!AE$4:AE$14)</f>
        <v>0</v>
      </c>
      <c r="AE7" s="112">
        <f ca="1">SUMIF(Breakup!$B$4:AF$14,Monthly!$A7,Breakup!AF$4:AF$14)</f>
        <v>0</v>
      </c>
      <c r="AF7" s="112">
        <f ca="1">SUMIF(Breakup!$B$4:AG$14,Monthly!$A7,Breakup!AG$4:AG$14)</f>
        <v>0</v>
      </c>
      <c r="AG7" s="112">
        <f ca="1">SUMIF(Breakup!$B$4:AH$14,Monthly!$A7,Breakup!AH$4:AH$14)</f>
        <v>0</v>
      </c>
      <c r="AH7" s="112">
        <f ca="1">SUMIF(Breakup!$B$4:AI$14,Monthly!$A7,Breakup!AI$4:AI$14)</f>
        <v>0</v>
      </c>
      <c r="AI7" s="112">
        <f ca="1">SUMIF(Breakup!$B$4:AJ$14,Monthly!$A7,Breakup!AJ$4:AJ$14)</f>
        <v>0</v>
      </c>
      <c r="AJ7" s="112">
        <f ca="1">SUMIF(Breakup!$B$4:AK$14,Monthly!$A7,Breakup!AK$4:AK$14)</f>
        <v>0</v>
      </c>
      <c r="AK7" s="112">
        <f ca="1">SUMIF(Breakup!$B$4:AL$14,Monthly!$A7,Breakup!AL$4:AL$14)</f>
        <v>0</v>
      </c>
      <c r="AL7" s="112">
        <f ca="1">SUMIF(Breakup!$B$4:AM$14,Monthly!$A7,Breakup!AM$4:AM$14)</f>
        <v>0</v>
      </c>
      <c r="AM7" s="112">
        <f ca="1">SUMIF(Breakup!$B$4:AN$14,Monthly!$A7,Breakup!AN$4:AN$14)</f>
        <v>0</v>
      </c>
      <c r="AN7" s="112">
        <f ca="1">SUMIF(Breakup!$B$4:AO$14,Monthly!$A7,Breakup!AO$4:AO$14)</f>
        <v>0</v>
      </c>
      <c r="AO7" s="112">
        <f ca="1">SUMIF(Breakup!$B$4:AP$14,Monthly!$A7,Breakup!AP$4:AP$14)</f>
        <v>0</v>
      </c>
      <c r="AP7" s="112">
        <f ca="1">SUMIF(Breakup!$B$4:AQ$14,Monthly!$A7,Breakup!AQ$4:AQ$14)</f>
        <v>0</v>
      </c>
      <c r="AQ7" s="112">
        <f ca="1">SUMIF(Breakup!$B$4:AR$14,Monthly!$A7,Breakup!AR$4:AR$14)</f>
        <v>0</v>
      </c>
      <c r="AR7" s="112">
        <f ca="1">SUMIF(Breakup!$B$4:AS$14,Monthly!$A7,Breakup!AS$4:AS$14)</f>
        <v>0</v>
      </c>
      <c r="AS7" s="112">
        <f ca="1">SUMIF(Breakup!$B$4:AT$14,Monthly!$A7,Breakup!AT$4:AT$14)</f>
        <v>0</v>
      </c>
      <c r="AT7" s="112">
        <f ca="1">SUMIF(Breakup!$B$4:AU$14,Monthly!$A7,Breakup!AU$4:AU$14)</f>
        <v>0</v>
      </c>
      <c r="AU7" s="112">
        <f ca="1">SUMIF(Breakup!$B$4:AV$14,Monthly!$A7,Breakup!AV$4:AV$14)</f>
        <v>0</v>
      </c>
      <c r="AV7" s="112">
        <f ca="1">SUMIF(Breakup!$B$4:AW$14,Monthly!$A7,Breakup!AW$4:AW$14)</f>
        <v>0</v>
      </c>
      <c r="AW7" s="112">
        <f ca="1">SUMIF(Breakup!$B$4:AX$14,Monthly!$A7,Breakup!AX$4:AX$14)</f>
        <v>0</v>
      </c>
      <c r="AX7" s="112">
        <f ca="1">SUMIF(Breakup!$B$4:AY$14,Monthly!$A7,Breakup!AY$4:AY$14)</f>
        <v>0</v>
      </c>
      <c r="AY7" s="112">
        <f ca="1">SUMIF(Breakup!$B$4:AZ$14,Monthly!$A7,Breakup!AZ$4:AZ$14)</f>
        <v>0</v>
      </c>
      <c r="AZ7" s="112">
        <f ca="1">SUMIF(Breakup!$B$4:BA$14,Monthly!$A7,Breakup!BA$4:BA$14)</f>
        <v>0</v>
      </c>
      <c r="BA7" s="112">
        <f ca="1">SUMIF(Breakup!$B$4:BB$14,Monthly!$A7,Breakup!BB$4:BB$14)</f>
        <v>0</v>
      </c>
      <c r="BB7" s="112">
        <f ca="1">SUMIF(Breakup!$B$4:BC$14,Monthly!$A7,Breakup!BC$4:BC$14)</f>
        <v>0</v>
      </c>
      <c r="BC7" s="112">
        <f ca="1">SUMIF(Breakup!$B$4:BD$14,Monthly!$A7,Breakup!BD$4:BD$14)</f>
        <v>0</v>
      </c>
      <c r="BD7" s="112">
        <f ca="1">SUMIF(Breakup!$B$4:BE$14,Monthly!$A7,Breakup!BE$4:BE$14)</f>
        <v>0</v>
      </c>
      <c r="BE7" s="112">
        <f ca="1">SUMIF(Breakup!$B$4:BF$14,Monthly!$A7,Breakup!BF$4:BF$14)</f>
        <v>0</v>
      </c>
      <c r="BF7" s="112">
        <f ca="1">SUMIF(Breakup!$B$4:BG$14,Monthly!$A7,Breakup!BG$4:BG$14)</f>
        <v>0</v>
      </c>
      <c r="BG7" s="112">
        <f ca="1">SUMIF(Breakup!$B$4:BH$14,Monthly!$A7,Breakup!BH$4:BH$14)</f>
        <v>0</v>
      </c>
      <c r="BH7" s="112">
        <f ca="1">SUMIF(Breakup!$B$4:BI$14,Monthly!$A7,Breakup!BI$4:BI$14)</f>
        <v>0</v>
      </c>
      <c r="BI7" s="112">
        <f ca="1">SUMIF(Breakup!$B$4:BJ$14,Monthly!$A7,Breakup!BJ$4:BJ$14)</f>
        <v>0</v>
      </c>
      <c r="BJ7" s="112">
        <f ca="1">SUMIF(Breakup!$B$4:BK$14,Monthly!$A7,Breakup!BK$4:BK$14)</f>
        <v>0</v>
      </c>
      <c r="BK7" s="112">
        <f ca="1">SUMIF(Breakup!$B$4:BL$14,Monthly!$A7,Breakup!BL$4:BL$14)</f>
        <v>0</v>
      </c>
      <c r="BL7" s="112">
        <f ca="1">SUMIF(Breakup!$B$4:BM$14,Monthly!$A7,Breakup!BM$4:BM$14)</f>
        <v>0</v>
      </c>
      <c r="BM7" s="112">
        <f ca="1">SUMIF(Breakup!$B$4:BN$14,Monthly!$A7,Breakup!BN$4:BN$14)</f>
        <v>0</v>
      </c>
      <c r="BN7" s="112">
        <f ca="1">SUMIF(Breakup!$B$4:BO$14,Monthly!$A7,Breakup!BO$4:BO$14)</f>
        <v>0</v>
      </c>
      <c r="BO7" s="1"/>
      <c r="BP7" s="73"/>
      <c r="BQ7" s="6"/>
    </row>
    <row r="8" spans="1:69">
      <c r="A8" s="101" t="s">
        <v>10</v>
      </c>
      <c r="B8" s="112">
        <f ca="1">SUMIF(Breakup!$B$4:$C$14,Monthly!$A8,Breakup!$C$4:$C$14)</f>
        <v>4.6500000000000004</v>
      </c>
      <c r="C8" s="112">
        <f ca="1">SUMIF(Breakup!$B$4:D$14,Monthly!$A8,Breakup!D$4:D$14)</f>
        <v>3.2</v>
      </c>
      <c r="D8" s="112">
        <f ca="1">SUMIF(Breakup!$B$4:E$14,Monthly!$A8,Breakup!E$4:E$14)</f>
        <v>1</v>
      </c>
      <c r="E8" s="112">
        <f ca="1">SUMIF(Breakup!$B$4:F$14,Monthly!$A8,Breakup!F$4:F$14)</f>
        <v>1.0035016139999999</v>
      </c>
      <c r="F8" s="112">
        <f ca="1">SUMIF(Breakup!$B$4:G$14,Monthly!$A8,Breakup!G$4:G$14)</f>
        <v>3.5108187329999998</v>
      </c>
      <c r="G8" s="112">
        <f ca="1">SUMIF(Breakup!$B$4:H$14,Monthly!$A8,Breakup!H$4:H$14)</f>
        <v>3.5198852740000004</v>
      </c>
      <c r="H8" s="112">
        <f ca="1">SUMIF(Breakup!$B$4:$L$14,Monthly!$A8,Breakup!$I$4:$I$14)</f>
        <v>3.5291138630000001</v>
      </c>
      <c r="I8" s="112">
        <f ca="1">SUMIF(Breakup!$B$4:$L$14,Monthly!$A8,Breakup!$J$4:$J$14)</f>
        <v>2.5383889910000001</v>
      </c>
      <c r="J8" s="112">
        <f ca="1">SUMIF(Breakup!$B$4:$L$14,Monthly!$A8,Breakup!$K$4:$K$14)</f>
        <v>2.0454895999999998</v>
      </c>
      <c r="K8" s="112">
        <f ca="1">SUMIF(Breakup!$B$4:$L$14,Monthly!$A8,Breakup!L$4:L$14)</f>
        <v>4.3487874399999997</v>
      </c>
      <c r="L8" s="112">
        <f ca="1">SUMIF(Breakup!$B$4:M$14,Monthly!$A8,Breakup!M$4:M$14)</f>
        <v>3.3509365259999999</v>
      </c>
      <c r="M8" s="112">
        <f ca="1">SUMIF(Breakup!$B$4:N$14,Monthly!$A8,Breakup!N$4:N$14)</f>
        <v>2.3510603899999998</v>
      </c>
      <c r="N8" s="112">
        <f ca="1">SUMIF(Breakup!$B$4:O$14,Monthly!$A8,Breakup!O$4:O$14)</f>
        <v>2.857565701</v>
      </c>
      <c r="O8" s="112">
        <f ca="1">SUMIF(Breakup!$B$4:P$14,Monthly!$A8,Breakup!P$4:P$14)</f>
        <v>2.3574783309999998</v>
      </c>
      <c r="P8" s="112">
        <f ca="1">SUMIF(Breakup!$B$4:Q$14,Monthly!$A8,Breakup!Q$4:Q$14)</f>
        <v>1.3439698769999999</v>
      </c>
      <c r="Q8" s="112">
        <f ca="1">SUMIF(Breakup!$B$4:R$14,Monthly!$A8,Breakup!R$4:R$14)</f>
        <v>1.347861003</v>
      </c>
      <c r="R8" s="112">
        <f ca="1">SUMIF(Breakup!$B$4:S$14,Monthly!$A8,Breakup!S$4:S$14)</f>
        <v>1.351637789</v>
      </c>
      <c r="S8" s="112">
        <f ca="1">SUMIF(Breakup!$B$4:T$14,Monthly!$A8,Breakup!T$4:T$14)</f>
        <v>3.2195999999999995E-5</v>
      </c>
      <c r="T8" s="112">
        <f ca="1">SUMIF(Breakup!$B$4:U$14,Monthly!$A8,Breakup!U$4:U$14)</f>
        <v>0</v>
      </c>
      <c r="U8" s="112">
        <f ca="1">SUMIF(Breakup!$B$4:V$14,Monthly!$A8,Breakup!V$4:V$14)</f>
        <v>0</v>
      </c>
      <c r="V8" s="112">
        <f ca="1">SUMIF(Breakup!$B$4:W$14,Monthly!$A8,Breakup!W$4:W$14)</f>
        <v>4</v>
      </c>
      <c r="W8" s="112">
        <f ca="1">SUMIF(Breakup!$B$4:X$14,Monthly!$A8,Breakup!X$4:X$14)</f>
        <v>2.5</v>
      </c>
      <c r="X8" s="112">
        <f ca="1">SUMIF(Breakup!$B$4:Y$14,Monthly!$A8,Breakup!Y$4:Y$14)</f>
        <v>0</v>
      </c>
      <c r="Y8" s="112">
        <f ca="1">SUMIF(Breakup!$B$4:Z$14,Monthly!$A8,Breakup!Z$4:Z$14)</f>
        <v>0</v>
      </c>
      <c r="Z8" s="112">
        <f ca="1">SUMIF(Breakup!$B$4:AA$14,Monthly!$A8,Breakup!AA$4:AA$14)</f>
        <v>1.5</v>
      </c>
      <c r="AA8" s="112">
        <f ca="1">SUMIF(Breakup!$B$4:AB$14,Monthly!$A8,Breakup!AB$4:AB$14)</f>
        <v>1.5</v>
      </c>
      <c r="AB8" s="112">
        <f ca="1">SUMIF(Breakup!$B$4:AC$14,Monthly!$A8,Breakup!AC$4:AC$14)</f>
        <v>1.5</v>
      </c>
      <c r="AC8" s="112">
        <f ca="1">SUMIF(Breakup!$B$4:AD$14,Monthly!$A8,Breakup!AD$4:AD$14)</f>
        <v>3</v>
      </c>
      <c r="AD8" s="112">
        <f ca="1">SUMIF(Breakup!$B$4:AE$14,Monthly!$A8,Breakup!AE$4:AE$14)</f>
        <v>2</v>
      </c>
      <c r="AE8" s="112">
        <f ca="1">SUMIF(Breakup!$B$4:AF$14,Monthly!$A8,Breakup!AF$4:AF$14)</f>
        <v>1</v>
      </c>
      <c r="AF8" s="112">
        <f ca="1">SUMIF(Breakup!$B$4:AG$14,Monthly!$A8,Breakup!AG$4:AG$14)</f>
        <v>0</v>
      </c>
      <c r="AG8" s="112">
        <f ca="1">SUMIF(Breakup!$B$4:AH$14,Monthly!$A8,Breakup!AH$4:AH$14)</f>
        <v>2</v>
      </c>
      <c r="AH8" s="112">
        <f ca="1">SUMIF(Breakup!$B$4:AI$14,Monthly!$A8,Breakup!AI$4:AI$14)</f>
        <v>0</v>
      </c>
      <c r="AI8" s="112">
        <f ca="1">SUMIF(Breakup!$B$4:AJ$14,Monthly!$A8,Breakup!AJ$4:AJ$14)</f>
        <v>0</v>
      </c>
      <c r="AJ8" s="112">
        <f ca="1">SUMIF(Breakup!$B$4:AK$14,Monthly!$A8,Breakup!AK$4:AK$14)</f>
        <v>0</v>
      </c>
      <c r="AK8" s="112">
        <f ca="1">SUMIF(Breakup!$B$4:AL$14,Monthly!$A8,Breakup!AL$4:AL$14)</f>
        <v>0</v>
      </c>
      <c r="AL8" s="112">
        <f ca="1">SUMIF(Breakup!$B$4:AM$14,Monthly!$A8,Breakup!AM$4:AM$14)</f>
        <v>2</v>
      </c>
      <c r="AM8" s="112">
        <f ca="1">SUMIF(Breakup!$B$4:AN$14,Monthly!$A8,Breakup!AN$4:AN$14)</f>
        <v>4</v>
      </c>
      <c r="AN8" s="112">
        <f ca="1">SUMIF(Breakup!$B$4:AO$14,Monthly!$A8,Breakup!AO$4:AO$14)</f>
        <v>0</v>
      </c>
      <c r="AO8" s="112">
        <f ca="1">SUMIF(Breakup!$B$4:AP$14,Monthly!$A8,Breakup!AP$4:AP$14)</f>
        <v>2.0134634460000003</v>
      </c>
      <c r="AP8" s="112">
        <f ca="1">SUMIF(Breakup!$B$4:AQ$14,Monthly!$A8,Breakup!AQ$4:AQ$14)</f>
        <v>2.0247025719999998</v>
      </c>
      <c r="AQ8" s="112">
        <f ca="1">SUMIF(Breakup!$B$4:AR$14,Monthly!$A8,Breakup!AR$4:AR$14)</f>
        <v>0</v>
      </c>
      <c r="AR8" s="112">
        <f ca="1">SUMIF(Breakup!$B$4:AS$14,Monthly!$A8,Breakup!AS$4:AS$14)</f>
        <v>0</v>
      </c>
      <c r="AS8" s="112">
        <f ca="1">SUMIF(Breakup!$B$4:AT$14,Monthly!$A8,Breakup!AT$4:AT$14)</f>
        <v>3.0049730219999997</v>
      </c>
      <c r="AT8" s="112">
        <f ca="1">SUMIF(Breakup!$B$4:AU$14,Monthly!$A8,Breakup!AU$4:AU$14)</f>
        <v>3.0221235549999999</v>
      </c>
      <c r="AU8" s="112">
        <f ca="1">SUMIF(Breakup!$B$4:AV$14,Monthly!$A8,Breakup!AV$4:AV$14)</f>
        <v>3.0407110509999997</v>
      </c>
      <c r="AV8" s="112">
        <f ca="1">SUMIF(Breakup!$B$4:AW$14,Monthly!$A8,Breakup!AW$4:AW$14)</f>
        <v>1.042222156</v>
      </c>
      <c r="AW8" s="112">
        <f ca="1">SUMIF(Breakup!$B$4:AX$14,Monthly!$A8,Breakup!AX$4:AX$14)</f>
        <v>0.52468656000000002</v>
      </c>
      <c r="AX8" s="112">
        <f ca="1">SUMIF(Breakup!$B$4:AY$14,Monthly!$A8,Breakup!AY$4:AY$14)</f>
        <v>0</v>
      </c>
      <c r="AY8" s="112">
        <f ca="1">SUMIF(Breakup!$B$4:AZ$14,Monthly!$A8,Breakup!AZ$4:AZ$14)</f>
        <v>0</v>
      </c>
      <c r="AZ8" s="112">
        <f ca="1">SUMIF(Breakup!$B$4:BA$14,Monthly!$A8,Breakup!BA$4:BA$14)</f>
        <v>0</v>
      </c>
      <c r="BA8" s="112">
        <f ca="1">SUMIF(Breakup!$B$4:BB$14,Monthly!$A8,Breakup!BB$4:BB$14)</f>
        <v>9</v>
      </c>
      <c r="BB8" s="112">
        <f ca="1">SUMIF(Breakup!$B$4:BC$14,Monthly!$A8,Breakup!BC$4:BC$14)</f>
        <v>6.00011443</v>
      </c>
      <c r="BC8" s="112">
        <f ca="1">SUMIF(Breakup!$B$4:BD$14,Monthly!$A8,Breakup!BD$4:BD$14)</f>
        <v>4.4112820199999998</v>
      </c>
      <c r="BD8" s="112">
        <f ca="1">SUMIF(Breakup!$B$4:BE$14,Monthly!$A8,Breakup!BE$4:BE$14)</f>
        <v>0</v>
      </c>
      <c r="BE8" s="112">
        <f ca="1">SUMIF(Breakup!$B$4:BF$14,Monthly!$A8,Breakup!BF$4:BF$14)</f>
        <v>3.9999532250000001</v>
      </c>
      <c r="BF8" s="112">
        <f ca="1">SUMIF(Breakup!$B$4:BG$14,Monthly!$A8,Breakup!BG$4:BG$14)</f>
        <v>0</v>
      </c>
      <c r="BG8" s="112">
        <f ca="1">SUMIF(Breakup!$B$4:BH$14,Monthly!$A8,Breakup!BH$4:BH$14)</f>
        <v>0</v>
      </c>
      <c r="BH8" s="112">
        <f ca="1">SUMIF(Breakup!$B$4:BI$14,Monthly!$A8,Breakup!BI$4:BI$14)</f>
        <v>0</v>
      </c>
      <c r="BI8" s="112">
        <f ca="1">SUMIF(Breakup!$B$4:BJ$14,Monthly!$A8,Breakup!BJ$4:BJ$14)</f>
        <v>0</v>
      </c>
      <c r="BJ8" s="112">
        <f ca="1">SUMIF(Breakup!$B$4:BK$14,Monthly!$A8,Breakup!BK$4:BK$14)</f>
        <v>0</v>
      </c>
      <c r="BK8" s="112">
        <f ca="1">SUMIF(Breakup!$B$4:BL$14,Monthly!$A8,Breakup!BL$4:BL$14)</f>
        <v>0</v>
      </c>
      <c r="BL8" s="112">
        <f ca="1">SUMIF(Breakup!$B$4:BM$14,Monthly!$A8,Breakup!BM$4:BM$14)</f>
        <v>0</v>
      </c>
      <c r="BM8" s="112">
        <f ca="1">SUMIF(Breakup!$B$4:BN$14,Monthly!$A8,Breakup!BN$4:BN$14)</f>
        <v>0</v>
      </c>
      <c r="BN8" s="112">
        <f ca="1">SUMIF(Breakup!$B$4:BO$14,Monthly!$A8,Breakup!BO$4:BO$14)</f>
        <v>0</v>
      </c>
      <c r="BO8" s="1"/>
      <c r="BP8" s="73"/>
      <c r="BQ8" s="6"/>
    </row>
    <row r="9" spans="1:69">
      <c r="A9" s="98" t="s">
        <v>11</v>
      </c>
      <c r="B9" s="75">
        <f t="shared" ref="B9:BN9" ca="1" si="1">SUM(B4:B8)</f>
        <v>84.100594781183005</v>
      </c>
      <c r="C9" s="75">
        <f t="shared" ca="1" si="1"/>
        <v>87.278830220000003</v>
      </c>
      <c r="D9" s="75">
        <f t="shared" ca="1" si="1"/>
        <v>90.104911845000004</v>
      </c>
      <c r="E9" s="75">
        <f t="shared" ca="1" si="1"/>
        <v>93.824088724000006</v>
      </c>
      <c r="F9" s="75">
        <f t="shared" ca="1" si="1"/>
        <v>95.78942778599999</v>
      </c>
      <c r="G9" s="75">
        <f t="shared" ca="1" si="1"/>
        <v>102.480096179</v>
      </c>
      <c r="H9" s="75">
        <f t="shared" ca="1" si="1"/>
        <v>106.70070108</v>
      </c>
      <c r="I9" s="75">
        <f t="shared" ca="1" si="1"/>
        <v>109.81444055200001</v>
      </c>
      <c r="J9" s="75">
        <f t="shared" ca="1" si="1"/>
        <v>116.07471425100002</v>
      </c>
      <c r="K9" s="75">
        <f t="shared" ref="K9" ca="1" si="2">SUM(K4:K8)</f>
        <v>123.98272974700001</v>
      </c>
      <c r="L9" s="75">
        <f t="shared" ref="L9" ca="1" si="3">SUM(L4:L8)</f>
        <v>126.23589552600001</v>
      </c>
      <c r="M9" s="75">
        <f t="shared" ref="M9" ca="1" si="4">SUM(M4:M8)</f>
        <v>126.29326705100002</v>
      </c>
      <c r="N9" s="75">
        <f t="shared" ref="N9:O9" ca="1" si="5">SUM(N4:N8)</f>
        <v>129.873774771</v>
      </c>
      <c r="O9" s="75">
        <f t="shared" ca="1" si="5"/>
        <v>132.34062925699999</v>
      </c>
      <c r="P9" s="75">
        <f t="shared" ref="P9" ca="1" si="6">SUM(P4:P8)</f>
        <v>125.30918082100001</v>
      </c>
      <c r="Q9" s="75">
        <f t="shared" ref="Q9:S9" ca="1" si="7">SUM(Q4:Q8)</f>
        <v>135.806956066</v>
      </c>
      <c r="R9" s="75">
        <f t="shared" ca="1" si="7"/>
        <v>136.336454855</v>
      </c>
      <c r="S9" s="75">
        <f t="shared" ca="1" si="7"/>
        <v>131.59079236500003</v>
      </c>
      <c r="T9" s="75">
        <f t="shared" ref="T9:U9" ca="1" si="8">SUM(T4:T8)</f>
        <v>129.210050548</v>
      </c>
      <c r="U9" s="75">
        <f t="shared" ca="1" si="8"/>
        <v>138.48717480899998</v>
      </c>
      <c r="V9" s="75">
        <f t="shared" ref="V9:X9" ca="1" si="9">SUM(V4:V8)</f>
        <v>148.20329120199997</v>
      </c>
      <c r="W9" s="75">
        <f t="shared" ca="1" si="9"/>
        <v>147.71435690199996</v>
      </c>
      <c r="X9" s="75">
        <f t="shared" ca="1" si="9"/>
        <v>152.091289378</v>
      </c>
      <c r="Y9" s="75">
        <f t="shared" ref="Y9:Z9" ca="1" si="10">SUM(Y4:Y8)</f>
        <v>156.2142686983</v>
      </c>
      <c r="Z9" s="75">
        <f t="shared" ca="1" si="10"/>
        <v>155.92781844499999</v>
      </c>
      <c r="AA9" s="75">
        <f t="shared" ref="AA9:AB9" ca="1" si="11">SUM(AA4:AA8)</f>
        <v>158.98088011199999</v>
      </c>
      <c r="AB9" s="75">
        <f t="shared" ca="1" si="11"/>
        <v>161.42906851699999</v>
      </c>
      <c r="AC9" s="75">
        <f t="shared" ref="AC9:AD9" ca="1" si="12">SUM(AC4:AC8)</f>
        <v>166.39268559600004</v>
      </c>
      <c r="AD9" s="75">
        <f t="shared" ca="1" si="12"/>
        <v>173.66919956700002</v>
      </c>
      <c r="AE9" s="75">
        <f t="shared" ref="AE9:AG9" ca="1" si="13">SUM(AE4:AE8)</f>
        <v>179.92439205700001</v>
      </c>
      <c r="AF9" s="75">
        <f t="shared" ca="1" si="13"/>
        <v>186.77847065099996</v>
      </c>
      <c r="AG9" s="75">
        <f t="shared" ca="1" si="13"/>
        <v>200.35867974300001</v>
      </c>
      <c r="AH9" s="75">
        <f t="shared" ref="AH9:AJ9" ca="1" si="14">SUM(AH4:AH8)</f>
        <v>203.026920886</v>
      </c>
      <c r="AI9" s="75">
        <f t="shared" ca="1" si="14"/>
        <v>206.55485812100002</v>
      </c>
      <c r="AJ9" s="75">
        <f t="shared" ca="1" si="14"/>
        <v>207.56874475800001</v>
      </c>
      <c r="AK9" s="75">
        <f t="shared" ref="AK9:AL9" ca="1" si="15">SUM(AK4:AK8)</f>
        <v>218.86780472499998</v>
      </c>
      <c r="AL9" s="75">
        <f t="shared" ca="1" si="15"/>
        <v>230.27305441900003</v>
      </c>
      <c r="AM9" s="75">
        <f t="shared" ref="AM9:AO9" ca="1" si="16">SUM(AM4:AM8)</f>
        <v>240.37285664900003</v>
      </c>
      <c r="AN9" s="75">
        <f t="shared" ca="1" si="16"/>
        <v>244.30658444400004</v>
      </c>
      <c r="AO9" s="75">
        <f t="shared" ca="1" si="16"/>
        <v>255.819476963</v>
      </c>
      <c r="AP9" s="75">
        <f t="shared" ref="AP9:AR9" ca="1" si="17">SUM(AP4:AP8)</f>
        <v>261.21936444699998</v>
      </c>
      <c r="AQ9" s="75">
        <f t="shared" ca="1" si="17"/>
        <v>264.20790878900004</v>
      </c>
      <c r="AR9" s="75">
        <f t="shared" ca="1" si="17"/>
        <v>279.91029175199998</v>
      </c>
      <c r="AS9" s="75">
        <f t="shared" ref="AS9:BN9" ca="1" si="18">SUM(AS4:AS8)</f>
        <v>297.32793788800001</v>
      </c>
      <c r="AT9" s="75">
        <f t="shared" ref="AT9:AX9" ca="1" si="19">SUM(AT4:AT8)</f>
        <v>303.22227691900008</v>
      </c>
      <c r="AU9" s="75">
        <f t="shared" ca="1" si="19"/>
        <v>310.10826857600006</v>
      </c>
      <c r="AV9" s="75">
        <f t="shared" ca="1" si="19"/>
        <v>297.75005265999994</v>
      </c>
      <c r="AW9" s="75">
        <f t="shared" ca="1" si="19"/>
        <v>299.8564537150001</v>
      </c>
      <c r="AX9" s="75">
        <f t="shared" ca="1" si="19"/>
        <v>305.19194087799997</v>
      </c>
      <c r="AY9" s="75">
        <f t="shared" ref="AY9:BM9" ca="1" si="20">SUM(AY4:AY8)</f>
        <v>292.72159567199998</v>
      </c>
      <c r="AZ9" s="75">
        <f t="shared" ca="1" si="20"/>
        <v>278.84509800899997</v>
      </c>
      <c r="BA9" s="75">
        <f t="shared" ca="1" si="20"/>
        <v>296.83836563099999</v>
      </c>
      <c r="BB9" s="75">
        <f t="shared" ca="1" si="20"/>
        <v>304.71326746399995</v>
      </c>
      <c r="BC9" s="75">
        <f t="shared" ca="1" si="20"/>
        <v>316.63557166999999</v>
      </c>
      <c r="BD9" s="75">
        <f t="shared" ca="1" si="20"/>
        <v>324.93789296</v>
      </c>
      <c r="BE9" s="75">
        <f t="shared" ca="1" si="20"/>
        <v>325.44023271399999</v>
      </c>
      <c r="BF9" s="75">
        <f t="shared" ca="1" si="20"/>
        <v>324.34690384999999</v>
      </c>
      <c r="BG9" s="75">
        <f t="shared" ca="1" si="20"/>
        <v>326.98924789999995</v>
      </c>
      <c r="BH9" s="75">
        <f t="shared" ca="1" si="20"/>
        <v>337.53560352900001</v>
      </c>
      <c r="BI9" s="75">
        <f t="shared" ca="1" si="20"/>
        <v>338.46373845999995</v>
      </c>
      <c r="BJ9" s="75">
        <f t="shared" ca="1" si="20"/>
        <v>340.00900770699997</v>
      </c>
      <c r="BK9" s="75">
        <f t="shared" ca="1" si="20"/>
        <v>336.03914736399997</v>
      </c>
      <c r="BL9" s="75">
        <f t="shared" ca="1" si="20"/>
        <v>334.33099670399997</v>
      </c>
      <c r="BM9" s="75">
        <f t="shared" ca="1" si="20"/>
        <v>320.65091130499997</v>
      </c>
      <c r="BN9" s="75">
        <f t="shared" ca="1" si="18"/>
        <v>347.66362245499994</v>
      </c>
      <c r="BO9" s="1">
        <f t="shared" ca="1" si="0"/>
        <v>0.3048708652481551</v>
      </c>
      <c r="BP9" s="73"/>
      <c r="BQ9" s="6"/>
    </row>
    <row r="10" spans="1:69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1"/>
      <c r="BP10" s="1"/>
    </row>
    <row r="11" spans="1:69">
      <c r="A11" s="193" t="s">
        <v>12</v>
      </c>
      <c r="B11" s="193"/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3"/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  <c r="BI11" s="193"/>
      <c r="BJ11" s="193"/>
      <c r="BK11" s="193"/>
      <c r="BL11" s="193"/>
      <c r="BM11" s="193"/>
      <c r="BN11" s="193"/>
      <c r="BO11" s="114"/>
      <c r="BP11" s="66"/>
    </row>
    <row r="12" spans="1:69">
      <c r="A12" s="102" t="s">
        <v>6</v>
      </c>
      <c r="B12" s="88">
        <f t="shared" ref="B12:BN12" ca="1" si="21">B4/B$9</f>
        <v>0.54601985753681559</v>
      </c>
      <c r="C12" s="88">
        <f t="shared" ca="1" si="21"/>
        <v>0.57120914767457343</v>
      </c>
      <c r="D12" s="88">
        <f t="shared" ca="1" si="21"/>
        <v>0.60480373077490579</v>
      </c>
      <c r="E12" s="88">
        <f t="shared" ca="1" si="21"/>
        <v>0.59298803075684203</v>
      </c>
      <c r="F12" s="88">
        <f t="shared" ca="1" si="21"/>
        <v>0.56590440412801657</v>
      </c>
      <c r="G12" s="88">
        <f t="shared" ca="1" si="21"/>
        <v>0.59160812358237969</v>
      </c>
      <c r="H12" s="88">
        <f t="shared" ca="1" si="21"/>
        <v>0.60569355742606135</v>
      </c>
      <c r="I12" s="88">
        <f t="shared" ca="1" si="21"/>
        <v>0.62375437799152444</v>
      </c>
      <c r="J12" s="88">
        <f t="shared" ref="J12:N12" ca="1" si="22">J4/J$9</f>
        <v>0.64523162632170572</v>
      </c>
      <c r="K12" s="88">
        <f t="shared" ca="1" si="22"/>
        <v>0.6307471408846943</v>
      </c>
      <c r="L12" s="88">
        <f t="shared" ca="1" si="22"/>
        <v>0.64158628306572874</v>
      </c>
      <c r="M12" s="88">
        <f t="shared" ca="1" si="22"/>
        <v>0.65308126543034839</v>
      </c>
      <c r="N12" s="88">
        <f t="shared" ca="1" si="22"/>
        <v>0.6565641848814604</v>
      </c>
      <c r="O12" s="88">
        <f t="shared" ref="O12:Q12" ca="1" si="23">O4/O$9</f>
        <v>0.66488244328297108</v>
      </c>
      <c r="P12" s="88">
        <f t="shared" ca="1" si="23"/>
        <v>0.65163318768033707</v>
      </c>
      <c r="Q12" s="88">
        <f t="shared" ca="1" si="23"/>
        <v>0.65507252087857126</v>
      </c>
      <c r="R12" s="88">
        <f t="shared" ref="R12:S12" ca="1" si="24">R4/R$9</f>
        <v>0.65268659919784167</v>
      </c>
      <c r="S12" s="88">
        <f t="shared" ca="1" si="24"/>
        <v>0.64891257689327464</v>
      </c>
      <c r="T12" s="88">
        <f t="shared" ref="T12:U12" ca="1" si="25">T4/T$9</f>
        <v>0.64006251988328877</v>
      </c>
      <c r="U12" s="88">
        <f t="shared" ca="1" si="25"/>
        <v>0.66184410892497614</v>
      </c>
      <c r="V12" s="88">
        <f t="shared" ref="V12:X12" ca="1" si="26">V4/V$9</f>
        <v>0.64381019090831348</v>
      </c>
      <c r="W12" s="88">
        <f t="shared" ca="1" si="26"/>
        <v>0.65083262668761177</v>
      </c>
      <c r="X12" s="88">
        <f t="shared" ca="1" si="26"/>
        <v>0.67546634523344551</v>
      </c>
      <c r="Y12" s="88">
        <f t="shared" ref="Y12:Z12" ca="1" si="27">Y4/Y$9</f>
        <v>0.6796958919505891</v>
      </c>
      <c r="Z12" s="88">
        <f t="shared" ca="1" si="27"/>
        <v>0.6670692406415526</v>
      </c>
      <c r="AA12" s="88">
        <f t="shared" ref="AA12:AB12" ca="1" si="28">AA4/AA$9</f>
        <v>0.6710834066136675</v>
      </c>
      <c r="AB12" s="88">
        <f t="shared" ca="1" si="28"/>
        <v>0.67416830510633308</v>
      </c>
      <c r="AC12" s="88">
        <f t="shared" ref="AC12:AD12" ca="1" si="29">AC4/AC$9</f>
        <v>0.65398306545883367</v>
      </c>
      <c r="AD12" s="88">
        <f t="shared" ca="1" si="29"/>
        <v>0.67185973596881465</v>
      </c>
      <c r="AE12" s="88">
        <f t="shared" ref="AE12:AG12" ca="1" si="30">AE4/AE$9</f>
        <v>0.68653321622933483</v>
      </c>
      <c r="AF12" s="88">
        <f t="shared" ca="1" si="30"/>
        <v>0.70178768566921135</v>
      </c>
      <c r="AG12" s="88">
        <f t="shared" ca="1" si="30"/>
        <v>0.70098570185805442</v>
      </c>
      <c r="AH12" s="88">
        <f t="shared" ref="AH12:AJ12" ca="1" si="31">AH4/AH$9</f>
        <v>0.71309927892416458</v>
      </c>
      <c r="AI12" s="88">
        <f t="shared" ca="1" si="31"/>
        <v>0.71647896576853232</v>
      </c>
      <c r="AJ12" s="88">
        <f t="shared" ca="1" si="31"/>
        <v>0.71606192411717373</v>
      </c>
      <c r="AK12" s="88">
        <f t="shared" ref="AK12:AM12" ca="1" si="32">AK4/AK$9</f>
        <v>0.72889605406078983</v>
      </c>
      <c r="AL12" s="88">
        <f t="shared" ca="1" si="32"/>
        <v>0.7318561038077529</v>
      </c>
      <c r="AM12" s="88">
        <f t="shared" ca="1" si="32"/>
        <v>0.73300088290036547</v>
      </c>
      <c r="AN12" s="88">
        <f t="shared" ref="AN12:AO12" ca="1" si="33">AN4/AN$9</f>
        <v>0.75220661924535048</v>
      </c>
      <c r="AO12" s="88">
        <f t="shared" ca="1" si="33"/>
        <v>0.73511606993160761</v>
      </c>
      <c r="AP12" s="88">
        <f t="shared" ref="AP12:AR12" ca="1" si="34">AP4/AP$9</f>
        <v>0.73882669948137714</v>
      </c>
      <c r="AQ12" s="88">
        <f t="shared" ca="1" si="34"/>
        <v>0.7476098262703621</v>
      </c>
      <c r="AR12" s="88">
        <f t="shared" ca="1" si="34"/>
        <v>0.76037383413030324</v>
      </c>
      <c r="AS12" s="88">
        <f t="shared" ref="AS12:BN12" ca="1" si="35">AS4/AS$9</f>
        <v>0.75739322535788089</v>
      </c>
      <c r="AT12" s="88">
        <f t="shared" ref="AT12:AX12" ca="1" si="36">AT4/AT$9</f>
        <v>0.76075824542937986</v>
      </c>
      <c r="AU12" s="88">
        <f t="shared" ca="1" si="36"/>
        <v>0.76441831304122165</v>
      </c>
      <c r="AV12" s="88">
        <f t="shared" ca="1" si="36"/>
        <v>0.75960451386473993</v>
      </c>
      <c r="AW12" s="88">
        <f t="shared" ca="1" si="36"/>
        <v>0.76189567649639534</v>
      </c>
      <c r="AX12" s="88">
        <f t="shared" ca="1" si="36"/>
        <v>0.76629877481426845</v>
      </c>
      <c r="AY12" s="88">
        <f t="shared" ref="AY12:BM12" ca="1" si="37">AY4/AY$9</f>
        <v>0.75471636851674917</v>
      </c>
      <c r="AZ12" s="88">
        <f t="shared" ca="1" si="37"/>
        <v>0.74086914019314132</v>
      </c>
      <c r="BA12" s="88">
        <f t="shared" ca="1" si="37"/>
        <v>0.70049825327998161</v>
      </c>
      <c r="BB12" s="88">
        <f t="shared" ca="1" si="37"/>
        <v>0.71624813993301073</v>
      </c>
      <c r="BC12" s="88">
        <f t="shared" ca="1" si="37"/>
        <v>0.73029839771445049</v>
      </c>
      <c r="BD12" s="88">
        <f t="shared" ca="1" si="37"/>
        <v>0.74936695361034644</v>
      </c>
      <c r="BE12" s="88">
        <f t="shared" ca="1" si="37"/>
        <v>0.73299521236096399</v>
      </c>
      <c r="BF12" s="88">
        <f t="shared" ca="1" si="37"/>
        <v>0.74233351541826353</v>
      </c>
      <c r="BG12" s="88">
        <f t="shared" ca="1" si="37"/>
        <v>0.74148811301021389</v>
      </c>
      <c r="BH12" s="88">
        <f t="shared" ca="1" si="37"/>
        <v>0.74761076873278431</v>
      </c>
      <c r="BI12" s="88">
        <f t="shared" ca="1" si="37"/>
        <v>0.74619074294083543</v>
      </c>
      <c r="BJ12" s="88">
        <f t="shared" ca="1" si="37"/>
        <v>0.74467504674226093</v>
      </c>
      <c r="BK12" s="88">
        <f t="shared" ca="1" si="37"/>
        <v>0.73722557864857896</v>
      </c>
      <c r="BL12" s="88">
        <f t="shared" ca="1" si="37"/>
        <v>0.73571582990784401</v>
      </c>
      <c r="BM12" s="88">
        <f t="shared" ca="1" si="37"/>
        <v>0.70787703793268664</v>
      </c>
      <c r="BN12" s="88">
        <f t="shared" ca="1" si="35"/>
        <v>0.72672747632002466</v>
      </c>
      <c r="BO12" s="1"/>
      <c r="BP12" s="1"/>
    </row>
    <row r="13" spans="1:69">
      <c r="A13" s="102" t="s">
        <v>7</v>
      </c>
      <c r="B13" s="88">
        <f t="shared" ref="B13:BN13" ca="1" si="38">B5/B$9</f>
        <v>0.38679869131292266</v>
      </c>
      <c r="C13" s="88">
        <f t="shared" ca="1" si="38"/>
        <v>0.37807564465315774</v>
      </c>
      <c r="D13" s="88">
        <f t="shared" ca="1" si="38"/>
        <v>0.37101196056333596</v>
      </c>
      <c r="E13" s="88">
        <f t="shared" ca="1" si="38"/>
        <v>0.38389927885104436</v>
      </c>
      <c r="F13" s="88">
        <f t="shared" ca="1" si="38"/>
        <v>0.38499447018713612</v>
      </c>
      <c r="G13" s="88">
        <f t="shared" ca="1" si="38"/>
        <v>0.36221570220975779</v>
      </c>
      <c r="H13" s="88">
        <f t="shared" ca="1" si="38"/>
        <v>0.35003106466936446</v>
      </c>
      <c r="I13" s="88">
        <f t="shared" ca="1" si="38"/>
        <v>0.3422851294516332</v>
      </c>
      <c r="J13" s="88">
        <f t="shared" ref="J13:N13" ca="1" si="39">J5/J$9</f>
        <v>0.32609858438375527</v>
      </c>
      <c r="K13" s="88">
        <f t="shared" ca="1" si="39"/>
        <v>0.32035784404046069</v>
      </c>
      <c r="L13" s="88">
        <f t="shared" ca="1" si="39"/>
        <v>0.31670975861034356</v>
      </c>
      <c r="M13" s="88">
        <f t="shared" ca="1" si="39"/>
        <v>0.31890409473480402</v>
      </c>
      <c r="N13" s="88">
        <f t="shared" ca="1" si="39"/>
        <v>0.31233203217142219</v>
      </c>
      <c r="O13" s="88">
        <f t="shared" ref="O13:Q13" ca="1" si="40">O5/O$9</f>
        <v>0.30843921650645267</v>
      </c>
      <c r="P13" s="88">
        <f t="shared" ca="1" si="40"/>
        <v>0.32803135197825301</v>
      </c>
      <c r="Q13" s="88">
        <f t="shared" ca="1" si="40"/>
        <v>0.32628034147577462</v>
      </c>
      <c r="R13" s="88">
        <f t="shared" ref="R13:S13" ca="1" si="41">R5/R$9</f>
        <v>0.32837101454349682</v>
      </c>
      <c r="S13" s="88">
        <f t="shared" ca="1" si="41"/>
        <v>0.34200143635558833</v>
      </c>
      <c r="T13" s="88">
        <f t="shared" ref="T13:U13" ca="1" si="42">T5/T$9</f>
        <v>0.35056514418104701</v>
      </c>
      <c r="U13" s="88">
        <f t="shared" ca="1" si="42"/>
        <v>0.32942288022641641</v>
      </c>
      <c r="V13" s="88">
        <f t="shared" ref="V13:X13" ca="1" si="43">V5/V$9</f>
        <v>0.32085178145732229</v>
      </c>
      <c r="W13" s="88">
        <f t="shared" ca="1" si="43"/>
        <v>0.32400935835744737</v>
      </c>
      <c r="X13" s="88">
        <f t="shared" ca="1" si="43"/>
        <v>0.31647599410096428</v>
      </c>
      <c r="Y13" s="88">
        <f t="shared" ref="Y13:Z13" ca="1" si="44">Y5/Y$9</f>
        <v>0.3123397779637716</v>
      </c>
      <c r="Z13" s="88">
        <f t="shared" ca="1" si="44"/>
        <v>0.31499850693623926</v>
      </c>
      <c r="AA13" s="88">
        <f t="shared" ref="AA13:AB13" ca="1" si="45">AA5/AA$9</f>
        <v>0.31109740973352945</v>
      </c>
      <c r="AB13" s="88">
        <f t="shared" ca="1" si="45"/>
        <v>0.30836343452454357</v>
      </c>
      <c r="AC13" s="88">
        <f t="shared" ref="AC13:AD13" ca="1" si="46">AC5/AC$9</f>
        <v>0.31967913619202204</v>
      </c>
      <c r="AD13" s="88">
        <f t="shared" ca="1" si="46"/>
        <v>0.30834351821458689</v>
      </c>
      <c r="AE13" s="88">
        <f t="shared" ref="AE13:AG13" ca="1" si="47">AE5/AE$9</f>
        <v>0.29961068304136435</v>
      </c>
      <c r="AF13" s="88">
        <f t="shared" ca="1" si="47"/>
        <v>0.29032278619157703</v>
      </c>
      <c r="AG13" s="88">
        <f t="shared" ca="1" si="47"/>
        <v>0.28164125493530801</v>
      </c>
      <c r="AH13" s="88">
        <f t="shared" ref="AH13:AJ13" ca="1" si="48">AH5/AH$9</f>
        <v>0.27961104740329318</v>
      </c>
      <c r="AI13" s="88">
        <f t="shared" ca="1" si="48"/>
        <v>0.27641029854913579</v>
      </c>
      <c r="AJ13" s="88">
        <f t="shared" ca="1" si="48"/>
        <v>0.2767527455396725</v>
      </c>
      <c r="AK13" s="88">
        <f t="shared" ref="AK13:AM13" ca="1" si="49">AK5/AK$9</f>
        <v>0.26409470352492476</v>
      </c>
      <c r="AL13" s="88">
        <f t="shared" ca="1" si="49"/>
        <v>0.2526849706615043</v>
      </c>
      <c r="AM13" s="88">
        <f t="shared" ca="1" si="49"/>
        <v>0.24379454825705171</v>
      </c>
      <c r="AN13" s="88">
        <f t="shared" ref="AN13:AO13" ca="1" si="50">AN5/AN$9</f>
        <v>0.24139304363905922</v>
      </c>
      <c r="AO13" s="88">
        <f t="shared" ca="1" si="50"/>
        <v>0.25045889687776579</v>
      </c>
      <c r="AP13" s="88">
        <f t="shared" ref="AP13:AR13" ca="1" si="51">AP5/AP$9</f>
        <v>0.24662934211016874</v>
      </c>
      <c r="AQ13" s="88">
        <f t="shared" ca="1" si="51"/>
        <v>0.2453836234394329</v>
      </c>
      <c r="AR13" s="88">
        <f t="shared" ca="1" si="51"/>
        <v>0.23297710702891311</v>
      </c>
      <c r="AS13" s="88">
        <f t="shared" ref="AS13:BN13" ca="1" si="52">AS5/AS$9</f>
        <v>0.22613443754258658</v>
      </c>
      <c r="AT13" s="88">
        <f t="shared" ref="AT13:AX13" ca="1" si="53">AT5/AT$9</f>
        <v>0.22300330532134105</v>
      </c>
      <c r="AU13" s="88">
        <f t="shared" ca="1" si="53"/>
        <v>0.21937912301531287</v>
      </c>
      <c r="AV13" s="88">
        <f t="shared" ca="1" si="53"/>
        <v>0.2298822767234234</v>
      </c>
      <c r="AW13" s="88">
        <f t="shared" ca="1" si="53"/>
        <v>0.22963117567396049</v>
      </c>
      <c r="AX13" s="88">
        <f t="shared" ca="1" si="53"/>
        <v>0.22703397671859935</v>
      </c>
      <c r="AY13" s="88">
        <f t="shared" ref="AY13:BM13" ca="1" si="54">AY5/AY$9</f>
        <v>0.23819745803151732</v>
      </c>
      <c r="AZ13" s="88">
        <f t="shared" ca="1" si="54"/>
        <v>0.25149403916627772</v>
      </c>
      <c r="BA13" s="88">
        <f t="shared" ca="1" si="54"/>
        <v>0.26180429822405699</v>
      </c>
      <c r="BB13" s="88">
        <f t="shared" ca="1" si="54"/>
        <v>0.25657642888567944</v>
      </c>
      <c r="BC13" s="88">
        <f t="shared" ca="1" si="54"/>
        <v>0.24830460957160091</v>
      </c>
      <c r="BD13" s="88">
        <f t="shared" ca="1" si="54"/>
        <v>0.24309959444995841</v>
      </c>
      <c r="BE13" s="88">
        <f t="shared" ca="1" si="54"/>
        <v>0.24404499510605027</v>
      </c>
      <c r="BF13" s="88">
        <f t="shared" ca="1" si="54"/>
        <v>0.24589339085192563</v>
      </c>
      <c r="BG13" s="88">
        <f t="shared" ca="1" si="54"/>
        <v>0.24533740028214551</v>
      </c>
      <c r="BH13" s="88">
        <f t="shared" ca="1" si="54"/>
        <v>0.23964792203928259</v>
      </c>
      <c r="BI13" s="88">
        <f t="shared" ca="1" si="54"/>
        <v>0.2403950874330244</v>
      </c>
      <c r="BJ13" s="88">
        <f t="shared" ca="1" si="54"/>
        <v>0.2407678565696853</v>
      </c>
      <c r="BK13" s="88">
        <f t="shared" ca="1" si="54"/>
        <v>0.2449850877368922</v>
      </c>
      <c r="BL13" s="88">
        <f t="shared" ca="1" si="54"/>
        <v>0.24780484255652263</v>
      </c>
      <c r="BM13" s="88">
        <f t="shared" ca="1" si="54"/>
        <v>0.27635942040317596</v>
      </c>
      <c r="BN13" s="88">
        <f t="shared" ca="1" si="52"/>
        <v>0.25835564666138172</v>
      </c>
      <c r="BO13" s="1"/>
      <c r="BP13" s="1"/>
    </row>
    <row r="14" spans="1:69">
      <c r="A14" s="102" t="s">
        <v>8</v>
      </c>
      <c r="B14" s="88">
        <f t="shared" ref="B14:BN14" ca="1" si="55">B6/B$9</f>
        <v>1.1890522327479947E-2</v>
      </c>
      <c r="C14" s="88">
        <f t="shared" ca="1" si="55"/>
        <v>1.4051104911795414E-2</v>
      </c>
      <c r="D14" s="88">
        <f t="shared" ca="1" si="55"/>
        <v>1.3086134549782934E-2</v>
      </c>
      <c r="E14" s="88">
        <f t="shared" ca="1" si="55"/>
        <v>1.2417125664040572E-2</v>
      </c>
      <c r="F14" s="88">
        <f t="shared" ca="1" si="55"/>
        <v>1.2449703767562287E-2</v>
      </c>
      <c r="G14" s="88">
        <f t="shared" ca="1" si="55"/>
        <v>1.1829160443824918E-2</v>
      </c>
      <c r="H14" s="88">
        <f t="shared" ca="1" si="55"/>
        <v>1.1200488730659425E-2</v>
      </c>
      <c r="I14" s="88">
        <f t="shared" ca="1" si="55"/>
        <v>1.0845235781500409E-2</v>
      </c>
      <c r="J14" s="88">
        <f t="shared" ref="J14:N14" ca="1" si="56">J6/J$9</f>
        <v>1.0144310994845765E-2</v>
      </c>
      <c r="K14" s="88">
        <f t="shared" ca="1" si="56"/>
        <v>9.4638180849409108E-3</v>
      </c>
      <c r="L14" s="88">
        <f t="shared" ca="1" si="56"/>
        <v>9.3760969894353188E-3</v>
      </c>
      <c r="M14" s="88">
        <f t="shared" ca="1" si="56"/>
        <v>9.3987591557090928E-3</v>
      </c>
      <c r="N14" s="88">
        <f t="shared" ca="1" si="56"/>
        <v>9.1011445696728387E-3</v>
      </c>
      <c r="O14" s="88">
        <f t="shared" ref="O14:Q14" ca="1" si="57">O6/O$9</f>
        <v>8.8646246174467827E-3</v>
      </c>
      <c r="P14" s="88">
        <f t="shared" ca="1" si="57"/>
        <v>9.6102296105520877E-3</v>
      </c>
      <c r="Q14" s="88">
        <f t="shared" ca="1" si="57"/>
        <v>8.7223072684460123E-3</v>
      </c>
      <c r="R14" s="88">
        <f t="shared" ref="R14:S14" ca="1" si="58">R6/R$9</f>
        <v>9.0283996405005392E-3</v>
      </c>
      <c r="S14" s="88">
        <f t="shared" ca="1" si="58"/>
        <v>9.0857420835623818E-3</v>
      </c>
      <c r="T14" s="88">
        <f t="shared" ref="T14:U14" ca="1" si="59">T6/T$9</f>
        <v>9.3723359356641372E-3</v>
      </c>
      <c r="U14" s="88">
        <f t="shared" ca="1" si="59"/>
        <v>8.7330108486074996E-3</v>
      </c>
      <c r="V14" s="88">
        <f t="shared" ref="V14:X14" ca="1" si="60">V6/V$9</f>
        <v>8.3480737166200265E-3</v>
      </c>
      <c r="W14" s="88">
        <f t="shared" ca="1" si="60"/>
        <v>8.2334583144607881E-3</v>
      </c>
      <c r="X14" s="88">
        <f t="shared" ca="1" si="60"/>
        <v>8.0576606655901536E-3</v>
      </c>
      <c r="Y14" s="88">
        <f t="shared" ref="Y14:Z14" ca="1" si="61">Y6/Y$9</f>
        <v>7.9643300856392218E-3</v>
      </c>
      <c r="Z14" s="88">
        <f t="shared" ca="1" si="61"/>
        <v>8.3124166869376348E-3</v>
      </c>
      <c r="AA14" s="88">
        <f t="shared" ref="AA14:AB14" ca="1" si="62">AA6/AA$9</f>
        <v>8.3840868100678676E-3</v>
      </c>
      <c r="AB14" s="88">
        <f t="shared" ca="1" si="62"/>
        <v>8.17625358385193E-3</v>
      </c>
      <c r="AC14" s="88">
        <f t="shared" ref="AC14:AD14" ca="1" si="63">AC6/AC$9</f>
        <v>8.3081596708914005E-3</v>
      </c>
      <c r="AD14" s="88">
        <f t="shared" ca="1" si="63"/>
        <v>8.2805989984723796E-3</v>
      </c>
      <c r="AE14" s="88">
        <f t="shared" ref="AE14:AG14" ca="1" si="64">AE6/AE$9</f>
        <v>8.2982106146397422E-3</v>
      </c>
      <c r="AF14" s="88">
        <f t="shared" ca="1" si="64"/>
        <v>7.8895281392117479E-3</v>
      </c>
      <c r="AG14" s="88">
        <f t="shared" ca="1" si="64"/>
        <v>7.3909450885755127E-3</v>
      </c>
      <c r="AH14" s="88">
        <f t="shared" ref="AH14:AJ14" ca="1" si="65">AH6/AH$9</f>
        <v>7.2896736725422875E-3</v>
      </c>
      <c r="AI14" s="88">
        <f t="shared" ca="1" si="65"/>
        <v>7.1107356823319106E-3</v>
      </c>
      <c r="AJ14" s="88">
        <f t="shared" ca="1" si="65"/>
        <v>7.1853303431537816E-3</v>
      </c>
      <c r="AK14" s="88">
        <f t="shared" ref="AK14:AM14" ca="1" si="66">AK6/AK$9</f>
        <v>7.0092424142853792E-3</v>
      </c>
      <c r="AL14" s="88">
        <f t="shared" ca="1" si="66"/>
        <v>6.7735845339588355E-3</v>
      </c>
      <c r="AM14" s="88">
        <f t="shared" ca="1" si="66"/>
        <v>6.5637548348642287E-3</v>
      </c>
      <c r="AN14" s="88">
        <f t="shared" ref="AN14:AO14" ca="1" si="67">AN6/AN$9</f>
        <v>6.4003371155901805E-3</v>
      </c>
      <c r="AO14" s="88">
        <f t="shared" ca="1" si="67"/>
        <v>6.5543914791230404E-3</v>
      </c>
      <c r="AP14" s="88">
        <f t="shared" ref="AP14:AR14" ca="1" si="68">AP6/AP$9</f>
        <v>6.792991797359758E-3</v>
      </c>
      <c r="AQ14" s="88">
        <f t="shared" ca="1" si="68"/>
        <v>7.0065502902049073E-3</v>
      </c>
      <c r="AR14" s="88">
        <f t="shared" ca="1" si="68"/>
        <v>6.649058840783771E-3</v>
      </c>
      <c r="AS14" s="88">
        <f t="shared" ref="AS14:BN14" ca="1" si="69">AS6/AS$9</f>
        <v>6.3657421951144157E-3</v>
      </c>
      <c r="AT14" s="88">
        <f t="shared" ref="AT14:AX14" ca="1" si="70">AT6/AT$9</f>
        <v>6.2717555560998966E-3</v>
      </c>
      <c r="AU14" s="88">
        <f t="shared" ca="1" si="70"/>
        <v>6.3972431599765914E-3</v>
      </c>
      <c r="AV14" s="88">
        <f t="shared" ca="1" si="70"/>
        <v>7.012883730315847E-3</v>
      </c>
      <c r="AW14" s="88">
        <f t="shared" ca="1" si="70"/>
        <v>6.7233553756230165E-3</v>
      </c>
      <c r="AX14" s="88">
        <f t="shared" ca="1" si="70"/>
        <v>6.6672484671323751E-3</v>
      </c>
      <c r="AY14" s="88">
        <f t="shared" ref="AY14:BM14" ca="1" si="71">AY6/AY$9</f>
        <v>7.0861734517335215E-3</v>
      </c>
      <c r="AZ14" s="88">
        <f t="shared" ca="1" si="71"/>
        <v>7.6368206405811332E-3</v>
      </c>
      <c r="BA14" s="88">
        <f t="shared" ca="1" si="71"/>
        <v>7.3779175927765747E-3</v>
      </c>
      <c r="BB14" s="88">
        <f t="shared" ca="1" si="71"/>
        <v>7.484413195987403E-3</v>
      </c>
      <c r="BC14" s="88">
        <f t="shared" ca="1" si="71"/>
        <v>7.4652604176246385E-3</v>
      </c>
      <c r="BD14" s="88">
        <f t="shared" ca="1" si="71"/>
        <v>7.5334519396952513E-3</v>
      </c>
      <c r="BE14" s="88">
        <f t="shared" ca="1" si="71"/>
        <v>1.0668892936330044E-2</v>
      </c>
      <c r="BF14" s="88">
        <f t="shared" ca="1" si="71"/>
        <v>1.1773093729810858E-2</v>
      </c>
      <c r="BG14" s="88">
        <f t="shared" ca="1" si="71"/>
        <v>1.3174486707640765E-2</v>
      </c>
      <c r="BH14" s="88">
        <f t="shared" ca="1" si="71"/>
        <v>1.2741309227933052E-2</v>
      </c>
      <c r="BI14" s="88">
        <f t="shared" ca="1" si="71"/>
        <v>1.3414169626140225E-2</v>
      </c>
      <c r="BJ14" s="88">
        <f t="shared" ca="1" si="71"/>
        <v>1.4557096688053718E-2</v>
      </c>
      <c r="BK14" s="88">
        <f t="shared" ca="1" si="71"/>
        <v>1.7789333614528797E-2</v>
      </c>
      <c r="BL14" s="88">
        <f t="shared" ca="1" si="71"/>
        <v>1.6479327535633442E-2</v>
      </c>
      <c r="BM14" s="88">
        <f t="shared" ca="1" si="71"/>
        <v>1.5763541664137421E-2</v>
      </c>
      <c r="BN14" s="88">
        <f t="shared" ca="1" si="69"/>
        <v>1.4916877018593629E-2</v>
      </c>
      <c r="BO14" s="1"/>
      <c r="BP14" s="1"/>
    </row>
    <row r="15" spans="1:69">
      <c r="A15" s="102" t="s">
        <v>9</v>
      </c>
      <c r="B15" s="88">
        <f ca="1">B7/B$9</f>
        <v>0</v>
      </c>
      <c r="C15" s="88">
        <f t="shared" ref="C15:BN15" ca="1" si="72">C7/C$9</f>
        <v>0</v>
      </c>
      <c r="D15" s="88">
        <f t="shared" ca="1" si="72"/>
        <v>0</v>
      </c>
      <c r="E15" s="88">
        <f t="shared" ca="1" si="72"/>
        <v>0</v>
      </c>
      <c r="F15" s="88">
        <f t="shared" ca="1" si="72"/>
        <v>0</v>
      </c>
      <c r="G15" s="88">
        <f t="shared" ca="1" si="72"/>
        <v>0</v>
      </c>
      <c r="H15" s="88">
        <f t="shared" ca="1" si="72"/>
        <v>0</v>
      </c>
      <c r="I15" s="88">
        <f t="shared" ca="1" si="72"/>
        <v>0</v>
      </c>
      <c r="J15" s="88">
        <f t="shared" ca="1" si="72"/>
        <v>9.0329750692534389E-4</v>
      </c>
      <c r="K15" s="88">
        <f t="shared" ca="1" si="72"/>
        <v>4.3554453196983775E-3</v>
      </c>
      <c r="L15" s="88">
        <f t="shared" ca="1" si="72"/>
        <v>5.7828242668872777E-3</v>
      </c>
      <c r="M15" s="88">
        <f t="shared" ca="1" si="72"/>
        <v>0</v>
      </c>
      <c r="N15" s="88">
        <f t="shared" ca="1" si="72"/>
        <v>0</v>
      </c>
      <c r="O15" s="88">
        <f t="shared" ca="1" si="72"/>
        <v>0</v>
      </c>
      <c r="P15" s="88">
        <f t="shared" ca="1" si="72"/>
        <v>0</v>
      </c>
      <c r="Q15" s="88">
        <f t="shared" ca="1" si="72"/>
        <v>0</v>
      </c>
      <c r="R15" s="88">
        <f t="shared" ca="1" si="72"/>
        <v>0</v>
      </c>
      <c r="S15" s="88">
        <f t="shared" ca="1" si="72"/>
        <v>0</v>
      </c>
      <c r="T15" s="88">
        <f t="shared" ca="1" si="72"/>
        <v>0</v>
      </c>
      <c r="U15" s="88">
        <f t="shared" ca="1" si="72"/>
        <v>0</v>
      </c>
      <c r="V15" s="88">
        <f t="shared" ca="1" si="72"/>
        <v>0</v>
      </c>
      <c r="W15" s="88">
        <f t="shared" ca="1" si="72"/>
        <v>0</v>
      </c>
      <c r="X15" s="88">
        <f t="shared" ca="1" si="72"/>
        <v>0</v>
      </c>
      <c r="Y15" s="88">
        <f t="shared" ca="1" si="72"/>
        <v>0</v>
      </c>
      <c r="Z15" s="88">
        <f t="shared" ca="1" si="72"/>
        <v>0</v>
      </c>
      <c r="AA15" s="88">
        <f t="shared" ca="1" si="72"/>
        <v>0</v>
      </c>
      <c r="AB15" s="88">
        <f t="shared" ca="1" si="72"/>
        <v>0</v>
      </c>
      <c r="AC15" s="88">
        <f t="shared" ca="1" si="72"/>
        <v>0</v>
      </c>
      <c r="AD15" s="88">
        <f t="shared" ca="1" si="72"/>
        <v>0</v>
      </c>
      <c r="AE15" s="88">
        <f t="shared" ca="1" si="72"/>
        <v>0</v>
      </c>
      <c r="AF15" s="88">
        <f t="shared" ca="1" si="72"/>
        <v>0</v>
      </c>
      <c r="AG15" s="88">
        <f t="shared" ca="1" si="72"/>
        <v>0</v>
      </c>
      <c r="AH15" s="88">
        <f t="shared" ca="1" si="72"/>
        <v>0</v>
      </c>
      <c r="AI15" s="88">
        <f t="shared" ca="1" si="72"/>
        <v>0</v>
      </c>
      <c r="AJ15" s="88">
        <f t="shared" ca="1" si="72"/>
        <v>0</v>
      </c>
      <c r="AK15" s="88">
        <f t="shared" ca="1" si="72"/>
        <v>0</v>
      </c>
      <c r="AL15" s="88">
        <f t="shared" ca="1" si="72"/>
        <v>0</v>
      </c>
      <c r="AM15" s="88">
        <f t="shared" ca="1" si="72"/>
        <v>0</v>
      </c>
      <c r="AN15" s="88">
        <f t="shared" ref="AN15:AO15" ca="1" si="73">AN7/AN$9</f>
        <v>0</v>
      </c>
      <c r="AO15" s="88">
        <f t="shared" ca="1" si="73"/>
        <v>0</v>
      </c>
      <c r="AP15" s="88">
        <f t="shared" ref="AP15:AR15" ca="1" si="74">AP7/AP$9</f>
        <v>0</v>
      </c>
      <c r="AQ15" s="88">
        <f t="shared" ca="1" si="74"/>
        <v>0</v>
      </c>
      <c r="AR15" s="88">
        <f t="shared" ca="1" si="74"/>
        <v>0</v>
      </c>
      <c r="AS15" s="88">
        <f t="shared" ref="AS15:BN15" ca="1" si="75">AS7/AS$9</f>
        <v>0</v>
      </c>
      <c r="AT15" s="88">
        <f t="shared" ref="AT15:AX15" ca="1" si="76">AT7/AT$9</f>
        <v>0</v>
      </c>
      <c r="AU15" s="88">
        <f t="shared" ca="1" si="76"/>
        <v>0</v>
      </c>
      <c r="AV15" s="88">
        <f t="shared" ca="1" si="76"/>
        <v>0</v>
      </c>
      <c r="AW15" s="88">
        <f t="shared" ca="1" si="76"/>
        <v>0</v>
      </c>
      <c r="AX15" s="88">
        <f t="shared" ca="1" si="76"/>
        <v>0</v>
      </c>
      <c r="AY15" s="88">
        <f t="shared" ref="AY15:BM15" ca="1" si="77">AY7/AY$9</f>
        <v>0</v>
      </c>
      <c r="AZ15" s="88">
        <f t="shared" ca="1" si="77"/>
        <v>0</v>
      </c>
      <c r="BA15" s="88">
        <f t="shared" ca="1" si="77"/>
        <v>0</v>
      </c>
      <c r="BB15" s="88">
        <f t="shared" ca="1" si="77"/>
        <v>0</v>
      </c>
      <c r="BC15" s="88">
        <f t="shared" ca="1" si="77"/>
        <v>0</v>
      </c>
      <c r="BD15" s="88">
        <f t="shared" ca="1" si="77"/>
        <v>0</v>
      </c>
      <c r="BE15" s="88">
        <f t="shared" ca="1" si="77"/>
        <v>0</v>
      </c>
      <c r="BF15" s="88">
        <f t="shared" ca="1" si="77"/>
        <v>0</v>
      </c>
      <c r="BG15" s="88">
        <f t="shared" ca="1" si="77"/>
        <v>0</v>
      </c>
      <c r="BH15" s="88">
        <f t="shared" ca="1" si="77"/>
        <v>0</v>
      </c>
      <c r="BI15" s="88">
        <f t="shared" ca="1" si="77"/>
        <v>0</v>
      </c>
      <c r="BJ15" s="88">
        <f t="shared" ca="1" si="77"/>
        <v>0</v>
      </c>
      <c r="BK15" s="88">
        <f t="shared" ca="1" si="77"/>
        <v>0</v>
      </c>
      <c r="BL15" s="88">
        <f t="shared" ca="1" si="77"/>
        <v>0</v>
      </c>
      <c r="BM15" s="88">
        <f t="shared" ca="1" si="77"/>
        <v>0</v>
      </c>
      <c r="BN15" s="88">
        <f t="shared" ca="1" si="75"/>
        <v>0</v>
      </c>
      <c r="BO15" s="1"/>
      <c r="BP15" s="1"/>
    </row>
    <row r="16" spans="1:69">
      <c r="A16" s="102" t="s">
        <v>10</v>
      </c>
      <c r="B16" s="88">
        <f t="shared" ref="B16:BN16" ca="1" si="78">B8/B$9</f>
        <v>5.5290928822781756E-2</v>
      </c>
      <c r="C16" s="88">
        <f t="shared" ca="1" si="78"/>
        <v>3.6664102760473501E-2</v>
      </c>
      <c r="D16" s="88">
        <f t="shared" ca="1" si="78"/>
        <v>1.1098174111975348E-2</v>
      </c>
      <c r="E16" s="88">
        <f t="shared" ca="1" si="78"/>
        <v>1.0695564728072933E-2</v>
      </c>
      <c r="F16" s="88">
        <f t="shared" ca="1" si="78"/>
        <v>3.6651421917285112E-2</v>
      </c>
      <c r="G16" s="88">
        <f t="shared" ca="1" si="78"/>
        <v>3.4347013764037503E-2</v>
      </c>
      <c r="H16" s="88">
        <f t="shared" ca="1" si="78"/>
        <v>3.3074889173914698E-2</v>
      </c>
      <c r="I16" s="88">
        <f t="shared" ca="1" si="78"/>
        <v>2.3115256775341916E-2</v>
      </c>
      <c r="J16" s="88">
        <f t="shared" ref="J16:N16" ca="1" si="79">J8/J$9</f>
        <v>1.7622180792767943E-2</v>
      </c>
      <c r="K16" s="88">
        <f t="shared" ca="1" si="79"/>
        <v>3.507575167020572E-2</v>
      </c>
      <c r="L16" s="88">
        <f t="shared" ca="1" si="79"/>
        <v>2.6545037067605137E-2</v>
      </c>
      <c r="M16" s="88">
        <f t="shared" ca="1" si="79"/>
        <v>1.8615880679138577E-2</v>
      </c>
      <c r="N16" s="88">
        <f t="shared" ca="1" si="79"/>
        <v>2.2002638377444594E-2</v>
      </c>
      <c r="O16" s="88">
        <f t="shared" ref="O16:Q16" ca="1" si="80">O8/O$9</f>
        <v>1.7813715593129567E-2</v>
      </c>
      <c r="P16" s="88">
        <f t="shared" ca="1" si="80"/>
        <v>1.072523073085775E-2</v>
      </c>
      <c r="Q16" s="88">
        <f t="shared" ca="1" si="80"/>
        <v>9.9248303772080815E-3</v>
      </c>
      <c r="R16" s="88">
        <f t="shared" ref="R16:S16" ca="1" si="81">R8/R$9</f>
        <v>9.9139866181611365E-3</v>
      </c>
      <c r="S16" s="88">
        <f t="shared" ca="1" si="81"/>
        <v>2.4466757454196585E-7</v>
      </c>
      <c r="T16" s="88">
        <f t="shared" ref="T16:U16" ca="1" si="82">T8/T$9</f>
        <v>0</v>
      </c>
      <c r="U16" s="88">
        <f t="shared" ca="1" si="82"/>
        <v>0</v>
      </c>
      <c r="V16" s="88">
        <f t="shared" ref="V16:X16" ca="1" si="83">V8/V$9</f>
        <v>2.6989953917744176E-2</v>
      </c>
      <c r="W16" s="88">
        <f t="shared" ca="1" si="83"/>
        <v>1.6924556640480162E-2</v>
      </c>
      <c r="X16" s="88">
        <f t="shared" ca="1" si="83"/>
        <v>0</v>
      </c>
      <c r="Y16" s="88">
        <f t="shared" ref="Y16:Z16" ca="1" si="84">Y8/Y$9</f>
        <v>0</v>
      </c>
      <c r="Z16" s="88">
        <f t="shared" ca="1" si="84"/>
        <v>9.6198357352706189E-3</v>
      </c>
      <c r="AA16" s="88">
        <f t="shared" ref="AA16:AB16" ca="1" si="85">AA8/AA$9</f>
        <v>9.4350968427352345E-3</v>
      </c>
      <c r="AB16" s="88">
        <f t="shared" ca="1" si="85"/>
        <v>9.2920067852713655E-3</v>
      </c>
      <c r="AC16" s="88">
        <f t="shared" ref="AC16:AD16" ca="1" si="86">AC8/AC$9</f>
        <v>1.8029638678252802E-2</v>
      </c>
      <c r="AD16" s="88">
        <f t="shared" ca="1" si="86"/>
        <v>1.151614681812602E-2</v>
      </c>
      <c r="AE16" s="88">
        <f t="shared" ref="AE16:AG16" ca="1" si="87">AE8/AE$9</f>
        <v>5.5578901146610526E-3</v>
      </c>
      <c r="AF16" s="88">
        <f t="shared" ca="1" si="87"/>
        <v>0</v>
      </c>
      <c r="AG16" s="88">
        <f t="shared" ca="1" si="87"/>
        <v>9.9820981180620636E-3</v>
      </c>
      <c r="AH16" s="88">
        <f t="shared" ref="AH16:AJ16" ca="1" si="88">AH8/AH$9</f>
        <v>0</v>
      </c>
      <c r="AI16" s="88">
        <f t="shared" ca="1" si="88"/>
        <v>0</v>
      </c>
      <c r="AJ16" s="88">
        <f t="shared" ca="1" si="88"/>
        <v>0</v>
      </c>
      <c r="AK16" s="88">
        <f t="shared" ref="AK16:AM16" ca="1" si="89">AK8/AK$9</f>
        <v>0</v>
      </c>
      <c r="AL16" s="88">
        <f t="shared" ca="1" si="89"/>
        <v>8.6853409967839398E-3</v>
      </c>
      <c r="AM16" s="88">
        <f t="shared" ca="1" si="89"/>
        <v>1.6640814007718538E-2</v>
      </c>
      <c r="AN16" s="88">
        <f t="shared" ref="AN16:AO16" ca="1" si="90">AN8/AN$9</f>
        <v>0</v>
      </c>
      <c r="AO16" s="88">
        <f t="shared" ca="1" si="90"/>
        <v>7.8706417115035152E-3</v>
      </c>
      <c r="AP16" s="88">
        <f t="shared" ref="AP16:AR16" ca="1" si="91">AP8/AP$9</f>
        <v>7.7509666110944127E-3</v>
      </c>
      <c r="AQ16" s="88">
        <f t="shared" ca="1" si="91"/>
        <v>0</v>
      </c>
      <c r="AR16" s="88">
        <f t="shared" ca="1" si="91"/>
        <v>0</v>
      </c>
      <c r="AS16" s="88">
        <f t="shared" ref="AS16:BN16" ca="1" si="92">AS8/AS$9</f>
        <v>1.0106594904418091E-2</v>
      </c>
      <c r="AT16" s="88">
        <f t="shared" ref="AT16:AX16" ca="1" si="93">AT8/AT$9</f>
        <v>9.966693693179084E-3</v>
      </c>
      <c r="AU16" s="88">
        <f t="shared" ca="1" si="93"/>
        <v>9.8053207834888634E-3</v>
      </c>
      <c r="AV16" s="88">
        <f t="shared" ca="1" si="93"/>
        <v>3.5003256815209064E-3</v>
      </c>
      <c r="AW16" s="88">
        <f t="shared" ca="1" si="93"/>
        <v>1.7497924540209853E-3</v>
      </c>
      <c r="AX16" s="88">
        <f t="shared" ca="1" si="93"/>
        <v>0</v>
      </c>
      <c r="AY16" s="88">
        <f t="shared" ref="AY16:BM16" ca="1" si="94">AY8/AY$9</f>
        <v>0</v>
      </c>
      <c r="AZ16" s="88">
        <f t="shared" ca="1" si="94"/>
        <v>0</v>
      </c>
      <c r="BA16" s="88">
        <f t="shared" ca="1" si="94"/>
        <v>3.0319530903184892E-2</v>
      </c>
      <c r="BB16" s="88">
        <f t="shared" ca="1" si="94"/>
        <v>1.9691017985322471E-2</v>
      </c>
      <c r="BC16" s="88">
        <f t="shared" ca="1" si="94"/>
        <v>1.3931732296324153E-2</v>
      </c>
      <c r="BD16" s="88">
        <f t="shared" ca="1" si="94"/>
        <v>0</v>
      </c>
      <c r="BE16" s="88">
        <f t="shared" ca="1" si="94"/>
        <v>1.2290899596655578E-2</v>
      </c>
      <c r="BF16" s="88">
        <f t="shared" ca="1" si="94"/>
        <v>0</v>
      </c>
      <c r="BG16" s="88">
        <f t="shared" ca="1" si="94"/>
        <v>0</v>
      </c>
      <c r="BH16" s="88">
        <f t="shared" ca="1" si="94"/>
        <v>0</v>
      </c>
      <c r="BI16" s="88">
        <f t="shared" ca="1" si="94"/>
        <v>0</v>
      </c>
      <c r="BJ16" s="88">
        <f t="shared" ca="1" si="94"/>
        <v>0</v>
      </c>
      <c r="BK16" s="88">
        <f t="shared" ca="1" si="94"/>
        <v>0</v>
      </c>
      <c r="BL16" s="88">
        <f t="shared" ca="1" si="94"/>
        <v>0</v>
      </c>
      <c r="BM16" s="88">
        <f t="shared" ca="1" si="94"/>
        <v>0</v>
      </c>
      <c r="BN16" s="88">
        <f t="shared" ca="1" si="92"/>
        <v>0</v>
      </c>
      <c r="BO16" s="1"/>
      <c r="BP16" s="1"/>
    </row>
    <row r="17" spans="1:69">
      <c r="A17" s="98" t="s">
        <v>11</v>
      </c>
      <c r="B17" s="53">
        <f ca="1">SUM(B12:B16)</f>
        <v>0.99999999999999989</v>
      </c>
      <c r="C17" s="53">
        <f t="shared" ref="C17:BN17" ca="1" si="95">SUM(C12:C16)</f>
        <v>1.0000000000000002</v>
      </c>
      <c r="D17" s="53">
        <f t="shared" ca="1" si="95"/>
        <v>1</v>
      </c>
      <c r="E17" s="53">
        <f t="shared" ca="1" si="95"/>
        <v>0.99999999999999989</v>
      </c>
      <c r="F17" s="53">
        <f t="shared" ca="1" si="95"/>
        <v>1.0000000000000002</v>
      </c>
      <c r="G17" s="53">
        <f t="shared" ca="1" si="95"/>
        <v>0.99999999999999978</v>
      </c>
      <c r="H17" s="53">
        <f t="shared" ca="1" si="95"/>
        <v>0.99999999999999989</v>
      </c>
      <c r="I17" s="53">
        <f t="shared" ca="1" si="95"/>
        <v>0.99999999999999989</v>
      </c>
      <c r="J17" s="53">
        <f t="shared" ca="1" si="95"/>
        <v>1</v>
      </c>
      <c r="K17" s="53">
        <f t="shared" ca="1" si="95"/>
        <v>0.99999999999999989</v>
      </c>
      <c r="L17" s="53">
        <f t="shared" ca="1" si="95"/>
        <v>1</v>
      </c>
      <c r="M17" s="53">
        <f t="shared" ca="1" si="95"/>
        <v>1.0000000000000002</v>
      </c>
      <c r="N17" s="53">
        <f t="shared" ca="1" si="95"/>
        <v>1</v>
      </c>
      <c r="O17" s="53">
        <f t="shared" ca="1" si="95"/>
        <v>1</v>
      </c>
      <c r="P17" s="53">
        <f t="shared" ref="P17:Q17" ca="1" si="96">SUM(P12:P16)</f>
        <v>1</v>
      </c>
      <c r="Q17" s="53">
        <f t="shared" ca="1" si="96"/>
        <v>1</v>
      </c>
      <c r="R17" s="53">
        <f t="shared" ref="R17:S17" ca="1" si="97">SUM(R12:R16)</f>
        <v>1.0000000000000002</v>
      </c>
      <c r="S17" s="53">
        <f t="shared" ca="1" si="97"/>
        <v>0.99999999999999989</v>
      </c>
      <c r="T17" s="53">
        <f t="shared" ref="T17:U17" ca="1" si="98">SUM(T12:T16)</f>
        <v>0.99999999999999989</v>
      </c>
      <c r="U17" s="53">
        <f t="shared" ca="1" si="98"/>
        <v>1</v>
      </c>
      <c r="V17" s="53">
        <f t="shared" ref="V17:X17" ca="1" si="99">SUM(V12:V16)</f>
        <v>1</v>
      </c>
      <c r="W17" s="53">
        <f t="shared" ca="1" si="99"/>
        <v>1</v>
      </c>
      <c r="X17" s="53">
        <f t="shared" ca="1" si="99"/>
        <v>0.99999999999999989</v>
      </c>
      <c r="Y17" s="53">
        <f t="shared" ref="Y17:Z17" ca="1" si="100">SUM(Y12:Y16)</f>
        <v>0.99999999999999989</v>
      </c>
      <c r="Z17" s="53">
        <f t="shared" ca="1" si="100"/>
        <v>1.0000000000000002</v>
      </c>
      <c r="AA17" s="53">
        <f t="shared" ref="AA17:AB17" ca="1" si="101">SUM(AA12:AA16)</f>
        <v>1</v>
      </c>
      <c r="AB17" s="53">
        <f t="shared" ca="1" si="101"/>
        <v>0.99999999999999978</v>
      </c>
      <c r="AC17" s="53">
        <f t="shared" ref="AC17:AD17" ca="1" si="102">SUM(AC12:AC16)</f>
        <v>0.99999999999999989</v>
      </c>
      <c r="AD17" s="53">
        <f t="shared" ca="1" si="102"/>
        <v>1</v>
      </c>
      <c r="AE17" s="53">
        <f t="shared" ref="AE17:AG17" ca="1" si="103">SUM(AE12:AE16)</f>
        <v>1</v>
      </c>
      <c r="AF17" s="53">
        <f t="shared" ca="1" si="103"/>
        <v>1.0000000000000002</v>
      </c>
      <c r="AG17" s="53">
        <f t="shared" ca="1" si="103"/>
        <v>1</v>
      </c>
      <c r="AH17" s="53">
        <f t="shared" ref="AH17:AJ17" ca="1" si="104">SUM(AH12:AH16)</f>
        <v>1</v>
      </c>
      <c r="AI17" s="53">
        <f t="shared" ca="1" si="104"/>
        <v>1</v>
      </c>
      <c r="AJ17" s="53">
        <f t="shared" ca="1" si="104"/>
        <v>1</v>
      </c>
      <c r="AK17" s="53">
        <f t="shared" ref="AK17:AM17" ca="1" si="105">SUM(AK12:AK16)</f>
        <v>1</v>
      </c>
      <c r="AL17" s="53">
        <f t="shared" ca="1" si="105"/>
        <v>1</v>
      </c>
      <c r="AM17" s="53">
        <f t="shared" ca="1" si="105"/>
        <v>1</v>
      </c>
      <c r="AN17" s="53">
        <f t="shared" ref="AN17:AO17" ca="1" si="106">SUM(AN12:AN16)</f>
        <v>0.99999999999999989</v>
      </c>
      <c r="AO17" s="53">
        <f t="shared" ca="1" si="106"/>
        <v>1</v>
      </c>
      <c r="AP17" s="53">
        <f t="shared" ref="AP17:AR17" ca="1" si="107">SUM(AP12:AP16)</f>
        <v>1</v>
      </c>
      <c r="AQ17" s="53">
        <f t="shared" ca="1" si="107"/>
        <v>0.99999999999999989</v>
      </c>
      <c r="AR17" s="53">
        <f t="shared" ca="1" si="107"/>
        <v>1</v>
      </c>
      <c r="AS17" s="53">
        <f t="shared" ref="AS17:BN17" ca="1" si="108">SUM(AS12:AS16)</f>
        <v>1</v>
      </c>
      <c r="AT17" s="53">
        <f t="shared" ref="AT17:AX17" ca="1" si="109">SUM(AT12:AT16)</f>
        <v>0.99999999999999989</v>
      </c>
      <c r="AU17" s="53">
        <f t="shared" ca="1" si="109"/>
        <v>0.99999999999999989</v>
      </c>
      <c r="AV17" s="53">
        <f t="shared" ca="1" si="109"/>
        <v>1</v>
      </c>
      <c r="AW17" s="53">
        <f t="shared" ca="1" si="109"/>
        <v>0.99999999999999978</v>
      </c>
      <c r="AX17" s="53">
        <f t="shared" ca="1" si="109"/>
        <v>1.0000000000000002</v>
      </c>
      <c r="AY17" s="53">
        <f t="shared" ref="AY17:BM17" ca="1" si="110">SUM(AY12:AY16)</f>
        <v>1</v>
      </c>
      <c r="AZ17" s="53">
        <f t="shared" ca="1" si="110"/>
        <v>1.0000000000000002</v>
      </c>
      <c r="BA17" s="53">
        <f t="shared" ca="1" si="110"/>
        <v>1.0000000000000002</v>
      </c>
      <c r="BB17" s="53">
        <f t="shared" ca="1" si="110"/>
        <v>1</v>
      </c>
      <c r="BC17" s="53">
        <f t="shared" ca="1" si="110"/>
        <v>1.0000000000000002</v>
      </c>
      <c r="BD17" s="53">
        <f t="shared" ca="1" si="110"/>
        <v>1.0000000000000002</v>
      </c>
      <c r="BE17" s="53">
        <f t="shared" ca="1" si="110"/>
        <v>0.99999999999999978</v>
      </c>
      <c r="BF17" s="53">
        <f t="shared" ca="1" si="110"/>
        <v>1</v>
      </c>
      <c r="BG17" s="53">
        <f t="shared" ca="1" si="110"/>
        <v>1</v>
      </c>
      <c r="BH17" s="53">
        <f t="shared" ca="1" si="110"/>
        <v>0.99999999999999989</v>
      </c>
      <c r="BI17" s="53">
        <f t="shared" ca="1" si="110"/>
        <v>1</v>
      </c>
      <c r="BJ17" s="53">
        <f t="shared" ca="1" si="110"/>
        <v>1</v>
      </c>
      <c r="BK17" s="53">
        <f t="shared" ca="1" si="110"/>
        <v>1</v>
      </c>
      <c r="BL17" s="53">
        <f t="shared" ca="1" si="110"/>
        <v>1</v>
      </c>
      <c r="BM17" s="53">
        <f t="shared" ca="1" si="110"/>
        <v>1</v>
      </c>
      <c r="BN17" s="53">
        <f t="shared" ca="1" si="108"/>
        <v>1</v>
      </c>
      <c r="BO17" s="1"/>
      <c r="BP17" s="1"/>
    </row>
    <row r="18" spans="1:69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1"/>
      <c r="BP18" s="1"/>
    </row>
    <row r="19" spans="1:69">
      <c r="A19" s="204" t="s">
        <v>13</v>
      </c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4"/>
      <c r="BC19" s="204"/>
      <c r="BD19" s="204"/>
      <c r="BE19" s="204"/>
      <c r="BF19" s="204"/>
      <c r="BG19" s="204"/>
      <c r="BH19" s="204"/>
      <c r="BI19" s="204"/>
      <c r="BJ19" s="204"/>
      <c r="BK19" s="204"/>
      <c r="BL19" s="204"/>
      <c r="BM19" s="204"/>
      <c r="BN19" s="204"/>
      <c r="BO19" s="114"/>
      <c r="BP19" s="1"/>
    </row>
    <row r="20" spans="1:69">
      <c r="A20" s="119" t="s">
        <v>6</v>
      </c>
      <c r="B20" s="115">
        <f ca="1">SUMIF(Breakup!$B$30:$L$40,Monthly!$A20,Breakup!C$30:C$40)</f>
        <v>0</v>
      </c>
      <c r="C20" s="115">
        <f ca="1">SUMIF(Breakup!$B$30:$L$40,Monthly!$A20,Breakup!D$30:D$40)</f>
        <v>1.8463708329999982</v>
      </c>
      <c r="D20" s="115">
        <f ca="1">SUMIF(Breakup!$B$30:$L$40,Monthly!$A20,Breakup!E$30:E$40)</f>
        <v>0.40999999999999992</v>
      </c>
      <c r="E20" s="115">
        <f ca="1">SUMIF(Breakup!$B$30:$L$40,Monthly!$A20,Breakup!F$30:F$40)</f>
        <v>2</v>
      </c>
      <c r="F20" s="115">
        <f ca="1">SUMIF(Breakup!$B$30:$L$40,Monthly!$A20,Breakup!G$30:G$40)</f>
        <v>-1.7299999999999998</v>
      </c>
      <c r="G20" s="115">
        <f ca="1">SUMIF(Breakup!$B$30:$L$40,Monthly!$A20,Breakup!H$30:H$40)</f>
        <v>1.9</v>
      </c>
      <c r="H20" s="115">
        <f ca="1">SUMIF(Breakup!$B$30:$L$40,Monthly!$A20,Breakup!I$30:I$40)</f>
        <v>2.4299999999999997</v>
      </c>
      <c r="I20" s="115">
        <f ca="1">SUMIF(Breakup!$B$30:$L$40,Monthly!$A20,Breakup!J$30:J$40)</f>
        <v>1.6</v>
      </c>
      <c r="J20" s="115">
        <f ca="1">SUMIF(Breakup!$B$30:$L$40,Monthly!$A20,Breakup!K$30:K$40)</f>
        <v>2.4</v>
      </c>
      <c r="K20" s="115">
        <f ca="1">SUMIF(Breakup!$B$30:$L$40,Monthly!$A20,Breakup!L$30:L$40)</f>
        <v>2.1903995599999928</v>
      </c>
      <c r="L20" s="115">
        <f ca="1">SUMIF(Breakup!$B$30:M$40,Monthly!$A20,Breakup!M$30:M$40)</f>
        <v>2.0379245510000104</v>
      </c>
      <c r="M20" s="115">
        <f ca="1">SUMIF(Breakup!$B$30:N$40,Monthly!$A20,Breakup!N$30:N$40)</f>
        <v>2.7206581260000005</v>
      </c>
      <c r="N20" s="115">
        <f ca="1">SUMIF(Breakup!$B$30:O$40,Monthly!$A20,Breakup!O$30:O$40)</f>
        <v>2.086841986999989</v>
      </c>
      <c r="O20" s="115">
        <f ca="1">SUMIF(Breakup!$B$30:P$40,Monthly!$A20,Breakup!P$30:P$40)</f>
        <v>2.3892298090000015</v>
      </c>
      <c r="P20" s="115">
        <f ca="1">SUMIF(Breakup!$B$30:Q$40,Monthly!$A20,Breakup!Q$30:Q$40)</f>
        <v>1.2756248090000077</v>
      </c>
      <c r="Q20" s="115">
        <f ca="1">SUMIF(Breakup!$B$30:R$40,Monthly!$A20,Breakup!R$30:R$40)</f>
        <v>1.8055662619999853</v>
      </c>
      <c r="R20" s="115">
        <f ca="1">SUMIF(Breakup!$B$30:S$40,Monthly!$A20,Breakup!S$30:S$40)</f>
        <v>1.2465005559999982</v>
      </c>
      <c r="S20" s="115">
        <f ca="1">SUMIF(Breakup!$B$30:T$40,Monthly!$A20,Breakup!T$30:T$40)</f>
        <v>0.4318134830000081</v>
      </c>
      <c r="T20" s="115">
        <f ca="1">SUMIF(Breakup!$B$30:U$40,Monthly!$A20,Breakup!U$30:U$40)</f>
        <v>0.29670119600000372</v>
      </c>
      <c r="U20" s="115">
        <f ca="1">SUMIF(Breakup!$B$30:V$40,Monthly!$A20,Breakup!V$30:V$40)</f>
        <v>0.84336884800000123</v>
      </c>
      <c r="V20" s="115">
        <f ca="1">SUMIF(Breakup!$B$30:BO$40,Monthly!$A20,Breakup!W$30:W$40)</f>
        <v>1.3443900260000023</v>
      </c>
      <c r="W20" s="115">
        <f ca="1">SUMIF(Breakup!$B$30:BP$40,Monthly!$A20,Breakup!X$30:X$40)</f>
        <v>2.7955832799999834</v>
      </c>
      <c r="X20" s="115">
        <f ca="1">SUMIF(Breakup!$B$30:Y$40,Monthly!$A20,Breakup!Y$30:Y$40)</f>
        <v>3.1684777810000395</v>
      </c>
      <c r="Y20" s="115">
        <f ca="1">SUMIF(Breakup!$B$30:Z$40,Monthly!$A20,Breakup!Z$30:Z$40)</f>
        <v>3.1684777810000395</v>
      </c>
      <c r="Z20" s="115">
        <f ca="1">SUMIF(Breakup!$B$30:AA$40,Monthly!$A20,Breakup!AA$30:AA$40)</f>
        <v>1.0860966871030024</v>
      </c>
      <c r="AA20" s="115">
        <f ca="1">SUMIF(Breakup!$B$30:AB$40,Monthly!$A20,Breakup!AB$30:AB$40)</f>
        <v>3.0482444409999903</v>
      </c>
      <c r="AB20" s="115">
        <f ca="1">SUMIF(Breakup!$B$30:AC$40,Monthly!$A20,Breakup!AC$30:AC$40)</f>
        <v>3.0482444409999903</v>
      </c>
      <c r="AC20" s="115">
        <f ca="1">SUMIF(Breakup!$B$30:AD$40,Monthly!$A20,Breakup!AD$30:AD$40)</f>
        <v>1.0771129320000019</v>
      </c>
      <c r="AD20" s="115">
        <f ca="1">SUMIF(Breakup!$B$30:AE$40,Monthly!$A20,Breakup!AE$30:AE$40)</f>
        <v>2.6104180889999959</v>
      </c>
      <c r="AE20" s="115">
        <f ca="1">SUMIF(Breakup!$B$30:AF$40,Monthly!$A20,Breakup!AF$30:AF$40)</f>
        <v>0.46110399099999588</v>
      </c>
      <c r="AF20" s="115">
        <f ca="1">SUMIF(Breakup!$B$30:AG$40,Monthly!$A20,Breakup!AG$30:AG$40)</f>
        <v>2.8683198160000054</v>
      </c>
      <c r="AG20" s="115">
        <f ca="1">SUMIF(Breakup!$B$30:AH$40,Monthly!$A20,Breakup!AH$30:AH$40)</f>
        <v>4.8798296129999912</v>
      </c>
      <c r="AH20" s="115">
        <f ca="1">SUMIF(Breakup!$B$30:AI$40,Monthly!$A20,Breakup!AI$30:AI$40)</f>
        <v>2.0999248710000047</v>
      </c>
      <c r="AI20" s="115">
        <f ca="1">SUMIF(Breakup!$B$30:AJ$40,Monthly!$A20,Breakup!AJ$30:AJ$40)</f>
        <v>1.2999500559999979</v>
      </c>
      <c r="AJ20" s="115">
        <f ca="1">SUMIF(Breakup!$B$30:AK$40,Monthly!$A20,Breakup!AK$30:AK$40)</f>
        <v>1.0028833179999934</v>
      </c>
      <c r="AK20" s="115">
        <f ca="1">SUMIF(Breakup!$B$30:AL$40,Monthly!$A20,Breakup!AL$30:AL$40)</f>
        <v>0.78385807500000571</v>
      </c>
      <c r="AL20" s="115">
        <f ca="1">SUMIF(Breakup!$B$30:AM$40,Monthly!$A20,Breakup!AM$30:AM$40)</f>
        <v>0.6120452649999969</v>
      </c>
      <c r="AM20" s="115">
        <f ca="1">SUMIF(Breakup!$B$30:AN$40,Monthly!$A20,Breakup!AN$30:AN$40)</f>
        <v>2.5018767140000033</v>
      </c>
      <c r="AN20" s="115">
        <f ca="1">SUMIF(Breakup!$B$30:AO$40,Monthly!$A20,Breakup!AO$30:AO$40)</f>
        <v>2.3563884050000041</v>
      </c>
      <c r="AO20" s="115">
        <f ca="1">SUMIF(Breakup!$B$30:AP$40,Monthly!$A20,Breakup!AP$30:AP$40)</f>
        <v>3.3427895640000043</v>
      </c>
      <c r="AP20" s="115">
        <f ca="1">SUMIF(Breakup!$B$30:AQ$40,Monthly!$A20,Breakup!AQ$30:AQ$40)</f>
        <v>2.0245612190000011</v>
      </c>
      <c r="AQ20" s="115">
        <f ca="1">SUMIF(Breakup!$B$30:AR$40,Monthly!$A20,Breakup!AR$30:AR$40)</f>
        <v>2.0555666340000007</v>
      </c>
      <c r="AR20" s="115">
        <f ca="1">SUMIF(Breakup!$B$30:AS$40,Monthly!$A20,Breakup!AS$30:AS$40)</f>
        <v>2.3988100529999845</v>
      </c>
      <c r="AS20" s="115">
        <f ca="1">SUMIF(Breakup!$B$30:AT$40,Monthly!$A20,Breakup!AT$30:AT$40)</f>
        <v>2.3850953459999973</v>
      </c>
      <c r="AT20" s="115">
        <f ca="1">SUMIF(Breakup!$B$30:AU$40,Monthly!$A20,Breakup!AU$30:AU$40)</f>
        <v>2.7319159530000086</v>
      </c>
      <c r="AU20" s="115">
        <f ca="1">SUMIF(Breakup!$B$30:AV$40,Monthly!$A20,Breakup!AV$30:AV$40)</f>
        <v>3.3990716879999985</v>
      </c>
      <c r="AV20" s="115">
        <f ca="1">SUMIF(Breakup!$B$30:AW$40,Monthly!$A20,Breakup!AW$30:AW$40)</f>
        <v>1.9835251829999909</v>
      </c>
      <c r="AW20" s="115">
        <f ca="1">SUMIF(Breakup!$B$30:AX$40,Monthly!$A20,Breakup!AX$30:AX$40)</f>
        <v>1.9489355139999902</v>
      </c>
      <c r="AX20" s="115">
        <f ca="1">SUMIF(Breakup!$B$30:AY$40,Monthly!$A20,Breakup!AY$30:AY$40)</f>
        <v>4.345125838000035</v>
      </c>
      <c r="AY20" s="115">
        <f ca="1">SUMIF(Breakup!$B$30:AZ$40,Monthly!$A20,Breakup!AZ$30:AZ$40)</f>
        <v>-0.69858220395601367</v>
      </c>
      <c r="AZ20" s="115">
        <f ca="1">SUMIF(Breakup!$B$30:BA$40,Monthly!$A20,Breakup!BA$30:BA$40)</f>
        <v>2.9182746159560047</v>
      </c>
      <c r="BA20" s="115">
        <f ca="1">SUMIF(Breakup!$B$30:BB$40,Monthly!$A20,Breakup!BB$30:BB$40)</f>
        <v>-5.4854960690000052</v>
      </c>
      <c r="BB20" s="115">
        <f ca="1">SUMIF(Breakup!$B$30:BC$40,Monthly!$A20,Breakup!BC$30:BC$40)</f>
        <v>3.1277848139999933</v>
      </c>
      <c r="BC20" s="115">
        <f ca="1">SUMIF(Breakup!$B$30:BD$40,Monthly!$A20,Breakup!BD$30:BD$40)</f>
        <v>2.6998651330000127</v>
      </c>
      <c r="BD20" s="115">
        <f ca="1">SUMIF(Breakup!$B$30:BE$40,Monthly!$A20,Breakup!BE$30:BE$40)</f>
        <v>2.781921174999987</v>
      </c>
      <c r="BE20" s="115">
        <f ca="1">SUMIF(Breakup!$B$30:BF$40,Monthly!$A20,Breakup!BF$30:BF$40)</f>
        <v>0.87856251200001922</v>
      </c>
      <c r="BF20" s="115">
        <f ca="1">SUMIF(Breakup!$B$30:BG$40,Monthly!$A20,Breakup!BG$30:BG$40)</f>
        <v>0.69995291799997905</v>
      </c>
      <c r="BG20" s="115">
        <f ca="1">SUMIF(Breakup!$B$30:BH$40,Monthly!$A20,Breakup!BH$30:BH$40)</f>
        <v>-0.15966653699999211</v>
      </c>
      <c r="BH20" s="115">
        <f ca="1">SUMIF(Breakup!$B$30:BI$40,Monthly!$A20,Breakup!BI$30:BI$40)</f>
        <v>2.6500141439999827</v>
      </c>
      <c r="BI20" s="115">
        <f ca="1">SUMIF(Breakup!$B$30:BJ$40,Monthly!$A20,Breakup!BJ$30:BJ$40)</f>
        <v>1.0355611730000005</v>
      </c>
      <c r="BJ20" s="115">
        <f ca="1">SUMIF(Breakup!$B$30:BK$40,Monthly!$A20,Breakup!BK$30:BK$40)</f>
        <v>1.349933501999993</v>
      </c>
      <c r="BK20" s="115">
        <f ca="1">SUMIF(Breakup!$B$30:BL$40,Monthly!$A20,Breakup!BL$30:BL$40)</f>
        <v>0.33106127500001342</v>
      </c>
      <c r="BL20" s="115">
        <f ca="1">SUMIF(Breakup!$B$30:BM$40,Monthly!$A20,Breakup!BM$30:BM$40)</f>
        <v>0.80068962499998975</v>
      </c>
      <c r="BM20" s="115">
        <f ca="1">SUMIF(Breakup!$B$30:BN$40,Monthly!$A20,Breakup!BN$30:BN$40)</f>
        <v>1.4499266379999929</v>
      </c>
      <c r="BN20" s="115">
        <f ca="1">SUMIF(Breakup!$B$30:BO$40,Monthly!$A20,Breakup!BO$30:BO$40)</f>
        <v>5.000121799999848E-2</v>
      </c>
      <c r="BO20" s="1"/>
      <c r="BP20" s="73">
        <f ca="1">SUM(B20:BN20)</f>
        <v>109.43942652710304</v>
      </c>
      <c r="BQ20" s="72">
        <f ca="1">BP20/$BO$1</f>
        <v>1.709991039485985</v>
      </c>
    </row>
    <row r="21" spans="1:69">
      <c r="A21" s="119" t="s">
        <v>7</v>
      </c>
      <c r="B21" s="115">
        <f ca="1">SUMIF(Breakup!$B$30:$L$40,Monthly!$A21,Breakup!C$30:C$40)</f>
        <v>0</v>
      </c>
      <c r="C21" s="115">
        <f ca="1">SUMIF(Breakup!$B$30:$L$40,Monthly!$A21,Breakup!D$30:D$40)</f>
        <v>0.22999999999999865</v>
      </c>
      <c r="D21" s="115">
        <f ca="1">SUMIF(Breakup!$B$30:$L$40,Monthly!$A21,Breakup!E$30:E$40)</f>
        <v>0.47000000000000064</v>
      </c>
      <c r="E21" s="115">
        <f ca="1">SUMIF(Breakup!$B$30:$L$40,Monthly!$A21,Breakup!F$30:F$40)</f>
        <v>0.2</v>
      </c>
      <c r="F21" s="115">
        <f ca="1">SUMIF(Breakup!$B$30:$L$40,Monthly!$A21,Breakup!G$30:G$40)</f>
        <v>0.23000000000000043</v>
      </c>
      <c r="G21" s="115">
        <f ca="1">SUMIF(Breakup!$B$30:$L$40,Monthly!$A21,Breakup!H$30:H$40)</f>
        <v>0.23300000000000054</v>
      </c>
      <c r="H21" s="115">
        <f ca="1">SUMIF(Breakup!$B$30:$L$40,Monthly!$A21,Breakup!I$30:I$40)</f>
        <v>0.23296000000000028</v>
      </c>
      <c r="I21" s="115">
        <f ca="1">SUMIF(Breakup!$B$30:$L$40,Monthly!$A21,Breakup!J$30:J$40)</f>
        <v>0.23296000000000205</v>
      </c>
      <c r="J21" s="115">
        <f ca="1">SUMIF(Breakup!$B$30:$L$40,Monthly!$A21,Breakup!K$30:K$40)</f>
        <v>0.23296000000000205</v>
      </c>
      <c r="K21" s="115">
        <f ca="1">SUMIF(Breakup!$B$30:$L$40,Monthly!$A21,Breakup!L$30:L$40)</f>
        <v>1.882960000000002</v>
      </c>
      <c r="L21" s="115">
        <f ca="1">SUMIF(Breakup!$B$30:M$40,Monthly!$A21,Breakup!M$30:M$40)</f>
        <v>0.27530000000000143</v>
      </c>
      <c r="M21" s="115">
        <f ca="1">SUMIF(Breakup!$B$30:N$40,Monthly!$A21,Breakup!N$30:N$40)</f>
        <v>0.27529999999999788</v>
      </c>
      <c r="N21" s="115">
        <f ca="1">SUMIF(Breakup!$B$30:O$40,Monthly!$A21,Breakup!O$30:O$40)</f>
        <v>0.27529999999999788</v>
      </c>
      <c r="O21" s="115">
        <f ca="1">SUMIF(Breakup!$B$30:P$40,Monthly!$A21,Breakup!P$30:P$40)</f>
        <v>0.27529999999999788</v>
      </c>
      <c r="P21" s="115">
        <f ca="1">SUMIF(Breakup!$B$30:Q$40,Monthly!$A21,Breakup!Q$30:Q$40)</f>
        <v>0.27529999999999788</v>
      </c>
      <c r="Q21" s="115">
        <f ca="1">SUMIF(Breakup!$B$30:R$40,Monthly!$A21,Breakup!R$30:R$40)</f>
        <v>0.28579999999999783</v>
      </c>
      <c r="R21" s="115">
        <f ca="1">SUMIF(Breakup!$B$30:S$40,Monthly!$A21,Breakup!S$30:S$40)</f>
        <v>0.27529999999999788</v>
      </c>
      <c r="S21" s="115">
        <f ca="1">SUMIF(Breakup!$B$30:T$40,Monthly!$A21,Breakup!T$30:T$40)</f>
        <v>0.27529999999999788</v>
      </c>
      <c r="T21" s="115">
        <f ca="1">SUMIF(Breakup!$B$30:U$40,Monthly!$A21,Breakup!U$30:U$40)</f>
        <v>0.27529999999999788</v>
      </c>
      <c r="U21" s="115">
        <f ca="1">SUMIF(Breakup!$B$30:V$40,Monthly!$A21,Breakup!V$30:V$40)</f>
        <v>0.2983039999999979</v>
      </c>
      <c r="V21" s="115">
        <f ca="1">SUMIF(Breakup!$B$30:BO$40,Monthly!$A21,Breakup!W$30:W$40)</f>
        <v>1.9254459999999978</v>
      </c>
      <c r="W21" s="115">
        <f ca="1">SUMIF(Breakup!$B$30:BP$40,Monthly!$A21,Breakup!X$30:X$40)</f>
        <v>0.2715439999999979</v>
      </c>
      <c r="X21" s="115">
        <f ca="1">SUMIF(Breakup!$B$30:Y$40,Monthly!$A21,Breakup!Y$30:Y$40)</f>
        <v>0.28140799999999783</v>
      </c>
      <c r="Y21" s="115">
        <f ca="1">SUMIF(Breakup!$B$30:Z$40,Monthly!$A21,Breakup!Z$30:Z$40)</f>
        <v>0.61868800000000057</v>
      </c>
      <c r="Z21" s="115">
        <f ca="1">SUMIF(Breakup!$B$30:AA$40,Monthly!$A21,Breakup!AA$30:AA$40)</f>
        <v>0.31850000000000023</v>
      </c>
      <c r="AA21" s="115">
        <f ca="1">SUMIF(Breakup!$B$30:AB$40,Monthly!$A21,Breakup!AB$30:AB$40)</f>
        <v>0.31850000000000023</v>
      </c>
      <c r="AB21" s="115">
        <f ca="1">SUMIF(Breakup!$B$30:AC$40,Monthly!$A21,Breakup!AC$30:AC$40)</f>
        <v>0.31850000000000023</v>
      </c>
      <c r="AC21" s="115">
        <f ca="1">SUMIF(Breakup!$B$30:AD$40,Monthly!$A21,Breakup!AD$30:AD$40)</f>
        <v>0.3</v>
      </c>
      <c r="AD21" s="115">
        <f ca="1">SUMIF(Breakup!$B$30:AE$40,Monthly!$A21,Breakup!AE$30:AE$40)</f>
        <v>0.31850000000000023</v>
      </c>
      <c r="AE21" s="115">
        <f ca="1">SUMIF(Breakup!$B$30:AF$40,Monthly!$A21,Breakup!AF$30:AF$40)</f>
        <v>0.31850000000000023</v>
      </c>
      <c r="AF21" s="115">
        <f ca="1">SUMIF(Breakup!$B$30:AG$40,Monthly!$A21,Breakup!AG$30:AG$40)</f>
        <v>0.31850000000000023</v>
      </c>
      <c r="AG21" s="115">
        <f ca="1">SUMIF(Breakup!$B$30:AH$40,Monthly!$A21,Breakup!AH$30:AH$40)</f>
        <v>2.1935000000000002</v>
      </c>
      <c r="AH21" s="115">
        <f ca="1">SUMIF(Breakup!$B$30:AI$40,Monthly!$A21,Breakup!AI$30:AI$40)</f>
        <v>0.31850000000000023</v>
      </c>
      <c r="AI21" s="115">
        <f ca="1">SUMIF(Breakup!$B$30:AJ$40,Monthly!$A21,Breakup!AJ$30:AJ$40)</f>
        <v>0.31850000000000023</v>
      </c>
      <c r="AJ21" s="115">
        <f ca="1">SUMIF(Breakup!$B$30:AK$40,Monthly!$A21,Breakup!AK$30:AK$40)</f>
        <v>0.351580000000002</v>
      </c>
      <c r="AK21" s="115">
        <f ca="1">SUMIF(Breakup!$B$30:AL$40,Monthly!$A21,Breakup!AL$30:AL$40)</f>
        <v>0.351580000000002</v>
      </c>
      <c r="AL21" s="115">
        <f ca="1">SUMIF(Breakup!$B$30:AM$40,Monthly!$A21,Breakup!AM$30:AM$40)</f>
        <v>0.351580000000002</v>
      </c>
      <c r="AM21" s="115">
        <f ca="1">SUMIF(Breakup!$B$30:AN$40,Monthly!$A21,Breakup!AN$30:AN$40)</f>
        <v>0.351580000000002</v>
      </c>
      <c r="AN21" s="115">
        <f ca="1">SUMIF(Breakup!$B$30:AO$40,Monthly!$A21,Breakup!AO$30:AO$40)</f>
        <v>0.351580000000002</v>
      </c>
      <c r="AO21" s="115">
        <f ca="1">SUMIF(Breakup!$B$30:AP$40,Monthly!$A21,Breakup!AP$30:AP$40)</f>
        <v>0.351580000000002</v>
      </c>
      <c r="AP21" s="115">
        <f ca="1">SUMIF(Breakup!$B$30:AQ$40,Monthly!$A21,Breakup!AQ$30:AQ$40)</f>
        <v>0.351580000000002</v>
      </c>
      <c r="AQ21" s="115">
        <f ca="1">SUMIF(Breakup!$B$30:AR$40,Monthly!$A21,Breakup!AR$30:AR$40)</f>
        <v>0.35157999999999845</v>
      </c>
      <c r="AR21" s="115">
        <f ca="1">SUMIF(Breakup!$B$30:AS$40,Monthly!$A21,Breakup!AS$30:AS$40)</f>
        <v>0.35157999999999845</v>
      </c>
      <c r="AS21" s="115">
        <f ca="1">SUMIF(Breakup!$B$30:AT$40,Monthly!$A21,Breakup!AT$30:AT$40)</f>
        <v>2.0015799999999984</v>
      </c>
      <c r="AT21" s="115">
        <f ca="1">SUMIF(Breakup!$B$30:AU$40,Monthly!$A21,Breakup!AU$30:AU$40)</f>
        <v>0.35157999999999845</v>
      </c>
      <c r="AU21" s="115">
        <f ca="1">SUMIF(Breakup!$B$30:AV$40,Monthly!$A21,Breakup!AV$30:AV$40)</f>
        <v>0.35157999999999845</v>
      </c>
      <c r="AV21" s="115">
        <f ca="1">SUMIF(Breakup!$B$30:AW$40,Monthly!$A21,Breakup!AW$30:AW$40)</f>
        <v>0.4061799999999991</v>
      </c>
      <c r="AW21" s="115">
        <f ca="1">SUMIF(Breakup!$B$30:AX$40,Monthly!$A21,Breakup!AX$30:AX$40)</f>
        <v>0.4061799999999991</v>
      </c>
      <c r="AX21" s="115">
        <f ca="1">SUMIF(Breakup!$B$30:AY$40,Monthly!$A21,Breakup!AY$30:AY$40)</f>
        <v>0.4061799999999991</v>
      </c>
      <c r="AY21" s="115">
        <f ca="1">SUMIF(Breakup!$B$30:AZ$40,Monthly!$A21,Breakup!AZ$30:AZ$40)</f>
        <v>0.4061799999999991</v>
      </c>
      <c r="AZ21" s="115">
        <f ca="1">SUMIF(Breakup!$B$30:BA$40,Monthly!$A21,Breakup!BA$30:BA$40)</f>
        <v>0.4061799999999991</v>
      </c>
      <c r="BA21" s="115">
        <f ca="1">SUMIF(Breakup!$B$30:BB$40,Monthly!$A21,Breakup!BB$30:BB$40)</f>
        <v>1.9061799999999991</v>
      </c>
      <c r="BB21" s="115">
        <f ca="1">SUMIF(Breakup!$B$30:BC$40,Monthly!$A21,Breakup!BC$30:BC$40)</f>
        <v>0.4061799999999991</v>
      </c>
      <c r="BC21" s="115">
        <f ca="1">SUMIF(Breakup!$B$30:BD$40,Monthly!$A21,Breakup!BD$30:BD$40)</f>
        <v>0.4061799999999991</v>
      </c>
      <c r="BD21" s="115">
        <f ca="1">SUMIF(Breakup!$B$30:BE$40,Monthly!$A21,Breakup!BE$30:BE$40)</f>
        <v>0.4061799999999991</v>
      </c>
      <c r="BE21" s="115">
        <f ca="1">SUMIF(Breakup!$B$30:BF$40,Monthly!$A21,Breakup!BF$30:BF$40)</f>
        <v>0.4061799999999991</v>
      </c>
      <c r="BF21" s="115">
        <f ca="1">SUMIF(Breakup!$B$30:BG$40,Monthly!$A21,Breakup!BG$30:BG$40)</f>
        <v>0.4061799999999991</v>
      </c>
      <c r="BG21" s="115">
        <f ca="1">SUMIF(Breakup!$B$30:BH$40,Monthly!$A21,Breakup!BH$30:BH$40)</f>
        <v>0.4061799999999991</v>
      </c>
      <c r="BH21" s="115">
        <f ca="1">SUMIF(Breakup!$B$30:BI$40,Monthly!$A21,Breakup!BI$30:BI$40)</f>
        <v>0.72505999999999915</v>
      </c>
      <c r="BI21" s="115">
        <f ca="1">SUMIF(Breakup!$B$30:BJ$40,Monthly!$A21,Breakup!BJ$30:BJ$40)</f>
        <v>0.47505999999999915</v>
      </c>
      <c r="BJ21" s="115">
        <f ca="1">SUMIF(Breakup!$B$30:BK$40,Monthly!$A21,Breakup!BK$30:BK$40)</f>
        <v>0.47505999999999915</v>
      </c>
      <c r="BK21" s="115">
        <f ca="1">SUMIF(Breakup!$B$30:BL$40,Monthly!$A21,Breakup!BL$30:BL$40)</f>
        <v>0.47505999999999915</v>
      </c>
      <c r="BL21" s="115">
        <f ca="1">SUMIF(Breakup!$B$30:BM$40,Monthly!$A21,Breakup!BM$30:BM$40)</f>
        <v>0.47505999999999915</v>
      </c>
      <c r="BM21" s="115">
        <f ca="1">SUMIF(Breakup!$B$30:BN$40,Monthly!$A21,Breakup!BN$30:BN$40)</f>
        <v>0.47505999999999915</v>
      </c>
      <c r="BN21" s="115">
        <f ca="1">SUMIF(Breakup!$B$30:BO$40,Monthly!$A21,Breakup!BO$30:BO$40)</f>
        <v>0.47505999999999915</v>
      </c>
      <c r="BO21" s="1"/>
      <c r="BP21" s="73">
        <f t="shared" ref="BP21:BP25" ca="1" si="111">SUM(B21:BN21)</f>
        <v>30.688469999999974</v>
      </c>
      <c r="BQ21" s="72">
        <f t="shared" ref="BQ21:BQ25" ca="1" si="112">BP21/$BO$1</f>
        <v>0.47950734374999959</v>
      </c>
    </row>
    <row r="22" spans="1:69">
      <c r="A22" s="119" t="s">
        <v>8</v>
      </c>
      <c r="B22" s="115">
        <f ca="1">SUMIF(Breakup!$B$30:$L$40,Monthly!$A22,Breakup!C$30:C$40)</f>
        <v>0</v>
      </c>
      <c r="C22" s="115">
        <f ca="1">SUMIF(Breakup!$B$30:$L$40,Monthly!$A22,Breakup!D$30:D$40)</f>
        <v>0.2475</v>
      </c>
      <c r="D22" s="115">
        <f ca="1">SUMIF(Breakup!$B$30:$L$40,Monthly!$A22,Breakup!E$30:E$40)</f>
        <v>0</v>
      </c>
      <c r="E22" s="115">
        <f ca="1">SUMIF(Breakup!$B$30:$L$40,Monthly!$A22,Breakup!F$30:F$40)</f>
        <v>0</v>
      </c>
      <c r="F22" s="115">
        <f ca="1">SUMIF(Breakup!$B$30:$L$40,Monthly!$A22,Breakup!G$30:G$40)</f>
        <v>0</v>
      </c>
      <c r="G22" s="115">
        <f ca="1">SUMIF(Breakup!$B$30:$L$40,Monthly!$A22,Breakup!H$30:H$40)</f>
        <v>0</v>
      </c>
      <c r="H22" s="115">
        <f ca="1">SUMIF(Breakup!$B$30:$L$40,Monthly!$A22,Breakup!I$30:I$40)</f>
        <v>0</v>
      </c>
      <c r="I22" s="115">
        <f ca="1">SUMIF(Breakup!$B$30:$L$40,Monthly!$A22,Breakup!J$30:J$40)</f>
        <v>0</v>
      </c>
      <c r="J22" s="115">
        <f ca="1">SUMIF(Breakup!$B$30:$L$40,Monthly!$A22,Breakup!K$30:K$40)</f>
        <v>0</v>
      </c>
      <c r="K22" s="115">
        <f ca="1">SUMIF(Breakup!$B$30:$L$40,Monthly!$A22,Breakup!L$30:L$40)</f>
        <v>0</v>
      </c>
      <c r="L22" s="115">
        <f ca="1">SUMIF(Breakup!$B$30:M$40,Monthly!$A22,Breakup!M$30:M$40)</f>
        <v>0</v>
      </c>
      <c r="M22" s="115">
        <f ca="1">SUMIF(Breakup!$B$30:N$40,Monthly!$A22,Breakup!N$30:N$40)</f>
        <v>0</v>
      </c>
      <c r="N22" s="115">
        <f ca="1">SUMIF(Breakup!$B$30:O$40,Monthly!$A22,Breakup!O$30:O$40)</f>
        <v>0</v>
      </c>
      <c r="O22" s="115">
        <f ca="1">SUMIF(Breakup!$B$30:P$40,Monthly!$A22,Breakup!P$30:P$40)</f>
        <v>0</v>
      </c>
      <c r="P22" s="115">
        <f ca="1">SUMIF(Breakup!$B$30:Q$40,Monthly!$A22,Breakup!Q$30:Q$40)</f>
        <v>0</v>
      </c>
      <c r="Q22" s="115">
        <f ca="1">SUMIF(Breakup!$B$30:R$40,Monthly!$A22,Breakup!R$30:R$40)</f>
        <v>-1.9700000000000051E-2</v>
      </c>
      <c r="R22" s="115">
        <f ca="1">SUMIF(Breakup!$B$30:S$40,Monthly!$A22,Breakup!S$30:S$40)</f>
        <v>4.6350000000000113E-2</v>
      </c>
      <c r="S22" s="115">
        <f ca="1">SUMIF(Breakup!$B$30:T$40,Monthly!$A22,Breakup!T$30:T$40)</f>
        <v>-3.5300000000000109E-2</v>
      </c>
      <c r="T22" s="115">
        <f ca="1">SUMIF(Breakup!$B$30:U$40,Monthly!$A22,Breakup!U$30:U$40)</f>
        <v>1.540000000000008E-2</v>
      </c>
      <c r="U22" s="115">
        <f ca="1">SUMIF(Breakup!$B$30:V$40,Monthly!$A22,Breakup!V$30:V$40)</f>
        <v>-1.5899999999999803E-3</v>
      </c>
      <c r="V22" s="115">
        <f ca="1">SUMIF(Breakup!$B$30:BO$40,Monthly!$A22,Breakup!W$30:W$40)</f>
        <v>0</v>
      </c>
      <c r="W22" s="115">
        <f ca="1">SUMIF(Breakup!$B$30:BP$40,Monthly!$A22,Breakup!X$30:X$40)</f>
        <v>0</v>
      </c>
      <c r="X22" s="115">
        <f ca="1">SUMIF(Breakup!$B$30:Y$40,Monthly!$A22,Breakup!Y$30:Y$40)</f>
        <v>0</v>
      </c>
      <c r="Y22" s="115">
        <f ca="1">SUMIF(Breakup!$B$30:Z$40,Monthly!$A22,Breakup!Z$30:Z$40)</f>
        <v>0</v>
      </c>
      <c r="Z22" s="115">
        <f ca="1">SUMIF(Breakup!$B$30:AA$40,Monthly!$A22,Breakup!AA$30:AA$40)</f>
        <v>0</v>
      </c>
      <c r="AA22" s="115">
        <f ca="1">SUMIF(Breakup!$B$30:AB$40,Monthly!$A22,Breakup!AB$30:AB$40)</f>
        <v>0</v>
      </c>
      <c r="AB22" s="115">
        <f ca="1">SUMIF(Breakup!$B$30:AC$40,Monthly!$A22,Breakup!AC$30:AC$40)</f>
        <v>0</v>
      </c>
      <c r="AC22" s="115">
        <f ca="1">SUMIF(Breakup!$B$30:AD$40,Monthly!$A22,Breakup!AD$30:AD$40)</f>
        <v>0</v>
      </c>
      <c r="AD22" s="115">
        <f ca="1">SUMIF(Breakup!$B$30:AE$40,Monthly!$A22,Breakup!AE$30:AE$40)</f>
        <v>0</v>
      </c>
      <c r="AE22" s="115">
        <f ca="1">SUMIF(Breakup!$B$30:AF$40,Monthly!$A22,Breakup!AF$30:AF$40)</f>
        <v>0</v>
      </c>
      <c r="AF22" s="115">
        <f ca="1">SUMIF(Breakup!$B$30:AG$40,Monthly!$A22,Breakup!AG$30:AG$40)</f>
        <v>0</v>
      </c>
      <c r="AG22" s="115">
        <f ca="1">SUMIF(Breakup!$B$30:AH$40,Monthly!$A22,Breakup!AH$30:AH$40)</f>
        <v>0</v>
      </c>
      <c r="AH22" s="115">
        <f ca="1">SUMIF(Breakup!$B$30:AI$40,Monthly!$A22,Breakup!AI$30:AI$40)</f>
        <v>0</v>
      </c>
      <c r="AI22" s="115">
        <f ca="1">SUMIF(Breakup!$B$30:AJ$40,Monthly!$A22,Breakup!AJ$30:AJ$40)</f>
        <v>0</v>
      </c>
      <c r="AJ22" s="115">
        <f ca="1">SUMIF(Breakup!$B$30:AK$40,Monthly!$A22,Breakup!AK$30:AK$40)</f>
        <v>0</v>
      </c>
      <c r="AK22" s="115">
        <f ca="1">SUMIF(Breakup!$B$30:AL$40,Monthly!$A22,Breakup!AL$30:AL$40)</f>
        <v>0</v>
      </c>
      <c r="AL22" s="115">
        <f ca="1">SUMIF(Breakup!$B$30:AM$40,Monthly!$A22,Breakup!AM$30:AM$40)</f>
        <v>0</v>
      </c>
      <c r="AM22" s="115">
        <f ca="1">SUMIF(Breakup!$B$30:AN$40,Monthly!$A22,Breakup!AN$30:AN$40)</f>
        <v>0</v>
      </c>
      <c r="AN22" s="115">
        <f ca="1">SUMIF(Breakup!$B$30:AO$40,Monthly!$A22,Breakup!AO$30:AO$40)</f>
        <v>0</v>
      </c>
      <c r="AO22" s="115">
        <f ca="1">SUMIF(Breakup!$B$30:AP$40,Monthly!$A22,Breakup!AP$30:AP$40)</f>
        <v>0</v>
      </c>
      <c r="AP22" s="115">
        <f ca="1">SUMIF(Breakup!$B$30:AQ$40,Monthly!$A22,Breakup!AQ$30:AQ$40)</f>
        <v>0</v>
      </c>
      <c r="AQ22" s="115">
        <f ca="1">SUMIF(Breakup!$B$30:AR$40,Monthly!$A22,Breakup!AR$30:AR$40)</f>
        <v>0</v>
      </c>
      <c r="AR22" s="115">
        <f ca="1">SUMIF(Breakup!$B$30:AS$40,Monthly!$A22,Breakup!AS$30:AS$40)</f>
        <v>0</v>
      </c>
      <c r="AS22" s="115">
        <f ca="1">SUMIF(Breakup!$B$30:AT$40,Monthly!$A22,Breakup!AT$30:AT$40)</f>
        <v>0</v>
      </c>
      <c r="AT22" s="115">
        <f ca="1">SUMIF(Breakup!$B$30:AU$40,Monthly!$A22,Breakup!AU$30:AU$40)</f>
        <v>0</v>
      </c>
      <c r="AU22" s="115">
        <f ca="1">SUMIF(Breakup!$B$30:AV$40,Monthly!$A22,Breakup!AV$30:AV$40)</f>
        <v>0</v>
      </c>
      <c r="AV22" s="115">
        <f ca="1">SUMIF(Breakup!$B$30:AW$40,Monthly!$A22,Breakup!AW$30:AW$40)</f>
        <v>0</v>
      </c>
      <c r="AW22" s="115">
        <f ca="1">SUMIF(Breakup!$B$30:AX$40,Monthly!$A22,Breakup!AX$30:AX$40)</f>
        <v>0</v>
      </c>
      <c r="AX22" s="115">
        <f ca="1">SUMIF(Breakup!$B$30:AY$40,Monthly!$A22,Breakup!AY$30:AY$40)</f>
        <v>0</v>
      </c>
      <c r="AY22" s="115">
        <f ca="1">SUMIF(Breakup!$B$30:AZ$40,Monthly!$A22,Breakup!AZ$30:AZ$40)</f>
        <v>0</v>
      </c>
      <c r="AZ22" s="115">
        <f ca="1">SUMIF(Breakup!$B$30:BA$40,Monthly!$A22,Breakup!BA$30:BA$40)</f>
        <v>0</v>
      </c>
      <c r="BA22" s="115">
        <f ca="1">SUMIF(Breakup!$B$30:BB$40,Monthly!$A22,Breakup!BB$30:BB$40)</f>
        <v>0</v>
      </c>
      <c r="BB22" s="115">
        <f ca="1">SUMIF(Breakup!$B$30:BC$40,Monthly!$A22,Breakup!BC$30:BC$40)</f>
        <v>0</v>
      </c>
      <c r="BC22" s="115">
        <f ca="1">SUMIF(Breakup!$B$30:BD$40,Monthly!$A22,Breakup!BD$30:BD$40)</f>
        <v>0</v>
      </c>
      <c r="BD22" s="115">
        <f ca="1">SUMIF(Breakup!$B$30:BE$40,Monthly!$A22,Breakup!BE$30:BE$40)</f>
        <v>0</v>
      </c>
      <c r="BE22" s="115">
        <f ca="1">SUMIF(Breakup!$B$30:BF$40,Monthly!$A22,Breakup!BF$30:BF$40)</f>
        <v>1</v>
      </c>
      <c r="BF22" s="115">
        <f ca="1">SUMIF(Breakup!$B$30:BG$40,Monthly!$A22,Breakup!BG$30:BG$40)</f>
        <v>0</v>
      </c>
      <c r="BG22" s="115">
        <f ca="1">SUMIF(Breakup!$B$30:BH$40,Monthly!$A22,Breakup!BH$30:BH$40)</f>
        <v>0</v>
      </c>
      <c r="BH22" s="115">
        <f ca="1">SUMIF(Breakup!$B$30:BI$40,Monthly!$A22,Breakup!BI$30:BI$40)</f>
        <v>0</v>
      </c>
      <c r="BI22" s="115">
        <f ca="1">SUMIF(Breakup!$B$30:BJ$40,Monthly!$A22,Breakup!BJ$30:BJ$40)</f>
        <v>0</v>
      </c>
      <c r="BJ22" s="115">
        <f ca="1">SUMIF(Breakup!$B$30:BK$40,Monthly!$A22,Breakup!BK$30:BK$40)</f>
        <v>0</v>
      </c>
      <c r="BK22" s="115">
        <f ca="1">SUMIF(Breakup!$B$30:BL$40,Monthly!$A22,Breakup!BL$30:BL$40)</f>
        <v>0</v>
      </c>
      <c r="BL22" s="115">
        <f ca="1">SUMIF(Breakup!$B$30:BM$40,Monthly!$A22,Breakup!BM$30:BM$40)</f>
        <v>0</v>
      </c>
      <c r="BM22" s="115">
        <f ca="1">SUMIF(Breakup!$B$30:BN$40,Monthly!$A22,Breakup!BN$30:BN$40)</f>
        <v>0</v>
      </c>
      <c r="BN22" s="115">
        <f ca="1">SUMIF(Breakup!$B$30:BO$40,Monthly!$A22,Breakup!BO$30:BO$40)</f>
        <v>0</v>
      </c>
      <c r="BO22" s="1"/>
      <c r="BP22" s="73">
        <f t="shared" ca="1" si="111"/>
        <v>1.2526600000000001</v>
      </c>
      <c r="BQ22" s="72">
        <f t="shared" ca="1" si="112"/>
        <v>1.9572812500000002E-2</v>
      </c>
    </row>
    <row r="23" spans="1:69">
      <c r="A23" s="119" t="s">
        <v>9</v>
      </c>
      <c r="B23" s="115">
        <f ca="1">SUMIF(Breakup!$B$30:$L$40,Monthly!$A23,Breakup!C$30:C$40)</f>
        <v>0</v>
      </c>
      <c r="C23" s="115">
        <f ca="1">SUMIF(Breakup!$B$30:$L$40,Monthly!$A23,Breakup!D$30:D$40)</f>
        <v>0</v>
      </c>
      <c r="D23" s="115">
        <f ca="1">SUMIF(Breakup!$B$30:$L$40,Monthly!$A23,Breakup!E$30:E$40)</f>
        <v>0</v>
      </c>
      <c r="E23" s="115">
        <f ca="1">SUMIF(Breakup!$B$30:$L$40,Monthly!$A23,Breakup!F$30:F$40)</f>
        <v>0</v>
      </c>
      <c r="F23" s="115">
        <f ca="1">SUMIF(Breakup!$B$30:$L$40,Monthly!$A23,Breakup!G$30:G$40)</f>
        <v>0</v>
      </c>
      <c r="G23" s="115">
        <f ca="1">SUMIF(Breakup!$B$30:$L$40,Monthly!$A23,Breakup!H$30:H$40)</f>
        <v>0</v>
      </c>
      <c r="H23" s="115">
        <f ca="1">SUMIF(Breakup!$B$30:$L$40,Monthly!$A23,Breakup!I$30:I$40)</f>
        <v>0</v>
      </c>
      <c r="I23" s="115">
        <f ca="1">SUMIF(Breakup!$B$30:$L$40,Monthly!$A23,Breakup!J$30:J$40)</f>
        <v>0</v>
      </c>
      <c r="J23" s="115">
        <f ca="1">SUMIF(Breakup!$B$30:$L$40,Monthly!$A23,Breakup!K$30:K$40)</f>
        <v>0.10485</v>
      </c>
      <c r="K23" s="115">
        <f ca="1">SUMIF(Breakup!$B$30:$L$40,Monthly!$A23,Breakup!L$30:L$40)</f>
        <v>0.43515000000000004</v>
      </c>
      <c r="L23" s="115">
        <f ca="1">SUMIF(Breakup!$B$30:M$40,Monthly!$A23,Breakup!M$30:M$40)</f>
        <v>0</v>
      </c>
      <c r="M23" s="115">
        <f ca="1">SUMIF(Breakup!$B$30:N$40,Monthly!$A23,Breakup!N$30:N$40)</f>
        <v>-0.73</v>
      </c>
      <c r="N23" s="115">
        <f ca="1">SUMIF(Breakup!$B$30:O$40,Monthly!$A23,Breakup!O$30:O$40)</f>
        <v>0</v>
      </c>
      <c r="O23" s="115">
        <f ca="1">SUMIF(Breakup!$B$30:P$40,Monthly!$A23,Breakup!P$30:P$40)</f>
        <v>0</v>
      </c>
      <c r="P23" s="115">
        <f ca="1">SUMIF(Breakup!$B$30:Q$40,Monthly!$A23,Breakup!Q$30:Q$40)</f>
        <v>0</v>
      </c>
      <c r="Q23" s="115">
        <f ca="1">SUMIF(Breakup!$B$30:R$40,Monthly!$A23,Breakup!R$30:R$40)</f>
        <v>0</v>
      </c>
      <c r="R23" s="115">
        <f ca="1">SUMIF(Breakup!$B$30:S$40,Monthly!$A23,Breakup!S$30:S$40)</f>
        <v>0</v>
      </c>
      <c r="S23" s="115">
        <f ca="1">SUMIF(Breakup!$B$30:T$40,Monthly!$A23,Breakup!T$30:T$40)</f>
        <v>0</v>
      </c>
      <c r="T23" s="115">
        <f ca="1">SUMIF(Breakup!$B$30:U$40,Monthly!$A23,Breakup!U$30:U$40)</f>
        <v>0</v>
      </c>
      <c r="U23" s="115">
        <f ca="1">SUMIF(Breakup!$B$30:V$40,Monthly!$A23,Breakup!V$30:V$40)</f>
        <v>0</v>
      </c>
      <c r="V23" s="115">
        <f ca="1">SUMIF(Breakup!$B$30:BO$40,Monthly!$A23,Breakup!W$30:W$40)</f>
        <v>0</v>
      </c>
      <c r="W23" s="115">
        <f ca="1">SUMIF(Breakup!$B$30:BP$40,Monthly!$A23,Breakup!X$30:X$40)</f>
        <v>0</v>
      </c>
      <c r="X23" s="115">
        <f ca="1">SUMIF(Breakup!$B$30:Y$40,Monthly!$A23,Breakup!Y$30:Y$40)</f>
        <v>0</v>
      </c>
      <c r="Y23" s="115">
        <f ca="1">SUMIF(Breakup!$B$30:Z$40,Monthly!$A23,Breakup!Z$30:Z$40)</f>
        <v>0</v>
      </c>
      <c r="Z23" s="115">
        <f ca="1">SUMIF(Breakup!$B$30:AA$40,Monthly!$A23,Breakup!AA$30:AA$40)</f>
        <v>0</v>
      </c>
      <c r="AA23" s="115">
        <f ca="1">SUMIF(Breakup!$B$30:AB$40,Monthly!$A23,Breakup!AB$30:AB$40)</f>
        <v>0</v>
      </c>
      <c r="AB23" s="115">
        <f ca="1">SUMIF(Breakup!$B$30:AC$40,Monthly!$A23,Breakup!AC$30:AC$40)</f>
        <v>0</v>
      </c>
      <c r="AC23" s="115">
        <f ca="1">SUMIF(Breakup!$B$30:AD$40,Monthly!$A23,Breakup!AD$30:AD$40)</f>
        <v>0</v>
      </c>
      <c r="AD23" s="115">
        <f ca="1">SUMIF(Breakup!$B$30:AE$40,Monthly!$A23,Breakup!AE$30:AE$40)</f>
        <v>0</v>
      </c>
      <c r="AE23" s="115">
        <f ca="1">SUMIF(Breakup!$B$30:AF$40,Monthly!$A23,Breakup!AF$30:AF$40)</f>
        <v>0</v>
      </c>
      <c r="AF23" s="115">
        <f ca="1">SUMIF(Breakup!$B$30:AG$40,Monthly!$A23,Breakup!AG$30:AG$40)</f>
        <v>0</v>
      </c>
      <c r="AG23" s="115">
        <f ca="1">SUMIF(Breakup!$B$30:AH$40,Monthly!$A23,Breakup!AH$30:AH$40)</f>
        <v>0</v>
      </c>
      <c r="AH23" s="115">
        <f ca="1">SUMIF(Breakup!$B$30:AI$40,Monthly!$A23,Breakup!AI$30:AI$40)</f>
        <v>0</v>
      </c>
      <c r="AI23" s="115">
        <f ca="1">SUMIF(Breakup!$B$30:AJ$40,Monthly!$A23,Breakup!AJ$30:AJ$40)</f>
        <v>0</v>
      </c>
      <c r="AJ23" s="115">
        <f ca="1">SUMIF(Breakup!$B$30:AK$40,Monthly!$A23,Breakup!AK$30:AK$40)</f>
        <v>0</v>
      </c>
      <c r="AK23" s="115">
        <f ca="1">SUMIF(Breakup!$B$30:AL$40,Monthly!$A23,Breakup!AL$30:AL$40)</f>
        <v>0</v>
      </c>
      <c r="AL23" s="115">
        <f ca="1">SUMIF(Breakup!$B$30:AM$40,Monthly!$A23,Breakup!AM$30:AM$40)</f>
        <v>0</v>
      </c>
      <c r="AM23" s="115">
        <f ca="1">SUMIF(Breakup!$B$30:AN$40,Monthly!$A23,Breakup!AN$30:AN$40)</f>
        <v>0</v>
      </c>
      <c r="AN23" s="115">
        <f ca="1">SUMIF(Breakup!$B$30:AO$40,Monthly!$A23,Breakup!AO$30:AO$40)</f>
        <v>0</v>
      </c>
      <c r="AO23" s="115">
        <f ca="1">SUMIF(Breakup!$B$30:AP$40,Monthly!$A23,Breakup!AP$30:AP$40)</f>
        <v>0</v>
      </c>
      <c r="AP23" s="115">
        <f ca="1">SUMIF(Breakup!$B$30:AQ$40,Monthly!$A23,Breakup!AQ$30:AQ$40)</f>
        <v>0</v>
      </c>
      <c r="AQ23" s="115">
        <f ca="1">SUMIF(Breakup!$B$30:AR$40,Monthly!$A23,Breakup!AR$30:AR$40)</f>
        <v>0</v>
      </c>
      <c r="AR23" s="115">
        <f ca="1">SUMIF(Breakup!$B$30:AS$40,Monthly!$A23,Breakup!AS$30:AS$40)</f>
        <v>0</v>
      </c>
      <c r="AS23" s="115">
        <f ca="1">SUMIF(Breakup!$B$30:AT$40,Monthly!$A23,Breakup!AT$30:AT$40)</f>
        <v>0</v>
      </c>
      <c r="AT23" s="115">
        <f ca="1">SUMIF(Breakup!$B$30:AU$40,Monthly!$A23,Breakup!AU$30:AU$40)</f>
        <v>0</v>
      </c>
      <c r="AU23" s="115">
        <f ca="1">SUMIF(Breakup!$B$30:AV$40,Monthly!$A23,Breakup!AV$30:AV$40)</f>
        <v>0</v>
      </c>
      <c r="AV23" s="115">
        <f ca="1">SUMIF(Breakup!$B$30:AW$40,Monthly!$A23,Breakup!AW$30:AW$40)</f>
        <v>0</v>
      </c>
      <c r="AW23" s="115">
        <f ca="1">SUMIF(Breakup!$B$30:AX$40,Monthly!$A23,Breakup!AX$30:AX$40)</f>
        <v>0</v>
      </c>
      <c r="AX23" s="115">
        <f ca="1">SUMIF(Breakup!$B$30:AY$40,Monthly!$A23,Breakup!AY$30:AY$40)</f>
        <v>0</v>
      </c>
      <c r="AY23" s="115">
        <f ca="1">SUMIF(Breakup!$B$30:AZ$40,Monthly!$A23,Breakup!AZ$30:AZ$40)</f>
        <v>0</v>
      </c>
      <c r="AZ23" s="115">
        <f ca="1">SUMIF(Breakup!$B$30:BA$40,Monthly!$A23,Breakup!BA$30:BA$40)</f>
        <v>0</v>
      </c>
      <c r="BA23" s="115">
        <f ca="1">SUMIF(Breakup!$B$30:BB$40,Monthly!$A23,Breakup!BB$30:BB$40)</f>
        <v>0</v>
      </c>
      <c r="BB23" s="115">
        <f ca="1">SUMIF(Breakup!$B$30:BC$40,Monthly!$A23,Breakup!BC$30:BC$40)</f>
        <v>0</v>
      </c>
      <c r="BC23" s="115">
        <f ca="1">SUMIF(Breakup!$B$30:BD$40,Monthly!$A23,Breakup!BD$30:BD$40)</f>
        <v>0</v>
      </c>
      <c r="BD23" s="115">
        <f ca="1">SUMIF(Breakup!$B$30:BE$40,Monthly!$A23,Breakup!BE$30:BE$40)</f>
        <v>0</v>
      </c>
      <c r="BE23" s="115">
        <f ca="1">SUMIF(Breakup!$B$30:BF$40,Monthly!$A23,Breakup!BF$30:BF$40)</f>
        <v>0</v>
      </c>
      <c r="BF23" s="115">
        <f ca="1">SUMIF(Breakup!$B$30:BG$40,Monthly!$A23,Breakup!BG$30:BG$40)</f>
        <v>0</v>
      </c>
      <c r="BG23" s="115">
        <f ca="1">SUMIF(Breakup!$B$30:BH$40,Monthly!$A23,Breakup!BH$30:BH$40)</f>
        <v>0</v>
      </c>
      <c r="BH23" s="115">
        <f ca="1">SUMIF(Breakup!$B$30:BI$40,Monthly!$A23,Breakup!BI$30:BI$40)</f>
        <v>0</v>
      </c>
      <c r="BI23" s="115">
        <f ca="1">SUMIF(Breakup!$B$30:BJ$40,Monthly!$A23,Breakup!BJ$30:BJ$40)</f>
        <v>0</v>
      </c>
      <c r="BJ23" s="115">
        <f ca="1">SUMIF(Breakup!$B$30:BK$40,Monthly!$A23,Breakup!BK$30:BK$40)</f>
        <v>0</v>
      </c>
      <c r="BK23" s="115">
        <f ca="1">SUMIF(Breakup!$B$30:BL$40,Monthly!$A23,Breakup!BL$30:BL$40)</f>
        <v>0</v>
      </c>
      <c r="BL23" s="115">
        <f ca="1">SUMIF(Breakup!$B$30:BM$40,Monthly!$A23,Breakup!BM$30:BM$40)</f>
        <v>0</v>
      </c>
      <c r="BM23" s="115">
        <f ca="1">SUMIF(Breakup!$B$30:BN$40,Monthly!$A23,Breakup!BN$30:BN$40)</f>
        <v>0</v>
      </c>
      <c r="BN23" s="115">
        <f ca="1">SUMIF(Breakup!$B$30:BO$40,Monthly!$A23,Breakup!BO$30:BO$40)</f>
        <v>0</v>
      </c>
      <c r="BO23" s="1"/>
      <c r="BP23" s="73">
        <f t="shared" ref="BP23" ca="1" si="113">SUM(B23:BN23)</f>
        <v>-0.18999999999999995</v>
      </c>
      <c r="BQ23" s="72">
        <f t="shared" ca="1" si="112"/>
        <v>-2.9687499999999992E-3</v>
      </c>
    </row>
    <row r="24" spans="1:69">
      <c r="A24" s="119" t="s">
        <v>10</v>
      </c>
      <c r="B24" s="115">
        <f ca="1">SUMIF(Breakup!$B$30:$L$40,Monthly!$A24,Breakup!C$30:C$40)</f>
        <v>0</v>
      </c>
      <c r="C24" s="115">
        <f ca="1">SUMIF(Breakup!$B$30:$L$40,Monthly!$A24,Breakup!D$30:D$40)</f>
        <v>-1.4500000000000002</v>
      </c>
      <c r="D24" s="115">
        <f ca="1">SUMIF(Breakup!$B$30:$L$40,Monthly!$A24,Breakup!E$30:E$40)</f>
        <v>-2.2000000000000002</v>
      </c>
      <c r="E24" s="115">
        <f ca="1">SUMIF(Breakup!$B$30:$L$40,Monthly!$A24,Breakup!F$30:F$40)</f>
        <v>3.5016139999999307E-3</v>
      </c>
      <c r="F24" s="115">
        <f ca="1">SUMIF(Breakup!$B$30:$L$40,Monthly!$A24,Breakup!G$30:G$40)</f>
        <v>2.5073171189999996</v>
      </c>
      <c r="G24" s="115">
        <f ca="1">SUMIF(Breakup!$B$30:$L$40,Monthly!$A24,Breakup!H$30:H$40)</f>
        <v>9.0665410000005942E-3</v>
      </c>
      <c r="H24" s="115">
        <f ca="1">SUMIF(Breakup!$B$30:$L$40,Monthly!$A24,Breakup!I$30:I$40)</f>
        <v>9.2285889999996762E-3</v>
      </c>
      <c r="I24" s="115">
        <f ca="1">SUMIF(Breakup!$B$30:$L$40,Monthly!$A24,Breakup!J$30:J$40)</f>
        <v>-0.99072487199999992</v>
      </c>
      <c r="J24" s="115">
        <f ca="1">SUMIF(Breakup!$B$30:$L$40,Monthly!$A24,Breakup!K$30:K$40)</f>
        <v>-0.49289939100000035</v>
      </c>
      <c r="K24" s="115">
        <f ca="1">SUMIF(Breakup!$B$30:$L$40,Monthly!$A24,Breakup!L$30:L$40)</f>
        <v>2.3032978399999999</v>
      </c>
      <c r="L24" s="115">
        <f ca="1">SUMIF(Breakup!$B$30:M$40,Monthly!$A24,Breakup!M$30:M$40)</f>
        <v>-0.99785091399999981</v>
      </c>
      <c r="M24" s="115">
        <f ca="1">SUMIF(Breakup!$B$30:N$40,Monthly!$A24,Breakup!N$30:N$40)</f>
        <v>-0.99987613600000014</v>
      </c>
      <c r="N24" s="115">
        <f ca="1">SUMIF(Breakup!$B$30:O$40,Monthly!$A24,Breakup!O$30:O$40)</f>
        <v>0.50650531100000018</v>
      </c>
      <c r="O24" s="115">
        <f ca="1">SUMIF(Breakup!$B$30:P$40,Monthly!$A24,Breakup!P$30:P$40)</f>
        <v>-0.50008737000000014</v>
      </c>
      <c r="P24" s="115">
        <f ca="1">SUMIF(Breakup!$B$30:Q$40,Monthly!$A24,Breakup!Q$30:Q$40)</f>
        <v>-1.0135084539999999</v>
      </c>
      <c r="Q24" s="115">
        <f ca="1">SUMIF(Breakup!$B$30:R$40,Monthly!$A24,Breakup!R$30:R$40)</f>
        <v>3.891126000000078E-3</v>
      </c>
      <c r="R24" s="115">
        <f ca="1">SUMIF(Breakup!$B$30:S$40,Monthly!$A24,Breakup!S$30:S$40)</f>
        <v>3.7767859999999764E-3</v>
      </c>
      <c r="S24" s="115">
        <f ca="1">SUMIF(Breakup!$B$30:T$40,Monthly!$A24,Breakup!T$30:T$40)</f>
        <v>-1.3516055929999999</v>
      </c>
      <c r="T24" s="115">
        <f ca="1">SUMIF(Breakup!$B$30:U$40,Monthly!$A24,Breakup!U$30:U$40)</f>
        <v>-3.2195999999999995E-5</v>
      </c>
      <c r="U24" s="115">
        <f ca="1">SUMIF(Breakup!$B$30:V$40,Monthly!$A24,Breakup!V$30:V$40)</f>
        <v>0</v>
      </c>
      <c r="V24" s="115">
        <f ca="1">SUMIF(Breakup!$B$30:BO$40,Monthly!$A24,Breakup!W$30:W$40)</f>
        <v>4</v>
      </c>
      <c r="W24" s="115">
        <f ca="1">SUMIF(Breakup!$B$30:BP$40,Monthly!$A24,Breakup!X$30:X$40)</f>
        <v>-1.5</v>
      </c>
      <c r="X24" s="115">
        <f ca="1">SUMIF(Breakup!$B$30:Y$40,Monthly!$A24,Breakup!Y$30:Y$40)</f>
        <v>-2.5</v>
      </c>
      <c r="Y24" s="115">
        <f ca="1">SUMIF(Breakup!$B$30:Z$40,Monthly!$A24,Breakup!Z$30:Z$40)</f>
        <v>0</v>
      </c>
      <c r="Z24" s="115">
        <f ca="1">SUMIF(Breakup!$B$30:AA$40,Monthly!$A24,Breakup!AA$30:AA$40)</f>
        <v>1.5</v>
      </c>
      <c r="AA24" s="115">
        <f ca="1">SUMIF(Breakup!$B$30:AB$40,Monthly!$A24,Breakup!AB$30:AB$40)</f>
        <v>0</v>
      </c>
      <c r="AB24" s="115">
        <f ca="1">SUMIF(Breakup!$B$30:AC$40,Monthly!$A24,Breakup!AC$30:AC$40)</f>
        <v>0</v>
      </c>
      <c r="AC24" s="115">
        <f ca="1">SUMIF(Breakup!$B$30:AD$40,Monthly!$A24,Breakup!AD$30:AD$40)</f>
        <v>1.5</v>
      </c>
      <c r="AD24" s="115">
        <f ca="1">SUMIF(Breakup!$B$30:AE$40,Monthly!$A24,Breakup!AE$30:AE$40)</f>
        <v>-1</v>
      </c>
      <c r="AE24" s="115">
        <f ca="1">SUMIF(Breakup!$B$30:AF$40,Monthly!$A24,Breakup!AF$30:AF$40)</f>
        <v>-1</v>
      </c>
      <c r="AF24" s="115">
        <f ca="1">SUMIF(Breakup!$B$30:AG$40,Monthly!$A24,Breakup!AG$30:AG$40)</f>
        <v>-1</v>
      </c>
      <c r="AG24" s="115">
        <f ca="1">SUMIF(Breakup!$B$30:AH$40,Monthly!$A24,Breakup!AH$30:AH$40)</f>
        <v>2</v>
      </c>
      <c r="AH24" s="115">
        <f ca="1">SUMIF(Breakup!$B$30:AI$40,Monthly!$A24,Breakup!AI$30:AI$40)</f>
        <v>-2</v>
      </c>
      <c r="AI24" s="115">
        <f ca="1">SUMIF(Breakup!$B$30:AJ$40,Monthly!$A24,Breakup!AJ$30:AJ$40)</f>
        <v>0</v>
      </c>
      <c r="AJ24" s="115">
        <f ca="1">SUMIF(Breakup!$B$30:AK$40,Monthly!$A24,Breakup!AK$30:AK$40)</f>
        <v>0</v>
      </c>
      <c r="AK24" s="115">
        <f ca="1">SUMIF(Breakup!$B$30:AL$40,Monthly!$A24,Breakup!AL$30:AL$40)</f>
        <v>0</v>
      </c>
      <c r="AL24" s="115">
        <f ca="1">SUMIF(Breakup!$B$30:AM$40,Monthly!$A24,Breakup!AM$30:AM$40)</f>
        <v>2</v>
      </c>
      <c r="AM24" s="115">
        <f ca="1">SUMIF(Breakup!$B$30:AN$40,Monthly!$A24,Breakup!AN$30:AN$40)</f>
        <v>2</v>
      </c>
      <c r="AN24" s="115">
        <f ca="1">SUMIF(Breakup!$B$30:AO$40,Monthly!$A24,Breakup!AO$30:AO$40)</f>
        <v>-4</v>
      </c>
      <c r="AO24" s="115">
        <f ca="1">SUMIF(Breakup!$B$30:AP$40,Monthly!$A24,Breakup!AP$30:AP$40)</f>
        <v>2.0134634460000003</v>
      </c>
      <c r="AP24" s="115">
        <f ca="1">SUMIF(Breakup!$B$30:AQ$40,Monthly!$A24,Breakup!AQ$30:AQ$40)</f>
        <v>1.1239125999999544E-2</v>
      </c>
      <c r="AQ24" s="115">
        <f ca="1">SUMIF(Breakup!$B$30:AR$40,Monthly!$A24,Breakup!AR$30:AR$40)</f>
        <v>-2.0247025719999998</v>
      </c>
      <c r="AR24" s="115">
        <f ca="1">SUMIF(Breakup!$B$30:AS$40,Monthly!$A24,Breakup!AS$30:AS$40)</f>
        <v>0</v>
      </c>
      <c r="AS24" s="115">
        <f ca="1">SUMIF(Breakup!$B$30:AT$40,Monthly!$A24,Breakup!AT$30:AT$40)</f>
        <v>3.0049730219999997</v>
      </c>
      <c r="AT24" s="115">
        <f ca="1">SUMIF(Breakup!$B$30:AU$40,Monthly!$A24,Breakup!AU$30:AU$40)</f>
        <v>1.7150533000000134E-2</v>
      </c>
      <c r="AU24" s="115">
        <f ca="1">SUMIF(Breakup!$B$30:AV$40,Monthly!$A24,Breakup!AV$30:AV$40)</f>
        <v>1.858749599999987E-2</v>
      </c>
      <c r="AV24" s="115">
        <f ca="1">SUMIF(Breakup!$B$30:AW$40,Monthly!$A24,Breakup!AW$30:AW$40)</f>
        <v>-1.9984888949999997</v>
      </c>
      <c r="AW24" s="115">
        <f ca="1">SUMIF(Breakup!$B$30:AX$40,Monthly!$A24,Breakup!AX$30:AX$40)</f>
        <v>-0.51753559599999999</v>
      </c>
      <c r="AX24" s="115">
        <f ca="1">SUMIF(Breakup!$B$30:AY$40,Monthly!$A24,Breakup!AY$30:AY$40)</f>
        <v>-0.52468656000000002</v>
      </c>
      <c r="AY24" s="115">
        <f ca="1">SUMIF(Breakup!$B$30:AZ$40,Monthly!$A24,Breakup!AZ$30:AZ$40)</f>
        <v>0</v>
      </c>
      <c r="AZ24" s="115">
        <f ca="1">SUMIF(Breakup!$B$30:BA$40,Monthly!$A24,Breakup!BA$30:BA$40)</f>
        <v>0</v>
      </c>
      <c r="BA24" s="115">
        <f ca="1">SUMIF(Breakup!$B$30:BB$40,Monthly!$A24,Breakup!BB$30:BB$40)</f>
        <v>9</v>
      </c>
      <c r="BB24" s="115">
        <f ca="1">SUMIF(Breakup!$B$30:BC$40,Monthly!$A24,Breakup!BC$30:BC$40)</f>
        <v>-2.99988557</v>
      </c>
      <c r="BC24" s="115">
        <f ca="1">SUMIF(Breakup!$B$30:BD$40,Monthly!$A24,Breakup!BD$30:BD$40)</f>
        <v>-1.5888324100000002</v>
      </c>
      <c r="BD24" s="115">
        <f ca="1">SUMIF(Breakup!$B$30:BE$40,Monthly!$A24,Breakup!BE$30:BE$40)</f>
        <v>-4.4112820199999998</v>
      </c>
      <c r="BE24" s="115">
        <f ca="1">SUMIF(Breakup!$B$30:BF$40,Monthly!$A24,Breakup!BF$30:BF$40)</f>
        <v>3.9999532250000001</v>
      </c>
      <c r="BF24" s="115">
        <f ca="1">SUMIF(Breakup!$B$30:BG$40,Monthly!$A24,Breakup!BG$30:BG$40)</f>
        <v>-3.9999532250000001</v>
      </c>
      <c r="BG24" s="115">
        <f ca="1">SUMIF(Breakup!$B$30:BH$40,Monthly!$A24,Breakup!BH$30:BH$40)</f>
        <v>0</v>
      </c>
      <c r="BH24" s="115">
        <f ca="1">SUMIF(Breakup!$B$30:BI$40,Monthly!$A24,Breakup!BI$30:BI$40)</f>
        <v>0</v>
      </c>
      <c r="BI24" s="115">
        <f ca="1">SUMIF(Breakup!$B$30:BJ$40,Monthly!$A24,Breakup!BJ$30:BJ$40)</f>
        <v>0</v>
      </c>
      <c r="BJ24" s="115">
        <f ca="1">SUMIF(Breakup!$B$30:BK$40,Monthly!$A24,Breakup!BK$30:BK$40)</f>
        <v>0</v>
      </c>
      <c r="BK24" s="115">
        <f ca="1">SUMIF(Breakup!$B$30:BL$40,Monthly!$A24,Breakup!BL$30:BL$40)</f>
        <v>0</v>
      </c>
      <c r="BL24" s="115">
        <f ca="1">SUMIF(Breakup!$B$30:BM$40,Monthly!$A24,Breakup!BM$30:BM$40)</f>
        <v>0</v>
      </c>
      <c r="BM24" s="115">
        <f ca="1">SUMIF(Breakup!$B$30:BN$40,Monthly!$A24,Breakup!BN$30:BN$40)</f>
        <v>0</v>
      </c>
      <c r="BN24" s="115">
        <f ca="1">SUMIF(Breakup!$B$30:BO$40,Monthly!$A24,Breakup!BO$30:BO$40)</f>
        <v>0</v>
      </c>
      <c r="BO24" s="1"/>
      <c r="BP24" s="73">
        <f t="shared" ca="1" si="111"/>
        <v>-4.6500000000000004</v>
      </c>
      <c r="BQ24" s="72">
        <f t="shared" ca="1" si="112"/>
        <v>-7.2656250000000006E-2</v>
      </c>
    </row>
    <row r="25" spans="1:69">
      <c r="A25" s="98" t="s">
        <v>11</v>
      </c>
      <c r="B25" s="75">
        <f ca="1">SUM(B20:B24)</f>
        <v>0</v>
      </c>
      <c r="C25" s="75">
        <f ca="1">SUM(C20:C24)</f>
        <v>0.87387083299999668</v>
      </c>
      <c r="D25" s="75">
        <f t="shared" ref="D25:H25" ca="1" si="114">SUM(D20:D24)</f>
        <v>-1.3199999999999996</v>
      </c>
      <c r="E25" s="75">
        <f t="shared" ca="1" si="114"/>
        <v>2.2035016140000003</v>
      </c>
      <c r="F25" s="75">
        <f t="shared" ca="1" si="114"/>
        <v>1.0073171190000003</v>
      </c>
      <c r="G25" s="75">
        <f t="shared" ca="1" si="114"/>
        <v>2.142066541000001</v>
      </c>
      <c r="H25" s="75">
        <f t="shared" ca="1" si="114"/>
        <v>2.6721885889999997</v>
      </c>
      <c r="I25" s="75">
        <f t="shared" ref="I25:BN25" ca="1" si="115">SUM(I20:I24)</f>
        <v>0.84223512800000222</v>
      </c>
      <c r="J25" s="75">
        <f t="shared" ca="1" si="115"/>
        <v>2.2449106090000015</v>
      </c>
      <c r="K25" s="75">
        <f t="shared" ca="1" si="115"/>
        <v>6.8118073999999948</v>
      </c>
      <c r="L25" s="75">
        <f t="shared" ref="L25:N25" ca="1" si="116">SUM(L20:L24)</f>
        <v>1.315373637000012</v>
      </c>
      <c r="M25" s="75">
        <f t="shared" ca="1" si="116"/>
        <v>1.2660819899999982</v>
      </c>
      <c r="N25" s="75">
        <f t="shared" ca="1" si="116"/>
        <v>2.8686472979999871</v>
      </c>
      <c r="O25" s="75">
        <f t="shared" ref="O25:Q25" ca="1" si="117">SUM(O20:O24)</f>
        <v>2.1644424389999992</v>
      </c>
      <c r="P25" s="75">
        <f t="shared" ca="1" si="117"/>
        <v>0.53741635500000573</v>
      </c>
      <c r="Q25" s="75">
        <f t="shared" ca="1" si="117"/>
        <v>2.0755573879999831</v>
      </c>
      <c r="R25" s="75">
        <f t="shared" ref="R25:S25" ca="1" si="118">SUM(R20:R24)</f>
        <v>1.5719273419999962</v>
      </c>
      <c r="S25" s="75">
        <f t="shared" ca="1" si="118"/>
        <v>-0.67979210999999407</v>
      </c>
      <c r="T25" s="75">
        <f t="shared" ref="T25:U25" ca="1" si="119">SUM(T20:T24)</f>
        <v>0.58736900000000158</v>
      </c>
      <c r="U25" s="75">
        <f t="shared" ca="1" si="119"/>
        <v>1.1400828479999991</v>
      </c>
      <c r="V25" s="75">
        <f t="shared" ref="V25:X25" ca="1" si="120">SUM(V20:V24)</f>
        <v>7.2698360260000001</v>
      </c>
      <c r="W25" s="75">
        <f t="shared" ca="1" si="120"/>
        <v>1.5671272799999811</v>
      </c>
      <c r="X25" s="75">
        <f t="shared" ca="1" si="120"/>
        <v>0.94988578100003718</v>
      </c>
      <c r="Y25" s="75">
        <f t="shared" ref="Y25:Z25" ca="1" si="121">SUM(Y20:Y24)</f>
        <v>3.7871657810000401</v>
      </c>
      <c r="Z25" s="75">
        <f t="shared" ca="1" si="121"/>
        <v>2.9045966871030027</v>
      </c>
      <c r="AA25" s="75">
        <f t="shared" ref="AA25:AB25" ca="1" si="122">SUM(AA20:AA24)</f>
        <v>3.3667444409999905</v>
      </c>
      <c r="AB25" s="75">
        <f t="shared" ca="1" si="122"/>
        <v>3.3667444409999905</v>
      </c>
      <c r="AC25" s="75">
        <f t="shared" ref="AC25:AD25" ca="1" si="123">SUM(AC20:AC24)</f>
        <v>2.877112932000002</v>
      </c>
      <c r="AD25" s="75">
        <f t="shared" ca="1" si="123"/>
        <v>1.9289180889999962</v>
      </c>
      <c r="AE25" s="75">
        <f t="shared" ref="AE25:AG25" ca="1" si="124">SUM(AE20:AE24)</f>
        <v>-0.22039600900000389</v>
      </c>
      <c r="AF25" s="75">
        <f t="shared" ca="1" si="124"/>
        <v>2.1868198160000056</v>
      </c>
      <c r="AG25" s="75">
        <f t="shared" ca="1" si="124"/>
        <v>9.0733296129999914</v>
      </c>
      <c r="AH25" s="75">
        <f t="shared" ref="AH25:AJ25" ca="1" si="125">SUM(AH20:AH24)</f>
        <v>0.41842487100000492</v>
      </c>
      <c r="AI25" s="75">
        <f t="shared" ca="1" si="125"/>
        <v>1.6184500559999981</v>
      </c>
      <c r="AJ25" s="75">
        <f t="shared" ca="1" si="125"/>
        <v>1.3544633179999954</v>
      </c>
      <c r="AK25" s="75">
        <f t="shared" ref="AK25:AM25" ca="1" si="126">SUM(AK20:AK24)</f>
        <v>1.1354380750000077</v>
      </c>
      <c r="AL25" s="75">
        <f t="shared" ca="1" si="126"/>
        <v>2.9636252649999988</v>
      </c>
      <c r="AM25" s="75">
        <f t="shared" ca="1" si="126"/>
        <v>4.8534567140000053</v>
      </c>
      <c r="AN25" s="75">
        <f t="shared" ref="AN25:AO25" ca="1" si="127">SUM(AN20:AN24)</f>
        <v>-1.2920315949999939</v>
      </c>
      <c r="AO25" s="75">
        <f t="shared" ca="1" si="127"/>
        <v>5.707833010000007</v>
      </c>
      <c r="AP25" s="75">
        <f t="shared" ref="AP25:AR25" ca="1" si="128">SUM(AP20:AP24)</f>
        <v>2.3873803450000026</v>
      </c>
      <c r="AQ25" s="75">
        <f t="shared" ca="1" si="128"/>
        <v>0.38244406199999936</v>
      </c>
      <c r="AR25" s="75">
        <f t="shared" ca="1" si="128"/>
        <v>2.750390052999983</v>
      </c>
      <c r="AS25" s="75">
        <f t="shared" ref="AS25:BN25" ca="1" si="129">SUM(AS20:AS24)</f>
        <v>7.3916483679999949</v>
      </c>
      <c r="AT25" s="75">
        <f t="shared" ref="AT25:AX25" ca="1" si="130">SUM(AT20:AT24)</f>
        <v>3.1006464860000071</v>
      </c>
      <c r="AU25" s="75">
        <f t="shared" ca="1" si="130"/>
        <v>3.7692391839999968</v>
      </c>
      <c r="AV25" s="75">
        <f t="shared" ca="1" si="130"/>
        <v>0.39121628799999031</v>
      </c>
      <c r="AW25" s="75">
        <f t="shared" ca="1" si="130"/>
        <v>1.8375799179999892</v>
      </c>
      <c r="AX25" s="75">
        <f t="shared" ca="1" si="130"/>
        <v>4.226619278000034</v>
      </c>
      <c r="AY25" s="75">
        <f t="shared" ref="AY25:BM25" ca="1" si="131">SUM(AY20:AY24)</f>
        <v>-0.29240220395601457</v>
      </c>
      <c r="AZ25" s="75">
        <f t="shared" ca="1" si="131"/>
        <v>3.3244546159560038</v>
      </c>
      <c r="BA25" s="75">
        <f t="shared" ca="1" si="131"/>
        <v>5.4206839309999939</v>
      </c>
      <c r="BB25" s="75">
        <f t="shared" ca="1" si="131"/>
        <v>0.5340792439999924</v>
      </c>
      <c r="BC25" s="75">
        <f t="shared" ca="1" si="131"/>
        <v>1.5172127230000116</v>
      </c>
      <c r="BD25" s="75">
        <f t="shared" ca="1" si="131"/>
        <v>-1.2231808450000137</v>
      </c>
      <c r="BE25" s="75">
        <f t="shared" ca="1" si="131"/>
        <v>6.2846957370000185</v>
      </c>
      <c r="BF25" s="75">
        <f t="shared" ca="1" si="131"/>
        <v>-2.8938203070000217</v>
      </c>
      <c r="BG25" s="75">
        <f t="shared" ca="1" si="131"/>
        <v>0.24651346300000698</v>
      </c>
      <c r="BH25" s="75">
        <f t="shared" ca="1" si="131"/>
        <v>3.3750741439999818</v>
      </c>
      <c r="BI25" s="75">
        <f t="shared" ca="1" si="131"/>
        <v>1.5106211729999997</v>
      </c>
      <c r="BJ25" s="75">
        <f t="shared" ca="1" si="131"/>
        <v>1.8249935019999921</v>
      </c>
      <c r="BK25" s="75">
        <f t="shared" ca="1" si="131"/>
        <v>0.80612127500001263</v>
      </c>
      <c r="BL25" s="75">
        <f t="shared" ca="1" si="131"/>
        <v>1.2757496249999889</v>
      </c>
      <c r="BM25" s="75">
        <f t="shared" ca="1" si="131"/>
        <v>1.924986637999992</v>
      </c>
      <c r="BN25" s="75">
        <f t="shared" ca="1" si="129"/>
        <v>0.52506121799999761</v>
      </c>
      <c r="BO25" s="1"/>
      <c r="BP25" s="73">
        <f t="shared" ca="1" si="111"/>
        <v>136.54055652710298</v>
      </c>
      <c r="BQ25" s="72">
        <f t="shared" ca="1" si="112"/>
        <v>2.133446195735984</v>
      </c>
    </row>
    <row r="26" spans="1:69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1"/>
      <c r="BP26" s="1"/>
      <c r="BQ26" s="72"/>
    </row>
    <row r="27" spans="1:69">
      <c r="A27" s="205" t="s">
        <v>14</v>
      </c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1"/>
      <c r="BP27" s="1"/>
      <c r="BQ27" s="72"/>
    </row>
    <row r="28" spans="1:69">
      <c r="A28" s="104" t="s">
        <v>6</v>
      </c>
      <c r="B28" s="116">
        <f ca="1">SUMIF(Breakup!$B$44:$L$54,Monthly!$A28,Breakup!C$44:C$54)</f>
        <v>0</v>
      </c>
      <c r="C28" s="116">
        <f ca="1">SUMIF(Breakup!$B$44:$L$54,Monthly!$A28,Breakup!D$44:D$54)</f>
        <v>2.0875006058170014</v>
      </c>
      <c r="D28" s="116">
        <f ca="1">SUMIF(Breakup!$B$44:$L$54,Monthly!$A28,Breakup!E$44:E$54)</f>
        <v>4.2313206250000057</v>
      </c>
      <c r="E28" s="116">
        <f ca="1">SUMIF(Breakup!$B$44:$L$54,Monthly!$A28,Breakup!F$44:F$54)</f>
        <v>-0.85922523500000736</v>
      </c>
      <c r="F28" s="116">
        <f ca="1">SUMIF(Breakup!$B$44:$L$54,Monthly!$A28,Breakup!G$44:G$54)</f>
        <v>0.30109744300000085</v>
      </c>
      <c r="G28" s="116">
        <f ca="1">SUMIF(Breakup!$B$44:$L$54,Monthly!$A28,Breakup!H$44:H$54)</f>
        <v>4.5203983519999893</v>
      </c>
      <c r="H28" s="116">
        <f ca="1">SUMIF(Breakup!$B$44:$L$54,Monthly!$A28,Breakup!I$44:I$54)</f>
        <v>1.5698698120000063</v>
      </c>
      <c r="I28" s="116">
        <f ca="1">SUMIF(Breakup!$B$44:$L$54,Monthly!$A28,Breakup!J$44:J$54)</f>
        <v>2.269310844000008</v>
      </c>
      <c r="J28" s="116">
        <f ca="1">SUMIF(Breakup!$B$44:$L$54,Monthly!$A28,Breakup!K$44:K$54)</f>
        <v>3.9978385899999971</v>
      </c>
      <c r="K28" s="116">
        <f ca="1">SUMIF(Breakup!$B$44:$L$54,Monthly!$A28,Breakup!L$44:L$54)</f>
        <v>1.116276096000012</v>
      </c>
      <c r="L28" s="116">
        <f ca="1">SUMIF(Breakup!$B$44:M$54,Monthly!$A28,Breakup!M$44:M$54)</f>
        <v>0.75154214199998415</v>
      </c>
      <c r="M28" s="116">
        <f ca="1">SUMIF(Breakup!$B$44:N$54,Monthly!$A28,Breakup!N$44:N$54)</f>
        <v>-1.2321104649999808</v>
      </c>
      <c r="N28" s="116">
        <f ca="1">SUMIF(Breakup!$B$44:O$54,Monthly!$A28,Breakup!O$44:O$54)</f>
        <v>0.70386042199999022</v>
      </c>
      <c r="O28" s="116">
        <f ca="1">SUMIF(Breakup!$B$44:P$54,Monthly!$A28,Breakup!P$44:P$54)</f>
        <v>0.3312620470000045</v>
      </c>
      <c r="P28" s="116">
        <f ca="1">SUMIF(Breakup!$B$44:Q$54,Monthly!$A28,Breakup!Q$44:Q$54)</f>
        <v>-7.6109647910000158</v>
      </c>
      <c r="Q28" s="116">
        <f ca="1">SUMIF(Breakup!$B$44:R$54,Monthly!$A28,Breakup!R$44:R$54)</f>
        <v>5.5022178570000158</v>
      </c>
      <c r="R28" s="116">
        <f ca="1">SUMIF(Breakup!$B$44:S$54,Monthly!$A28,Breakup!S$44:S$54)</f>
        <v>-1.2249285529999838</v>
      </c>
      <c r="S28" s="116">
        <f ca="1">SUMIF(Breakup!$B$44:T$54,Monthly!$A28,Breakup!T$44:T$54)</f>
        <v>-4.0258703800000122</v>
      </c>
      <c r="T28" s="116">
        <f ca="1">SUMIF(Breakup!$B$44:U$54,Monthly!$A28,Breakup!U$44:U$54)</f>
        <v>-2.9851108170000136</v>
      </c>
      <c r="U28" s="116">
        <f ca="1">SUMIF(Breakup!$B$44:V$54,Monthly!$A28,Breakup!V$44:V$54)</f>
        <v>8.1110414130000024</v>
      </c>
      <c r="V28" s="116">
        <f ca="1">SUMIF(Breakup!$B$44:BO$54,Monthly!$A28,Breakup!W$44:W$54)</f>
        <v>2.4134783669999806</v>
      </c>
      <c r="W28" s="116">
        <f ca="1">SUMIF(Breakup!$B$44:BP$54,Monthly!$A28,Breakup!X$44:X$54)</f>
        <v>-2.0730495799999771</v>
      </c>
      <c r="X28" s="116">
        <f ca="1">SUMIF(Breakup!$B$44:Y$54,Monthly!$A28,Breakup!Y$44:Y$54)</f>
        <v>3.4267466949999732</v>
      </c>
      <c r="Y28" s="116">
        <f ca="1">SUMIF(Breakup!$B$44:Z$54,Monthly!$A28,Breakup!Z$44:Z$54)</f>
        <v>0.27717153929997229</v>
      </c>
      <c r="Z28" s="116">
        <f ca="1">SUMIF(Breakup!$B$44:AA$54,Monthly!$A28,Breakup!AA$44:AA$54)</f>
        <v>-3.2496419404030075</v>
      </c>
      <c r="AA28" s="116">
        <f ca="1">SUMIF(Breakup!$B$44:AB$54,Monthly!$A28,Breakup!AB$44:AB$54)</f>
        <v>-0.37346527399998708</v>
      </c>
      <c r="AB28" s="116">
        <f ca="1">SUMIF(Breakup!$B$44:AC$54,Monthly!$A28,Breakup!AC$44:AC$54)</f>
        <v>-0.9073135359999962</v>
      </c>
      <c r="AC28" s="116">
        <f ca="1">SUMIF(Breakup!$B$44:AD$54,Monthly!$A28,Breakup!AD$44:AD$54)</f>
        <v>-1.0894758529999835</v>
      </c>
      <c r="AD28" s="116">
        <f ca="1">SUMIF(Breakup!$B$44:AE$54,Monthly!$A28,Breakup!AE$44:AE$54)</f>
        <v>5.2529258819999924</v>
      </c>
      <c r="AE28" s="116">
        <f ca="1">SUMIF(Breakup!$B$44:AF$54,Monthly!$A28,Breakup!AF$44:AF$54)</f>
        <v>6.3816249989999871</v>
      </c>
      <c r="AF28" s="116">
        <f ca="1">SUMIF(Breakup!$B$44:AG$54,Monthly!$A28,Breakup!AG$44:AG$54)</f>
        <v>4.6864392779999875</v>
      </c>
      <c r="AG28" s="116">
        <f ca="1">SUMIF(Breakup!$B$44:AH$54,Monthly!$A28,Breakup!AH$44:AH$54)</f>
        <v>4.4899094790000369</v>
      </c>
      <c r="AH28" s="116">
        <f ca="1">SUMIF(Breakup!$B$44:AI$54,Monthly!$A28,Breakup!AI$44:AI$54)</f>
        <v>2.2298562719999917</v>
      </c>
      <c r="AI28" s="116">
        <f ca="1">SUMIF(Breakup!$B$44:AJ$54,Monthly!$A28,Breakup!AJ$44:AJ$54)</f>
        <v>1.9139101789999899</v>
      </c>
      <c r="AJ28" s="116">
        <f ca="1">SUMIF(Breakup!$B$44:AK$54,Monthly!$A28,Breakup!AK$44:AK$54)</f>
        <v>-0.36301968099999216</v>
      </c>
      <c r="AK28" s="116">
        <f ca="1">SUMIF(Breakup!$B$44:AL$54,Monthly!$A28,Breakup!AL$44:AL$54)</f>
        <v>10.115946391999987</v>
      </c>
      <c r="AL28" s="116">
        <f ca="1">SUMIF(Breakup!$B$44:AM$54,Monthly!$A28,Breakup!AM$44:AM$54)</f>
        <v>8.3828159290000297</v>
      </c>
      <c r="AM28" s="116">
        <f ca="1">SUMIF(Breakup!$B$44:AN$54,Monthly!$A28,Breakup!AN$44:AN$54)</f>
        <v>5.1648990159999872</v>
      </c>
      <c r="AN28" s="116">
        <f ca="1">SUMIF(Breakup!$B$44:AO$54,Monthly!$A28,Breakup!AO$44:AO$54)</f>
        <v>5.2191253900000021</v>
      </c>
      <c r="AO28" s="116">
        <f ca="1">SUMIF(Breakup!$B$44:AP$54,Monthly!$A28,Breakup!AP$44:AP$54)</f>
        <v>0.94518900899995328</v>
      </c>
      <c r="AP28" s="116">
        <f ca="1">SUMIF(Breakup!$B$44:AQ$54,Monthly!$A28,Breakup!AQ$44:AQ$54)</f>
        <v>2.9142711390000069</v>
      </c>
      <c r="AQ28" s="116">
        <f ca="1">SUMIF(Breakup!$B$44:AR$54,Monthly!$A28,Breakup!AR$44:AR$54)</f>
        <v>2.4730212800000215</v>
      </c>
      <c r="AR28" s="116">
        <f ca="1">SUMIF(Breakup!$B$44:AS$54,Monthly!$A28,Breakup!AS$44:AS$54)</f>
        <v>12.913222910000023</v>
      </c>
      <c r="AS28" s="116">
        <f ca="1">SUMIF(Breakup!$B$44:AT$54,Monthly!$A28,Breakup!AT$44:AT$54)</f>
        <v>9.9726087679999864</v>
      </c>
      <c r="AT28" s="116">
        <f ca="1">SUMIF(Breakup!$B$44:AU$54,Monthly!$A28,Breakup!AU$44:AU$54)</f>
        <v>2.7527655450000346</v>
      </c>
      <c r="AU28" s="116">
        <f ca="1">SUMIF(Breakup!$B$44:AV$54,Monthly!$A28,Breakup!AV$44:AV$54)</f>
        <v>2.9745204729999921</v>
      </c>
      <c r="AV28" s="116">
        <f ca="1">SUMIF(Breakup!$B$44:AW$54,Monthly!$A28,Breakup!AW$44:AW$54)</f>
        <v>-12.863680704000032</v>
      </c>
      <c r="AW28" s="116">
        <f ca="1">SUMIF(Breakup!$B$44:AX$54,Monthly!$A28,Breakup!AX$44:AX$54)</f>
        <v>0.33811613700006005</v>
      </c>
      <c r="AX28" s="116">
        <f ca="1">SUMIF(Breakup!$B$44:AY$54,Monthly!$A28,Breakup!AY$44:AY$54)</f>
        <v>1.063748884999939</v>
      </c>
      <c r="AY28" s="116">
        <f ca="1">SUMIF(Breakup!$B$44:AZ$54,Monthly!$A28,Breakup!AZ$44:AZ$54)</f>
        <v>-12.24784850204402</v>
      </c>
      <c r="AZ28" s="116">
        <f ca="1">SUMIF(Breakup!$B$44:BA$54,Monthly!$A28,Breakup!BA$44:BA$54)</f>
        <v>-17.252326278955991</v>
      </c>
      <c r="BA28" s="116">
        <f ca="1">SUMIF(Breakup!$B$44:BB$54,Monthly!$A28,Breakup!BB$44:BB$54)</f>
        <v>6.8325246910000459</v>
      </c>
      <c r="BB28" s="116">
        <f ca="1">SUMIF(Breakup!$B$44:BC$54,Monthly!$A28,Breakup!BC$44:BC$54)</f>
        <v>7.1877695889999416</v>
      </c>
      <c r="BC28" s="116">
        <f ca="1">SUMIF(Breakup!$B$44:BD$54,Monthly!$A28,Breakup!BD$44:BD$54)</f>
        <v>10.28827448300005</v>
      </c>
      <c r="BD28" s="116">
        <f ca="1">SUMIF(Breakup!$B$44:BE$54,Monthly!$A28,Breakup!BE$44:BE$54)</f>
        <v>9.4773471349999969</v>
      </c>
      <c r="BE28" s="116">
        <f ca="1">SUMIF(Breakup!$B$44:BF$54,Monthly!$A28,Breakup!BF$44:BF$54)</f>
        <v>-5.8301489830000808</v>
      </c>
      <c r="BF28" s="116">
        <f ca="1">SUMIF(Breakup!$B$44:BG$54,Monthly!$A28,Breakup!BG$44:BG$54)</f>
        <v>1.5274919430000744</v>
      </c>
      <c r="BG28" s="116">
        <f ca="1">SUMIF(Breakup!$B$44:BH$54,Monthly!$A28,Breakup!BH$44:BH$54)</f>
        <v>1.8447295869999958</v>
      </c>
      <c r="BH28" s="116">
        <f ca="1">SUMIF(Breakup!$B$44:BI$54,Monthly!$A28,Breakup!BI$44:BI$54)</f>
        <v>7.2365974850000105</v>
      </c>
      <c r="BI28" s="116">
        <f ca="1">SUMIF(Breakup!$B$44:BJ$54,Monthly!$A28,Breakup!BJ$44:BJ$54)</f>
        <v>-0.82230474200001336</v>
      </c>
      <c r="BJ28" s="116">
        <f ca="1">SUMIF(Breakup!$B$44:BK$54,Monthly!$A28,Breakup!BK$44:BK$54)</f>
        <v>-0.71221825500002578</v>
      </c>
      <c r="BK28" s="116">
        <f ca="1">SUMIF(Breakup!$B$44:BL$54,Monthly!$A28,Breakup!BL$44:BL$54)</f>
        <v>-5.7906301179999833</v>
      </c>
      <c r="BL28" s="116">
        <f ca="1">SUMIF(Breakup!$B$44:BM$54,Monthly!$A28,Breakup!BM$44:BM$54)</f>
        <v>-2.5647377849999717</v>
      </c>
      <c r="BM28" s="116">
        <f ca="1">SUMIF(Breakup!$B$44:BN$54,Monthly!$A28,Breakup!BN$44:BN$54)</f>
        <v>-20.441116037</v>
      </c>
      <c r="BN28" s="116">
        <f ca="1">SUMIF(Breakup!$B$44:BO$54,Monthly!$A28,Breakup!BO$44:BO$54)</f>
        <v>25.625288431999969</v>
      </c>
      <c r="BO28" s="1"/>
      <c r="BP28" s="73">
        <f ca="1">SUM(B28:BN28)</f>
        <v>97.296685646713939</v>
      </c>
      <c r="BQ28" s="72">
        <f t="shared" ref="BQ28:BQ33" ca="1" si="132">BP28/$BO$1</f>
        <v>1.5202607132299053</v>
      </c>
    </row>
    <row r="29" spans="1:69">
      <c r="A29" s="104" t="s">
        <v>7</v>
      </c>
      <c r="B29" s="116">
        <f ca="1">SUMIF(Breakup!$B$44:$L$54,Monthly!$A29,Breakup!C$44:C$54)</f>
        <v>0</v>
      </c>
      <c r="C29" s="116">
        <f ca="1">SUMIF(Breakup!$B$44:$L$54,Monthly!$A29,Breakup!D$44:D$54)</f>
        <v>0.23799999999999982</v>
      </c>
      <c r="D29" s="116">
        <f ca="1">SUMIF(Breakup!$B$44:$L$54,Monthly!$A29,Breakup!E$44:E$54)</f>
        <v>-3.7999999999999812E-2</v>
      </c>
      <c r="E29" s="116">
        <f ca="1">SUMIF(Breakup!$B$44:$L$54,Monthly!$A29,Breakup!F$44:F$54)</f>
        <v>2.3890000000000002</v>
      </c>
      <c r="F29" s="116">
        <f ca="1">SUMIF(Breakup!$B$44:$L$54,Monthly!$A29,Breakup!G$44:G$54)</f>
        <v>0.62939999999999996</v>
      </c>
      <c r="G29" s="116">
        <f ca="1">SUMIF(Breakup!$B$44:$L$54,Monthly!$A29,Breakup!H$44:H$54)</f>
        <v>8.499999999999952E-3</v>
      </c>
      <c r="H29" s="116">
        <f ca="1">SUMIF(Breakup!$B$44:$L$54,Monthly!$A29,Breakup!I$44:I$54)</f>
        <v>-4.2999999999997485E-3</v>
      </c>
      <c r="I29" s="116">
        <f ca="1">SUMIF(Breakup!$B$44:$L$54,Monthly!$A29,Breakup!J$44:J$54)</f>
        <v>6.3299999999998358E-3</v>
      </c>
      <c r="J29" s="116">
        <f ca="1">SUMIF(Breakup!$B$44:$L$54,Monthly!$A29,Breakup!K$44:K$54)</f>
        <v>3.0990000000000184E-2</v>
      </c>
      <c r="K29" s="116">
        <f ca="1">SUMIF(Breakup!$B$44:$L$54,Monthly!$A29,Breakup!L$44:L$54)</f>
        <v>-1.5920000000000142E-2</v>
      </c>
      <c r="L29" s="116">
        <f ca="1">SUMIF(Breakup!$B$44:M$54,Monthly!$A29,Breakup!M$44:M$54)</f>
        <v>-1.4000000000000012E-2</v>
      </c>
      <c r="M29" s="116">
        <f ca="1">SUMIF(Breakup!$B$44:N$54,Monthly!$A29,Breakup!N$44:N$54)</f>
        <v>2.0000000000000018E-2</v>
      </c>
      <c r="N29" s="116">
        <f ca="1">SUMIF(Breakup!$B$44:O$54,Monthly!$A29,Breakup!O$44:O$54)</f>
        <v>1.3000000000000012E-2</v>
      </c>
      <c r="O29" s="116">
        <f ca="1">SUMIF(Breakup!$B$44:P$54,Monthly!$A29,Breakup!P$44:P$54)</f>
        <v>-2.0000000000000018E-2</v>
      </c>
      <c r="P29" s="116">
        <f ca="1">SUMIF(Breakup!$B$44:Q$54,Monthly!$A29,Breakup!Q$44:Q$54)</f>
        <v>1.100000000000001E-2</v>
      </c>
      <c r="Q29" s="116">
        <f ca="1">SUMIF(Breakup!$B$44:R$54,Monthly!$A29,Breakup!R$44:R$54)</f>
        <v>2.9199999999999982</v>
      </c>
      <c r="R29" s="116">
        <f ca="1">SUMIF(Breakup!$B$44:S$54,Monthly!$A29,Breakup!S$44:S$54)</f>
        <v>0.18249999999999988</v>
      </c>
      <c r="S29" s="116">
        <f ca="1">SUMIF(Breakup!$B$44:T$54,Monthly!$A29,Breakup!T$44:T$54)</f>
        <v>-3.9999999999999813E-2</v>
      </c>
      <c r="T29" s="116">
        <f ca="1">SUMIF(Breakup!$B$44:U$54,Monthly!$A29,Breakup!U$44:U$54)</f>
        <v>1.6999999999999793E-2</v>
      </c>
      <c r="U29" s="116">
        <f ca="1">SUMIF(Breakup!$B$44:V$54,Monthly!$A29,Breakup!V$44:V$54)</f>
        <v>2.6000000000000023E-2</v>
      </c>
      <c r="V29" s="116">
        <f ca="1">SUMIF(Breakup!$B$44:BO$54,Monthly!$A29,Breakup!W$44:W$54)</f>
        <v>5.0000000000000183E-3</v>
      </c>
      <c r="W29" s="116">
        <f ca="1">SUMIF(Breakup!$B$44:BP$54,Monthly!$A29,Breakup!X$44:X$54)</f>
        <v>3.8000000000000034E-2</v>
      </c>
      <c r="X29" s="116">
        <f ca="1">SUMIF(Breakup!$B$44:Y$54,Monthly!$A29,Breakup!Y$44:Y$54)</f>
        <v>-8.999999999999897E-3</v>
      </c>
      <c r="Y29" s="116">
        <f ca="1">SUMIF(Breakup!$B$44:Z$54,Monthly!$A29,Breakup!Z$44:Z$54)</f>
        <v>4.0000000000000036E-2</v>
      </c>
      <c r="Z29" s="116">
        <f ca="1">SUMIF(Breakup!$B$44:AA$54,Monthly!$A29,Breakup!AA$44:AA$54)</f>
        <v>6.5999999999997727E-3</v>
      </c>
      <c r="AA29" s="116">
        <f ca="1">SUMIF(Breakup!$B$44:AB$54,Monthly!$A29,Breakup!AB$44:AB$54)</f>
        <v>2.3010000000000086E-2</v>
      </c>
      <c r="AB29" s="116">
        <f ca="1">SUMIF(Breakup!$B$44:AC$54,Monthly!$A29,Breakup!AC$44:AC$54)</f>
        <v>1.7820000000001168E-3</v>
      </c>
      <c r="AC29" s="116">
        <f ca="1">SUMIF(Breakup!$B$44:AD$54,Monthly!$A29,Breakup!AD$44:AD$54)</f>
        <v>3.1134480000000155</v>
      </c>
      <c r="AD29" s="116">
        <f ca="1">SUMIF(Breakup!$B$44:AE$54,Monthly!$A29,Breakup!AE$44:AE$54)</f>
        <v>3.9001999999999815E-2</v>
      </c>
      <c r="AE29" s="116">
        <f ca="1">SUMIF(Breakup!$B$44:AF$54,Monthly!$A29,Breakup!AF$44:AF$54)</f>
        <v>3.8997999999999922E-2</v>
      </c>
      <c r="AF29" s="116">
        <f ca="1">SUMIF(Breakup!$B$44:AG$54,Monthly!$A29,Breakup!AG$44:AG$54)</f>
        <v>2.7600000000005398E-4</v>
      </c>
      <c r="AG29" s="116">
        <f ca="1">SUMIF(Breakup!$B$44:AH$54,Monthly!$A29,Breakup!AH$44:AH$54)</f>
        <v>9.7240000000001214E-3</v>
      </c>
      <c r="AH29" s="116">
        <f ca="1">SUMIF(Breakup!$B$44:AI$54,Monthly!$A29,Breakup!AI$44:AI$54)</f>
        <v>2.0799999999999874E-2</v>
      </c>
      <c r="AI29" s="116">
        <f ca="1">SUMIF(Breakup!$B$44:AJ$54,Monthly!$A29,Breakup!AJ$44:AJ$54)</f>
        <v>6.8199999999999927E-3</v>
      </c>
      <c r="AJ29" s="116">
        <f ca="1">SUMIF(Breakup!$B$44:AK$54,Monthly!$A29,Breakup!AK$44:AK$54)</f>
        <v>-2.5000000000002798E-4</v>
      </c>
      <c r="AK29" s="116">
        <f ca="1">SUMIF(Breakup!$B$44:AL$54,Monthly!$A29,Breakup!AL$44:AL$54)</f>
        <v>5.028000000000088E-3</v>
      </c>
      <c r="AL29" s="116">
        <f ca="1">SUMIF(Breakup!$B$44:AM$54,Monthly!$A29,Breakup!AM$44:AM$54)</f>
        <v>3.3131999999999995E-2</v>
      </c>
      <c r="AM29" s="116">
        <f ca="1">SUMIF(Breakup!$B$44:AN$54,Monthly!$A29,Breakup!AN$44:AN$54)</f>
        <v>6.3471999999999917E-2</v>
      </c>
      <c r="AN29" s="116">
        <f ca="1">SUMIF(Breakup!$B$44:AO$54,Monthly!$A29,Breakup!AO$44:AO$54)</f>
        <v>2.0738000000000034E-2</v>
      </c>
      <c r="AO29" s="116">
        <f ca="1">SUMIF(Breakup!$B$44:AP$54,Monthly!$A29,Breakup!AP$44:AP$54)</f>
        <v>4.7467739999999887</v>
      </c>
      <c r="AP29" s="116">
        <f ca="1">SUMIF(Breakup!$B$44:AQ$54,Monthly!$A29,Breakup!AQ$44:AQ$54)</f>
        <v>5.1599999999962787E-4</v>
      </c>
      <c r="AQ29" s="116">
        <f ca="1">SUMIF(Breakup!$B$44:AR$54,Monthly!$A29,Breakup!AR$44:AR$54)</f>
        <v>5.7870000000000588E-2</v>
      </c>
      <c r="AR29" s="116">
        <f ca="1">SUMIF(Breakup!$B$44:AS$54,Monthly!$A29,Breakup!AS$44:AS$54)</f>
        <v>2.9089999999999672E-2</v>
      </c>
      <c r="AS29" s="116">
        <f ca="1">SUMIF(Breakup!$B$44:AT$54,Monthly!$A29,Breakup!AT$44:AT$54)</f>
        <v>1.9912000000000221E-2</v>
      </c>
      <c r="AT29" s="116">
        <f ca="1">SUMIF(Breakup!$B$44:AU$54,Monthly!$A29,Breakup!AU$44:AU$54)</f>
        <v>3.1903999999999655E-2</v>
      </c>
      <c r="AU29" s="116">
        <f ca="1">SUMIF(Breakup!$B$44:AV$54,Monthly!$A29,Breakup!AV$44:AV$54)</f>
        <v>6.0129999999999961E-2</v>
      </c>
      <c r="AV29" s="116">
        <f ca="1">SUMIF(Breakup!$B$44:AW$54,Monthly!$A29,Breakup!AW$44:AW$54)</f>
        <v>9.9999999999998979E-3</v>
      </c>
      <c r="AW29" s="116">
        <f ca="1">SUMIF(Breakup!$B$44:AX$54,Monthly!$A29,Breakup!AX$44:AX$54)</f>
        <v>2.7500000000002522E-3</v>
      </c>
      <c r="AX29" s="116">
        <f ca="1">SUMIF(Breakup!$B$44:AY$54,Monthly!$A29,Breakup!AY$44:AY$54)</f>
        <v>2.6370000000000227E-2</v>
      </c>
      <c r="AY29" s="116">
        <f ca="1">SUMIF(Breakup!$B$44:AZ$54,Monthly!$A29,Breakup!AZ$44:AZ$54)</f>
        <v>3.0419999999999781E-2</v>
      </c>
      <c r="AZ29" s="116">
        <f ca="1">SUMIF(Breakup!$B$44:BA$54,Monthly!$A29,Breakup!BA$44:BA$54)</f>
        <v>-3.8400000000002321E-3</v>
      </c>
      <c r="BA29" s="116">
        <f ca="1">SUMIF(Breakup!$B$44:BB$54,Monthly!$A29,Breakup!BB$44:BB$54)</f>
        <v>5.6795000000000018</v>
      </c>
      <c r="BB29" s="116">
        <f ca="1">SUMIF(Breakup!$B$44:BC$54,Monthly!$A29,Breakup!BC$44:BC$54)</f>
        <v>6.3002000000000447E-2</v>
      </c>
      <c r="BC29" s="116">
        <f ca="1">SUMIF(Breakup!$B$44:BD$54,Monthly!$A29,Breakup!BD$44:BD$54)</f>
        <v>3.3451999999999815E-2</v>
      </c>
      <c r="BD29" s="116">
        <f ca="1">SUMIF(Breakup!$B$44:BE$54,Monthly!$A29,Breakup!BE$44:BE$54)</f>
        <v>-3.6331999999999642E-2</v>
      </c>
      <c r="BE29" s="116">
        <f ca="1">SUMIF(Breakup!$B$44:BF$54,Monthly!$A29,Breakup!BF$44:BF$54)</f>
        <v>2.9327999999999577E-2</v>
      </c>
      <c r="BF29" s="116">
        <f ca="1">SUMIF(Breakup!$B$44:BG$54,Monthly!$A29,Breakup!BG$44:BG$54)</f>
        <v>-6.9869999999999599E-2</v>
      </c>
      <c r="BG29" s="116">
        <f ca="1">SUMIF(Breakup!$B$44:BH$54,Monthly!$A29,Breakup!BH$44:BH$54)</f>
        <v>6.4271999999999552E-2</v>
      </c>
      <c r="BH29" s="116">
        <f ca="1">SUMIF(Breakup!$B$44:BI$54,Monthly!$A29,Breakup!BI$44:BI$54)</f>
        <v>-6.9294000000000022E-2</v>
      </c>
      <c r="BI29" s="116">
        <f ca="1">SUMIF(Breakup!$B$44:BJ$54,Monthly!$A29,Breakup!BJ$44:BJ$54)</f>
        <v>2.5380000000000402E-3</v>
      </c>
      <c r="BJ29" s="116">
        <f ca="1">SUMIF(Breakup!$B$44:BK$54,Monthly!$A29,Breakup!BK$44:BK$54)</f>
        <v>9.374000000000493E-3</v>
      </c>
      <c r="BK29" s="116">
        <f ca="1">SUMIF(Breakup!$B$44:BL$54,Monthly!$A29,Breakup!BL$44:BL$54)</f>
        <v>-8.4600000000001341E-3</v>
      </c>
      <c r="BL29" s="116">
        <f ca="1">SUMIF(Breakup!$B$44:BM$54,Monthly!$A29,Breakup!BM$44:BM$54)</f>
        <v>4.5089999999999852E-2</v>
      </c>
      <c r="BM29" s="116">
        <f ca="1">SUMIF(Breakup!$B$44:BN$54,Monthly!$A29,Breakup!BN$44:BN$54)</f>
        <v>5.2984999999999989</v>
      </c>
      <c r="BN29" s="116">
        <f ca="1">SUMIF(Breakup!$B$44:BO$54,Monthly!$A29,Breakup!BO$44:BO$54)</f>
        <v>0.73260000000000058</v>
      </c>
      <c r="BO29" s="1"/>
      <c r="BP29" s="73">
        <f t="shared" ref="BP29:BP33" ca="1" si="133">SUM(B29:BN29)</f>
        <v>26.601676000000001</v>
      </c>
      <c r="BQ29" s="72">
        <f t="shared" ca="1" si="132"/>
        <v>0.41565118750000002</v>
      </c>
    </row>
    <row r="30" spans="1:69">
      <c r="A30" s="104" t="s">
        <v>8</v>
      </c>
      <c r="B30" s="116">
        <f ca="1">SUMIF(Breakup!$B$44:$L$54,Monthly!$A30,Breakup!C$44:C$54)</f>
        <v>0</v>
      </c>
      <c r="C30" s="116">
        <f ca="1">SUMIF(Breakup!$B$44:$L$54,Monthly!$A30,Breakup!D$44:D$54)</f>
        <v>-2.1135999999999988E-2</v>
      </c>
      <c r="D30" s="116">
        <f ca="1">SUMIF(Breakup!$B$44:$L$54,Monthly!$A30,Breakup!E$44:E$54)</f>
        <v>-4.7239000000000031E-2</v>
      </c>
      <c r="E30" s="116">
        <f ca="1">SUMIF(Breakup!$B$44:$L$54,Monthly!$A30,Breakup!F$44:F$54)</f>
        <v>-1.4099499999999932E-2</v>
      </c>
      <c r="F30" s="116">
        <f ca="1">SUMIF(Breakup!$B$44:$L$54,Monthly!$A30,Breakup!G$44:G$54)</f>
        <v>2.752449999999973E-2</v>
      </c>
      <c r="G30" s="116">
        <f ca="1">SUMIF(Breakup!$B$44:$L$54,Monthly!$A30,Breakup!H$44:H$54)</f>
        <v>1.9703500000000096E-2</v>
      </c>
      <c r="H30" s="116">
        <f ca="1">SUMIF(Breakup!$B$44:$L$54,Monthly!$A30,Breakup!I$44:I$54)</f>
        <v>-1.7153499999999822E-2</v>
      </c>
      <c r="I30" s="116">
        <f ca="1">SUMIF(Breakup!$B$44:$L$54,Monthly!$A30,Breakup!J$44:J$54)</f>
        <v>-4.1364999999999874E-3</v>
      </c>
      <c r="J30" s="116">
        <f ca="1">SUMIF(Breakup!$B$44:$L$54,Monthly!$A30,Breakup!K$44:K$54)</f>
        <v>-1.346550000000013E-2</v>
      </c>
      <c r="K30" s="116">
        <f ca="1">SUMIF(Breakup!$B$44:$L$54,Monthly!$A30,Breakup!L$44:L$54)</f>
        <v>-4.1479999999998185E-3</v>
      </c>
      <c r="L30" s="116">
        <f ca="1">SUMIF(Breakup!$B$44:M$54,Monthly!$A30,Breakup!M$44:M$54)</f>
        <v>1.0250000000000092E-2</v>
      </c>
      <c r="M30" s="116">
        <f ca="1">SUMIF(Breakup!$B$44:N$54,Monthly!$A30,Breakup!N$44:N$54)</f>
        <v>3.3999999999996255E-3</v>
      </c>
      <c r="N30" s="116">
        <f ca="1">SUMIF(Breakup!$B$44:O$54,Monthly!$A30,Breakup!O$44:O$54)</f>
        <v>-4.9999999999998934E-3</v>
      </c>
      <c r="O30" s="116">
        <f ca="1">SUMIF(Breakup!$B$44:P$54,Monthly!$A30,Breakup!P$44:P$54)</f>
        <v>-8.8500000000000245E-3</v>
      </c>
      <c r="P30" s="116">
        <f ca="1">SUMIF(Breakup!$B$44:Q$54,Monthly!$A30,Breakup!Q$44:Q$54)</f>
        <v>3.1100000000000128E-2</v>
      </c>
      <c r="Q30" s="116">
        <f ca="1">SUMIF(Breakup!$B$44:R$54,Monthly!$A30,Breakup!R$44:R$54)</f>
        <v>0</v>
      </c>
      <c r="R30" s="116">
        <f ca="1">SUMIF(Breakup!$B$44:S$54,Monthly!$A30,Breakup!S$44:S$54)</f>
        <v>0</v>
      </c>
      <c r="S30" s="116">
        <f ca="1">SUMIF(Breakup!$B$44:T$54,Monthly!$A30,Breakup!T$44:T$54)</f>
        <v>0</v>
      </c>
      <c r="T30" s="116">
        <f ca="1">SUMIF(Breakup!$B$44:U$54,Monthly!$A30,Breakup!U$44:U$54)</f>
        <v>0</v>
      </c>
      <c r="U30" s="116">
        <f ca="1">SUMIF(Breakup!$B$44:V$54,Monthly!$A30,Breakup!V$44:V$54)</f>
        <v>0</v>
      </c>
      <c r="V30" s="116">
        <f ca="1">SUMIF(Breakup!$B$44:BO$54,Monthly!$A30,Breakup!W$44:W$54)</f>
        <v>2.7801999999999882E-2</v>
      </c>
      <c r="W30" s="116">
        <f ca="1">SUMIF(Breakup!$B$44:BP$54,Monthly!$A30,Breakup!X$44:X$54)</f>
        <v>-2.1012000000000031E-2</v>
      </c>
      <c r="X30" s="116">
        <f ca="1">SUMIF(Breakup!$B$44:Y$54,Monthly!$A30,Breakup!Y$44:Y$54)</f>
        <v>9.300000000000086E-3</v>
      </c>
      <c r="Y30" s="116">
        <f ca="1">SUMIF(Breakup!$B$44:Z$54,Monthly!$A30,Breakup!Z$44:Z$54)</f>
        <v>1.8642000000000047E-2</v>
      </c>
      <c r="Z30" s="116">
        <f ca="1">SUMIF(Breakup!$B$44:AA$54,Monthly!$A30,Breakup!AA$44:AA$54)</f>
        <v>5.1994999999999791E-2</v>
      </c>
      <c r="AA30" s="116">
        <f ca="1">SUMIF(Breakup!$B$44:AB$54,Monthly!$A30,Breakup!AB$44:AB$54)</f>
        <v>3.6772500000000319E-2</v>
      </c>
      <c r="AB30" s="116">
        <f ca="1">SUMIF(Breakup!$B$44:AC$54,Monthly!$A30,Breakup!AC$44:AC$54)</f>
        <v>-1.3024500000000216E-2</v>
      </c>
      <c r="AC30" s="116">
        <f ca="1">SUMIF(Breakup!$B$44:AD$54,Monthly!$A30,Breakup!AD$44:AD$54)</f>
        <v>6.2532000000000032E-2</v>
      </c>
      <c r="AD30" s="116">
        <f ca="1">SUMIF(Breakup!$B$44:AE$54,Monthly!$A30,Breakup!AE$44:AE$54)</f>
        <v>5.5668000000000051E-2</v>
      </c>
      <c r="AE30" s="116">
        <f ca="1">SUMIF(Breakup!$B$44:AF$54,Monthly!$A30,Breakup!AF$44:AF$54)</f>
        <v>5.4965499999999778E-2</v>
      </c>
      <c r="AF30" s="116">
        <f ca="1">SUMIF(Breakup!$B$44:AG$54,Monthly!$A30,Breakup!AG$44:AG$54)</f>
        <v>-1.9456499999999988E-2</v>
      </c>
      <c r="AG30" s="116">
        <f ca="1">SUMIF(Breakup!$B$44:AH$54,Monthly!$A30,Breakup!AH$44:AH$54)</f>
        <v>7.2460000000000857E-3</v>
      </c>
      <c r="AH30" s="116">
        <f ca="1">SUMIF(Breakup!$B$44:AI$54,Monthly!$A30,Breakup!AI$44:AI$54)</f>
        <v>-8.399999999999519E-4</v>
      </c>
      <c r="AI30" s="116">
        <f ca="1">SUMIF(Breakup!$B$44:AJ$54,Monthly!$A30,Breakup!AJ$44:AJ$54)</f>
        <v>-1.1242999999999892E-2</v>
      </c>
      <c r="AJ30" s="116">
        <f ca="1">SUMIF(Breakup!$B$44:AK$54,Monthly!$A30,Breakup!AK$44:AK$54)</f>
        <v>2.2692999999999852E-2</v>
      </c>
      <c r="AK30" s="116">
        <f ca="1">SUMIF(Breakup!$B$44:AL$54,Monthly!$A30,Breakup!AL$44:AL$54)</f>
        <v>4.2647499999999949E-2</v>
      </c>
      <c r="AL30" s="116">
        <f ca="1">SUMIF(Breakup!$B$44:AM$54,Monthly!$A30,Breakup!AM$44:AM$54)</f>
        <v>2.5676500000000102E-2</v>
      </c>
      <c r="AM30" s="116">
        <f ca="1">SUMIF(Breakup!$B$44:AN$54,Monthly!$A30,Breakup!AN$44:AN$54)</f>
        <v>1.7974500000000004E-2</v>
      </c>
      <c r="AN30" s="116">
        <f ca="1">SUMIF(Breakup!$B$44:AO$54,Monthly!$A30,Breakup!AO$44:AO$54)</f>
        <v>-1.4103999999999894E-2</v>
      </c>
      <c r="AO30" s="116">
        <f ca="1">SUMIF(Breakup!$B$44:AP$54,Monthly!$A30,Breakup!AP$44:AP$54)</f>
        <v>0.11309649999999993</v>
      </c>
      <c r="AP30" s="116">
        <f ca="1">SUMIF(Breakup!$B$44:AQ$54,Monthly!$A30,Breakup!AQ$44:AQ$54)</f>
        <v>9.7720000000000029E-2</v>
      </c>
      <c r="AQ30" s="116">
        <f ca="1">SUMIF(Breakup!$B$44:AR$54,Monthly!$A30,Breakup!AR$44:AR$54)</f>
        <v>7.6724999999999932E-2</v>
      </c>
      <c r="AR30" s="116">
        <f ca="1">SUMIF(Breakup!$B$44:AS$54,Monthly!$A30,Breakup!AS$44:AS$54)</f>
        <v>9.9540000000000184E-3</v>
      </c>
      <c r="AS30" s="116">
        <f ca="1">SUMIF(Breakup!$B$44:AT$54,Monthly!$A30,Breakup!AT$44:AT$54)</f>
        <v>3.1572999999999851E-2</v>
      </c>
      <c r="AT30" s="116">
        <f ca="1">SUMIF(Breakup!$B$44:AU$54,Monthly!$A30,Breakup!AU$44:AU$54)</f>
        <v>9.0230000000002253E-3</v>
      </c>
      <c r="AU30" s="116">
        <f ca="1">SUMIF(Breakup!$B$44:AV$54,Monthly!$A30,Breakup!AV$44:AV$54)</f>
        <v>8.2101999999999897E-2</v>
      </c>
      <c r="AV30" s="116">
        <f ca="1">SUMIF(Breakup!$B$44:AW$54,Monthly!$A30,Breakup!AW$44:AW$54)</f>
        <v>0.10424850000000019</v>
      </c>
      <c r="AW30" s="116">
        <f ca="1">SUMIF(Breakup!$B$44:AX$54,Monthly!$A30,Breakup!AX$44:AX$54)</f>
        <v>-7.2045000000000137E-2</v>
      </c>
      <c r="AX30" s="116">
        <f ca="1">SUMIF(Breakup!$B$44:AY$54,Monthly!$A30,Breakup!AY$44:AY$54)</f>
        <v>1.8748999999999683E-2</v>
      </c>
      <c r="AY30" s="116">
        <f ca="1">SUMIF(Breakup!$B$44:AZ$54,Monthly!$A30,Breakup!AZ$44:AZ$54)</f>
        <v>3.9485500000000506E-2</v>
      </c>
      <c r="AZ30" s="116">
        <f ca="1">SUMIF(Breakup!$B$44:BA$54,Monthly!$A30,Breakup!BA$44:BA$54)</f>
        <v>5.5213999999999874E-2</v>
      </c>
      <c r="BA30" s="116">
        <f ca="1">SUMIF(Breakup!$B$44:BB$54,Monthly!$A30,Breakup!BB$44:BB$54)</f>
        <v>6.0559000000000029E-2</v>
      </c>
      <c r="BB30" s="116">
        <f ca="1">SUMIF(Breakup!$B$44:BC$54,Monthly!$A30,Breakup!BC$44:BC$54)</f>
        <v>9.0551000000000048E-2</v>
      </c>
      <c r="BC30" s="116">
        <f ca="1">SUMIF(Breakup!$B$44:BD$54,Monthly!$A30,Breakup!BD$44:BD$54)</f>
        <v>8.3166999999999991E-2</v>
      </c>
      <c r="BD30" s="116">
        <f ca="1">SUMIF(Breakup!$B$44:BE$54,Monthly!$A30,Breakup!BE$44:BE$54)</f>
        <v>8.4136999999999684E-2</v>
      </c>
      <c r="BE30" s="116">
        <f ca="1">SUMIF(Breakup!$B$44:BF$54,Monthly!$A30,Breakup!BF$44:BF$54)</f>
        <v>2.4183000000000288E-2</v>
      </c>
      <c r="BF30" s="116">
        <f ca="1">SUMIF(Breakup!$B$44:BG$54,Monthly!$A30,Breakup!BG$44:BG$54)</f>
        <v>0.34647950000000005</v>
      </c>
      <c r="BG30" s="116">
        <f ca="1">SUMIF(Breakup!$B$44:BH$54,Monthly!$A30,Breakup!BH$44:BH$54)</f>
        <v>0.48934899999999981</v>
      </c>
      <c r="BH30" s="116">
        <f ca="1">SUMIF(Breakup!$B$44:BI$54,Monthly!$A30,Breakup!BI$44:BI$54)</f>
        <v>-7.2700000000001097E-3</v>
      </c>
      <c r="BI30" s="116">
        <f ca="1">SUMIF(Breakup!$B$44:BJ$54,Monthly!$A30,Breakup!BJ$44:BJ$54)</f>
        <v>0.23956450000000018</v>
      </c>
      <c r="BJ30" s="116">
        <f ca="1">SUMIF(Breakup!$B$44:BK$54,Monthly!$A30,Breakup!BK$44:BK$54)</f>
        <v>0.40933400000000031</v>
      </c>
      <c r="BK30" s="116">
        <f ca="1">SUMIF(Breakup!$B$44:BL$54,Monthly!$A30,Breakup!BL$44:BL$54)</f>
        <v>1.0283685</v>
      </c>
      <c r="BL30" s="116">
        <f ca="1">SUMIF(Breakup!$B$44:BM$54,Monthly!$A30,Breakup!BM$44:BM$54)</f>
        <v>-0.46836250000000046</v>
      </c>
      <c r="BM30" s="116">
        <f ca="1">SUMIF(Breakup!$B$44:BN$54,Monthly!$A30,Breakup!BN$44:BN$54)</f>
        <v>-0.45495600000000014</v>
      </c>
      <c r="BN30" s="116">
        <f ca="1">SUMIF(Breakup!$B$44:BO$54,Monthly!$A30,Breakup!BO$44:BO$54)</f>
        <v>0.13146150000000034</v>
      </c>
      <c r="BO30" s="1"/>
      <c r="BP30" s="73">
        <f t="shared" ca="1" si="133"/>
        <v>2.9333955</v>
      </c>
      <c r="BQ30" s="72">
        <f t="shared" ca="1" si="132"/>
        <v>4.5834304687500001E-2</v>
      </c>
    </row>
    <row r="31" spans="1:69">
      <c r="A31" s="104" t="s">
        <v>9</v>
      </c>
      <c r="B31" s="116">
        <f ca="1">SUMIF(Breakup!$B$30:$L$40,Monthly!$A31,Breakup!C$30:C$40)</f>
        <v>0</v>
      </c>
      <c r="C31" s="116">
        <f ca="1">SUMIF(Breakup!$B$30:$L$40,Monthly!$A31,Breakup!D$30:D$40)</f>
        <v>0</v>
      </c>
      <c r="D31" s="116">
        <f ca="1">SUMIF(Breakup!$B$30:$L$40,Monthly!$A31,Breakup!E$30:E$40)</f>
        <v>0</v>
      </c>
      <c r="E31" s="116">
        <f ca="1">SUMIF(Breakup!$B$30:$L$40,Monthly!$A31,Breakup!F$30:F$40)</f>
        <v>0</v>
      </c>
      <c r="F31" s="116">
        <f ca="1">SUMIF(Breakup!$B$30:$L$40,Monthly!$A31,Breakup!G$30:G$40)</f>
        <v>0</v>
      </c>
      <c r="G31" s="116">
        <f ca="1">SUMIF(Breakup!$B$30:$L$40,Monthly!$A31,Breakup!H$30:H$40)</f>
        <v>0</v>
      </c>
      <c r="H31" s="116">
        <f ca="1">SUMIF(Breakup!$B$30:$L$40,Monthly!$A31,Breakup!I$30:I$40)</f>
        <v>0</v>
      </c>
      <c r="I31" s="116">
        <f ca="1">SUMIF(Breakup!$B$30:$L$40,Monthly!$A31,Breakup!J$30:J$40)</f>
        <v>0</v>
      </c>
      <c r="J31" s="116">
        <f ca="1">SUMIF(Breakup!$B$30:$L$40,Monthly!$A31,Breakup!K$30:K$40)</f>
        <v>0.10485</v>
      </c>
      <c r="K31" s="116">
        <f ca="1">SUMIF(Breakup!$B$44:$L$54,Monthly!$A31,Breakup!L$44:L$54)</f>
        <v>0</v>
      </c>
      <c r="L31" s="116">
        <f ca="1">SUMIF(Breakup!$B$44:M$54,Monthly!$A31,Breakup!M$44:M$54)</f>
        <v>0.18999999999999995</v>
      </c>
      <c r="M31" s="116">
        <f ca="1">SUMIF(Breakup!$B$44:N$54,Monthly!$A31,Breakup!N$44:N$54)</f>
        <v>0</v>
      </c>
      <c r="N31" s="116">
        <f ca="1">SUMIF(Breakup!$B$44:O$54,Monthly!$A31,Breakup!O$44:O$54)</f>
        <v>0</v>
      </c>
      <c r="O31" s="116">
        <f ca="1">SUMIF(Breakup!$B$44:P$54,Monthly!$A31,Breakup!P$44:P$54)</f>
        <v>0</v>
      </c>
      <c r="P31" s="116">
        <f ca="1">SUMIF(Breakup!$B$44:Q$54,Monthly!$A31,Breakup!Q$44:Q$54)</f>
        <v>0</v>
      </c>
      <c r="Q31" s="116">
        <f ca="1">SUMIF(Breakup!$B$44:R$54,Monthly!$A31,Breakup!R$44:R$54)</f>
        <v>0</v>
      </c>
      <c r="R31" s="116">
        <f ca="1">SUMIF(Breakup!$B$44:S$54,Monthly!$A31,Breakup!S$44:S$54)</f>
        <v>0</v>
      </c>
      <c r="S31" s="116">
        <f ca="1">SUMIF(Breakup!$B$44:T$54,Monthly!$A31,Breakup!T$44:T$54)</f>
        <v>0</v>
      </c>
      <c r="T31" s="116">
        <f ca="1">SUMIF(Breakup!$B$44:U$54,Monthly!$A31,Breakup!U$44:U$54)</f>
        <v>0</v>
      </c>
      <c r="U31" s="116">
        <f ca="1">SUMIF(Breakup!$B$44:V$54,Monthly!$A31,Breakup!V$44:V$54)</f>
        <v>0</v>
      </c>
      <c r="V31" s="116">
        <f ca="1">SUMIF(Breakup!$B$44:BO$54,Monthly!$A31,Breakup!W$44:W$54)</f>
        <v>0</v>
      </c>
      <c r="W31" s="116">
        <f ca="1">SUMIF(Breakup!$B$44:BP$54,Monthly!$A31,Breakup!X$44:X$54)</f>
        <v>0</v>
      </c>
      <c r="X31" s="116">
        <f ca="1">SUMIF(Breakup!$B$44:Y$54,Monthly!$A31,Breakup!Y$44:Y$54)</f>
        <v>0</v>
      </c>
      <c r="Y31" s="116">
        <f ca="1">SUMIF(Breakup!$B$44:Z$54,Monthly!$A31,Breakup!Z$44:Z$54)</f>
        <v>0</v>
      </c>
      <c r="Z31" s="116">
        <f ca="1">SUMIF(Breakup!$B$44:AA$54,Monthly!$A31,Breakup!AA$44:AA$54)</f>
        <v>0</v>
      </c>
      <c r="AA31" s="116">
        <f ca="1">SUMIF(Breakup!$B$44:AB$54,Monthly!$A31,Breakup!AB$44:AB$54)</f>
        <v>0</v>
      </c>
      <c r="AB31" s="116">
        <f ca="1">SUMIF(Breakup!$B$44:AC$54,Monthly!$A31,Breakup!AC$44:AC$54)</f>
        <v>0</v>
      </c>
      <c r="AC31" s="116">
        <f ca="1">SUMIF(Breakup!$B$44:AD$54,Monthly!$A31,Breakup!AD$44:AD$54)</f>
        <v>0</v>
      </c>
      <c r="AD31" s="116">
        <f ca="1">SUMIF(Breakup!$B$44:AE$54,Monthly!$A31,Breakup!AE$44:AE$54)</f>
        <v>0</v>
      </c>
      <c r="AE31" s="116">
        <f ca="1">SUMIF(Breakup!$B$44:AF$54,Monthly!$A31,Breakup!AF$44:AF$54)</f>
        <v>0</v>
      </c>
      <c r="AF31" s="116">
        <f ca="1">SUMIF(Breakup!$B$44:AG$54,Monthly!$A31,Breakup!AG$44:AG$54)</f>
        <v>0</v>
      </c>
      <c r="AG31" s="116">
        <f ca="1">SUMIF(Breakup!$B$44:AH$54,Monthly!$A31,Breakup!AH$44:AH$54)</f>
        <v>0</v>
      </c>
      <c r="AH31" s="116">
        <f ca="1">SUMIF(Breakup!$B$44:AI$54,Monthly!$A31,Breakup!AI$44:AI$54)</f>
        <v>0</v>
      </c>
      <c r="AI31" s="116">
        <f ca="1">SUMIF(Breakup!$B$44:AJ$54,Monthly!$A31,Breakup!AJ$44:AJ$54)</f>
        <v>0</v>
      </c>
      <c r="AJ31" s="116">
        <f ca="1">SUMIF(Breakup!$B$44:AK$54,Monthly!$A31,Breakup!AK$44:AK$54)</f>
        <v>0</v>
      </c>
      <c r="AK31" s="116">
        <f ca="1">SUMIF(Breakup!$B$44:AL$54,Monthly!$A31,Breakup!AL$44:AL$54)</f>
        <v>0</v>
      </c>
      <c r="AL31" s="116">
        <f ca="1">SUMIF(Breakup!$B$44:AM$54,Monthly!$A31,Breakup!AM$44:AM$54)</f>
        <v>0</v>
      </c>
      <c r="AM31" s="116">
        <f ca="1">SUMIF(Breakup!$B$44:AN$54,Monthly!$A31,Breakup!AN$44:AN$54)</f>
        <v>0</v>
      </c>
      <c r="AN31" s="116">
        <f ca="1">SUMIF(Breakup!$B$44:AO$54,Monthly!$A31,Breakup!AO$44:AO$54)</f>
        <v>0</v>
      </c>
      <c r="AO31" s="116">
        <f ca="1">SUMIF(Breakup!$B$44:AP$54,Monthly!$A31,Breakup!AP$44:AP$54)</f>
        <v>0</v>
      </c>
      <c r="AP31" s="116">
        <f ca="1">SUMIF(Breakup!$B$44:AQ$54,Monthly!$A31,Breakup!AQ$44:AQ$54)</f>
        <v>0</v>
      </c>
      <c r="AQ31" s="116">
        <f ca="1">SUMIF(Breakup!$B$44:AR$54,Monthly!$A31,Breakup!AR$44:AR$54)</f>
        <v>0</v>
      </c>
      <c r="AR31" s="116">
        <f ca="1">SUMIF(Breakup!$B$44:AS$54,Monthly!$A31,Breakup!AS$44:AS$54)</f>
        <v>0</v>
      </c>
      <c r="AS31" s="116">
        <f ca="1">SUMIF(Breakup!$B$44:AT$54,Monthly!$A31,Breakup!AT$44:AT$54)</f>
        <v>0</v>
      </c>
      <c r="AT31" s="116">
        <f ca="1">SUMIF(Breakup!$B$44:AU$54,Monthly!$A31,Breakup!AU$44:AU$54)</f>
        <v>0</v>
      </c>
      <c r="AU31" s="116">
        <f ca="1">SUMIF(Breakup!$B$44:AV$54,Monthly!$A31,Breakup!AV$44:AV$54)</f>
        <v>0</v>
      </c>
      <c r="AV31" s="116">
        <f ca="1">SUMIF(Breakup!$B$44:AW$54,Monthly!$A31,Breakup!AW$44:AW$54)</f>
        <v>0</v>
      </c>
      <c r="AW31" s="116">
        <f ca="1">SUMIF(Breakup!$B$44:AX$54,Monthly!$A31,Breakup!AX$44:AX$54)</f>
        <v>0</v>
      </c>
      <c r="AX31" s="116">
        <f ca="1">SUMIF(Breakup!$B$44:AY$54,Monthly!$A31,Breakup!AY$44:AY$54)</f>
        <v>0</v>
      </c>
      <c r="AY31" s="116">
        <f ca="1">SUMIF(Breakup!$B$44:AZ$54,Monthly!$A31,Breakup!AZ$44:AZ$54)</f>
        <v>0</v>
      </c>
      <c r="AZ31" s="116">
        <f ca="1">SUMIF(Breakup!$B$44:BA$54,Monthly!$A31,Breakup!BA$44:BA$54)</f>
        <v>0</v>
      </c>
      <c r="BA31" s="116">
        <f ca="1">SUMIF(Breakup!$B$44:BB$54,Monthly!$A31,Breakup!BB$44:BB$54)</f>
        <v>0</v>
      </c>
      <c r="BB31" s="116">
        <f ca="1">SUMIF(Breakup!$B$44:BC$54,Monthly!$A31,Breakup!BC$44:BC$54)</f>
        <v>0</v>
      </c>
      <c r="BC31" s="116">
        <f ca="1">SUMIF(Breakup!$B$44:BD$54,Monthly!$A31,Breakup!BD$44:BD$54)</f>
        <v>0</v>
      </c>
      <c r="BD31" s="116">
        <f ca="1">SUMIF(Breakup!$B$44:BE$54,Monthly!$A31,Breakup!BE$44:BE$54)</f>
        <v>0</v>
      </c>
      <c r="BE31" s="116">
        <f ca="1">SUMIF(Breakup!$B$44:BF$54,Monthly!$A31,Breakup!BF$44:BF$54)</f>
        <v>0</v>
      </c>
      <c r="BF31" s="116">
        <f ca="1">SUMIF(Breakup!$B$44:BG$54,Monthly!$A31,Breakup!BG$44:BG$54)</f>
        <v>0</v>
      </c>
      <c r="BG31" s="116">
        <f ca="1">SUMIF(Breakup!$B$44:BH$54,Monthly!$A31,Breakup!BH$44:BH$54)</f>
        <v>0</v>
      </c>
      <c r="BH31" s="116">
        <f ca="1">SUMIF(Breakup!$B$44:BI$54,Monthly!$A31,Breakup!BI$44:BI$54)</f>
        <v>0</v>
      </c>
      <c r="BI31" s="116">
        <f ca="1">SUMIF(Breakup!$B$44:BJ$54,Monthly!$A31,Breakup!BJ$44:BJ$54)</f>
        <v>0</v>
      </c>
      <c r="BJ31" s="116">
        <f ca="1">SUMIF(Breakup!$B$44:BK$54,Monthly!$A31,Breakup!BK$44:BK$54)</f>
        <v>0</v>
      </c>
      <c r="BK31" s="116">
        <f ca="1">SUMIF(Breakup!$B$44:BL$54,Monthly!$A31,Breakup!BL$44:BL$54)</f>
        <v>0</v>
      </c>
      <c r="BL31" s="116">
        <f ca="1">SUMIF(Breakup!$B$44:BM$54,Monthly!$A31,Breakup!BM$44:BM$54)</f>
        <v>0</v>
      </c>
      <c r="BM31" s="116">
        <f ca="1">SUMIF(Breakup!$B$44:BN$54,Monthly!$A31,Breakup!BN$44:BN$54)</f>
        <v>0</v>
      </c>
      <c r="BN31" s="116">
        <f ca="1">SUMIF(Breakup!$B$44:BO$54,Monthly!$A31,Breakup!BO$44:BO$54)</f>
        <v>0</v>
      </c>
      <c r="BO31" s="1"/>
      <c r="BP31" s="73">
        <f t="shared" ca="1" si="133"/>
        <v>0.29484999999999995</v>
      </c>
      <c r="BQ31" s="72">
        <f t="shared" ca="1" si="132"/>
        <v>4.6070312499999991E-3</v>
      </c>
    </row>
    <row r="32" spans="1:69">
      <c r="A32" s="104" t="s">
        <v>10</v>
      </c>
      <c r="B32" s="116">
        <f ca="1">SUMIF(Breakup!$B$44:$L$54,Monthly!$A32,Breakup!C$44:C$54)</f>
        <v>0</v>
      </c>
      <c r="C32" s="116">
        <f ca="1">SUMIF(Breakup!$B$44:$L$54,Monthly!$A32,Breakup!D$44:D$54)</f>
        <v>0</v>
      </c>
      <c r="D32" s="116">
        <f ca="1">SUMIF(Breakup!$B$44:$L$54,Monthly!$A32,Breakup!E$44:E$54)</f>
        <v>0</v>
      </c>
      <c r="E32" s="116">
        <f ca="1">SUMIF(Breakup!$B$44:$L$54,Monthly!$A32,Breakup!F$44:F$54)</f>
        <v>0</v>
      </c>
      <c r="F32" s="116">
        <f ca="1">SUMIF(Breakup!$B$44:$L$54,Monthly!$A32,Breakup!G$44:G$54)</f>
        <v>0</v>
      </c>
      <c r="G32" s="116">
        <f ca="1">SUMIF(Breakup!$B$44:$L$54,Monthly!$A32,Breakup!H$44:H$54)</f>
        <v>0</v>
      </c>
      <c r="H32" s="116">
        <f ca="1">SUMIF(Breakup!$B$44:$L$54,Monthly!$A32,Breakup!I$44:I$54)</f>
        <v>0</v>
      </c>
      <c r="I32" s="116">
        <f ca="1">SUMIF(Breakup!$B$44:$L$54,Monthly!$A32,Breakup!J$44:J$54)</f>
        <v>0</v>
      </c>
      <c r="J32" s="116">
        <f ca="1">SUMIF(Breakup!$B$44:$L$54,Monthly!$A32,Breakup!K$44:K$54)</f>
        <v>0</v>
      </c>
      <c r="K32" s="116">
        <f ca="1">SUMIF(Breakup!$B$44:$L$54,Monthly!$A32,Breakup!L$44:L$54)</f>
        <v>0</v>
      </c>
      <c r="L32" s="116">
        <f ca="1">SUMIF(Breakup!$B$44:M$54,Monthly!$A32,Breakup!M$44:M$54)</f>
        <v>0</v>
      </c>
      <c r="M32" s="116">
        <f ca="1">SUMIF(Breakup!$B$44:N$54,Monthly!$A32,Breakup!N$44:N$54)</f>
        <v>0</v>
      </c>
      <c r="N32" s="116">
        <f ca="1">SUMIF(Breakup!$B$44:O$54,Monthly!$A32,Breakup!O$44:O$54)</f>
        <v>0</v>
      </c>
      <c r="O32" s="116">
        <f ca="1">SUMIF(Breakup!$B$44:P$54,Monthly!$A32,Breakup!P$44:P$54)</f>
        <v>0</v>
      </c>
      <c r="P32" s="116">
        <f ca="1">SUMIF(Breakup!$B$44:Q$54,Monthly!$A32,Breakup!Q$44:Q$54)</f>
        <v>0</v>
      </c>
      <c r="Q32" s="116">
        <f ca="1">SUMIF(Breakup!$B$44:R$54,Monthly!$A32,Breakup!R$44:R$54)</f>
        <v>0</v>
      </c>
      <c r="R32" s="116">
        <f ca="1">SUMIF(Breakup!$B$44:S$54,Monthly!$A32,Breakup!S$44:S$54)</f>
        <v>0</v>
      </c>
      <c r="S32" s="116">
        <f ca="1">SUMIF(Breakup!$B$44:T$54,Monthly!$A32,Breakup!T$44:T$54)</f>
        <v>0</v>
      </c>
      <c r="T32" s="116">
        <f ca="1">SUMIF(Breakup!$B$44:U$54,Monthly!$A32,Breakup!U$44:U$54)</f>
        <v>0</v>
      </c>
      <c r="U32" s="116">
        <f ca="1">SUMIF(Breakup!$B$44:V$54,Monthly!$A32,Breakup!V$44:V$54)</f>
        <v>0</v>
      </c>
      <c r="V32" s="116">
        <f ca="1">SUMIF(Breakup!$B$44:BO$54,Monthly!$A32,Breakup!W$44:W$54)</f>
        <v>0</v>
      </c>
      <c r="W32" s="116">
        <f ca="1">SUMIF(Breakup!$B$44:BP$54,Monthly!$A32,Breakup!X$44:X$54)</f>
        <v>0</v>
      </c>
      <c r="X32" s="116">
        <f ca="1">SUMIF(Breakup!$B$44:Y$54,Monthly!$A32,Breakup!Y$44:Y$54)</f>
        <v>0</v>
      </c>
      <c r="Y32" s="116">
        <f ca="1">SUMIF(Breakup!$B$44:Z$54,Monthly!$A32,Breakup!Z$44:Z$54)</f>
        <v>0</v>
      </c>
      <c r="Z32" s="116">
        <f ca="1">SUMIF(Breakup!$B$44:AA$54,Monthly!$A32,Breakup!AA$44:AA$54)</f>
        <v>0</v>
      </c>
      <c r="AA32" s="116">
        <f ca="1">SUMIF(Breakup!$B$44:AB$54,Monthly!$A32,Breakup!AB$44:AB$54)</f>
        <v>0</v>
      </c>
      <c r="AB32" s="116">
        <f ca="1">SUMIF(Breakup!$B$44:AC$54,Monthly!$A32,Breakup!AC$44:AC$54)</f>
        <v>0</v>
      </c>
      <c r="AC32" s="116">
        <f ca="1">SUMIF(Breakup!$B$44:AD$54,Monthly!$A32,Breakup!AD$44:AD$54)</f>
        <v>0</v>
      </c>
      <c r="AD32" s="116">
        <f ca="1">SUMIF(Breakup!$B$44:AE$54,Monthly!$A32,Breakup!AE$44:AE$54)</f>
        <v>0</v>
      </c>
      <c r="AE32" s="116">
        <f ca="1">SUMIF(Breakup!$B$44:AF$54,Monthly!$A32,Breakup!AF$44:AF$54)</f>
        <v>0</v>
      </c>
      <c r="AF32" s="116">
        <f ca="1">SUMIF(Breakup!$B$44:AG$54,Monthly!$A32,Breakup!AG$44:AG$54)</f>
        <v>0</v>
      </c>
      <c r="AG32" s="116">
        <f ca="1">SUMIF(Breakup!$B$44:AH$54,Monthly!$A32,Breakup!AH$44:AH$54)</f>
        <v>0</v>
      </c>
      <c r="AH32" s="116">
        <f ca="1">SUMIF(Breakup!$B$44:AI$54,Monthly!$A32,Breakup!AI$44:AI$54)</f>
        <v>0</v>
      </c>
      <c r="AI32" s="116">
        <f ca="1">SUMIF(Breakup!$B$44:AJ$54,Monthly!$A32,Breakup!AJ$44:AJ$54)</f>
        <v>0</v>
      </c>
      <c r="AJ32" s="116">
        <f ca="1">SUMIF(Breakup!$B$44:AK$54,Monthly!$A32,Breakup!AK$44:AK$54)</f>
        <v>0</v>
      </c>
      <c r="AK32" s="116">
        <f ca="1">SUMIF(Breakup!$B$44:AL$54,Monthly!$A32,Breakup!AL$44:AL$54)</f>
        <v>0</v>
      </c>
      <c r="AL32" s="116">
        <f ca="1">SUMIF(Breakup!$B$44:AM$54,Monthly!$A32,Breakup!AM$44:AM$54)</f>
        <v>0</v>
      </c>
      <c r="AM32" s="116">
        <f ca="1">SUMIF(Breakup!$B$44:AN$54,Monthly!$A32,Breakup!AN$44:AN$54)</f>
        <v>0</v>
      </c>
      <c r="AN32" s="116">
        <f ca="1">SUMIF(Breakup!$B$44:AO$54,Monthly!$A32,Breakup!AO$44:AO$54)</f>
        <v>0</v>
      </c>
      <c r="AO32" s="116">
        <f ca="1">SUMIF(Breakup!$B$44:AP$54,Monthly!$A32,Breakup!AP$44:AP$54)</f>
        <v>0</v>
      </c>
      <c r="AP32" s="116">
        <f ca="1">SUMIF(Breakup!$B$44:AQ$54,Monthly!$A32,Breakup!AQ$44:AQ$54)</f>
        <v>0</v>
      </c>
      <c r="AQ32" s="116">
        <f ca="1">SUMIF(Breakup!$B$44:AR$54,Monthly!$A32,Breakup!AR$44:AR$54)</f>
        <v>0</v>
      </c>
      <c r="AR32" s="116">
        <f ca="1">SUMIF(Breakup!$B$44:AS$54,Monthly!$A32,Breakup!AS$44:AS$54)</f>
        <v>0</v>
      </c>
      <c r="AS32" s="116">
        <f ca="1">SUMIF(Breakup!$B$44:AT$54,Monthly!$A32,Breakup!AT$44:AT$54)</f>
        <v>0</v>
      </c>
      <c r="AT32" s="116">
        <f ca="1">SUMIF(Breakup!$B$44:AU$54,Monthly!$A32,Breakup!AU$44:AU$54)</f>
        <v>0</v>
      </c>
      <c r="AU32" s="116">
        <f ca="1">SUMIF(Breakup!$B$44:AV$54,Monthly!$A32,Breakup!AV$44:AV$54)</f>
        <v>0</v>
      </c>
      <c r="AV32" s="116">
        <f ca="1">SUMIF(Breakup!$B$44:AW$54,Monthly!$A32,Breakup!AW$44:AW$54)</f>
        <v>0</v>
      </c>
      <c r="AW32" s="116">
        <f ca="1">SUMIF(Breakup!$B$44:AX$54,Monthly!$A32,Breakup!AX$44:AX$54)</f>
        <v>0</v>
      </c>
      <c r="AX32" s="116">
        <f ca="1">SUMIF(Breakup!$B$44:AY$54,Monthly!$A32,Breakup!AY$44:AY$54)</f>
        <v>0</v>
      </c>
      <c r="AY32" s="116">
        <f ca="1">SUMIF(Breakup!$B$44:AZ$54,Monthly!$A32,Breakup!AZ$44:AZ$54)</f>
        <v>0</v>
      </c>
      <c r="AZ32" s="116">
        <f ca="1">SUMIF(Breakup!$B$44:BA$54,Monthly!$A32,Breakup!BA$44:BA$54)</f>
        <v>0</v>
      </c>
      <c r="BA32" s="116">
        <f ca="1">SUMIF(Breakup!$B$44:BB$54,Monthly!$A32,Breakup!BB$44:BB$54)</f>
        <v>0</v>
      </c>
      <c r="BB32" s="116">
        <f ca="1">SUMIF(Breakup!$B$44:BC$54,Monthly!$A32,Breakup!BC$44:BC$54)</f>
        <v>0</v>
      </c>
      <c r="BC32" s="116">
        <f ca="1">SUMIF(Breakup!$B$44:BD$54,Monthly!$A32,Breakup!BD$44:BD$54)</f>
        <v>0</v>
      </c>
      <c r="BD32" s="116">
        <f ca="1">SUMIF(Breakup!$B$44:BE$54,Monthly!$A32,Breakup!BE$44:BE$54)</f>
        <v>0</v>
      </c>
      <c r="BE32" s="116">
        <f ca="1">SUMIF(Breakup!$B$44:BF$54,Monthly!$A32,Breakup!BF$44:BF$54)</f>
        <v>0</v>
      </c>
      <c r="BF32" s="116">
        <f ca="1">SUMIF(Breakup!$B$44:BG$54,Monthly!$A32,Breakup!BG$44:BG$54)</f>
        <v>0</v>
      </c>
      <c r="BG32" s="116">
        <f ca="1">SUMIF(Breakup!$B$44:BH$54,Monthly!$A32,Breakup!BH$44:BH$54)</f>
        <v>0</v>
      </c>
      <c r="BH32" s="116">
        <f ca="1">SUMIF(Breakup!$B$44:BI$54,Monthly!$A32,Breakup!BI$44:BI$54)</f>
        <v>0</v>
      </c>
      <c r="BI32" s="116">
        <f ca="1">SUMIF(Breakup!$B$44:BJ$54,Monthly!$A32,Breakup!BJ$44:BJ$54)</f>
        <v>0</v>
      </c>
      <c r="BJ32" s="116">
        <f ca="1">SUMIF(Breakup!$B$44:BK$54,Monthly!$A32,Breakup!BK$44:BK$54)</f>
        <v>0</v>
      </c>
      <c r="BK32" s="116">
        <f ca="1">SUMIF(Breakup!$B$44:BL$54,Monthly!$A32,Breakup!BL$44:BL$54)</f>
        <v>0</v>
      </c>
      <c r="BL32" s="116">
        <f ca="1">SUMIF(Breakup!$B$44:BM$54,Monthly!$A32,Breakup!BM$44:BM$54)</f>
        <v>0</v>
      </c>
      <c r="BM32" s="116">
        <f ca="1">SUMIF(Breakup!$B$44:BN$54,Monthly!$A32,Breakup!BN$44:BN$54)</f>
        <v>0</v>
      </c>
      <c r="BN32" s="116">
        <f ca="1">SUMIF(Breakup!$B$44:BO$54,Monthly!$A32,Breakup!BO$44:BO$54)</f>
        <v>0</v>
      </c>
      <c r="BO32" s="1"/>
      <c r="BP32" s="73">
        <f t="shared" ca="1" si="133"/>
        <v>0</v>
      </c>
      <c r="BQ32" s="72">
        <f t="shared" ca="1" si="132"/>
        <v>0</v>
      </c>
    </row>
    <row r="33" spans="1:69">
      <c r="A33" s="98" t="s">
        <v>11</v>
      </c>
      <c r="B33" s="75">
        <f ca="1">SUM(B28:B32)</f>
        <v>0</v>
      </c>
      <c r="C33" s="75">
        <f t="shared" ref="C33:BN33" ca="1" si="134">SUM(C28:C32)</f>
        <v>2.3043646058170015</v>
      </c>
      <c r="D33" s="75">
        <f t="shared" ca="1" si="134"/>
        <v>4.1460816250000052</v>
      </c>
      <c r="E33" s="75">
        <f t="shared" ca="1" si="134"/>
        <v>1.5156752649999929</v>
      </c>
      <c r="F33" s="75">
        <f t="shared" ca="1" si="134"/>
        <v>0.95802194300000054</v>
      </c>
      <c r="G33" s="75">
        <f t="shared" ca="1" si="134"/>
        <v>4.5486018519999893</v>
      </c>
      <c r="H33" s="75">
        <f t="shared" ca="1" si="134"/>
        <v>1.5484163120000067</v>
      </c>
      <c r="I33" s="75">
        <f t="shared" ref="I33:N33" ca="1" si="135">SUM(I28:I32)</f>
        <v>2.2715043440000078</v>
      </c>
      <c r="J33" s="75">
        <f t="shared" ca="1" si="135"/>
        <v>4.1202130899999974</v>
      </c>
      <c r="K33" s="75">
        <f t="shared" ca="1" si="135"/>
        <v>1.096208096000012</v>
      </c>
      <c r="L33" s="75">
        <f t="shared" ca="1" si="135"/>
        <v>0.93779214199998417</v>
      </c>
      <c r="M33" s="75">
        <f t="shared" ca="1" si="135"/>
        <v>-1.2087104649999811</v>
      </c>
      <c r="N33" s="75">
        <f t="shared" ca="1" si="135"/>
        <v>0.71186042199999033</v>
      </c>
      <c r="O33" s="75">
        <f t="shared" ref="O33:Q33" ca="1" si="136">SUM(O28:O32)</f>
        <v>0.30241204700000446</v>
      </c>
      <c r="P33" s="75">
        <f t="shared" ca="1" si="136"/>
        <v>-7.5688647910000153</v>
      </c>
      <c r="Q33" s="75">
        <f t="shared" ca="1" si="136"/>
        <v>8.4222178570000139</v>
      </c>
      <c r="R33" s="75">
        <f t="shared" ref="R33:S33" ca="1" si="137">SUM(R28:R32)</f>
        <v>-1.0424285529999839</v>
      </c>
      <c r="S33" s="75">
        <f t="shared" ca="1" si="137"/>
        <v>-4.0658703800000122</v>
      </c>
      <c r="T33" s="75">
        <f t="shared" ref="T33:U33" ca="1" si="138">SUM(T28:T32)</f>
        <v>-2.9681108170000137</v>
      </c>
      <c r="U33" s="75">
        <f t="shared" ca="1" si="138"/>
        <v>8.1370414130000022</v>
      </c>
      <c r="V33" s="75">
        <f t="shared" ref="V33:X33" ca="1" si="139">SUM(V28:V32)</f>
        <v>2.4462803669999804</v>
      </c>
      <c r="W33" s="75">
        <f t="shared" ca="1" si="139"/>
        <v>-2.0560615799999766</v>
      </c>
      <c r="X33" s="75">
        <f t="shared" ca="1" si="139"/>
        <v>3.4270466949999734</v>
      </c>
      <c r="Y33" s="75">
        <f t="shared" ref="Y33:Z33" ca="1" si="140">SUM(Y28:Y32)</f>
        <v>0.33581353929997237</v>
      </c>
      <c r="Z33" s="75">
        <f t="shared" ca="1" si="140"/>
        <v>-3.191046940403008</v>
      </c>
      <c r="AA33" s="75">
        <f t="shared" ref="AA33:AB33" ca="1" si="141">SUM(AA28:AA32)</f>
        <v>-0.31368277399998667</v>
      </c>
      <c r="AB33" s="75">
        <f t="shared" ca="1" si="141"/>
        <v>-0.91855603599999625</v>
      </c>
      <c r="AC33" s="75">
        <f t="shared" ref="AC33:AD33" ca="1" si="142">SUM(AC28:AC32)</f>
        <v>2.0865041470000323</v>
      </c>
      <c r="AD33" s="75">
        <f t="shared" ca="1" si="142"/>
        <v>5.3475958819999923</v>
      </c>
      <c r="AE33" s="75">
        <f t="shared" ref="AE33:AG33" ca="1" si="143">SUM(AE28:AE32)</f>
        <v>6.4755884989999872</v>
      </c>
      <c r="AF33" s="75">
        <f t="shared" ca="1" si="143"/>
        <v>4.6672587779999883</v>
      </c>
      <c r="AG33" s="75">
        <f t="shared" ca="1" si="143"/>
        <v>4.5068794790000375</v>
      </c>
      <c r="AH33" s="75">
        <f t="shared" ref="AH33:AJ33" ca="1" si="144">SUM(AH28:AH32)</f>
        <v>2.2498162719999915</v>
      </c>
      <c r="AI33" s="75">
        <f t="shared" ca="1" si="144"/>
        <v>1.9094871789999901</v>
      </c>
      <c r="AJ33" s="75">
        <f t="shared" ca="1" si="144"/>
        <v>-0.34057668099999233</v>
      </c>
      <c r="AK33" s="75">
        <f t="shared" ref="AK33:AM33" ca="1" si="145">SUM(AK28:AK32)</f>
        <v>10.163621891999986</v>
      </c>
      <c r="AL33" s="75">
        <f t="shared" ca="1" si="145"/>
        <v>8.4416244290000293</v>
      </c>
      <c r="AM33" s="75">
        <f t="shared" ca="1" si="145"/>
        <v>5.2463455159999874</v>
      </c>
      <c r="AN33" s="75">
        <f t="shared" ref="AN33:AO33" ca="1" si="146">SUM(AN28:AN32)</f>
        <v>5.2257593900000021</v>
      </c>
      <c r="AO33" s="75">
        <f t="shared" ca="1" si="146"/>
        <v>5.8050595089999417</v>
      </c>
      <c r="AP33" s="75">
        <f t="shared" ref="AP33:AR33" ca="1" si="147">SUM(AP28:AP32)</f>
        <v>3.0125071390000064</v>
      </c>
      <c r="AQ33" s="75">
        <f t="shared" ca="1" si="147"/>
        <v>2.6076162800000224</v>
      </c>
      <c r="AR33" s="75">
        <f t="shared" ca="1" si="147"/>
        <v>12.952266910000024</v>
      </c>
      <c r="AS33" s="75">
        <f t="shared" ref="AS33:BN33" ca="1" si="148">SUM(AS28:AS32)</f>
        <v>10.024093767999986</v>
      </c>
      <c r="AT33" s="75">
        <f t="shared" ref="AT33:AX33" ca="1" si="149">SUM(AT28:AT32)</f>
        <v>2.7936925450000345</v>
      </c>
      <c r="AU33" s="75">
        <f t="shared" ca="1" si="149"/>
        <v>3.116752472999992</v>
      </c>
      <c r="AV33" s="75">
        <f t="shared" ca="1" si="149"/>
        <v>-12.749432204000032</v>
      </c>
      <c r="AW33" s="75">
        <f t="shared" ca="1" si="149"/>
        <v>0.26882113700006016</v>
      </c>
      <c r="AX33" s="75">
        <f t="shared" ca="1" si="149"/>
        <v>1.1088678849999389</v>
      </c>
      <c r="AY33" s="75">
        <f t="shared" ref="AY33:BM33" ca="1" si="150">SUM(AY28:AY32)</f>
        <v>-12.177943002044021</v>
      </c>
      <c r="AZ33" s="75">
        <f t="shared" ca="1" si="150"/>
        <v>-17.200952278955992</v>
      </c>
      <c r="BA33" s="75">
        <f t="shared" ca="1" si="150"/>
        <v>12.572583691000046</v>
      </c>
      <c r="BB33" s="75">
        <f t="shared" ca="1" si="150"/>
        <v>7.3413225889999421</v>
      </c>
      <c r="BC33" s="75">
        <f t="shared" ca="1" si="150"/>
        <v>10.40489348300005</v>
      </c>
      <c r="BD33" s="75">
        <f t="shared" ca="1" si="150"/>
        <v>9.5251521349999972</v>
      </c>
      <c r="BE33" s="75">
        <f t="shared" ca="1" si="150"/>
        <v>-5.7766379830000805</v>
      </c>
      <c r="BF33" s="75">
        <f t="shared" ca="1" si="150"/>
        <v>1.8041014430000748</v>
      </c>
      <c r="BG33" s="75">
        <f t="shared" ca="1" si="150"/>
        <v>2.398350586999995</v>
      </c>
      <c r="BH33" s="75">
        <f t="shared" ca="1" si="150"/>
        <v>7.1600334850000102</v>
      </c>
      <c r="BI33" s="75">
        <f t="shared" ca="1" si="150"/>
        <v>-0.58020224200001314</v>
      </c>
      <c r="BJ33" s="75">
        <f t="shared" ca="1" si="150"/>
        <v>-0.29351025500002503</v>
      </c>
      <c r="BK33" s="75">
        <f t="shared" ca="1" si="150"/>
        <v>-4.7707216179999836</v>
      </c>
      <c r="BL33" s="75">
        <f t="shared" ca="1" si="150"/>
        <v>-2.9880102849999721</v>
      </c>
      <c r="BM33" s="75">
        <f t="shared" ca="1" si="150"/>
        <v>-15.597572037000003</v>
      </c>
      <c r="BN33" s="75">
        <f t="shared" ca="1" si="148"/>
        <v>26.489349931999971</v>
      </c>
      <c r="BO33" s="1"/>
      <c r="BP33" s="73">
        <f t="shared" ca="1" si="133"/>
        <v>127.12660714671398</v>
      </c>
      <c r="BQ33" s="72">
        <f t="shared" ca="1" si="132"/>
        <v>1.9863532366674059</v>
      </c>
    </row>
    <row r="34" spans="1:69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1"/>
      <c r="BP34" s="73"/>
    </row>
    <row r="35" spans="1:69">
      <c r="A35" s="206" t="s">
        <v>15</v>
      </c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6"/>
      <c r="AX35" s="206"/>
      <c r="AY35" s="206"/>
      <c r="AZ35" s="206"/>
      <c r="BA35" s="206"/>
      <c r="BB35" s="206"/>
      <c r="BC35" s="206"/>
      <c r="BD35" s="206"/>
      <c r="BE35" s="206"/>
      <c r="BF35" s="206"/>
      <c r="BG35" s="206"/>
      <c r="BH35" s="206"/>
      <c r="BI35" s="206"/>
      <c r="BJ35" s="206"/>
      <c r="BK35" s="206"/>
      <c r="BL35" s="206"/>
      <c r="BM35" s="206"/>
      <c r="BN35" s="206"/>
      <c r="BO35" s="114"/>
      <c r="BP35" s="73"/>
    </row>
    <row r="36" spans="1:69">
      <c r="A36" s="105" t="s">
        <v>6</v>
      </c>
      <c r="B36" s="117">
        <f ca="1">SUMIF(Breakup!$B$58:$L$68,Monthly!$A36,Breakup!C$58:C$68)</f>
        <v>0</v>
      </c>
      <c r="C36" s="117">
        <f ca="1">C20+C28</f>
        <v>3.9338714388169995</v>
      </c>
      <c r="D36" s="117">
        <f t="shared" ref="D36:BN36" ca="1" si="151">D20+D28</f>
        <v>4.6413206250000059</v>
      </c>
      <c r="E36" s="117">
        <f t="shared" ca="1" si="151"/>
        <v>1.1407747649999926</v>
      </c>
      <c r="F36" s="117">
        <f t="shared" ca="1" si="151"/>
        <v>-1.4289025569999989</v>
      </c>
      <c r="G36" s="117">
        <f t="shared" ca="1" si="151"/>
        <v>6.4203983519999888</v>
      </c>
      <c r="H36" s="117">
        <f t="shared" ca="1" si="151"/>
        <v>3.9998698120000062</v>
      </c>
      <c r="I36" s="117">
        <f t="shared" ca="1" si="151"/>
        <v>3.8693108440000081</v>
      </c>
      <c r="J36" s="117">
        <f t="shared" ca="1" si="151"/>
        <v>6.3978385899999974</v>
      </c>
      <c r="K36" s="117">
        <f t="shared" ca="1" si="151"/>
        <v>3.3066756560000048</v>
      </c>
      <c r="L36" s="117">
        <f t="shared" ref="L36:N36" ca="1" si="152">L20+L28</f>
        <v>2.7894666929999943</v>
      </c>
      <c r="M36" s="117">
        <f t="shared" ca="1" si="152"/>
        <v>1.4885476610000197</v>
      </c>
      <c r="N36" s="117">
        <f t="shared" ca="1" si="152"/>
        <v>2.7907024089999792</v>
      </c>
      <c r="O36" s="117">
        <f t="shared" ref="O36:Q36" ca="1" si="153">O20+O28</f>
        <v>2.720491856000006</v>
      </c>
      <c r="P36" s="117">
        <f t="shared" ca="1" si="153"/>
        <v>-6.3353399820000078</v>
      </c>
      <c r="Q36" s="117">
        <f t="shared" ca="1" si="153"/>
        <v>7.3077841190000008</v>
      </c>
      <c r="R36" s="117">
        <f t="shared" ref="R36:S36" ca="1" si="154">R20+R28</f>
        <v>2.1572003000014384E-2</v>
      </c>
      <c r="S36" s="117">
        <f t="shared" ca="1" si="154"/>
        <v>-3.5940568970000042</v>
      </c>
      <c r="T36" s="117">
        <f t="shared" ref="T36:U36" ca="1" si="155">T20+T28</f>
        <v>-2.6884096210000097</v>
      </c>
      <c r="U36" s="117">
        <f t="shared" ca="1" si="155"/>
        <v>8.9544102610000031</v>
      </c>
      <c r="V36" s="117">
        <f t="shared" ref="V36:X36" ca="1" si="156">V20+V28</f>
        <v>3.757868392999983</v>
      </c>
      <c r="W36" s="117">
        <f t="shared" ca="1" si="156"/>
        <v>0.72253370000000627</v>
      </c>
      <c r="X36" s="117">
        <f t="shared" ca="1" si="156"/>
        <v>6.5952244760000127</v>
      </c>
      <c r="Y36" s="117">
        <f t="shared" ref="Y36:Z36" ca="1" si="157">Y20+Y28</f>
        <v>3.4456493203000118</v>
      </c>
      <c r="Z36" s="117">
        <f t="shared" ca="1" si="157"/>
        <v>-2.163545253300005</v>
      </c>
      <c r="AA36" s="117">
        <f t="shared" ref="AA36:AB36" ca="1" si="158">AA20+AA28</f>
        <v>2.6747791670000032</v>
      </c>
      <c r="AB36" s="117">
        <f t="shared" ca="1" si="158"/>
        <v>2.1409309049999941</v>
      </c>
      <c r="AC36" s="117">
        <f t="shared" ref="AC36:AD36" ca="1" si="159">AC20+AC28</f>
        <v>-1.2362920999981597E-2</v>
      </c>
      <c r="AD36" s="117">
        <f t="shared" ca="1" si="159"/>
        <v>7.8633439709999884</v>
      </c>
      <c r="AE36" s="117">
        <f t="shared" ref="AE36:AG36" ca="1" si="160">AE20+AE28</f>
        <v>6.8427289899999835</v>
      </c>
      <c r="AF36" s="117">
        <f t="shared" ca="1" si="160"/>
        <v>7.5547590939999925</v>
      </c>
      <c r="AG36" s="117">
        <f t="shared" ca="1" si="160"/>
        <v>9.3697390920000281</v>
      </c>
      <c r="AH36" s="117">
        <f t="shared" ref="AH36:AJ36" ca="1" si="161">AH20+AH28</f>
        <v>4.3297811429999964</v>
      </c>
      <c r="AI36" s="117">
        <f t="shared" ca="1" si="161"/>
        <v>3.2138602349999879</v>
      </c>
      <c r="AJ36" s="117">
        <f t="shared" ca="1" si="161"/>
        <v>0.63986363700000126</v>
      </c>
      <c r="AK36" s="117">
        <f t="shared" ref="AK36:AM36" ca="1" si="162">AK20+AK28</f>
        <v>10.899804466999992</v>
      </c>
      <c r="AL36" s="117">
        <f t="shared" ca="1" si="162"/>
        <v>8.9948611940000269</v>
      </c>
      <c r="AM36" s="117">
        <f t="shared" ca="1" si="162"/>
        <v>7.6667757299999906</v>
      </c>
      <c r="AN36" s="117">
        <f t="shared" ref="AN36:AO36" ca="1" si="163">AN20+AN28</f>
        <v>7.5755137950000062</v>
      </c>
      <c r="AO36" s="117">
        <f t="shared" ca="1" si="163"/>
        <v>4.2879785729999575</v>
      </c>
      <c r="AP36" s="117">
        <f t="shared" ref="AP36:AR36" ca="1" si="164">AP20+AP28</f>
        <v>4.938832358000008</v>
      </c>
      <c r="AQ36" s="117">
        <f t="shared" ca="1" si="164"/>
        <v>4.5285879140000223</v>
      </c>
      <c r="AR36" s="117">
        <f t="shared" ca="1" si="164"/>
        <v>15.312032963000007</v>
      </c>
      <c r="AS36" s="117">
        <f t="shared" ref="AS36:BN36" ca="1" si="165">AS20+AS28</f>
        <v>12.357704113999983</v>
      </c>
      <c r="AT36" s="117">
        <f t="shared" ref="AT36:AX36" ca="1" si="166">AT20+AT28</f>
        <v>5.4846814980000431</v>
      </c>
      <c r="AU36" s="117">
        <f t="shared" ca="1" si="166"/>
        <v>6.3735921609999906</v>
      </c>
      <c r="AV36" s="117">
        <f t="shared" ca="1" si="166"/>
        <v>-10.880155521000042</v>
      </c>
      <c r="AW36" s="117">
        <f t="shared" ca="1" si="166"/>
        <v>2.2870516510000503</v>
      </c>
      <c r="AX36" s="117">
        <f t="shared" ca="1" si="166"/>
        <v>5.4088747229999736</v>
      </c>
      <c r="AY36" s="117">
        <f t="shared" ref="AY36:BM36" ca="1" si="167">AY20+AY28</f>
        <v>-12.946430706000033</v>
      </c>
      <c r="AZ36" s="117">
        <f t="shared" ca="1" si="167"/>
        <v>-14.334051662999986</v>
      </c>
      <c r="BA36" s="117">
        <f t="shared" ca="1" si="167"/>
        <v>1.3470286220000407</v>
      </c>
      <c r="BB36" s="117">
        <f t="shared" ca="1" si="167"/>
        <v>10.315554402999934</v>
      </c>
      <c r="BC36" s="117">
        <f t="shared" ca="1" si="167"/>
        <v>12.988139616000062</v>
      </c>
      <c r="BD36" s="117">
        <f t="shared" ca="1" si="167"/>
        <v>12.259268309999984</v>
      </c>
      <c r="BE36" s="117">
        <f t="shared" ca="1" si="167"/>
        <v>-4.9515864710000619</v>
      </c>
      <c r="BF36" s="117">
        <f t="shared" ca="1" si="167"/>
        <v>2.2274448610000537</v>
      </c>
      <c r="BG36" s="117">
        <f t="shared" ca="1" si="167"/>
        <v>1.6850630500000037</v>
      </c>
      <c r="BH36" s="117">
        <f t="shared" ca="1" si="167"/>
        <v>9.8866116289999937</v>
      </c>
      <c r="BI36" s="117">
        <f t="shared" ca="1" si="167"/>
        <v>0.21325643099998715</v>
      </c>
      <c r="BJ36" s="117">
        <f t="shared" ca="1" si="167"/>
        <v>0.63771524699996718</v>
      </c>
      <c r="BK36" s="117">
        <f t="shared" ca="1" si="167"/>
        <v>-5.4595688429999703</v>
      </c>
      <c r="BL36" s="117">
        <f t="shared" ca="1" si="167"/>
        <v>-1.764048159999982</v>
      </c>
      <c r="BM36" s="117">
        <f t="shared" ca="1" si="167"/>
        <v>-18.991189399000007</v>
      </c>
      <c r="BN36" s="117">
        <f t="shared" ca="1" si="165"/>
        <v>25.675289649999968</v>
      </c>
      <c r="BO36" s="1"/>
      <c r="BP36" s="73">
        <f ca="1">SUM(B36:BN36)</f>
        <v>206.73611217381691</v>
      </c>
      <c r="BQ36" s="6">
        <f t="shared" ref="BQ36:BQ41" ca="1" si="168">BP36/$BO$1</f>
        <v>3.2302517527158892</v>
      </c>
    </row>
    <row r="37" spans="1:69">
      <c r="A37" s="105" t="s">
        <v>7</v>
      </c>
      <c r="B37" s="117">
        <f ca="1">SUMIF(Breakup!$B$58:$L$68,Monthly!$A37,Breakup!C$58:C$68)</f>
        <v>0</v>
      </c>
      <c r="C37" s="117">
        <f t="shared" ref="C37:BN37" ca="1" si="169">C21+C29</f>
        <v>0.46799999999999847</v>
      </c>
      <c r="D37" s="117">
        <f t="shared" ca="1" si="169"/>
        <v>0.43200000000000083</v>
      </c>
      <c r="E37" s="117">
        <f t="shared" ca="1" si="169"/>
        <v>2.5890000000000004</v>
      </c>
      <c r="F37" s="117">
        <f t="shared" ca="1" si="169"/>
        <v>0.85940000000000039</v>
      </c>
      <c r="G37" s="117">
        <f t="shared" ca="1" si="169"/>
        <v>0.24150000000000049</v>
      </c>
      <c r="H37" s="117">
        <f t="shared" ca="1" si="169"/>
        <v>0.22866000000000053</v>
      </c>
      <c r="I37" s="117">
        <f t="shared" ca="1" si="169"/>
        <v>0.23929000000000189</v>
      </c>
      <c r="J37" s="117">
        <f t="shared" ca="1" si="169"/>
        <v>0.26395000000000224</v>
      </c>
      <c r="K37" s="117">
        <f t="shared" ca="1" si="169"/>
        <v>1.8670400000000018</v>
      </c>
      <c r="L37" s="117">
        <f t="shared" ref="L37:N37" ca="1" si="170">L21+L29</f>
        <v>0.26130000000000142</v>
      </c>
      <c r="M37" s="117">
        <f t="shared" ca="1" si="170"/>
        <v>0.2952999999999979</v>
      </c>
      <c r="N37" s="117">
        <f t="shared" ca="1" si="170"/>
        <v>0.28829999999999789</v>
      </c>
      <c r="O37" s="117">
        <f t="shared" ref="O37:Q37" ca="1" si="171">O21+O29</f>
        <v>0.25529999999999786</v>
      </c>
      <c r="P37" s="117">
        <f t="shared" ca="1" si="171"/>
        <v>0.28629999999999789</v>
      </c>
      <c r="Q37" s="117">
        <f t="shared" ca="1" si="171"/>
        <v>3.205799999999996</v>
      </c>
      <c r="R37" s="117">
        <f t="shared" ref="R37:S37" ca="1" si="172">R21+R29</f>
        <v>0.45779999999999776</v>
      </c>
      <c r="S37" s="117">
        <f t="shared" ca="1" si="172"/>
        <v>0.23529999999999807</v>
      </c>
      <c r="T37" s="117">
        <f t="shared" ref="T37:U37" ca="1" si="173">T21+T29</f>
        <v>0.29229999999999767</v>
      </c>
      <c r="U37" s="117">
        <f t="shared" ca="1" si="173"/>
        <v>0.32430399999999793</v>
      </c>
      <c r="V37" s="117">
        <f t="shared" ref="V37:X37" ca="1" si="174">V21+V29</f>
        <v>1.9304459999999979</v>
      </c>
      <c r="W37" s="117">
        <f t="shared" ca="1" si="174"/>
        <v>0.30954399999999793</v>
      </c>
      <c r="X37" s="117">
        <f t="shared" ca="1" si="174"/>
        <v>0.27240799999999793</v>
      </c>
      <c r="Y37" s="117">
        <f t="shared" ref="Y37:Z37" ca="1" si="175">Y21+Y29</f>
        <v>0.65868800000000061</v>
      </c>
      <c r="Z37" s="117">
        <f t="shared" ca="1" si="175"/>
        <v>0.3251</v>
      </c>
      <c r="AA37" s="117">
        <f t="shared" ref="AA37:AB37" ca="1" si="176">AA21+AA29</f>
        <v>0.34151000000000031</v>
      </c>
      <c r="AB37" s="117">
        <f t="shared" ca="1" si="176"/>
        <v>0.32028200000000034</v>
      </c>
      <c r="AC37" s="117">
        <f t="shared" ref="AC37:AD37" ca="1" si="177">AC21+AC29</f>
        <v>3.4134480000000154</v>
      </c>
      <c r="AD37" s="117">
        <f t="shared" ca="1" si="177"/>
        <v>0.35750200000000004</v>
      </c>
      <c r="AE37" s="117">
        <f t="shared" ref="AE37:AG37" ca="1" si="178">AE21+AE29</f>
        <v>0.35749800000000015</v>
      </c>
      <c r="AF37" s="117">
        <f t="shared" ca="1" si="178"/>
        <v>0.31877600000000028</v>
      </c>
      <c r="AG37" s="117">
        <f t="shared" ca="1" si="178"/>
        <v>2.2032240000000005</v>
      </c>
      <c r="AH37" s="117">
        <f t="shared" ref="AH37:AJ37" ca="1" si="179">AH21+AH29</f>
        <v>0.3393000000000001</v>
      </c>
      <c r="AI37" s="117">
        <f t="shared" ca="1" si="179"/>
        <v>0.32532000000000022</v>
      </c>
      <c r="AJ37" s="117">
        <f t="shared" ca="1" si="179"/>
        <v>0.35133000000000197</v>
      </c>
      <c r="AK37" s="117">
        <f t="shared" ref="AK37:AM37" ca="1" si="180">AK21+AK29</f>
        <v>0.35660800000000209</v>
      </c>
      <c r="AL37" s="117">
        <f t="shared" ca="1" si="180"/>
        <v>0.384712000000002</v>
      </c>
      <c r="AM37" s="117">
        <f t="shared" ca="1" si="180"/>
        <v>0.41505200000000192</v>
      </c>
      <c r="AN37" s="117">
        <f t="shared" ref="AN37:AO37" ca="1" si="181">AN21+AN29</f>
        <v>0.37231800000000204</v>
      </c>
      <c r="AO37" s="117">
        <f t="shared" ca="1" si="181"/>
        <v>5.0983539999999907</v>
      </c>
      <c r="AP37" s="117">
        <f t="shared" ref="AP37:AR37" ca="1" si="182">AP21+AP29</f>
        <v>0.35209600000000163</v>
      </c>
      <c r="AQ37" s="117">
        <f t="shared" ca="1" si="182"/>
        <v>0.40944999999999904</v>
      </c>
      <c r="AR37" s="117">
        <f t="shared" ca="1" si="182"/>
        <v>0.38066999999999812</v>
      </c>
      <c r="AS37" s="117">
        <f t="shared" ref="AS37:BN37" ca="1" si="183">AS21+AS29</f>
        <v>2.0214919999999985</v>
      </c>
      <c r="AT37" s="117">
        <f t="shared" ref="AT37:AX37" ca="1" si="184">AT21+AT29</f>
        <v>0.3834839999999981</v>
      </c>
      <c r="AU37" s="117">
        <f t="shared" ca="1" si="184"/>
        <v>0.41170999999999841</v>
      </c>
      <c r="AV37" s="117">
        <f t="shared" ca="1" si="184"/>
        <v>0.416179999999999</v>
      </c>
      <c r="AW37" s="117">
        <f t="shared" ca="1" si="184"/>
        <v>0.40892999999999935</v>
      </c>
      <c r="AX37" s="117">
        <f t="shared" ca="1" si="184"/>
        <v>0.43254999999999932</v>
      </c>
      <c r="AY37" s="117">
        <f t="shared" ref="AY37:BM37" ca="1" si="185">AY21+AY29</f>
        <v>0.43659999999999888</v>
      </c>
      <c r="AZ37" s="117">
        <f t="shared" ca="1" si="185"/>
        <v>0.40233999999999887</v>
      </c>
      <c r="BA37" s="117">
        <f t="shared" ca="1" si="185"/>
        <v>7.5856800000000009</v>
      </c>
      <c r="BB37" s="117">
        <f t="shared" ca="1" si="185"/>
        <v>0.46918199999999954</v>
      </c>
      <c r="BC37" s="117">
        <f t="shared" ca="1" si="185"/>
        <v>0.43963199999999891</v>
      </c>
      <c r="BD37" s="117">
        <f t="shared" ca="1" si="185"/>
        <v>0.36984799999999945</v>
      </c>
      <c r="BE37" s="117">
        <f t="shared" ca="1" si="185"/>
        <v>0.43550799999999867</v>
      </c>
      <c r="BF37" s="117">
        <f t="shared" ca="1" si="185"/>
        <v>0.3363099999999995</v>
      </c>
      <c r="BG37" s="117">
        <f t="shared" ca="1" si="185"/>
        <v>0.47045199999999865</v>
      </c>
      <c r="BH37" s="117">
        <f t="shared" ca="1" si="185"/>
        <v>0.65576599999999918</v>
      </c>
      <c r="BI37" s="117">
        <f t="shared" ca="1" si="185"/>
        <v>0.47759799999999919</v>
      </c>
      <c r="BJ37" s="117">
        <f t="shared" ca="1" si="185"/>
        <v>0.48443399999999964</v>
      </c>
      <c r="BK37" s="117">
        <f t="shared" ca="1" si="185"/>
        <v>0.46659999999999902</v>
      </c>
      <c r="BL37" s="117">
        <f t="shared" ca="1" si="185"/>
        <v>0.520149999999999</v>
      </c>
      <c r="BM37" s="117">
        <f t="shared" ca="1" si="185"/>
        <v>5.773559999999998</v>
      </c>
      <c r="BN37" s="117">
        <f t="shared" ca="1" si="183"/>
        <v>1.2076599999999997</v>
      </c>
      <c r="BO37" s="1"/>
      <c r="BP37" s="73">
        <f t="shared" ref="BP37:BP41" ca="1" si="186">SUM(B37:BN37)</f>
        <v>57.290145999999964</v>
      </c>
      <c r="BQ37" s="6">
        <f t="shared" ca="1" si="168"/>
        <v>0.89515853124999945</v>
      </c>
    </row>
    <row r="38" spans="1:69">
      <c r="A38" s="105" t="s">
        <v>8</v>
      </c>
      <c r="B38" s="117">
        <f ca="1">SUMIF(Breakup!$B$58:$L$68,Monthly!$A38,Breakup!C$58:C$68)</f>
        <v>0</v>
      </c>
      <c r="C38" s="117">
        <f t="shared" ref="C38:BN38" ca="1" si="187">C22+C30</f>
        <v>0.22636400000000001</v>
      </c>
      <c r="D38" s="117">
        <f t="shared" ca="1" si="187"/>
        <v>-4.7239000000000031E-2</v>
      </c>
      <c r="E38" s="117">
        <f t="shared" ca="1" si="187"/>
        <v>-1.4099499999999932E-2</v>
      </c>
      <c r="F38" s="117">
        <f t="shared" ca="1" si="187"/>
        <v>2.752449999999973E-2</v>
      </c>
      <c r="G38" s="117">
        <f t="shared" ca="1" si="187"/>
        <v>1.9703500000000096E-2</v>
      </c>
      <c r="H38" s="117">
        <f t="shared" ca="1" si="187"/>
        <v>-1.7153499999999822E-2</v>
      </c>
      <c r="I38" s="117">
        <f t="shared" ca="1" si="187"/>
        <v>-4.1364999999999874E-3</v>
      </c>
      <c r="J38" s="117">
        <f t="shared" ca="1" si="187"/>
        <v>-1.346550000000013E-2</v>
      </c>
      <c r="K38" s="117">
        <f t="shared" ca="1" si="187"/>
        <v>-4.1479999999998185E-3</v>
      </c>
      <c r="L38" s="117">
        <f t="shared" ref="L38:N38" ca="1" si="188">L22+L30</f>
        <v>1.0250000000000092E-2</v>
      </c>
      <c r="M38" s="117">
        <f t="shared" ca="1" si="188"/>
        <v>3.3999999999996255E-3</v>
      </c>
      <c r="N38" s="117">
        <f t="shared" ca="1" si="188"/>
        <v>-4.9999999999998934E-3</v>
      </c>
      <c r="O38" s="117">
        <f t="shared" ref="O38:Q38" ca="1" si="189">O22+O30</f>
        <v>-8.8500000000000245E-3</v>
      </c>
      <c r="P38" s="117">
        <f t="shared" ca="1" si="189"/>
        <v>3.1100000000000128E-2</v>
      </c>
      <c r="Q38" s="117">
        <f t="shared" ca="1" si="189"/>
        <v>-1.9700000000000051E-2</v>
      </c>
      <c r="R38" s="117">
        <f t="shared" ref="R38:S38" ca="1" si="190">R22+R30</f>
        <v>4.6350000000000113E-2</v>
      </c>
      <c r="S38" s="117">
        <f t="shared" ca="1" si="190"/>
        <v>-3.5300000000000109E-2</v>
      </c>
      <c r="T38" s="117">
        <f t="shared" ref="T38:U38" ca="1" si="191">T22+T30</f>
        <v>1.540000000000008E-2</v>
      </c>
      <c r="U38" s="117">
        <f t="shared" ca="1" si="191"/>
        <v>-1.5899999999999803E-3</v>
      </c>
      <c r="V38" s="117">
        <f t="shared" ref="V38:X38" ca="1" si="192">V22+V30</f>
        <v>2.7801999999999882E-2</v>
      </c>
      <c r="W38" s="117">
        <f t="shared" ca="1" si="192"/>
        <v>-2.1012000000000031E-2</v>
      </c>
      <c r="X38" s="117">
        <f t="shared" ca="1" si="192"/>
        <v>9.300000000000086E-3</v>
      </c>
      <c r="Y38" s="117">
        <f t="shared" ref="Y38:Z38" ca="1" si="193">Y22+Y30</f>
        <v>1.8642000000000047E-2</v>
      </c>
      <c r="Z38" s="117">
        <f t="shared" ca="1" si="193"/>
        <v>5.1994999999999791E-2</v>
      </c>
      <c r="AA38" s="117">
        <f t="shared" ref="AA38:AB38" ca="1" si="194">AA22+AA30</f>
        <v>3.6772500000000319E-2</v>
      </c>
      <c r="AB38" s="117">
        <f t="shared" ca="1" si="194"/>
        <v>-1.3024500000000216E-2</v>
      </c>
      <c r="AC38" s="117">
        <f t="shared" ref="AC38:AD38" ca="1" si="195">AC22+AC30</f>
        <v>6.2532000000000032E-2</v>
      </c>
      <c r="AD38" s="117">
        <f t="shared" ca="1" si="195"/>
        <v>5.5668000000000051E-2</v>
      </c>
      <c r="AE38" s="117">
        <f t="shared" ref="AE38:AG38" ca="1" si="196">AE22+AE30</f>
        <v>5.4965499999999778E-2</v>
      </c>
      <c r="AF38" s="117">
        <f t="shared" ca="1" si="196"/>
        <v>-1.9456499999999988E-2</v>
      </c>
      <c r="AG38" s="117">
        <f t="shared" ca="1" si="196"/>
        <v>7.2460000000000857E-3</v>
      </c>
      <c r="AH38" s="117">
        <f t="shared" ref="AH38:AJ38" ca="1" si="197">AH22+AH30</f>
        <v>-8.399999999999519E-4</v>
      </c>
      <c r="AI38" s="117">
        <f t="shared" ca="1" si="197"/>
        <v>-1.1242999999999892E-2</v>
      </c>
      <c r="AJ38" s="117">
        <f t="shared" ca="1" si="197"/>
        <v>2.2692999999999852E-2</v>
      </c>
      <c r="AK38" s="117">
        <f t="shared" ref="AK38:AM38" ca="1" si="198">AK22+AK30</f>
        <v>4.2647499999999949E-2</v>
      </c>
      <c r="AL38" s="117">
        <f t="shared" ca="1" si="198"/>
        <v>2.5676500000000102E-2</v>
      </c>
      <c r="AM38" s="117">
        <f t="shared" ca="1" si="198"/>
        <v>1.7974500000000004E-2</v>
      </c>
      <c r="AN38" s="117">
        <f t="shared" ref="AN38:AO38" ca="1" si="199">AN22+AN30</f>
        <v>-1.4103999999999894E-2</v>
      </c>
      <c r="AO38" s="117">
        <f t="shared" ca="1" si="199"/>
        <v>0.11309649999999993</v>
      </c>
      <c r="AP38" s="117">
        <f t="shared" ref="AP38:AR38" ca="1" si="200">AP22+AP30</f>
        <v>9.7720000000000029E-2</v>
      </c>
      <c r="AQ38" s="117">
        <f t="shared" ca="1" si="200"/>
        <v>7.6724999999999932E-2</v>
      </c>
      <c r="AR38" s="117">
        <f t="shared" ca="1" si="200"/>
        <v>9.9540000000000184E-3</v>
      </c>
      <c r="AS38" s="117">
        <f t="shared" ref="AS38:BN38" ca="1" si="201">AS22+AS30</f>
        <v>3.1572999999999851E-2</v>
      </c>
      <c r="AT38" s="117">
        <f t="shared" ref="AT38:AX38" ca="1" si="202">AT22+AT30</f>
        <v>9.0230000000002253E-3</v>
      </c>
      <c r="AU38" s="117">
        <f t="shared" ca="1" si="202"/>
        <v>8.2101999999999897E-2</v>
      </c>
      <c r="AV38" s="117">
        <f t="shared" ca="1" si="202"/>
        <v>0.10424850000000019</v>
      </c>
      <c r="AW38" s="117">
        <f t="shared" ca="1" si="202"/>
        <v>-7.2045000000000137E-2</v>
      </c>
      <c r="AX38" s="117">
        <f t="shared" ca="1" si="202"/>
        <v>1.8748999999999683E-2</v>
      </c>
      <c r="AY38" s="117">
        <f t="shared" ref="AY38:BM38" ca="1" si="203">AY22+AY30</f>
        <v>3.9485500000000506E-2</v>
      </c>
      <c r="AZ38" s="117">
        <f t="shared" ca="1" si="203"/>
        <v>5.5213999999999874E-2</v>
      </c>
      <c r="BA38" s="117">
        <f t="shared" ca="1" si="203"/>
        <v>6.0559000000000029E-2</v>
      </c>
      <c r="BB38" s="117">
        <f t="shared" ca="1" si="203"/>
        <v>9.0551000000000048E-2</v>
      </c>
      <c r="BC38" s="117">
        <f t="shared" ca="1" si="203"/>
        <v>8.3166999999999991E-2</v>
      </c>
      <c r="BD38" s="117">
        <f t="shared" ca="1" si="203"/>
        <v>8.4136999999999684E-2</v>
      </c>
      <c r="BE38" s="117">
        <f t="shared" ca="1" si="203"/>
        <v>1.0241830000000003</v>
      </c>
      <c r="BF38" s="117">
        <f t="shared" ca="1" si="203"/>
        <v>0.34647950000000005</v>
      </c>
      <c r="BG38" s="117">
        <f t="shared" ca="1" si="203"/>
        <v>0.48934899999999981</v>
      </c>
      <c r="BH38" s="117">
        <f t="shared" ca="1" si="203"/>
        <v>-7.2700000000001097E-3</v>
      </c>
      <c r="BI38" s="117">
        <f t="shared" ca="1" si="203"/>
        <v>0.23956450000000018</v>
      </c>
      <c r="BJ38" s="117">
        <f t="shared" ca="1" si="203"/>
        <v>0.40933400000000031</v>
      </c>
      <c r="BK38" s="117">
        <f t="shared" ca="1" si="203"/>
        <v>1.0283685</v>
      </c>
      <c r="BL38" s="117">
        <f t="shared" ca="1" si="203"/>
        <v>-0.46836250000000046</v>
      </c>
      <c r="BM38" s="117">
        <f t="shared" ca="1" si="203"/>
        <v>-0.45495600000000014</v>
      </c>
      <c r="BN38" s="117">
        <f t="shared" ca="1" si="201"/>
        <v>0.13146150000000034</v>
      </c>
      <c r="BO38" s="1"/>
      <c r="BP38" s="73">
        <f t="shared" ca="1" si="186"/>
        <v>4.1860555000000002</v>
      </c>
      <c r="BQ38" s="6">
        <f t="shared" ca="1" si="168"/>
        <v>6.5407117187500002E-2</v>
      </c>
    </row>
    <row r="39" spans="1:69">
      <c r="A39" s="105" t="s">
        <v>9</v>
      </c>
      <c r="B39" s="117">
        <f ca="1">SUMIF(Breakup!$B$58:$L$68,Monthly!$A39,Breakup!C$58:C$68)</f>
        <v>0</v>
      </c>
      <c r="C39" s="117">
        <f t="shared" ref="C39:BN39" ca="1" si="204">C23+C31</f>
        <v>0</v>
      </c>
      <c r="D39" s="117">
        <f t="shared" ca="1" si="204"/>
        <v>0</v>
      </c>
      <c r="E39" s="117">
        <f t="shared" ca="1" si="204"/>
        <v>0</v>
      </c>
      <c r="F39" s="117">
        <f t="shared" ca="1" si="204"/>
        <v>0</v>
      </c>
      <c r="G39" s="117">
        <f t="shared" ca="1" si="204"/>
        <v>0</v>
      </c>
      <c r="H39" s="117">
        <f t="shared" ca="1" si="204"/>
        <v>0</v>
      </c>
      <c r="I39" s="117">
        <f t="shared" ca="1" si="204"/>
        <v>0</v>
      </c>
      <c r="J39" s="117">
        <f t="shared" ca="1" si="204"/>
        <v>0.2097</v>
      </c>
      <c r="K39" s="117">
        <f t="shared" ca="1" si="204"/>
        <v>0.43515000000000004</v>
      </c>
      <c r="L39" s="117">
        <f t="shared" ref="L39:N39" ca="1" si="205">L23+L31</f>
        <v>0.18999999999999995</v>
      </c>
      <c r="M39" s="117">
        <f t="shared" ca="1" si="205"/>
        <v>-0.73</v>
      </c>
      <c r="N39" s="117">
        <f t="shared" ca="1" si="205"/>
        <v>0</v>
      </c>
      <c r="O39" s="117">
        <f t="shared" ref="O39:Q39" ca="1" si="206">O23+O31</f>
        <v>0</v>
      </c>
      <c r="P39" s="117">
        <f t="shared" ca="1" si="206"/>
        <v>0</v>
      </c>
      <c r="Q39" s="117">
        <f t="shared" ca="1" si="206"/>
        <v>0</v>
      </c>
      <c r="R39" s="117">
        <f t="shared" ref="R39:S39" ca="1" si="207">R23+R31</f>
        <v>0</v>
      </c>
      <c r="S39" s="117">
        <f t="shared" ca="1" si="207"/>
        <v>0</v>
      </c>
      <c r="T39" s="117">
        <f t="shared" ref="T39:U39" ca="1" si="208">T23+T31</f>
        <v>0</v>
      </c>
      <c r="U39" s="117">
        <f t="shared" ca="1" si="208"/>
        <v>0</v>
      </c>
      <c r="V39" s="117">
        <f t="shared" ref="V39:X39" ca="1" si="209">V23+V31</f>
        <v>0</v>
      </c>
      <c r="W39" s="117">
        <f t="shared" ca="1" si="209"/>
        <v>0</v>
      </c>
      <c r="X39" s="117">
        <f t="shared" ca="1" si="209"/>
        <v>0</v>
      </c>
      <c r="Y39" s="117">
        <f t="shared" ref="Y39:Z39" ca="1" si="210">Y23+Y31</f>
        <v>0</v>
      </c>
      <c r="Z39" s="117">
        <f t="shared" ca="1" si="210"/>
        <v>0</v>
      </c>
      <c r="AA39" s="117">
        <f t="shared" ref="AA39:AB39" ca="1" si="211">AA23+AA31</f>
        <v>0</v>
      </c>
      <c r="AB39" s="117">
        <f t="shared" ca="1" si="211"/>
        <v>0</v>
      </c>
      <c r="AC39" s="117">
        <f t="shared" ref="AC39:AD39" ca="1" si="212">AC23+AC31</f>
        <v>0</v>
      </c>
      <c r="AD39" s="117">
        <f t="shared" ca="1" si="212"/>
        <v>0</v>
      </c>
      <c r="AE39" s="117">
        <f t="shared" ref="AE39:AG39" ca="1" si="213">AE23+AE31</f>
        <v>0</v>
      </c>
      <c r="AF39" s="117">
        <f t="shared" ca="1" si="213"/>
        <v>0</v>
      </c>
      <c r="AG39" s="117">
        <f t="shared" ca="1" si="213"/>
        <v>0</v>
      </c>
      <c r="AH39" s="117">
        <f t="shared" ref="AH39:AJ39" ca="1" si="214">AH23+AH31</f>
        <v>0</v>
      </c>
      <c r="AI39" s="117">
        <f t="shared" ca="1" si="214"/>
        <v>0</v>
      </c>
      <c r="AJ39" s="117">
        <f t="shared" ca="1" si="214"/>
        <v>0</v>
      </c>
      <c r="AK39" s="117">
        <f t="shared" ref="AK39:AM39" ca="1" si="215">AK23+AK31</f>
        <v>0</v>
      </c>
      <c r="AL39" s="117">
        <f t="shared" ca="1" si="215"/>
        <v>0</v>
      </c>
      <c r="AM39" s="117">
        <f t="shared" ca="1" si="215"/>
        <v>0</v>
      </c>
      <c r="AN39" s="117">
        <f t="shared" ref="AN39:AO39" ca="1" si="216">AN23+AN31</f>
        <v>0</v>
      </c>
      <c r="AO39" s="117">
        <f t="shared" ca="1" si="216"/>
        <v>0</v>
      </c>
      <c r="AP39" s="117">
        <f t="shared" ref="AP39:AR39" ca="1" si="217">AP23+AP31</f>
        <v>0</v>
      </c>
      <c r="AQ39" s="117">
        <f t="shared" ca="1" si="217"/>
        <v>0</v>
      </c>
      <c r="AR39" s="117">
        <f t="shared" ca="1" si="217"/>
        <v>0</v>
      </c>
      <c r="AS39" s="117">
        <f t="shared" ref="AS39:BN39" ca="1" si="218">AS23+AS31</f>
        <v>0</v>
      </c>
      <c r="AT39" s="117">
        <f t="shared" ref="AT39:AX39" ca="1" si="219">AT23+AT31</f>
        <v>0</v>
      </c>
      <c r="AU39" s="117">
        <f t="shared" ca="1" si="219"/>
        <v>0</v>
      </c>
      <c r="AV39" s="117">
        <f t="shared" ca="1" si="219"/>
        <v>0</v>
      </c>
      <c r="AW39" s="117">
        <f t="shared" ca="1" si="219"/>
        <v>0</v>
      </c>
      <c r="AX39" s="117">
        <f t="shared" ca="1" si="219"/>
        <v>0</v>
      </c>
      <c r="AY39" s="117">
        <f t="shared" ref="AY39:BM39" ca="1" si="220">AY23+AY31</f>
        <v>0</v>
      </c>
      <c r="AZ39" s="117">
        <f t="shared" ca="1" si="220"/>
        <v>0</v>
      </c>
      <c r="BA39" s="117">
        <f t="shared" ca="1" si="220"/>
        <v>0</v>
      </c>
      <c r="BB39" s="117">
        <f t="shared" ca="1" si="220"/>
        <v>0</v>
      </c>
      <c r="BC39" s="117">
        <f t="shared" ca="1" si="220"/>
        <v>0</v>
      </c>
      <c r="BD39" s="117">
        <f t="shared" ca="1" si="220"/>
        <v>0</v>
      </c>
      <c r="BE39" s="117">
        <f t="shared" ca="1" si="220"/>
        <v>0</v>
      </c>
      <c r="BF39" s="117">
        <f t="shared" ca="1" si="220"/>
        <v>0</v>
      </c>
      <c r="BG39" s="117">
        <f t="shared" ca="1" si="220"/>
        <v>0</v>
      </c>
      <c r="BH39" s="117">
        <f t="shared" ca="1" si="220"/>
        <v>0</v>
      </c>
      <c r="BI39" s="117">
        <f t="shared" ca="1" si="220"/>
        <v>0</v>
      </c>
      <c r="BJ39" s="117">
        <f t="shared" ca="1" si="220"/>
        <v>0</v>
      </c>
      <c r="BK39" s="117">
        <f t="shared" ca="1" si="220"/>
        <v>0</v>
      </c>
      <c r="BL39" s="117">
        <f t="shared" ca="1" si="220"/>
        <v>0</v>
      </c>
      <c r="BM39" s="117">
        <f t="shared" ca="1" si="220"/>
        <v>0</v>
      </c>
      <c r="BN39" s="117">
        <f t="shared" ca="1" si="218"/>
        <v>0</v>
      </c>
      <c r="BO39" s="1"/>
      <c r="BP39" s="73">
        <f t="shared" ref="BP39" ca="1" si="221">SUM(B39:BN39)</f>
        <v>0.10485</v>
      </c>
      <c r="BQ39" s="6">
        <f t="shared" ca="1" si="168"/>
        <v>1.63828125E-3</v>
      </c>
    </row>
    <row r="40" spans="1:69">
      <c r="A40" s="105" t="s">
        <v>10</v>
      </c>
      <c r="B40" s="117">
        <f ca="1">SUMIF(Breakup!$B$58:$L$68,Monthly!$A40,Breakup!C$58:C$68)</f>
        <v>0</v>
      </c>
      <c r="C40" s="117">
        <f t="shared" ref="C40:BN40" ca="1" si="222">C24+C32</f>
        <v>-1.4500000000000002</v>
      </c>
      <c r="D40" s="117">
        <f t="shared" ca="1" si="222"/>
        <v>-2.2000000000000002</v>
      </c>
      <c r="E40" s="117">
        <f t="shared" ca="1" si="222"/>
        <v>3.5016139999999307E-3</v>
      </c>
      <c r="F40" s="117">
        <f t="shared" ca="1" si="222"/>
        <v>2.5073171189999996</v>
      </c>
      <c r="G40" s="117">
        <f t="shared" ca="1" si="222"/>
        <v>9.0665410000005942E-3</v>
      </c>
      <c r="H40" s="117">
        <f t="shared" ca="1" si="222"/>
        <v>9.2285889999996762E-3</v>
      </c>
      <c r="I40" s="117">
        <f t="shared" ca="1" si="222"/>
        <v>-0.99072487199999992</v>
      </c>
      <c r="J40" s="117">
        <f t="shared" ca="1" si="222"/>
        <v>-0.49289939100000035</v>
      </c>
      <c r="K40" s="117">
        <f t="shared" ca="1" si="222"/>
        <v>2.3032978399999999</v>
      </c>
      <c r="L40" s="117">
        <f t="shared" ref="L40:N40" ca="1" si="223">L24+L32</f>
        <v>-0.99785091399999981</v>
      </c>
      <c r="M40" s="117">
        <f t="shared" ca="1" si="223"/>
        <v>-0.99987613600000014</v>
      </c>
      <c r="N40" s="117">
        <f t="shared" ca="1" si="223"/>
        <v>0.50650531100000018</v>
      </c>
      <c r="O40" s="117">
        <f t="shared" ref="O40:Q40" ca="1" si="224">O24+O32</f>
        <v>-0.50008737000000014</v>
      </c>
      <c r="P40" s="117">
        <f t="shared" ca="1" si="224"/>
        <v>-1.0135084539999999</v>
      </c>
      <c r="Q40" s="117">
        <f t="shared" ca="1" si="224"/>
        <v>3.891126000000078E-3</v>
      </c>
      <c r="R40" s="117">
        <f t="shared" ref="R40:S40" ca="1" si="225">R24+R32</f>
        <v>3.7767859999999764E-3</v>
      </c>
      <c r="S40" s="117">
        <f t="shared" ca="1" si="225"/>
        <v>-1.3516055929999999</v>
      </c>
      <c r="T40" s="117">
        <f t="shared" ref="T40:U40" ca="1" si="226">T24+T32</f>
        <v>-3.2195999999999995E-5</v>
      </c>
      <c r="U40" s="117">
        <f t="shared" ca="1" si="226"/>
        <v>0</v>
      </c>
      <c r="V40" s="117">
        <f t="shared" ref="V40:X40" ca="1" si="227">V24+V32</f>
        <v>4</v>
      </c>
      <c r="W40" s="117">
        <f t="shared" ca="1" si="227"/>
        <v>-1.5</v>
      </c>
      <c r="X40" s="117">
        <f t="shared" ca="1" si="227"/>
        <v>-2.5</v>
      </c>
      <c r="Y40" s="117">
        <f t="shared" ref="Y40:Z40" ca="1" si="228">Y24+Y32</f>
        <v>0</v>
      </c>
      <c r="Z40" s="117">
        <f t="shared" ca="1" si="228"/>
        <v>1.5</v>
      </c>
      <c r="AA40" s="117">
        <f t="shared" ref="AA40:AB40" ca="1" si="229">AA24+AA32</f>
        <v>0</v>
      </c>
      <c r="AB40" s="117">
        <f t="shared" ca="1" si="229"/>
        <v>0</v>
      </c>
      <c r="AC40" s="117">
        <f t="shared" ref="AC40:AD40" ca="1" si="230">AC24+AC32</f>
        <v>1.5</v>
      </c>
      <c r="AD40" s="117">
        <f t="shared" ca="1" si="230"/>
        <v>-1</v>
      </c>
      <c r="AE40" s="117">
        <f t="shared" ref="AE40:AG40" ca="1" si="231">AE24+AE32</f>
        <v>-1</v>
      </c>
      <c r="AF40" s="117">
        <f t="shared" ca="1" si="231"/>
        <v>-1</v>
      </c>
      <c r="AG40" s="117">
        <f t="shared" ca="1" si="231"/>
        <v>2</v>
      </c>
      <c r="AH40" s="117">
        <f t="shared" ref="AH40:AJ40" ca="1" si="232">AH24+AH32</f>
        <v>-2</v>
      </c>
      <c r="AI40" s="117">
        <f t="shared" ca="1" si="232"/>
        <v>0</v>
      </c>
      <c r="AJ40" s="117">
        <f t="shared" ca="1" si="232"/>
        <v>0</v>
      </c>
      <c r="AK40" s="117">
        <f t="shared" ref="AK40:AM40" ca="1" si="233">AK24+AK32</f>
        <v>0</v>
      </c>
      <c r="AL40" s="117">
        <f t="shared" ca="1" si="233"/>
        <v>2</v>
      </c>
      <c r="AM40" s="117">
        <f t="shared" ca="1" si="233"/>
        <v>2</v>
      </c>
      <c r="AN40" s="117">
        <f t="shared" ref="AN40:AO40" ca="1" si="234">AN24+AN32</f>
        <v>-4</v>
      </c>
      <c r="AO40" s="117">
        <f t="shared" ca="1" si="234"/>
        <v>2.0134634460000003</v>
      </c>
      <c r="AP40" s="117">
        <f t="shared" ref="AP40:AR40" ca="1" si="235">AP24+AP32</f>
        <v>1.1239125999999544E-2</v>
      </c>
      <c r="AQ40" s="117">
        <f t="shared" ca="1" si="235"/>
        <v>-2.0247025719999998</v>
      </c>
      <c r="AR40" s="117">
        <f t="shared" ca="1" si="235"/>
        <v>0</v>
      </c>
      <c r="AS40" s="117">
        <f t="shared" ref="AS40:BN40" ca="1" si="236">AS24+AS32</f>
        <v>3.0049730219999997</v>
      </c>
      <c r="AT40" s="117">
        <f t="shared" ref="AT40:AX40" ca="1" si="237">AT24+AT32</f>
        <v>1.7150533000000134E-2</v>
      </c>
      <c r="AU40" s="117">
        <f t="shared" ca="1" si="237"/>
        <v>1.858749599999987E-2</v>
      </c>
      <c r="AV40" s="117">
        <f t="shared" ca="1" si="237"/>
        <v>-1.9984888949999997</v>
      </c>
      <c r="AW40" s="117">
        <f t="shared" ca="1" si="237"/>
        <v>-0.51753559599999999</v>
      </c>
      <c r="AX40" s="117">
        <f t="shared" ca="1" si="237"/>
        <v>-0.52468656000000002</v>
      </c>
      <c r="AY40" s="117">
        <f t="shared" ref="AY40:BM40" ca="1" si="238">AY24+AY32</f>
        <v>0</v>
      </c>
      <c r="AZ40" s="117">
        <f t="shared" ca="1" si="238"/>
        <v>0</v>
      </c>
      <c r="BA40" s="117">
        <f t="shared" ca="1" si="238"/>
        <v>9</v>
      </c>
      <c r="BB40" s="117">
        <f t="shared" ca="1" si="238"/>
        <v>-2.99988557</v>
      </c>
      <c r="BC40" s="117">
        <f t="shared" ca="1" si="238"/>
        <v>-1.5888324100000002</v>
      </c>
      <c r="BD40" s="117">
        <f t="shared" ca="1" si="238"/>
        <v>-4.4112820199999998</v>
      </c>
      <c r="BE40" s="117">
        <f t="shared" ca="1" si="238"/>
        <v>3.9999532250000001</v>
      </c>
      <c r="BF40" s="117">
        <f t="shared" ca="1" si="238"/>
        <v>-3.9999532250000001</v>
      </c>
      <c r="BG40" s="117">
        <f t="shared" ca="1" si="238"/>
        <v>0</v>
      </c>
      <c r="BH40" s="117">
        <f t="shared" ca="1" si="238"/>
        <v>0</v>
      </c>
      <c r="BI40" s="117">
        <f t="shared" ca="1" si="238"/>
        <v>0</v>
      </c>
      <c r="BJ40" s="117">
        <f t="shared" ca="1" si="238"/>
        <v>0</v>
      </c>
      <c r="BK40" s="117">
        <f t="shared" ca="1" si="238"/>
        <v>0</v>
      </c>
      <c r="BL40" s="117">
        <f t="shared" ca="1" si="238"/>
        <v>0</v>
      </c>
      <c r="BM40" s="117">
        <f t="shared" ca="1" si="238"/>
        <v>0</v>
      </c>
      <c r="BN40" s="117">
        <f t="shared" ca="1" si="236"/>
        <v>0</v>
      </c>
      <c r="BO40" s="1"/>
      <c r="BP40" s="73">
        <f t="shared" ca="1" si="186"/>
        <v>-4.6500000000000004</v>
      </c>
      <c r="BQ40" s="6">
        <f t="shared" ca="1" si="168"/>
        <v>-7.2656250000000006E-2</v>
      </c>
    </row>
    <row r="41" spans="1:69">
      <c r="A41" s="105" t="s">
        <v>11</v>
      </c>
      <c r="B41" s="117">
        <f ca="1">SUM(B36:B40)</f>
        <v>0</v>
      </c>
      <c r="C41" s="117">
        <f t="shared" ref="C41:BN41" ca="1" si="239">C25+C33</f>
        <v>3.1782354388169982</v>
      </c>
      <c r="D41" s="117">
        <f t="shared" ca="1" si="239"/>
        <v>2.8260816250000058</v>
      </c>
      <c r="E41" s="117">
        <f t="shared" ca="1" si="239"/>
        <v>3.7191768789999933</v>
      </c>
      <c r="F41" s="117">
        <f t="shared" ca="1" si="239"/>
        <v>1.9653390620000009</v>
      </c>
      <c r="G41" s="117">
        <f t="shared" ca="1" si="239"/>
        <v>6.6906683929999904</v>
      </c>
      <c r="H41" s="117">
        <f t="shared" ca="1" si="239"/>
        <v>4.2206049010000068</v>
      </c>
      <c r="I41" s="117">
        <f t="shared" ca="1" si="239"/>
        <v>3.11373947200001</v>
      </c>
      <c r="J41" s="117">
        <f t="shared" ca="1" si="239"/>
        <v>6.3651236989999989</v>
      </c>
      <c r="K41" s="117">
        <f t="shared" ca="1" si="239"/>
        <v>7.9080154960000071</v>
      </c>
      <c r="L41" s="117">
        <f t="shared" ref="L41:N41" ca="1" si="240">L25+L33</f>
        <v>2.2531657789999961</v>
      </c>
      <c r="M41" s="117">
        <f t="shared" ca="1" si="240"/>
        <v>5.7371525000017076E-2</v>
      </c>
      <c r="N41" s="117">
        <f t="shared" ca="1" si="240"/>
        <v>3.5805077199999773</v>
      </c>
      <c r="O41" s="117">
        <f t="shared" ref="O41:Q41" ca="1" si="241">O25+O33</f>
        <v>2.4668544860000035</v>
      </c>
      <c r="P41" s="117">
        <f t="shared" ca="1" si="241"/>
        <v>-7.0314484360000096</v>
      </c>
      <c r="Q41" s="117">
        <f t="shared" ca="1" si="241"/>
        <v>10.497775244999996</v>
      </c>
      <c r="R41" s="117">
        <f t="shared" ref="R41:S41" ca="1" si="242">R25+R33</f>
        <v>0.52949878900001224</v>
      </c>
      <c r="S41" s="117">
        <f t="shared" ca="1" si="242"/>
        <v>-4.7456624900000062</v>
      </c>
      <c r="T41" s="117">
        <f t="shared" ref="T41:U41" ca="1" si="243">T25+T33</f>
        <v>-2.3807418170000121</v>
      </c>
      <c r="U41" s="117">
        <f t="shared" ca="1" si="243"/>
        <v>9.2771242610000009</v>
      </c>
      <c r="V41" s="117">
        <f t="shared" ref="V41:X41" ca="1" si="244">V25+V33</f>
        <v>9.7161163929999805</v>
      </c>
      <c r="W41" s="117">
        <f t="shared" ca="1" si="244"/>
        <v>-0.48893429999999549</v>
      </c>
      <c r="X41" s="117">
        <f t="shared" ca="1" si="244"/>
        <v>4.376932476000011</v>
      </c>
      <c r="Y41" s="117">
        <f t="shared" ref="Y41:Z41" ca="1" si="245">Y25+Y33</f>
        <v>4.1229793203000122</v>
      </c>
      <c r="Z41" s="117">
        <f t="shared" ca="1" si="245"/>
        <v>-0.28645025330000529</v>
      </c>
      <c r="AA41" s="117">
        <f t="shared" ref="AA41:AB41" ca="1" si="246">AA25+AA33</f>
        <v>3.0530616670000037</v>
      </c>
      <c r="AB41" s="117">
        <f t="shared" ca="1" si="246"/>
        <v>2.4481884049999945</v>
      </c>
      <c r="AC41" s="117">
        <f t="shared" ref="AC41:AD41" ca="1" si="247">AC25+AC33</f>
        <v>4.9636170790000342</v>
      </c>
      <c r="AD41" s="117">
        <f t="shared" ca="1" si="247"/>
        <v>7.2765139709999884</v>
      </c>
      <c r="AE41" s="117">
        <f t="shared" ref="AE41:AG41" ca="1" si="248">AE25+AE33</f>
        <v>6.2551924899999829</v>
      </c>
      <c r="AF41" s="117">
        <f t="shared" ca="1" si="248"/>
        <v>6.8540785939999935</v>
      </c>
      <c r="AG41" s="117">
        <f t="shared" ca="1" si="248"/>
        <v>13.580209092000029</v>
      </c>
      <c r="AH41" s="117">
        <f t="shared" ref="AH41:AJ41" ca="1" si="249">AH25+AH33</f>
        <v>2.6682411429999964</v>
      </c>
      <c r="AI41" s="117">
        <f t="shared" ca="1" si="249"/>
        <v>3.527937234999988</v>
      </c>
      <c r="AJ41" s="117">
        <f t="shared" ca="1" si="249"/>
        <v>1.013886637000003</v>
      </c>
      <c r="AK41" s="117">
        <f t="shared" ref="AK41:AM41" ca="1" si="250">AK25+AK33</f>
        <v>11.299059966999994</v>
      </c>
      <c r="AL41" s="117">
        <f t="shared" ca="1" si="250"/>
        <v>11.405249694000029</v>
      </c>
      <c r="AM41" s="117">
        <f t="shared" ca="1" si="250"/>
        <v>10.099802229999993</v>
      </c>
      <c r="AN41" s="117">
        <f t="shared" ref="AN41:AO41" ca="1" si="251">AN25+AN33</f>
        <v>3.9337277950000082</v>
      </c>
      <c r="AO41" s="117">
        <f t="shared" ca="1" si="251"/>
        <v>11.512892518999948</v>
      </c>
      <c r="AP41" s="117">
        <f t="shared" ref="AP41:AR41" ca="1" si="252">AP25+AP33</f>
        <v>5.3998874840000095</v>
      </c>
      <c r="AQ41" s="117">
        <f t="shared" ca="1" si="252"/>
        <v>2.9900603420000218</v>
      </c>
      <c r="AR41" s="117">
        <f t="shared" ca="1" si="252"/>
        <v>15.702656963000006</v>
      </c>
      <c r="AS41" s="117">
        <f t="shared" ref="AS41:BN41" ca="1" si="253">AS25+AS33</f>
        <v>17.415742135999981</v>
      </c>
      <c r="AT41" s="117">
        <f t="shared" ref="AT41:AX41" ca="1" si="254">AT25+AT33</f>
        <v>5.8943390310000421</v>
      </c>
      <c r="AU41" s="117">
        <f t="shared" ca="1" si="254"/>
        <v>6.8859916569999893</v>
      </c>
      <c r="AV41" s="117">
        <f t="shared" ca="1" si="254"/>
        <v>-12.358215916000042</v>
      </c>
      <c r="AW41" s="117">
        <f t="shared" ca="1" si="254"/>
        <v>2.1064010550000494</v>
      </c>
      <c r="AX41" s="117">
        <f t="shared" ca="1" si="254"/>
        <v>5.3354871629999732</v>
      </c>
      <c r="AY41" s="117">
        <f t="shared" ref="AY41:BM41" ca="1" si="255">AY25+AY33</f>
        <v>-12.470345206000035</v>
      </c>
      <c r="AZ41" s="117">
        <f t="shared" ca="1" si="255"/>
        <v>-13.876497662999988</v>
      </c>
      <c r="BA41" s="117">
        <f t="shared" ca="1" si="255"/>
        <v>17.99326762200004</v>
      </c>
      <c r="BB41" s="117">
        <f t="shared" ca="1" si="255"/>
        <v>7.875401832999934</v>
      </c>
      <c r="BC41" s="117">
        <f t="shared" ca="1" si="255"/>
        <v>11.922106206000063</v>
      </c>
      <c r="BD41" s="117">
        <f t="shared" ca="1" si="255"/>
        <v>8.3019712899999831</v>
      </c>
      <c r="BE41" s="117">
        <f t="shared" ca="1" si="255"/>
        <v>0.50805775399993802</v>
      </c>
      <c r="BF41" s="117">
        <f t="shared" ca="1" si="255"/>
        <v>-1.0897188639999469</v>
      </c>
      <c r="BG41" s="117">
        <f t="shared" ca="1" si="255"/>
        <v>2.644864050000002</v>
      </c>
      <c r="BH41" s="117">
        <f t="shared" ca="1" si="255"/>
        <v>10.535107628999992</v>
      </c>
      <c r="BI41" s="117">
        <f t="shared" ca="1" si="255"/>
        <v>0.93041893099998652</v>
      </c>
      <c r="BJ41" s="117">
        <f t="shared" ca="1" si="255"/>
        <v>1.5314832469999671</v>
      </c>
      <c r="BK41" s="117">
        <f t="shared" ca="1" si="255"/>
        <v>-3.964600342999971</v>
      </c>
      <c r="BL41" s="117">
        <f t="shared" ca="1" si="255"/>
        <v>-1.7122606599999832</v>
      </c>
      <c r="BM41" s="117">
        <f t="shared" ca="1" si="255"/>
        <v>-13.67258539900001</v>
      </c>
      <c r="BN41" s="117">
        <f t="shared" ca="1" si="253"/>
        <v>27.014411149999969</v>
      </c>
      <c r="BO41" s="1"/>
      <c r="BP41" s="73">
        <f t="shared" ca="1" si="186"/>
        <v>263.6671636738169</v>
      </c>
      <c r="BQ41" s="6">
        <f t="shared" ca="1" si="168"/>
        <v>4.1197994324033891</v>
      </c>
    </row>
    <row r="42" spans="1:69">
      <c r="A42" s="98" t="s">
        <v>16</v>
      </c>
      <c r="B42" s="75"/>
      <c r="C42" s="53">
        <f ca="1">C41/B9</f>
        <v>3.7790879447241542E-2</v>
      </c>
      <c r="D42" s="53">
        <f t="shared" ref="D42:K42" ca="1" si="256">D41/C9</f>
        <v>3.2379920971401924E-2</v>
      </c>
      <c r="E42" s="53">
        <f t="shared" ca="1" si="256"/>
        <v>4.1276072556374999E-2</v>
      </c>
      <c r="F42" s="53">
        <f t="shared" ca="1" si="256"/>
        <v>2.0947062622493354E-2</v>
      </c>
      <c r="G42" s="53">
        <f t="shared" ca="1" si="256"/>
        <v>6.9847670537790382E-2</v>
      </c>
      <c r="H42" s="53">
        <f t="shared" ca="1" si="256"/>
        <v>4.1184630561118499E-2</v>
      </c>
      <c r="I42" s="53">
        <f t="shared" ca="1" si="256"/>
        <v>2.918199637381436E-2</v>
      </c>
      <c r="J42" s="53">
        <f t="shared" ca="1" si="256"/>
        <v>5.7962538141656757E-2</v>
      </c>
      <c r="K42" s="53">
        <f t="shared" ca="1" si="256"/>
        <v>6.8128666497508761E-2</v>
      </c>
      <c r="L42" s="53">
        <f t="shared" ref="L42" ca="1" si="257">L41/K9</f>
        <v>1.8173222864166821E-2</v>
      </c>
      <c r="M42" s="53">
        <f t="shared" ref="M42" ca="1" si="258">M41/L9</f>
        <v>4.5447869451839572E-4</v>
      </c>
      <c r="N42" s="53">
        <f t="shared" ref="N42" ca="1" si="259">N41/M9</f>
        <v>2.8350741125052131E-2</v>
      </c>
      <c r="O42" s="53">
        <f t="shared" ref="O42" ca="1" si="260">O41/N9</f>
        <v>1.8994246454680213E-2</v>
      </c>
      <c r="P42" s="53">
        <f t="shared" ref="P42" ca="1" si="261">P41/O9</f>
        <v>-5.3131441761133158E-2</v>
      </c>
      <c r="Q42" s="53">
        <f t="shared" ref="Q42:R42" ca="1" si="262">Q41/P9</f>
        <v>8.3774989000971273E-2</v>
      </c>
      <c r="R42" s="53">
        <f t="shared" ca="1" si="262"/>
        <v>3.8989077167938609E-3</v>
      </c>
      <c r="S42" s="53">
        <f t="shared" ref="S42" ca="1" si="263">S41/R9</f>
        <v>-3.4808463334676215E-2</v>
      </c>
      <c r="T42" s="53">
        <f t="shared" ref="T42" ca="1" si="264">T41/S9</f>
        <v>-1.8092009130824507E-2</v>
      </c>
      <c r="U42" s="53">
        <f t="shared" ref="U42" ca="1" si="265">U41/T9</f>
        <v>7.1798782073486306E-2</v>
      </c>
      <c r="V42" s="53">
        <f t="shared" ref="V42" ca="1" si="266">V41/U9</f>
        <v>7.0158961697358205E-2</v>
      </c>
      <c r="W42" s="53">
        <f t="shared" ref="W42" ca="1" si="267">W41/V9</f>
        <v>-3.2990785564510961E-3</v>
      </c>
      <c r="X42" s="53">
        <f t="shared" ref="X42" ca="1" si="268">X41/W9</f>
        <v>2.9631056640647704E-2</v>
      </c>
      <c r="Y42" s="53">
        <f t="shared" ref="Y42" ca="1" si="269">Y41/X9</f>
        <v>2.7108582859423119E-2</v>
      </c>
      <c r="Z42" s="53">
        <f t="shared" ref="Z42" ca="1" si="270">Z41/Y9</f>
        <v>-1.8337009524605774E-3</v>
      </c>
      <c r="AA42" s="53">
        <f t="shared" ref="AA42" ca="1" si="271">AA41/Z9</f>
        <v>1.9579967817461016E-2</v>
      </c>
      <c r="AB42" s="53">
        <f t="shared" ref="AB42" ca="1" si="272">AB41/AA9</f>
        <v>1.5399263126957639E-2</v>
      </c>
      <c r="AC42" s="53">
        <f t="shared" ref="AC42" ca="1" si="273">AC41/AB9</f>
        <v>3.0747975718371436E-2</v>
      </c>
      <c r="AD42" s="53">
        <f t="shared" ref="AD42" ca="1" si="274">AD41/AC9</f>
        <v>4.3730972578129426E-2</v>
      </c>
      <c r="AE42" s="53">
        <f t="shared" ref="AE42" ca="1" si="275">AE41/AD9</f>
        <v>3.6017857545239541E-2</v>
      </c>
      <c r="AF42" s="53">
        <f t="shared" ref="AF42" ca="1" si="276">AF41/AE9</f>
        <v>3.8094215662702491E-2</v>
      </c>
      <c r="AG42" s="53">
        <f t="shared" ref="AG42" ca="1" si="277">AG41/AF9</f>
        <v>7.2707571941602281E-2</v>
      </c>
      <c r="AH42" s="53">
        <f t="shared" ref="AH42" ca="1" si="278">AH41/AG9</f>
        <v>1.3317322446038017E-2</v>
      </c>
      <c r="AI42" s="53">
        <f t="shared" ref="AI42" ca="1" si="279">AI41/AH9</f>
        <v>1.7376696743487192E-2</v>
      </c>
      <c r="AJ42" s="53">
        <f t="shared" ref="AJ42" ca="1" si="280">AJ41/AI9</f>
        <v>4.9085586571198788E-3</v>
      </c>
      <c r="AK42" s="53">
        <f t="shared" ref="AK42" ca="1" si="281">AK41/AJ9</f>
        <v>5.4435266639846616E-2</v>
      </c>
      <c r="AL42" s="53">
        <f t="shared" ref="AL42" ca="1" si="282">AL41/AK9</f>
        <v>5.2110221091358502E-2</v>
      </c>
      <c r="AM42" s="53">
        <f t="shared" ref="AM42" ca="1" si="283">AM41/AL9</f>
        <v>4.3860113183814393E-2</v>
      </c>
      <c r="AN42" s="53">
        <f t="shared" ref="AN42" ca="1" si="284">AN41/AM9</f>
        <v>1.6365108148396975E-2</v>
      </c>
      <c r="AO42" s="53">
        <f t="shared" ref="AO42" ca="1" si="285">AO41/AN9</f>
        <v>4.7124773755899046E-2</v>
      </c>
      <c r="AP42" s="53">
        <f t="shared" ref="AP42" ca="1" si="286">AP41/AO9</f>
        <v>2.1108195310637012E-2</v>
      </c>
      <c r="AQ42" s="53">
        <f t="shared" ref="AQ42" ca="1" si="287">AQ41/AP9</f>
        <v>1.144654933346907E-2</v>
      </c>
      <c r="AR42" s="53">
        <f t="shared" ref="AR42" ca="1" si="288">AR41/AQ9</f>
        <v>5.9432955792176369E-2</v>
      </c>
      <c r="AS42" s="53">
        <f t="shared" ref="AS42" ca="1" si="289">AS41/AR9</f>
        <v>6.2219013195235769E-2</v>
      </c>
      <c r="AT42" s="53">
        <f t="shared" ref="AT42" ca="1" si="290">AT41/AS9</f>
        <v>1.9824369929274426E-2</v>
      </c>
      <c r="AU42" s="53">
        <f t="shared" ref="AU42" ca="1" si="291">AU41/AT9</f>
        <v>2.2709385758090089E-2</v>
      </c>
      <c r="AV42" s="53">
        <f t="shared" ref="AV42" ca="1" si="292">AV41/AT9</f>
        <v>-4.0756292847511658E-2</v>
      </c>
      <c r="AW42" s="53">
        <f ca="1">AW41/AT9</f>
        <v>6.9467226366179335E-3</v>
      </c>
      <c r="AX42" s="53">
        <f ca="1">AX41/AT9</f>
        <v>1.7595960353616252E-2</v>
      </c>
      <c r="AY42" s="53">
        <f ca="1">AY41/AU9</f>
        <v>-4.0212875532997454E-2</v>
      </c>
      <c r="AZ42" s="53">
        <f ca="1">AZ41/AT9</f>
        <v>-4.5763450508970432E-2</v>
      </c>
      <c r="BA42" s="53">
        <f ca="1">BA41/AT9</f>
        <v>5.9340190321196591E-2</v>
      </c>
      <c r="BB42" s="53">
        <f ca="1">BB41/AT9</f>
        <v>2.5972372191848208E-2</v>
      </c>
      <c r="BC42" s="53">
        <f ca="1">BC41/AT9</f>
        <v>3.9318041956346174E-2</v>
      </c>
      <c r="BD42" s="53">
        <f ca="1">BD41/AT9</f>
        <v>2.7379160180298009E-2</v>
      </c>
      <c r="BE42" s="53">
        <f ca="1">BE41/AT9</f>
        <v>1.6755291173268768E-3</v>
      </c>
      <c r="BF42" s="53">
        <f ca="1">BF41/AT9</f>
        <v>-3.5937955320183945E-3</v>
      </c>
      <c r="BG42" s="53">
        <f ca="1">BG41/AT9</f>
        <v>8.7225255244242021E-3</v>
      </c>
      <c r="BH42" s="53">
        <f ca="1">BH41/AT9</f>
        <v>3.4743844469627277E-2</v>
      </c>
      <c r="BI42" s="53">
        <f ca="1">BI41/AT9</f>
        <v>3.0684385740185238E-3</v>
      </c>
      <c r="BJ42" s="53">
        <f ca="1">BJ41/AT9</f>
        <v>5.0506950299336779E-3</v>
      </c>
      <c r="BK42" s="53">
        <f ca="1">BK41/AT9</f>
        <v>-1.3074898003153762E-2</v>
      </c>
      <c r="BL42" s="53">
        <f ca="1">BL41/AT9</f>
        <v>-5.6468827996347393E-3</v>
      </c>
      <c r="BM42" s="53">
        <f ca="1">BM41/AT9</f>
        <v>-4.5090966065967422E-2</v>
      </c>
      <c r="BN42" s="53">
        <f ca="1">BN41/AU9</f>
        <v>8.7112837313395877E-2</v>
      </c>
      <c r="BO42" s="1"/>
      <c r="BP42" s="73"/>
    </row>
    <row r="43" spans="1:69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1"/>
      <c r="BP43" s="73"/>
    </row>
    <row r="44" spans="1:69">
      <c r="A44" s="203" t="s">
        <v>17</v>
      </c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203"/>
      <c r="BI44" s="203"/>
      <c r="BJ44" s="203"/>
      <c r="BK44" s="203"/>
      <c r="BL44" s="203"/>
      <c r="BM44" s="203"/>
      <c r="BN44" s="203"/>
      <c r="BO44" s="66"/>
      <c r="BP44" s="73"/>
    </row>
    <row r="45" spans="1:69">
      <c r="A45" s="106" t="s">
        <v>6</v>
      </c>
      <c r="B45" s="118"/>
      <c r="C45" s="93">
        <f ca="1">C28/(B4)</f>
        <v>4.5458919157388658E-2</v>
      </c>
      <c r="D45" s="93">
        <f t="shared" ref="D45:K45" ca="1" si="293">D28/(C4)</f>
        <v>8.4873451584615234E-2</v>
      </c>
      <c r="E45" s="93">
        <f t="shared" ca="1" si="293"/>
        <v>-1.5766819505586081E-2</v>
      </c>
      <c r="F45" s="93">
        <f t="shared" ca="1" si="293"/>
        <v>5.4118628881243127E-3</v>
      </c>
      <c r="G45" s="93">
        <f t="shared" ca="1" si="293"/>
        <v>8.3390399640395796E-2</v>
      </c>
      <c r="H45" s="93">
        <f t="shared" ca="1" si="293"/>
        <v>2.5893453941846722E-2</v>
      </c>
      <c r="I45" s="93">
        <f t="shared" ca="1" si="293"/>
        <v>3.5113470936184991E-2</v>
      </c>
      <c r="J45" s="93">
        <f t="shared" ca="1" si="293"/>
        <v>5.8364960444678579E-2</v>
      </c>
      <c r="K45" s="93">
        <f t="shared" ca="1" si="293"/>
        <v>1.4904532392719131E-2</v>
      </c>
      <c r="L45" s="93">
        <f t="shared" ref="L45:L50" ca="1" si="294">L28/(K4)</f>
        <v>9.6102979770788608E-3</v>
      </c>
      <c r="M45" s="93">
        <f t="shared" ref="M45:M50" ca="1" si="295">M28/(L4)</f>
        <v>-1.521288949855145E-2</v>
      </c>
      <c r="N45" s="93">
        <f t="shared" ref="N45:N50" ca="1" si="296">N28/(M4)</f>
        <v>8.5337343992851738E-3</v>
      </c>
      <c r="O45" s="93">
        <f t="shared" ref="O45:O50" ca="1" si="297">O28/(N4)</f>
        <v>3.8848390376282063E-3</v>
      </c>
      <c r="P45" s="93">
        <f t="shared" ref="P45:P50" ca="1" si="298">P28/(O4)</f>
        <v>-8.6497120964513646E-2</v>
      </c>
      <c r="Q45" s="93">
        <f t="shared" ref="Q45:R50" ca="1" si="299">Q28/(P4)</f>
        <v>6.7383210039802105E-2</v>
      </c>
      <c r="R45" s="93">
        <f t="shared" ca="1" si="299"/>
        <v>-1.3768903653502728E-2</v>
      </c>
      <c r="S45" s="93">
        <f ca="1">S28/(R4)</f>
        <v>-4.5242135388921106E-2</v>
      </c>
      <c r="T45" s="93">
        <f ca="1">T28/(S4)</f>
        <v>-3.4958176010892981E-2</v>
      </c>
      <c r="U45" s="93">
        <f ca="1">U28/(T4)</f>
        <v>9.8074911623056565E-2</v>
      </c>
      <c r="V45" s="93">
        <f ca="1">V28/(U4)</f>
        <v>2.6331654453342661E-2</v>
      </c>
      <c r="W45" s="93">
        <f ca="1">W28/(V4)</f>
        <v>-2.1726711313182087E-2</v>
      </c>
      <c r="X45" s="93">
        <f t="shared" ref="X45:AF45" ca="1" si="300">X28/(W4)</f>
        <v>3.5644290807776223E-2</v>
      </c>
      <c r="Y45" s="93">
        <f t="shared" ca="1" si="300"/>
        <v>2.697991497087398E-3</v>
      </c>
      <c r="Z45" s="93">
        <f t="shared" ca="1" si="300"/>
        <v>-3.0605548421929796E-2</v>
      </c>
      <c r="AA45" s="93">
        <f t="shared" ca="1" si="300"/>
        <v>-3.5905064220444452E-3</v>
      </c>
      <c r="AB45" s="93">
        <f t="shared" ca="1" si="300"/>
        <v>-8.5042494912138476E-3</v>
      </c>
      <c r="AC45" s="93">
        <f t="shared" ca="1" si="300"/>
        <v>-1.0010771238959822E-2</v>
      </c>
      <c r="AD45" s="93">
        <f t="shared" ca="1" si="300"/>
        <v>4.8272583118369183E-2</v>
      </c>
      <c r="AE45" s="93">
        <f t="shared" ca="1" si="300"/>
        <v>5.4692762858257062E-2</v>
      </c>
      <c r="AF45" s="93">
        <f t="shared" ca="1" si="300"/>
        <v>3.7939481907681753E-2</v>
      </c>
      <c r="AG45" s="93">
        <f ca="1">AG28/(AF4)</f>
        <v>3.4253505746892961E-2</v>
      </c>
      <c r="AH45" s="93">
        <f ca="1">AH28/(AG4)</f>
        <v>1.5876674828944837E-2</v>
      </c>
      <c r="AI45" s="93">
        <f ca="1">AI28/(AH4)</f>
        <v>1.3219588200082642E-2</v>
      </c>
      <c r="AJ45" s="93">
        <f ca="1">AJ28/(AI4)</f>
        <v>-2.452964775985294E-3</v>
      </c>
      <c r="AK45" s="93">
        <f ca="1">AK28/(AJ4)</f>
        <v>6.8060318800437808E-2</v>
      </c>
      <c r="AL45" s="93">
        <f t="shared" ref="AL45:AN47" ca="1" si="301">AL28/(AK4)</f>
        <v>5.2546337257001183E-2</v>
      </c>
      <c r="AM45" s="93">
        <f t="shared" ca="1" si="301"/>
        <v>3.0647356040701578E-2</v>
      </c>
      <c r="AN45" s="93">
        <f t="shared" ca="1" si="301"/>
        <v>2.9621551939439082E-2</v>
      </c>
      <c r="AO45" s="93">
        <f t="shared" ref="AO45:AT47" ca="1" si="302">AO28/(AN4)</f>
        <v>5.1433530953936086E-3</v>
      </c>
      <c r="AP45" s="93">
        <f t="shared" ca="1" si="302"/>
        <v>1.5496743046067131E-2</v>
      </c>
      <c r="AQ45" s="93">
        <f t="shared" ca="1" si="302"/>
        <v>1.2813857898636033E-2</v>
      </c>
      <c r="AR45" s="93">
        <f t="shared" ca="1" si="302"/>
        <v>6.5375320861169095E-2</v>
      </c>
      <c r="AS45" s="93">
        <f t="shared" ca="1" si="302"/>
        <v>4.6855734613837963E-2</v>
      </c>
      <c r="AT45" s="93">
        <f t="shared" ca="1" si="302"/>
        <v>1.2223964747994608E-2</v>
      </c>
      <c r="AU45" s="93">
        <f t="shared" ref="AU45:BA47" ca="1" si="303">AU28/(AT4)</f>
        <v>1.2894639049008005E-2</v>
      </c>
      <c r="AV45" s="93">
        <f t="shared" ca="1" si="303"/>
        <v>-5.4265126862967389E-2</v>
      </c>
      <c r="AW45" s="93">
        <f t="shared" ca="1" si="303"/>
        <v>1.4949494739774582E-3</v>
      </c>
      <c r="AX45" s="93">
        <f t="shared" ca="1" si="303"/>
        <v>4.6561847952071552E-3</v>
      </c>
      <c r="AY45" s="93">
        <f t="shared" ca="1" si="303"/>
        <v>-5.2370728292861539E-2</v>
      </c>
      <c r="AZ45" s="93">
        <f t="shared" ca="1" si="303"/>
        <v>-7.8092464693025374E-2</v>
      </c>
      <c r="BA45" s="93">
        <f t="shared" ca="1" si="303"/>
        <v>3.3073236038020544E-2</v>
      </c>
      <c r="BB45" s="93">
        <f ca="1">BB28/(BA4)</f>
        <v>3.4567427328925683E-2</v>
      </c>
      <c r="BC45" s="93">
        <f ca="1">BC28/(BB4)</f>
        <v>4.7139792993913757E-2</v>
      </c>
      <c r="BD45" s="93">
        <f ca="1">BD28/(BC4)</f>
        <v>4.0985169673813479E-2</v>
      </c>
      <c r="BE45" s="93">
        <f ca="1">BE28/(BD4)</f>
        <v>-2.3943341267840843E-2</v>
      </c>
      <c r="BF45" s="93">
        <f ca="1">BF28/(BE4)</f>
        <v>6.4033397945385314E-3</v>
      </c>
      <c r="BG45" s="93">
        <f ca="1">BG28/(BF4)</f>
        <v>7.6616778606001627E-3</v>
      </c>
      <c r="BH45" s="93">
        <f ca="1">BH28/(BG4)</f>
        <v>2.9846729623911602E-2</v>
      </c>
      <c r="BI45" s="93">
        <f ca="1">BI28/(BH4)</f>
        <v>-3.2586495501231482E-3</v>
      </c>
      <c r="BJ45" s="93">
        <f ca="1">BJ28/(BI4)</f>
        <v>-2.8200129124251079E-3</v>
      </c>
      <c r="BK45" s="93">
        <f ca="1">BK28/(BJ4)</f>
        <v>-2.2870128287145911E-2</v>
      </c>
      <c r="BL45" s="93">
        <f ca="1">BL28/(BK4)</f>
        <v>-1.0352677872428431E-2</v>
      </c>
      <c r="BM45" s="93">
        <f ca="1">BM28/(BL4)</f>
        <v>-8.3103221577834285E-2</v>
      </c>
      <c r="BN45" s="93">
        <f ca="1">BN28/(BM4)</f>
        <v>0.11289597508137283</v>
      </c>
      <c r="BO45" s="1">
        <f ca="1">AVERAGE(C45:BN45)*12</f>
        <v>0.16140320427998828</v>
      </c>
      <c r="BP45" s="73"/>
      <c r="BQ45" s="165">
        <f ca="1">AVERAGE(C45:BN45)</f>
        <v>1.3450267023332357E-2</v>
      </c>
    </row>
    <row r="46" spans="1:69">
      <c r="A46" s="106" t="s">
        <v>7</v>
      </c>
      <c r="B46" s="118"/>
      <c r="C46" s="93">
        <f t="shared" ref="C46:K46" ca="1" si="304">C29/(B5)</f>
        <v>7.3163233937903419E-3</v>
      </c>
      <c r="D46" s="93">
        <f t="shared" ca="1" si="304"/>
        <v>-1.1515849445420875E-3</v>
      </c>
      <c r="E46" s="93">
        <f t="shared" ca="1" si="304"/>
        <v>7.1462758001794788E-2</v>
      </c>
      <c r="F46" s="93">
        <f t="shared" ca="1" si="304"/>
        <v>1.7474110885921317E-2</v>
      </c>
      <c r="G46" s="93">
        <f t="shared" ca="1" si="304"/>
        <v>2.3048722287300838E-4</v>
      </c>
      <c r="H46" s="93">
        <f t="shared" ca="1" si="304"/>
        <v>-1.1584082931257219E-4</v>
      </c>
      <c r="I46" s="93">
        <f t="shared" ca="1" si="304"/>
        <v>1.6948444598666816E-4</v>
      </c>
      <c r="J46" s="93">
        <f t="shared" ca="1" si="304"/>
        <v>8.2446854502186691E-4</v>
      </c>
      <c r="K46" s="93">
        <f t="shared" ca="1" si="304"/>
        <v>-4.2058766029621147E-4</v>
      </c>
      <c r="L46" s="93">
        <f t="shared" ca="1" si="294"/>
        <v>-3.5247756480300045E-4</v>
      </c>
      <c r="M46" s="93">
        <f t="shared" ca="1" si="295"/>
        <v>5.002483733173523E-4</v>
      </c>
      <c r="N46" s="93">
        <f t="shared" ca="1" si="296"/>
        <v>3.2277735513255742E-4</v>
      </c>
      <c r="O46" s="93">
        <f t="shared" ca="1" si="297"/>
        <v>-4.9305118315027196E-4</v>
      </c>
      <c r="P46" s="93">
        <f t="shared" ca="1" si="298"/>
        <v>2.6948208483100066E-4</v>
      </c>
      <c r="Q46" s="93">
        <f t="shared" ca="1" si="299"/>
        <v>7.1036999085763497E-2</v>
      </c>
      <c r="R46" s="93">
        <f t="shared" ca="1" si="299"/>
        <v>4.1186031323048756E-3</v>
      </c>
      <c r="S46" s="93">
        <f t="shared" ref="S46:W47" ca="1" si="305">S29/(R5)</f>
        <v>-8.9347659337031017E-4</v>
      </c>
      <c r="T46" s="93">
        <f t="shared" ca="1" si="305"/>
        <v>3.7774218606957465E-4</v>
      </c>
      <c r="U46" s="93">
        <f t="shared" ca="1" si="305"/>
        <v>5.7399527646041012E-4</v>
      </c>
      <c r="V46" s="93">
        <f t="shared" ca="1" si="305"/>
        <v>1.095990245160747E-4</v>
      </c>
      <c r="W46" s="93">
        <f t="shared" ca="1" si="305"/>
        <v>7.9913710017120543E-4</v>
      </c>
      <c r="X46" s="93">
        <f t="shared" ref="X46:AK46" ca="1" si="306">X29/(W5)</f>
        <v>-1.88045197875154E-4</v>
      </c>
      <c r="Y46" s="93">
        <f t="shared" ca="1" si="306"/>
        <v>8.3102650762647678E-4</v>
      </c>
      <c r="Z46" s="93">
        <f t="shared" ca="1" si="306"/>
        <v>1.3526827079805566E-4</v>
      </c>
      <c r="AA46" s="93">
        <f t="shared" ca="1" si="306"/>
        <v>4.6847295123504196E-4</v>
      </c>
      <c r="AB46" s="93">
        <f t="shared" ca="1" si="306"/>
        <v>3.6030178003639361E-5</v>
      </c>
      <c r="AC46" s="93">
        <f t="shared" ca="1" si="306"/>
        <v>6.2545634366357974E-2</v>
      </c>
      <c r="AD46" s="93">
        <f t="shared" ca="1" si="306"/>
        <v>7.3322683916290498E-4</v>
      </c>
      <c r="AE46" s="93">
        <f t="shared" ca="1" si="306"/>
        <v>7.2825706895633321E-4</v>
      </c>
      <c r="AF46" s="93">
        <f t="shared" ca="1" si="306"/>
        <v>5.1199031225297437E-6</v>
      </c>
      <c r="AG46" s="93">
        <f t="shared" ca="1" si="306"/>
        <v>1.7932341959803083E-4</v>
      </c>
      <c r="AH46" s="93">
        <f t="shared" ca="1" si="306"/>
        <v>3.686030317244911E-4</v>
      </c>
      <c r="AI46" s="93">
        <f t="shared" ca="1" si="306"/>
        <v>1.2013689969643402E-4</v>
      </c>
      <c r="AJ46" s="93">
        <f t="shared" ca="1" si="306"/>
        <v>-4.3787522622828465E-6</v>
      </c>
      <c r="AK46" s="93">
        <f t="shared" ca="1" si="306"/>
        <v>8.7526864724342385E-5</v>
      </c>
      <c r="AL46" s="93">
        <f t="shared" ca="1" si="301"/>
        <v>5.7319986489008613E-4</v>
      </c>
      <c r="AM46" s="93">
        <f t="shared" ca="1" si="301"/>
        <v>1.0908364718025837E-3</v>
      </c>
      <c r="AN46" s="93">
        <f t="shared" ca="1" si="301"/>
        <v>3.5388117100982567E-4</v>
      </c>
      <c r="AO46" s="93">
        <f t="shared" ca="1" si="302"/>
        <v>8.048938929095914E-2</v>
      </c>
      <c r="AP46" s="93">
        <f t="shared" ca="1" si="302"/>
        <v>8.0534066971572566E-6</v>
      </c>
      <c r="AQ46" s="93">
        <f t="shared" ca="1" si="302"/>
        <v>8.9826270683947165E-4</v>
      </c>
      <c r="AR46" s="93">
        <f t="shared" ca="1" si="302"/>
        <v>4.4869613899516905E-4</v>
      </c>
      <c r="AS46" s="93">
        <f t="shared" ca="1" si="302"/>
        <v>3.0533934422886439E-4</v>
      </c>
      <c r="AT46" s="93">
        <f t="shared" ca="1" si="302"/>
        <v>4.7450709727510989E-4</v>
      </c>
      <c r="AU46" s="93">
        <f t="shared" ca="1" si="303"/>
        <v>8.892396091841454E-4</v>
      </c>
      <c r="AV46" s="93">
        <f t="shared" ca="1" si="303"/>
        <v>1.4699120757392627E-4</v>
      </c>
      <c r="AW46" s="93">
        <f t="shared" ca="1" si="303"/>
        <v>4.017680130132298E-5</v>
      </c>
      <c r="AX46" s="93">
        <f t="shared" ca="1" si="303"/>
        <v>3.8297099223471095E-4</v>
      </c>
      <c r="AY46" s="93">
        <f t="shared" ca="1" si="303"/>
        <v>4.3903110655177841E-4</v>
      </c>
      <c r="AZ46" s="93">
        <f t="shared" ca="1" si="303"/>
        <v>-5.5073076522608968E-5</v>
      </c>
      <c r="BA46" s="93">
        <f t="shared" ca="1" si="303"/>
        <v>8.09877612156535E-2</v>
      </c>
      <c r="BB46" s="93">
        <f t="shared" ref="BB46:BN46" ca="1" si="307">BB29/(BA5)</f>
        <v>8.1069507046132563E-4</v>
      </c>
      <c r="BC46" s="93">
        <f t="shared" ca="1" si="307"/>
        <v>4.2787209913985088E-4</v>
      </c>
      <c r="BD46" s="93">
        <f t="shared" ca="1" si="307"/>
        <v>-4.6210941884105574E-4</v>
      </c>
      <c r="BE46" s="93">
        <f t="shared" ca="1" si="307"/>
        <v>3.7127683506246343E-4</v>
      </c>
      <c r="BF46" s="93">
        <f t="shared" ca="1" si="307"/>
        <v>-8.7973039228647068E-4</v>
      </c>
      <c r="BG46" s="93">
        <f t="shared" ca="1" si="307"/>
        <v>8.0587039569800678E-4</v>
      </c>
      <c r="BH46" s="93">
        <f t="shared" ca="1" si="307"/>
        <v>-8.6377056506655283E-4</v>
      </c>
      <c r="BI46" s="93">
        <f t="shared" ca="1" si="307"/>
        <v>3.1376056676482923E-5</v>
      </c>
      <c r="BJ46" s="93">
        <f t="shared" ca="1" si="307"/>
        <v>1.15209213984099E-4</v>
      </c>
      <c r="BK46" s="93">
        <f t="shared" ca="1" si="307"/>
        <v>-1.0334308781328635E-4</v>
      </c>
      <c r="BL46" s="93">
        <f t="shared" ca="1" si="307"/>
        <v>5.4771005208893698E-4</v>
      </c>
      <c r="BM46" s="93">
        <f t="shared" ca="1" si="307"/>
        <v>6.3953822407169486E-2</v>
      </c>
      <c r="BN46" s="93">
        <f t="shared" ca="1" si="307"/>
        <v>8.2672327114288995E-3</v>
      </c>
      <c r="BO46" s="1">
        <f t="shared" ref="BO46:BO50" ca="1" si="308">AVERAGE(C46:BN46)*12</f>
        <v>8.9756395202948494E-2</v>
      </c>
      <c r="BP46" s="73"/>
      <c r="BQ46" s="165">
        <f t="shared" ref="BQ46:BQ50" ca="1" si="309">AVERAGE(C46:BN46)</f>
        <v>7.4796996002457075E-3</v>
      </c>
    </row>
    <row r="47" spans="1:69">
      <c r="A47" s="106" t="s">
        <v>8</v>
      </c>
      <c r="B47" s="118"/>
      <c r="C47" s="93">
        <f t="shared" ref="C47:K47" ca="1" si="310">C30/(B6)</f>
        <v>-2.1135999999999988E-2</v>
      </c>
      <c r="D47" s="93">
        <f t="shared" ca="1" si="310"/>
        <v>-3.8519558630227269E-2</v>
      </c>
      <c r="E47" s="93">
        <f t="shared" ca="1" si="310"/>
        <v>-1.1957595674758768E-2</v>
      </c>
      <c r="F47" s="93">
        <f t="shared" ca="1" si="310"/>
        <v>2.3625663129261745E-2</v>
      </c>
      <c r="G47" s="93">
        <f t="shared" ca="1" si="310"/>
        <v>1.6522158400067165E-2</v>
      </c>
      <c r="H47" s="93">
        <f t="shared" ca="1" si="310"/>
        <v>-1.4150093194203872E-2</v>
      </c>
      <c r="I47" s="93">
        <f t="shared" ca="1" si="310"/>
        <v>-3.4612166345912368E-3</v>
      </c>
      <c r="J47" s="93">
        <f t="shared" ca="1" si="310"/>
        <v>-1.1306391841563682E-2</v>
      </c>
      <c r="K47" s="93">
        <f t="shared" ca="1" si="310"/>
        <v>-3.5227236054751845E-3</v>
      </c>
      <c r="L47" s="93">
        <f t="shared" ca="1" si="294"/>
        <v>8.7356713683045054E-3</v>
      </c>
      <c r="M47" s="93">
        <f t="shared" ca="1" si="295"/>
        <v>2.8725920919226299E-3</v>
      </c>
      <c r="N47" s="93">
        <f t="shared" ca="1" si="296"/>
        <v>-4.2122999157539129E-3</v>
      </c>
      <c r="O47" s="93">
        <f t="shared" ca="1" si="297"/>
        <v>-7.4873096446700718E-3</v>
      </c>
      <c r="P47" s="93">
        <f t="shared" ca="1" si="298"/>
        <v>2.6509823978178519E-2</v>
      </c>
      <c r="Q47" s="93">
        <f t="shared" ca="1" si="299"/>
        <v>0</v>
      </c>
      <c r="R47" s="93">
        <f t="shared" ca="1" si="299"/>
        <v>0</v>
      </c>
      <c r="S47" s="93">
        <f t="shared" ca="1" si="305"/>
        <v>0</v>
      </c>
      <c r="T47" s="93">
        <f t="shared" ca="1" si="305"/>
        <v>0</v>
      </c>
      <c r="U47" s="93">
        <f t="shared" ca="1" si="305"/>
        <v>0</v>
      </c>
      <c r="V47" s="93">
        <f t="shared" ca="1" si="305"/>
        <v>2.2988068562356752E-2</v>
      </c>
      <c r="W47" s="93">
        <f t="shared" ca="1" si="305"/>
        <v>-1.6983346427289769E-2</v>
      </c>
      <c r="X47" s="93">
        <f t="shared" ref="X47:AK47" ca="1" si="311">X30/(W6)</f>
        <v>7.6467686235817183E-3</v>
      </c>
      <c r="Y47" s="93">
        <f t="shared" ca="1" si="311"/>
        <v>1.521175030599759E-2</v>
      </c>
      <c r="Z47" s="93">
        <f t="shared" ca="1" si="311"/>
        <v>4.1791853341499437E-2</v>
      </c>
      <c r="AA47" s="93">
        <f t="shared" ca="1" si="311"/>
        <v>2.8370843514227525E-2</v>
      </c>
      <c r="AB47" s="93">
        <f t="shared" ca="1" si="311"/>
        <v>-9.7714811095578613E-3</v>
      </c>
      <c r="AC47" s="93">
        <f t="shared" ca="1" si="311"/>
        <v>4.7376854801744119E-2</v>
      </c>
      <c r="AD47" s="93">
        <f t="shared" ca="1" si="311"/>
        <v>4.0268602020953191E-2</v>
      </c>
      <c r="AE47" s="93">
        <f t="shared" ca="1" si="311"/>
        <v>3.8221315151746788E-2</v>
      </c>
      <c r="AF47" s="93">
        <f t="shared" ca="1" si="311"/>
        <v>-1.3031374357397818E-2</v>
      </c>
      <c r="AG47" s="93">
        <f t="shared" ca="1" si="311"/>
        <v>4.9172295761248253E-3</v>
      </c>
      <c r="AH47" s="93">
        <f t="shared" ca="1" si="311"/>
        <v>-5.6724561735228113E-4</v>
      </c>
      <c r="AI47" s="93">
        <f t="shared" ca="1" si="311"/>
        <v>-7.596621621621549E-3</v>
      </c>
      <c r="AJ47" s="93">
        <f t="shared" ca="1" si="311"/>
        <v>1.5450479555161167E-2</v>
      </c>
      <c r="AK47" s="93">
        <f t="shared" ca="1" si="311"/>
        <v>2.8594656207046799E-2</v>
      </c>
      <c r="AL47" s="93">
        <f t="shared" ca="1" si="301"/>
        <v>1.6737202166094464E-2</v>
      </c>
      <c r="AM47" s="93">
        <f t="shared" ca="1" si="301"/>
        <v>1.1523784856011195E-2</v>
      </c>
      <c r="AN47" s="93">
        <f t="shared" ca="1" si="301"/>
        <v>-8.9393208106361022E-3</v>
      </c>
      <c r="AO47" s="93">
        <f t="shared" ca="1" si="302"/>
        <v>7.232878061477524E-2</v>
      </c>
      <c r="AP47" s="93">
        <f t="shared" ca="1" si="302"/>
        <v>5.8279722390041172E-2</v>
      </c>
      <c r="AQ47" s="93">
        <f t="shared" ca="1" si="302"/>
        <v>4.3238481995377713E-2</v>
      </c>
      <c r="AR47" s="93">
        <f t="shared" ca="1" si="302"/>
        <v>5.3770933876984908E-3</v>
      </c>
      <c r="AS47" s="93">
        <f t="shared" ca="1" si="302"/>
        <v>1.6964333687954615E-2</v>
      </c>
      <c r="AT47" s="93">
        <f t="shared" ca="1" si="302"/>
        <v>4.7672309536629306E-3</v>
      </c>
      <c r="AU47" s="93">
        <f t="shared" ca="1" si="303"/>
        <v>4.3172133250882296E-2</v>
      </c>
      <c r="AV47" s="93">
        <f t="shared" ca="1" si="303"/>
        <v>5.2548897641843832E-2</v>
      </c>
      <c r="AW47" s="93">
        <f t="shared" ca="1" si="303"/>
        <v>-3.4502880986970672E-2</v>
      </c>
      <c r="AX47" s="93">
        <f t="shared" ca="1" si="303"/>
        <v>9.2999077647953586E-3</v>
      </c>
      <c r="AY47" s="93">
        <f t="shared" ca="1" si="303"/>
        <v>1.9405191836702852E-2</v>
      </c>
      <c r="AZ47" s="93">
        <f t="shared" ca="1" si="303"/>
        <v>2.6618444218609226E-2</v>
      </c>
      <c r="BA47" s="93">
        <f t="shared" ca="1" si="303"/>
        <v>2.8438264560998187E-2</v>
      </c>
      <c r="BB47" s="93">
        <f t="shared" ref="BB47:BN47" ca="1" si="312">BB30/(BA6)</f>
        <v>4.1346563478716708E-2</v>
      </c>
      <c r="BC47" s="93">
        <f t="shared" ca="1" si="312"/>
        <v>3.6467157765500302E-2</v>
      </c>
      <c r="BD47" s="93">
        <f t="shared" ca="1" si="312"/>
        <v>3.5594455798731293E-2</v>
      </c>
      <c r="BE47" s="93">
        <f t="shared" ca="1" si="312"/>
        <v>9.8790638848583485E-3</v>
      </c>
      <c r="BF47" s="93">
        <f t="shared" ca="1" si="312"/>
        <v>9.9789982221067622E-2</v>
      </c>
      <c r="BG47" s="93">
        <f t="shared" ca="1" si="312"/>
        <v>0.12814992222866875</v>
      </c>
      <c r="BH47" s="93">
        <f t="shared" ca="1" si="312"/>
        <v>-1.6875911331130124E-3</v>
      </c>
      <c r="BI47" s="93">
        <f t="shared" ca="1" si="312"/>
        <v>5.5704312294514904E-2</v>
      </c>
      <c r="BJ47" s="93">
        <f t="shared" ca="1" si="312"/>
        <v>9.0157503727801208E-2</v>
      </c>
      <c r="BK47" s="93">
        <f t="shared" ca="1" si="312"/>
        <v>0.20777035217789758</v>
      </c>
      <c r="BL47" s="93">
        <f t="shared" ca="1" si="312"/>
        <v>-7.8348838327760809E-2</v>
      </c>
      <c r="BM47" s="93">
        <f t="shared" ca="1" si="312"/>
        <v>-8.2575890952981665E-2</v>
      </c>
      <c r="BN47" s="93">
        <f t="shared" ca="1" si="312"/>
        <v>2.6008320351743452E-2</v>
      </c>
      <c r="BO47" s="1">
        <f t="shared" ca="1" si="308"/>
        <v>0.21354631001197438</v>
      </c>
      <c r="BP47" s="73"/>
      <c r="BQ47" s="165">
        <f t="shared" ca="1" si="309"/>
        <v>1.7795525834331197E-2</v>
      </c>
    </row>
    <row r="48" spans="1:69">
      <c r="A48" s="106" t="s">
        <v>9</v>
      </c>
      <c r="B48" s="118"/>
      <c r="C48" s="93" t="s">
        <v>43</v>
      </c>
      <c r="D48" s="93" t="s">
        <v>43</v>
      </c>
      <c r="E48" s="93" t="s">
        <v>43</v>
      </c>
      <c r="F48" s="93" t="s">
        <v>43</v>
      </c>
      <c r="G48" s="93" t="s">
        <v>43</v>
      </c>
      <c r="H48" s="93" t="s">
        <v>43</v>
      </c>
      <c r="I48" s="93" t="s">
        <v>43</v>
      </c>
      <c r="J48" s="93" t="s">
        <v>43</v>
      </c>
      <c r="K48" s="93">
        <f ca="1">K31/(J7)</f>
        <v>0</v>
      </c>
      <c r="L48" s="93">
        <f t="shared" ca="1" si="294"/>
        <v>0.35185185185185175</v>
      </c>
      <c r="M48" s="93">
        <f t="shared" ca="1" si="295"/>
        <v>0</v>
      </c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1"/>
      <c r="BP48" s="73"/>
      <c r="BQ48" s="165">
        <f t="shared" ca="1" si="309"/>
        <v>0.11728395061728392</v>
      </c>
    </row>
    <row r="49" spans="1:69">
      <c r="A49" s="106" t="s">
        <v>10</v>
      </c>
      <c r="B49" s="118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1"/>
      <c r="BP49" s="73"/>
      <c r="BQ49" s="165"/>
    </row>
    <row r="50" spans="1:69">
      <c r="A50" s="98" t="s">
        <v>11</v>
      </c>
      <c r="B50" s="75"/>
      <c r="C50" s="53">
        <f t="shared" ref="C50:K50" ca="1" si="313">C33/(B9)</f>
        <v>2.7400098796121583E-2</v>
      </c>
      <c r="D50" s="53">
        <f t="shared" ca="1" si="313"/>
        <v>4.750386336009723E-2</v>
      </c>
      <c r="E50" s="53">
        <f t="shared" ca="1" si="313"/>
        <v>1.6821227988184299E-2</v>
      </c>
      <c r="F50" s="53">
        <f t="shared" ca="1" si="313"/>
        <v>1.0210831312395582E-2</v>
      </c>
      <c r="G50" s="53">
        <f t="shared" ca="1" si="313"/>
        <v>4.7485426702431832E-2</v>
      </c>
      <c r="H50" s="53">
        <f t="shared" ca="1" si="313"/>
        <v>1.5109434609579385E-2</v>
      </c>
      <c r="I50" s="53">
        <f t="shared" ca="1" si="313"/>
        <v>2.1288560628078001E-2</v>
      </c>
      <c r="J50" s="53">
        <f t="shared" ca="1" si="313"/>
        <v>3.7519774897445922E-2</v>
      </c>
      <c r="K50" s="53">
        <f t="shared" ca="1" si="313"/>
        <v>9.4439870308840133E-3</v>
      </c>
      <c r="L50" s="53">
        <f t="shared" ca="1" si="294"/>
        <v>7.5638933254143469E-3</v>
      </c>
      <c r="M50" s="53">
        <f t="shared" ca="1" si="295"/>
        <v>-9.5750139844417766E-3</v>
      </c>
      <c r="N50" s="53">
        <f t="shared" ca="1" si="296"/>
        <v>5.6365666881713124E-3</v>
      </c>
      <c r="O50" s="53">
        <f t="shared" ca="1" si="297"/>
        <v>2.3285074106241437E-3</v>
      </c>
      <c r="P50" s="53">
        <f t="shared" ca="1" si="298"/>
        <v>-5.7192298642479593E-2</v>
      </c>
      <c r="Q50" s="53">
        <f t="shared" ca="1" si="299"/>
        <v>6.7211498804950864E-2</v>
      </c>
      <c r="R50" s="53">
        <f t="shared" ca="1" si="299"/>
        <v>-7.6758111896225731E-3</v>
      </c>
      <c r="S50" s="53">
        <f ca="1">S33/(R9)</f>
        <v>-2.9822327302879113E-2</v>
      </c>
      <c r="T50" s="53">
        <f ca="1">T33/(S9)</f>
        <v>-2.255561170850932E-2</v>
      </c>
      <c r="U50" s="53">
        <f ca="1">U33/(T9)</f>
        <v>6.2975297807636013E-2</v>
      </c>
      <c r="V50" s="53">
        <f ca="1">V33/(U9)</f>
        <v>1.766430985666264E-2</v>
      </c>
      <c r="W50" s="53">
        <f ca="1">W33/(V9)</f>
        <v>-1.3873251824060911E-2</v>
      </c>
      <c r="X50" s="53">
        <f t="shared" ref="X50:AF50" ca="1" si="314">X33/(W9)</f>
        <v>2.3200498359638954E-2</v>
      </c>
      <c r="Y50" s="53">
        <f t="shared" ca="1" si="314"/>
        <v>2.2079735182292943E-3</v>
      </c>
      <c r="Z50" s="53">
        <f t="shared" ca="1" si="314"/>
        <v>-2.0427371756711585E-2</v>
      </c>
      <c r="AA50" s="53">
        <f t="shared" ca="1" si="314"/>
        <v>-2.0117178392425926E-3</v>
      </c>
      <c r="AB50" s="53">
        <f t="shared" ca="1" si="314"/>
        <v>-5.7777767700926382E-3</v>
      </c>
      <c r="AC50" s="53">
        <f t="shared" ca="1" si="314"/>
        <v>1.2925207127614094E-2</v>
      </c>
      <c r="AD50" s="53">
        <f t="shared" ca="1" si="314"/>
        <v>3.2138407183257486E-2</v>
      </c>
      <c r="AE50" s="53">
        <f t="shared" ca="1" si="314"/>
        <v>3.7286913944126074E-2</v>
      </c>
      <c r="AF50" s="53">
        <f t="shared" ca="1" si="314"/>
        <v>2.594011142481116E-2</v>
      </c>
      <c r="AG50" s="53">
        <f t="shared" ref="AG50" ca="1" si="315">AG33/(AF9)</f>
        <v>2.4129544820083944E-2</v>
      </c>
      <c r="AH50" s="53">
        <f t="shared" ref="AH50" ca="1" si="316">AH33/(AG9)</f>
        <v>1.122894338735826E-2</v>
      </c>
      <c r="AI50" s="53">
        <f t="shared" ref="AI50" ca="1" si="317">AI33/(AH9)</f>
        <v>9.4050935248738299E-3</v>
      </c>
      <c r="AJ50" s="53">
        <f t="shared" ref="AJ50:AK50" ca="1" si="318">AJ33/(AI9)</f>
        <v>-1.6488437217026491E-3</v>
      </c>
      <c r="AK50" s="53">
        <f t="shared" ca="1" si="318"/>
        <v>4.8965088187287238E-2</v>
      </c>
      <c r="AL50" s="53">
        <f t="shared" ref="AL50" ca="1" si="319">AL33/(AK9)</f>
        <v>3.8569512037673358E-2</v>
      </c>
      <c r="AM50" s="53">
        <f t="shared" ref="AM50:AN50" ca="1" si="320">AM33/(AL9)</f>
        <v>2.2783149896704141E-2</v>
      </c>
      <c r="AN50" s="53">
        <f t="shared" ca="1" si="320"/>
        <v>2.174022251451968E-2</v>
      </c>
      <c r="AO50" s="53">
        <f t="shared" ref="AO50:AT50" ca="1" si="321">AO33/(AN9)</f>
        <v>2.3761371484158987E-2</v>
      </c>
      <c r="AP50" s="53">
        <f t="shared" ca="1" si="321"/>
        <v>1.1775910007961259E-2</v>
      </c>
      <c r="AQ50" s="53">
        <f t="shared" ca="1" si="321"/>
        <v>9.9824769328274426E-3</v>
      </c>
      <c r="AR50" s="53">
        <f t="shared" ca="1" si="321"/>
        <v>4.9023009831033776E-2</v>
      </c>
      <c r="AS50" s="53">
        <f t="shared" ca="1" si="321"/>
        <v>3.5811808509282381E-2</v>
      </c>
      <c r="AT50" s="53">
        <f t="shared" ca="1" si="321"/>
        <v>9.3959974459325319E-3</v>
      </c>
      <c r="AU50" s="53">
        <f t="shared" ref="AU50:BA50" ca="1" si="322">AU33/(AT9)</f>
        <v>1.0278771417024124E-2</v>
      </c>
      <c r="AV50" s="53">
        <f t="shared" ca="1" si="322"/>
        <v>-4.1112841855345285E-2</v>
      </c>
      <c r="AW50" s="53">
        <f t="shared" ca="1" si="322"/>
        <v>9.0284161026505804E-4</v>
      </c>
      <c r="AX50" s="53">
        <f t="shared" ca="1" si="322"/>
        <v>3.6979957284956999E-3</v>
      </c>
      <c r="AY50" s="53">
        <f t="shared" ca="1" si="322"/>
        <v>-3.9902570713399463E-2</v>
      </c>
      <c r="AZ50" s="53">
        <f t="shared" ca="1" si="322"/>
        <v>-5.8762156715727869E-2</v>
      </c>
      <c r="BA50" s="53">
        <f t="shared" ca="1" si="322"/>
        <v>4.5088057063833537E-2</v>
      </c>
      <c r="BB50" s="53">
        <f ca="1">BB33/(BA9)</f>
        <v>2.473171745638145E-2</v>
      </c>
      <c r="BC50" s="53">
        <f ca="1">BC33/(BB9)</f>
        <v>3.4146506220735291E-2</v>
      </c>
      <c r="BD50" s="53">
        <f ca="1">BD33/(BC9)</f>
        <v>3.0082381725977343E-2</v>
      </c>
      <c r="BE50" s="53">
        <f ca="1">BE33/(BD9)</f>
        <v>-1.7777668004116672E-2</v>
      </c>
      <c r="BF50" s="53">
        <f ca="1">BF33/(BE9)</f>
        <v>5.5435722496718362E-3</v>
      </c>
      <c r="BG50" s="53">
        <f ca="1">BG33/(BF9)</f>
        <v>7.3943995103130534E-3</v>
      </c>
      <c r="BH50" s="53">
        <f ca="1">BH33/(BG9)</f>
        <v>2.1896846856535465E-2</v>
      </c>
      <c r="BI50" s="53">
        <f ca="1">BI33/(BH9)</f>
        <v>-1.7189364201402354E-3</v>
      </c>
      <c r="BJ50" s="53">
        <f ca="1">BJ33/(BI9)</f>
        <v>-8.671837530823481E-4</v>
      </c>
      <c r="BK50" s="53">
        <f ca="1">BK33/(BJ9)</f>
        <v>-1.4031162439411354E-2</v>
      </c>
      <c r="BL50" s="53">
        <f ca="1">BL33/(BK9)</f>
        <v>-8.8918517632213204E-3</v>
      </c>
      <c r="BM50" s="53">
        <f ca="1">BM33/(BL9)</f>
        <v>-4.6653083892216299E-2</v>
      </c>
      <c r="BN50" s="53">
        <f ca="1">BN33/(BM9)</f>
        <v>8.2611179317072223E-2</v>
      </c>
      <c r="BO50" s="1">
        <f t="shared" ca="1" si="308"/>
        <v>0.13359962029049116</v>
      </c>
      <c r="BP50" s="73"/>
      <c r="BQ50" s="165">
        <f t="shared" ca="1" si="309"/>
        <v>1.1133301690874264E-2</v>
      </c>
    </row>
    <row r="51" spans="1:69">
      <c r="A51" s="99"/>
      <c r="B51" s="183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  <c r="BB51" s="184"/>
      <c r="BC51" s="184"/>
      <c r="BD51" s="184"/>
      <c r="BE51" s="184"/>
      <c r="BF51" s="184"/>
      <c r="BG51" s="184"/>
      <c r="BH51" s="184"/>
      <c r="BI51" s="184"/>
      <c r="BJ51" s="184"/>
      <c r="BK51" s="184"/>
      <c r="BL51" s="184"/>
      <c r="BM51" s="184"/>
      <c r="BN51" s="184"/>
      <c r="BO51" s="1"/>
      <c r="BP51" s="73"/>
      <c r="BQ51" s="165"/>
    </row>
    <row r="52" spans="1:69">
      <c r="A52" s="203" t="s">
        <v>111</v>
      </c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1"/>
      <c r="BP52" s="73"/>
      <c r="BQ52" s="165"/>
    </row>
    <row r="53" spans="1:69">
      <c r="A53" s="106" t="s">
        <v>6</v>
      </c>
      <c r="B53" s="118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185">
        <f ca="1">SUM(C20:N20)</f>
        <v>19.892195056999991</v>
      </c>
      <c r="O53" s="185">
        <f t="shared" ref="O53:AF57" ca="1" si="323">SUM(D20:O20)</f>
        <v>20.435054032999993</v>
      </c>
      <c r="P53" s="185">
        <f t="shared" ca="1" si="323"/>
        <v>21.300678841999996</v>
      </c>
      <c r="Q53" s="185">
        <f t="shared" ca="1" si="323"/>
        <v>21.106245103999985</v>
      </c>
      <c r="R53" s="185">
        <f t="shared" ca="1" si="323"/>
        <v>24.082745659999983</v>
      </c>
      <c r="S53" s="185">
        <f t="shared" ca="1" si="323"/>
        <v>22.614559142999994</v>
      </c>
      <c r="T53" s="185">
        <f t="shared" ca="1" si="323"/>
        <v>20.481260338999999</v>
      </c>
      <c r="U53" s="185">
        <f t="shared" ca="1" si="323"/>
        <v>19.724629186999998</v>
      </c>
      <c r="V53" s="185">
        <f t="shared" ca="1" si="323"/>
        <v>18.669019213000002</v>
      </c>
      <c r="W53" s="185">
        <f t="shared" ca="1" si="323"/>
        <v>19.274202932999991</v>
      </c>
      <c r="X53" s="185">
        <f t="shared" ca="1" si="323"/>
        <v>20.40475616300002</v>
      </c>
      <c r="Y53" s="185">
        <f t="shared" ca="1" si="323"/>
        <v>20.852575818000059</v>
      </c>
      <c r="Z53" s="185">
        <f t="shared" ca="1" si="323"/>
        <v>19.851830518103071</v>
      </c>
      <c r="AA53" s="185">
        <f t="shared" ca="1" si="323"/>
        <v>20.510845150103062</v>
      </c>
      <c r="AB53" s="185">
        <f t="shared" ca="1" si="323"/>
        <v>22.283464782103042</v>
      </c>
      <c r="AC53" s="185">
        <f t="shared" ca="1" si="323"/>
        <v>21.555011452103059</v>
      </c>
      <c r="AD53" s="185">
        <f t="shared" ca="1" si="323"/>
        <v>22.918928985103058</v>
      </c>
      <c r="AE53" s="185">
        <f t="shared" ca="1" si="323"/>
        <v>22.948219493103046</v>
      </c>
      <c r="AF53" s="185">
        <f t="shared" ca="1" si="323"/>
        <v>25.519838113103049</v>
      </c>
      <c r="AG53" s="185">
        <f t="shared" ref="AG53:AL53" ca="1" si="324">SUM(V20:AG20)</f>
        <v>29.556298878103039</v>
      </c>
      <c r="AH53" s="185">
        <f t="shared" ca="1" si="324"/>
        <v>30.311833723103042</v>
      </c>
      <c r="AI53" s="185">
        <f t="shared" ca="1" si="324"/>
        <v>28.816200499103054</v>
      </c>
      <c r="AJ53" s="185">
        <f t="shared" ca="1" si="324"/>
        <v>26.650606036103014</v>
      </c>
      <c r="AK53" s="185">
        <f t="shared" ca="1" si="324"/>
        <v>24.265986330102976</v>
      </c>
      <c r="AL53" s="185">
        <f t="shared" ca="1" si="324"/>
        <v>23.79193490799997</v>
      </c>
      <c r="AM53" s="185">
        <f ca="1">SUM(AB20:AM20)</f>
        <v>23.245567180999977</v>
      </c>
      <c r="AN53" s="185">
        <f ca="1">SUM(AC20:AN20)</f>
        <v>22.553711144999994</v>
      </c>
      <c r="AO53" s="185">
        <f ca="1">SUM(AD20:AO20)</f>
        <v>24.819387776999999</v>
      </c>
      <c r="AP53" s="185">
        <f ca="1">SUM(AE20:AP20)</f>
        <v>24.233530907000006</v>
      </c>
      <c r="AQ53" s="185">
        <f ca="1">SUM(AF20:AQ20)</f>
        <v>25.827993550000009</v>
      </c>
      <c r="AR53" s="185">
        <f ca="1">SUM(AG20:AR20)</f>
        <v>25.35848378699999</v>
      </c>
      <c r="AS53" s="185">
        <f ca="1">SUM(AH20:AS20)</f>
        <v>22.863749519999995</v>
      </c>
      <c r="AT53" s="185">
        <f ca="1">SUM(AI20:AT20)</f>
        <v>23.495740601999994</v>
      </c>
      <c r="AU53" s="185">
        <f ca="1">SUM(AJ20:AU20)</f>
        <v>25.594862233999997</v>
      </c>
      <c r="AV53" s="185">
        <f ca="1">SUM(AK20:AV20)</f>
        <v>26.575504098999993</v>
      </c>
      <c r="AW53" s="185">
        <f ca="1">SUM(AL20:AW20)</f>
        <v>27.740581537999979</v>
      </c>
      <c r="AX53" s="185">
        <f ca="1">SUM(AM20:AX20)</f>
        <v>31.473662111000017</v>
      </c>
      <c r="AY53" s="185">
        <f ca="1">SUM(AN20:AY20)</f>
        <v>28.273203193043997</v>
      </c>
      <c r="AZ53" s="185">
        <f ca="1">SUM(AO20:AZ20)</f>
        <v>28.835089404000005</v>
      </c>
      <c r="BA53" s="185">
        <f ca="1">SUM(AP20:BA20)</f>
        <v>20.006803770999994</v>
      </c>
      <c r="BB53" s="185">
        <f ca="1">SUM(AQ20:BB20)</f>
        <v>21.11002736599999</v>
      </c>
      <c r="BC53" s="185">
        <f ca="1">SUM(AR20:BC20)</f>
        <v>21.754325864999995</v>
      </c>
      <c r="BD53" s="185">
        <f ca="1">SUM(AS20:BD20)</f>
        <v>22.137436986999997</v>
      </c>
      <c r="BE53" s="185">
        <f ca="1">SUM(AT20:BE20)</f>
        <v>20.630904153000024</v>
      </c>
      <c r="BF53" s="185">
        <f ca="1">SUM(AU20:BF20)</f>
        <v>18.598941117999992</v>
      </c>
      <c r="BG53" s="185">
        <f ca="1">SUM(AV20:BG20)</f>
        <v>15.040202893</v>
      </c>
      <c r="BH53" s="185">
        <f ca="1">SUM(AW20:BH20)</f>
        <v>15.706691853999992</v>
      </c>
      <c r="BI53" s="185">
        <f ca="1">SUM(AX20:BI20)</f>
        <v>14.793317513000005</v>
      </c>
      <c r="BJ53" s="185">
        <f ca="1">SUM(AY20:BJ20)</f>
        <v>11.798125176999962</v>
      </c>
      <c r="BK53" s="185">
        <f ca="1">SUM(AZ20:BK20)</f>
        <v>12.827768655955987</v>
      </c>
      <c r="BL53" s="185">
        <f ca="1">SUM(BA20:BL20)</f>
        <v>10.710183664999972</v>
      </c>
      <c r="BM53" s="185">
        <f ca="1">SUM(BB20:BM20)</f>
        <v>17.645606371999975</v>
      </c>
      <c r="BN53" s="185">
        <f ca="1">SUM(BC20:BN20)</f>
        <v>14.567822775999975</v>
      </c>
      <c r="BO53" s="1"/>
      <c r="BP53" s="73"/>
      <c r="BQ53" s="6">
        <f t="shared" ref="BQ53:BQ58" ca="1" si="325">AVERAGE(C53:BN53)</f>
        <v>22.00071972781577</v>
      </c>
    </row>
    <row r="54" spans="1:69">
      <c r="A54" s="106" t="s">
        <v>7</v>
      </c>
      <c r="B54" s="118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185">
        <f t="shared" ref="N54:N57" ca="1" si="326">SUM(C21:N21)</f>
        <v>4.7707400000000035</v>
      </c>
      <c r="O54" s="185">
        <f t="shared" ca="1" si="323"/>
        <v>4.8160400000000028</v>
      </c>
      <c r="P54" s="185">
        <f t="shared" ca="1" si="323"/>
        <v>4.62134</v>
      </c>
      <c r="Q54" s="185">
        <f t="shared" ca="1" si="323"/>
        <v>4.707139999999999</v>
      </c>
      <c r="R54" s="185">
        <f t="shared" ca="1" si="323"/>
        <v>4.7524399999999964</v>
      </c>
      <c r="S54" s="185">
        <f t="shared" ca="1" si="323"/>
        <v>4.7947399999999929</v>
      </c>
      <c r="T54" s="185">
        <f t="shared" ca="1" si="323"/>
        <v>4.8370799999999905</v>
      </c>
      <c r="U54" s="185">
        <f t="shared" ca="1" si="323"/>
        <v>4.9024239999999866</v>
      </c>
      <c r="V54" s="185">
        <f t="shared" ca="1" si="323"/>
        <v>6.5949099999999827</v>
      </c>
      <c r="W54" s="185">
        <f t="shared" ca="1" si="323"/>
        <v>4.9834939999999781</v>
      </c>
      <c r="X54" s="185">
        <f t="shared" ca="1" si="323"/>
        <v>4.9896019999999748</v>
      </c>
      <c r="Y54" s="185">
        <f t="shared" ca="1" si="323"/>
        <v>5.3329899999999775</v>
      </c>
      <c r="Z54" s="185">
        <f t="shared" ca="1" si="323"/>
        <v>5.3761899999999798</v>
      </c>
      <c r="AA54" s="185">
        <f t="shared" ca="1" si="323"/>
        <v>5.4193899999999822</v>
      </c>
      <c r="AB54" s="185">
        <f t="shared" ca="1" si="323"/>
        <v>5.4625899999999845</v>
      </c>
      <c r="AC54" s="185">
        <f t="shared" ca="1" si="323"/>
        <v>5.4767899999999861</v>
      </c>
      <c r="AD54" s="185">
        <f t="shared" ca="1" si="323"/>
        <v>5.5199899999999884</v>
      </c>
      <c r="AE54" s="185">
        <f t="shared" ca="1" si="323"/>
        <v>5.5631899999999908</v>
      </c>
      <c r="AF54" s="185">
        <f t="shared" ca="1" si="323"/>
        <v>5.6063899999999931</v>
      </c>
      <c r="AG54" s="185">
        <f t="shared" ref="AG54:AI57" ca="1" si="327">SUM(V21:AG21)</f>
        <v>7.5015859999999952</v>
      </c>
      <c r="AH54" s="185">
        <f t="shared" ca="1" si="327"/>
        <v>5.8946399999999981</v>
      </c>
      <c r="AI54" s="185">
        <f t="shared" ca="1" si="327"/>
        <v>5.9415960000000005</v>
      </c>
      <c r="AJ54" s="185">
        <f t="shared" ref="AJ54:AK57" ca="1" si="328">SUM(Y21:AJ21)</f>
        <v>6.0117680000000044</v>
      </c>
      <c r="AK54" s="185">
        <f t="shared" ca="1" si="328"/>
        <v>5.7446600000000059</v>
      </c>
      <c r="AL54" s="185">
        <f t="shared" ref="AL54:AL57" ca="1" si="329">SUM(AA21:AL21)</f>
        <v>5.7777400000000076</v>
      </c>
      <c r="AM54" s="185">
        <f t="shared" ref="AM54:AN54" ca="1" si="330">SUM(AB21:AM21)</f>
        <v>5.8108200000000094</v>
      </c>
      <c r="AN54" s="185">
        <f t="shared" ca="1" si="330"/>
        <v>5.8439000000000112</v>
      </c>
      <c r="AO54" s="185">
        <f t="shared" ref="AO54:AQ54" ca="1" si="331">SUM(AD21:AO21)</f>
        <v>5.8954800000000134</v>
      </c>
      <c r="AP54" s="185">
        <f t="shared" ca="1" si="331"/>
        <v>5.9285600000000152</v>
      </c>
      <c r="AQ54" s="185">
        <f t="shared" ca="1" si="331"/>
        <v>5.9616400000000134</v>
      </c>
      <c r="AR54" s="185">
        <f t="shared" ref="AR54:AS57" ca="1" si="332">SUM(AG21:AR21)</f>
        <v>5.9947200000000116</v>
      </c>
      <c r="AS54" s="185">
        <f t="shared" ca="1" si="332"/>
        <v>5.8028000000000102</v>
      </c>
      <c r="AT54" s="185">
        <f t="shared" ref="AT54:AT57" ca="1" si="333">SUM(AI21:AT21)</f>
        <v>5.8358800000000084</v>
      </c>
      <c r="AU54" s="185">
        <f t="shared" ref="AU54:AW56" ca="1" si="334">SUM(AJ21:AU21)</f>
        <v>5.8689600000000066</v>
      </c>
      <c r="AV54" s="185">
        <f t="shared" ca="1" si="334"/>
        <v>5.9235600000000037</v>
      </c>
      <c r="AW54" s="185">
        <f t="shared" ca="1" si="334"/>
        <v>5.9781600000000008</v>
      </c>
      <c r="AX54" s="185">
        <f t="shared" ref="AX54:AY57" ca="1" si="335">SUM(AM21:AX21)</f>
        <v>6.0327599999999979</v>
      </c>
      <c r="AY54" s="185">
        <f t="shared" ca="1" si="335"/>
        <v>6.087359999999995</v>
      </c>
      <c r="AZ54" s="185">
        <f t="shared" ref="AZ54:AZ55" ca="1" si="336">SUM(AO21:AZ21)</f>
        <v>6.1419599999999921</v>
      </c>
      <c r="BA54" s="185">
        <f t="shared" ref="BA54:BA55" ca="1" si="337">SUM(AP21:BA21)</f>
        <v>7.6965599999999892</v>
      </c>
      <c r="BB54" s="185">
        <f t="shared" ref="BB54:BB57" ca="1" si="338">SUM(AQ21:BB21)</f>
        <v>7.7511599999999863</v>
      </c>
      <c r="BC54" s="185">
        <f t="shared" ref="BC54:BC57" ca="1" si="339">SUM(AR21:BC21)</f>
        <v>7.8057599999999869</v>
      </c>
      <c r="BD54" s="185">
        <f t="shared" ref="BD54:BD57" ca="1" si="340">SUM(AS21:BD21)</f>
        <v>7.8603599999999876</v>
      </c>
      <c r="BE54" s="185">
        <f t="shared" ref="BE54:BE57" ca="1" si="341">SUM(AT21:BE21)</f>
        <v>6.2649599999999879</v>
      </c>
      <c r="BF54" s="185">
        <f t="shared" ref="BF54:BF57" ca="1" si="342">SUM(AU21:BF21)</f>
        <v>6.3195599999999885</v>
      </c>
      <c r="BG54" s="185">
        <f t="shared" ref="BG54" ca="1" si="343">SUM(AV21:BG21)</f>
        <v>6.3741599999999892</v>
      </c>
      <c r="BH54" s="185">
        <f t="shared" ref="BH54:BH57" ca="1" si="344">SUM(AW21:BH21)</f>
        <v>6.6930399999999892</v>
      </c>
      <c r="BI54" s="185">
        <f t="shared" ref="BI54:BI57" ca="1" si="345">SUM(AX21:BI21)</f>
        <v>6.7619199999999893</v>
      </c>
      <c r="BJ54" s="185">
        <f t="shared" ref="BJ54:BJ57" ca="1" si="346">SUM(AY21:BJ21)</f>
        <v>6.8307999999999893</v>
      </c>
      <c r="BK54" s="185">
        <f t="shared" ref="BK54:BN54" ca="1" si="347">SUM(AZ21:BK21)</f>
        <v>6.8996799999999894</v>
      </c>
      <c r="BL54" s="185">
        <f t="shared" ca="1" si="347"/>
        <v>6.9685599999999894</v>
      </c>
      <c r="BM54" s="185">
        <f t="shared" ca="1" si="347"/>
        <v>5.5374399999999895</v>
      </c>
      <c r="BN54" s="185">
        <f t="shared" ca="1" si="347"/>
        <v>5.6063199999999895</v>
      </c>
      <c r="BO54" s="1"/>
      <c r="BP54" s="73"/>
      <c r="BQ54" s="6">
        <f t="shared" ca="1" si="325"/>
        <v>5.9221943396226351</v>
      </c>
    </row>
    <row r="55" spans="1:69">
      <c r="A55" s="106" t="s">
        <v>8</v>
      </c>
      <c r="B55" s="118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185">
        <f t="shared" ca="1" si="326"/>
        <v>0.2475</v>
      </c>
      <c r="O55" s="185">
        <f t="shared" ca="1" si="323"/>
        <v>0</v>
      </c>
      <c r="P55" s="185">
        <f t="shared" ca="1" si="323"/>
        <v>0</v>
      </c>
      <c r="Q55" s="185">
        <f t="shared" ca="1" si="323"/>
        <v>-1.9700000000000051E-2</v>
      </c>
      <c r="R55" s="185">
        <f t="shared" ca="1" si="323"/>
        <v>2.6650000000000063E-2</v>
      </c>
      <c r="S55" s="185">
        <f t="shared" ca="1" si="323"/>
        <v>-8.6500000000000465E-3</v>
      </c>
      <c r="T55" s="185">
        <f t="shared" ca="1" si="323"/>
        <v>6.7500000000000338E-3</v>
      </c>
      <c r="U55" s="185">
        <f t="shared" ca="1" si="323"/>
        <v>5.1600000000000534E-3</v>
      </c>
      <c r="V55" s="185">
        <f t="shared" ca="1" si="323"/>
        <v>5.1600000000000534E-3</v>
      </c>
      <c r="W55" s="185">
        <f t="shared" ca="1" si="323"/>
        <v>5.1600000000000534E-3</v>
      </c>
      <c r="X55" s="185">
        <f t="shared" ca="1" si="323"/>
        <v>5.1600000000000534E-3</v>
      </c>
      <c r="Y55" s="185">
        <f t="shared" ca="1" si="323"/>
        <v>5.1600000000000534E-3</v>
      </c>
      <c r="Z55" s="185">
        <f t="shared" ca="1" si="323"/>
        <v>5.1600000000000534E-3</v>
      </c>
      <c r="AA55" s="185">
        <f t="shared" ca="1" si="323"/>
        <v>5.1600000000000534E-3</v>
      </c>
      <c r="AB55" s="185">
        <f t="shared" ca="1" si="323"/>
        <v>5.1600000000000534E-3</v>
      </c>
      <c r="AC55" s="185">
        <f t="shared" ca="1" si="323"/>
        <v>2.4860000000000104E-2</v>
      </c>
      <c r="AD55" s="185">
        <f t="shared" ca="1" si="323"/>
        <v>-2.1490000000000009E-2</v>
      </c>
      <c r="AE55" s="185">
        <f t="shared" ca="1" si="323"/>
        <v>1.38100000000001E-2</v>
      </c>
      <c r="AF55" s="185">
        <f t="shared" ca="1" si="323"/>
        <v>-1.5899999999999803E-3</v>
      </c>
      <c r="AG55" s="185">
        <f t="shared" ca="1" si="327"/>
        <v>0</v>
      </c>
      <c r="AH55" s="185">
        <f t="shared" ca="1" si="327"/>
        <v>0</v>
      </c>
      <c r="AI55" s="185">
        <f t="shared" ca="1" si="327"/>
        <v>0</v>
      </c>
      <c r="AJ55" s="185">
        <f t="shared" ca="1" si="328"/>
        <v>0</v>
      </c>
      <c r="AK55" s="185">
        <f t="shared" ca="1" si="328"/>
        <v>0</v>
      </c>
      <c r="AL55" s="185">
        <f t="shared" ca="1" si="329"/>
        <v>0</v>
      </c>
      <c r="AM55" s="185">
        <f t="shared" ref="AM55:AN55" ca="1" si="348">SUM(AB22:AM22)</f>
        <v>0</v>
      </c>
      <c r="AN55" s="185">
        <f t="shared" ca="1" si="348"/>
        <v>0</v>
      </c>
      <c r="AO55" s="185">
        <f t="shared" ref="AO55:AQ55" ca="1" si="349">SUM(AD22:AO22)</f>
        <v>0</v>
      </c>
      <c r="AP55" s="185">
        <f t="shared" ca="1" si="349"/>
        <v>0</v>
      </c>
      <c r="AQ55" s="185">
        <f t="shared" ca="1" si="349"/>
        <v>0</v>
      </c>
      <c r="AR55" s="185">
        <f t="shared" ca="1" si="332"/>
        <v>0</v>
      </c>
      <c r="AS55" s="185">
        <f t="shared" ca="1" si="332"/>
        <v>0</v>
      </c>
      <c r="AT55" s="185">
        <f t="shared" ca="1" si="333"/>
        <v>0</v>
      </c>
      <c r="AU55" s="185">
        <f t="shared" ca="1" si="334"/>
        <v>0</v>
      </c>
      <c r="AV55" s="185">
        <f t="shared" ca="1" si="334"/>
        <v>0</v>
      </c>
      <c r="AW55" s="185">
        <f t="shared" ca="1" si="334"/>
        <v>0</v>
      </c>
      <c r="AX55" s="185">
        <f t="shared" ca="1" si="335"/>
        <v>0</v>
      </c>
      <c r="AY55" s="185">
        <f t="shared" ca="1" si="335"/>
        <v>0</v>
      </c>
      <c r="AZ55" s="185">
        <f t="shared" ca="1" si="336"/>
        <v>0</v>
      </c>
      <c r="BA55" s="185">
        <f t="shared" ca="1" si="337"/>
        <v>0</v>
      </c>
      <c r="BB55" s="185">
        <f t="shared" ca="1" si="338"/>
        <v>0</v>
      </c>
      <c r="BC55" s="185">
        <f t="shared" ca="1" si="339"/>
        <v>0</v>
      </c>
      <c r="BD55" s="185">
        <f t="shared" ca="1" si="340"/>
        <v>0</v>
      </c>
      <c r="BE55" s="185">
        <f t="shared" ca="1" si="341"/>
        <v>1</v>
      </c>
      <c r="BF55" s="185">
        <f t="shared" ca="1" si="342"/>
        <v>1</v>
      </c>
      <c r="BG55" s="185">
        <f t="shared" ref="BG55" ca="1" si="350">SUM(AV22:BG22)</f>
        <v>1</v>
      </c>
      <c r="BH55" s="185">
        <f t="shared" ca="1" si="344"/>
        <v>1</v>
      </c>
      <c r="BI55" s="185">
        <f t="shared" ca="1" si="345"/>
        <v>1</v>
      </c>
      <c r="BJ55" s="185">
        <f t="shared" ca="1" si="346"/>
        <v>1</v>
      </c>
      <c r="BK55" s="185">
        <f t="shared" ref="BK55:BN55" ca="1" si="351">SUM(AZ22:BK22)</f>
        <v>1</v>
      </c>
      <c r="BL55" s="185">
        <f t="shared" ca="1" si="351"/>
        <v>1</v>
      </c>
      <c r="BM55" s="185">
        <f t="shared" ca="1" si="351"/>
        <v>1</v>
      </c>
      <c r="BN55" s="185">
        <f t="shared" ca="1" si="351"/>
        <v>1</v>
      </c>
      <c r="BO55" s="1"/>
      <c r="BP55" s="73"/>
      <c r="BQ55" s="6">
        <f t="shared" ca="1" si="325"/>
        <v>0.19451735849056606</v>
      </c>
    </row>
    <row r="56" spans="1:69">
      <c r="A56" s="106" t="s">
        <v>9</v>
      </c>
      <c r="B56" s="118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185">
        <f t="shared" ca="1" si="326"/>
        <v>-0.18999999999999995</v>
      </c>
      <c r="O56" s="185">
        <f t="shared" ca="1" si="323"/>
        <v>-0.18999999999999995</v>
      </c>
      <c r="P56" s="185">
        <f t="shared" ca="1" si="323"/>
        <v>-0.18999999999999995</v>
      </c>
      <c r="Q56" s="185">
        <f t="shared" ca="1" si="323"/>
        <v>-0.18999999999999995</v>
      </c>
      <c r="R56" s="185">
        <f t="shared" ca="1" si="323"/>
        <v>-0.18999999999999995</v>
      </c>
      <c r="S56" s="185">
        <f t="shared" ca="1" si="323"/>
        <v>-0.18999999999999995</v>
      </c>
      <c r="T56" s="185">
        <f t="shared" ca="1" si="323"/>
        <v>-0.18999999999999995</v>
      </c>
      <c r="U56" s="185">
        <f t="shared" ca="1" si="323"/>
        <v>-0.18999999999999995</v>
      </c>
      <c r="V56" s="185">
        <f t="shared" ca="1" si="323"/>
        <v>-0.29484999999999995</v>
      </c>
      <c r="W56" s="185">
        <f t="shared" ca="1" si="323"/>
        <v>-0.73</v>
      </c>
      <c r="X56" s="185">
        <f t="shared" ca="1" si="323"/>
        <v>-0.73</v>
      </c>
      <c r="Y56" s="185">
        <f t="shared" ca="1" si="323"/>
        <v>0</v>
      </c>
      <c r="Z56" s="185">
        <f t="shared" ca="1" si="323"/>
        <v>0</v>
      </c>
      <c r="AA56" s="185">
        <f t="shared" ca="1" si="323"/>
        <v>0</v>
      </c>
      <c r="AB56" s="185">
        <f t="shared" ca="1" si="323"/>
        <v>0</v>
      </c>
      <c r="AC56" s="185">
        <f t="shared" ca="1" si="323"/>
        <v>0</v>
      </c>
      <c r="AD56" s="185">
        <f t="shared" ca="1" si="323"/>
        <v>0</v>
      </c>
      <c r="AE56" s="185">
        <f t="shared" ca="1" si="323"/>
        <v>0</v>
      </c>
      <c r="AF56" s="185">
        <f t="shared" ca="1" si="323"/>
        <v>0</v>
      </c>
      <c r="AG56" s="185">
        <f t="shared" ca="1" si="327"/>
        <v>0</v>
      </c>
      <c r="AH56" s="185">
        <f t="shared" ca="1" si="327"/>
        <v>0</v>
      </c>
      <c r="AI56" s="185">
        <f t="shared" ca="1" si="327"/>
        <v>0</v>
      </c>
      <c r="AJ56" s="185">
        <f t="shared" ca="1" si="328"/>
        <v>0</v>
      </c>
      <c r="AK56" s="185">
        <f t="shared" ca="1" si="328"/>
        <v>0</v>
      </c>
      <c r="AL56" s="185">
        <f t="shared" ca="1" si="329"/>
        <v>0</v>
      </c>
      <c r="AM56" s="185">
        <f t="shared" ref="AM56:AN56" ca="1" si="352">SUM(AB23:AM23)</f>
        <v>0</v>
      </c>
      <c r="AN56" s="185">
        <f t="shared" ca="1" si="352"/>
        <v>0</v>
      </c>
      <c r="AO56" s="185">
        <f t="shared" ref="AO56:AQ56" ca="1" si="353">SUM(AD23:AO23)</f>
        <v>0</v>
      </c>
      <c r="AP56" s="185">
        <f t="shared" ca="1" si="353"/>
        <v>0</v>
      </c>
      <c r="AQ56" s="185">
        <f t="shared" ca="1" si="353"/>
        <v>0</v>
      </c>
      <c r="AR56" s="185">
        <f t="shared" ca="1" si="332"/>
        <v>0</v>
      </c>
      <c r="AS56" s="185">
        <f t="shared" ca="1" si="332"/>
        <v>0</v>
      </c>
      <c r="AT56" s="185">
        <f t="shared" ca="1" si="333"/>
        <v>0</v>
      </c>
      <c r="AU56" s="185">
        <f t="shared" ca="1" si="334"/>
        <v>0</v>
      </c>
      <c r="AV56" s="185">
        <f t="shared" ca="1" si="334"/>
        <v>0</v>
      </c>
      <c r="AW56" s="185">
        <f t="shared" ca="1" si="334"/>
        <v>0</v>
      </c>
      <c r="AX56" s="185">
        <f t="shared" ca="1" si="335"/>
        <v>0</v>
      </c>
      <c r="AY56" s="185">
        <f t="shared" ca="1" si="335"/>
        <v>0</v>
      </c>
      <c r="AZ56" s="185">
        <f t="shared" ref="AZ56" ca="1" si="354">SUM(AM23:AZ23)</f>
        <v>0</v>
      </c>
      <c r="BA56" s="185">
        <f ca="1">SUM(AM23:BA23)</f>
        <v>0</v>
      </c>
      <c r="BB56" s="185">
        <f t="shared" ca="1" si="338"/>
        <v>0</v>
      </c>
      <c r="BC56" s="185">
        <f t="shared" ca="1" si="339"/>
        <v>0</v>
      </c>
      <c r="BD56" s="185">
        <f t="shared" ca="1" si="340"/>
        <v>0</v>
      </c>
      <c r="BE56" s="185">
        <f t="shared" ca="1" si="341"/>
        <v>0</v>
      </c>
      <c r="BF56" s="185">
        <f t="shared" ca="1" si="342"/>
        <v>0</v>
      </c>
      <c r="BG56" s="185">
        <f t="shared" ref="BG56" ca="1" si="355">SUM(AV23:BG23)</f>
        <v>0</v>
      </c>
      <c r="BH56" s="185">
        <f t="shared" ca="1" si="344"/>
        <v>0</v>
      </c>
      <c r="BI56" s="185">
        <f t="shared" ca="1" si="345"/>
        <v>0</v>
      </c>
      <c r="BJ56" s="185">
        <f t="shared" ca="1" si="346"/>
        <v>0</v>
      </c>
      <c r="BK56" s="185">
        <f t="shared" ref="BK56:BK57" ca="1" si="356">SUM(AZ23:BK23)</f>
        <v>0</v>
      </c>
      <c r="BL56" s="185">
        <f t="shared" ref="BL56:BL57" ca="1" si="357">SUM(BA23:BL23)</f>
        <v>0</v>
      </c>
      <c r="BM56" s="185">
        <f t="shared" ref="BM56:BN56" ca="1" si="358">SUM(BB23:BM23)</f>
        <v>0</v>
      </c>
      <c r="BN56" s="185">
        <f t="shared" ca="1" si="358"/>
        <v>0</v>
      </c>
      <c r="BO56" s="1"/>
      <c r="BP56" s="73"/>
      <c r="BQ56" s="6">
        <f t="shared" ca="1" si="325"/>
        <v>-6.1789622641509424E-2</v>
      </c>
    </row>
    <row r="57" spans="1:69">
      <c r="A57" s="106" t="s">
        <v>10</v>
      </c>
      <c r="B57" s="118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185">
        <f t="shared" ca="1" si="326"/>
        <v>-1.7924342990000004</v>
      </c>
      <c r="O57" s="185">
        <f t="shared" ca="1" si="323"/>
        <v>-0.84252166900000036</v>
      </c>
      <c r="P57" s="185">
        <f t="shared" ca="1" si="323"/>
        <v>0.34396987699999992</v>
      </c>
      <c r="Q57" s="185">
        <f t="shared" ca="1" si="323"/>
        <v>0.34435938899999985</v>
      </c>
      <c r="R57" s="185">
        <f t="shared" ca="1" si="323"/>
        <v>-2.1591809439999996</v>
      </c>
      <c r="S57" s="185">
        <f t="shared" ca="1" si="323"/>
        <v>-3.5198530780000006</v>
      </c>
      <c r="T57" s="185">
        <f t="shared" ca="1" si="323"/>
        <v>-3.5291138629999996</v>
      </c>
      <c r="U57" s="185">
        <f t="shared" ca="1" si="323"/>
        <v>-2.5383889910000001</v>
      </c>
      <c r="V57" s="185">
        <f t="shared" ca="1" si="323"/>
        <v>1.9545104000000006</v>
      </c>
      <c r="W57" s="185">
        <f t="shared" ca="1" si="323"/>
        <v>-1.8487874399999997</v>
      </c>
      <c r="X57" s="185">
        <f t="shared" ca="1" si="323"/>
        <v>-3.3509365259999995</v>
      </c>
      <c r="Y57" s="185">
        <f t="shared" ca="1" si="323"/>
        <v>-2.3510603899999993</v>
      </c>
      <c r="Z57" s="185">
        <f t="shared" ca="1" si="323"/>
        <v>-1.357565701</v>
      </c>
      <c r="AA57" s="185">
        <f t="shared" ca="1" si="323"/>
        <v>-0.85747833099999982</v>
      </c>
      <c r="AB57" s="185">
        <f t="shared" ca="1" si="323"/>
        <v>0.15603012299999985</v>
      </c>
      <c r="AC57" s="185">
        <f t="shared" ca="1" si="323"/>
        <v>1.6521389969999998</v>
      </c>
      <c r="AD57" s="185">
        <f t="shared" ca="1" si="323"/>
        <v>0.64836221100000024</v>
      </c>
      <c r="AE57" s="185">
        <f t="shared" ca="1" si="323"/>
        <v>0.99996780400000018</v>
      </c>
      <c r="AF57" s="185">
        <f t="shared" ca="1" si="323"/>
        <v>0</v>
      </c>
      <c r="AG57" s="185">
        <f t="shared" ca="1" si="327"/>
        <v>2</v>
      </c>
      <c r="AH57" s="185">
        <f t="shared" ca="1" si="327"/>
        <v>-4</v>
      </c>
      <c r="AI57" s="185">
        <f t="shared" ca="1" si="327"/>
        <v>-2.5</v>
      </c>
      <c r="AJ57" s="185">
        <f t="shared" ca="1" si="328"/>
        <v>0</v>
      </c>
      <c r="AK57" s="185">
        <f t="shared" ca="1" si="328"/>
        <v>0</v>
      </c>
      <c r="AL57" s="185">
        <f t="shared" ca="1" si="329"/>
        <v>0.5</v>
      </c>
      <c r="AM57" s="185">
        <f t="shared" ref="AM57:AN57" ca="1" si="359">SUM(AB24:AM24)</f>
        <v>2.5</v>
      </c>
      <c r="AN57" s="185">
        <f t="shared" ca="1" si="359"/>
        <v>-1.5</v>
      </c>
      <c r="AO57" s="185">
        <f t="shared" ref="AO57:AQ57" ca="1" si="360">SUM(AD24:AO24)</f>
        <v>-0.98653655399999973</v>
      </c>
      <c r="AP57" s="185">
        <f t="shared" ca="1" si="360"/>
        <v>2.4702571999999812E-2</v>
      </c>
      <c r="AQ57" s="185">
        <f t="shared" ca="1" si="360"/>
        <v>-1</v>
      </c>
      <c r="AR57" s="185">
        <f t="shared" ca="1" si="332"/>
        <v>0</v>
      </c>
      <c r="AS57" s="185">
        <f t="shared" ca="1" si="332"/>
        <v>1.0049730219999997</v>
      </c>
      <c r="AT57" s="185">
        <f t="shared" ca="1" si="333"/>
        <v>3.0221235549999999</v>
      </c>
      <c r="AU57" s="185">
        <f ca="1">SUM(AJ24:AU24)</f>
        <v>3.0407110509999997</v>
      </c>
      <c r="AV57" s="185">
        <f ca="1">SUM(AK24:AV24)</f>
        <v>1.042222156</v>
      </c>
      <c r="AW57" s="185">
        <f ca="1">SUM(AL24:AW24)</f>
        <v>0.52468656000000002</v>
      </c>
      <c r="AX57" s="185">
        <f t="shared" ca="1" si="335"/>
        <v>-2</v>
      </c>
      <c r="AY57" s="185">
        <f t="shared" ca="1" si="335"/>
        <v>-4</v>
      </c>
      <c r="AZ57" s="185">
        <f ca="1">SUM(AO24:AZ24)</f>
        <v>0</v>
      </c>
      <c r="BA57" s="185">
        <f ca="1">SUM(AP24:BA24)</f>
        <v>6.9865365539999997</v>
      </c>
      <c r="BB57" s="185">
        <f t="shared" ca="1" si="338"/>
        <v>3.9754118580000002</v>
      </c>
      <c r="BC57" s="185">
        <f t="shared" ca="1" si="339"/>
        <v>4.4112820199999998</v>
      </c>
      <c r="BD57" s="185">
        <f t="shared" ca="1" si="340"/>
        <v>0</v>
      </c>
      <c r="BE57" s="185">
        <f t="shared" ca="1" si="341"/>
        <v>0.99498020300000034</v>
      </c>
      <c r="BF57" s="185">
        <f t="shared" ca="1" si="342"/>
        <v>-3.0221235550000003</v>
      </c>
      <c r="BG57" s="185">
        <f t="shared" ref="BG57" ca="1" si="361">SUM(AV24:BG24)</f>
        <v>-3.0407110509999997</v>
      </c>
      <c r="BH57" s="185">
        <f t="shared" ca="1" si="344"/>
        <v>-1.0422221560000002</v>
      </c>
      <c r="BI57" s="185">
        <f t="shared" ca="1" si="345"/>
        <v>-0.52468655999999925</v>
      </c>
      <c r="BJ57" s="185">
        <f t="shared" ca="1" si="346"/>
        <v>0</v>
      </c>
      <c r="BK57" s="185">
        <f t="shared" ca="1" si="356"/>
        <v>0</v>
      </c>
      <c r="BL57" s="185">
        <f t="shared" ca="1" si="357"/>
        <v>0</v>
      </c>
      <c r="BM57" s="185">
        <f t="shared" ref="BM57:BN57" ca="1" si="362">SUM(BB24:BM24)</f>
        <v>-9</v>
      </c>
      <c r="BN57" s="185">
        <f t="shared" ca="1" si="362"/>
        <v>-6.00011443</v>
      </c>
      <c r="BO57" s="1"/>
      <c r="BP57" s="73"/>
      <c r="BQ57" s="6">
        <f t="shared" ca="1" si="325"/>
        <v>-0.50258013558490566</v>
      </c>
    </row>
    <row r="58" spans="1:69">
      <c r="A58" s="98" t="s">
        <v>11</v>
      </c>
      <c r="B58" s="75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186">
        <f ca="1">SUM(N53:N57)</f>
        <v>22.928000757999992</v>
      </c>
      <c r="O58" s="186">
        <f t="shared" ref="O58" ca="1" si="363">SUM(O53:O57)</f>
        <v>24.218572363999993</v>
      </c>
      <c r="P58" s="186">
        <f t="shared" ref="P58" ca="1" si="364">SUM(P53:P57)</f>
        <v>26.075988718999994</v>
      </c>
      <c r="Q58" s="186">
        <f t="shared" ref="Q58" ca="1" si="365">SUM(Q53:Q57)</f>
        <v>25.948044492999983</v>
      </c>
      <c r="R58" s="186">
        <f t="shared" ref="R58" ca="1" si="366">SUM(R53:R57)</f>
        <v>26.512654715999979</v>
      </c>
      <c r="S58" s="186">
        <f t="shared" ref="S58" ca="1" si="367">SUM(S53:S57)</f>
        <v>23.690796064999986</v>
      </c>
      <c r="T58" s="186">
        <f t="shared" ref="T58" ca="1" si="368">SUM(T53:T57)</f>
        <v>21.605976475999988</v>
      </c>
      <c r="U58" s="186">
        <f t="shared" ref="U58" ca="1" si="369">SUM(U53:U57)</f>
        <v>21.903824195999981</v>
      </c>
      <c r="V58" s="186">
        <f t="shared" ref="V58" ca="1" si="370">SUM(V53:V57)</f>
        <v>26.928749612999983</v>
      </c>
      <c r="W58" s="186">
        <f t="shared" ref="W58" ca="1" si="371">SUM(W53:W57)</f>
        <v>21.684069492999971</v>
      </c>
      <c r="X58" s="186">
        <f t="shared" ref="X58" ca="1" si="372">SUM(X53:X57)</f>
        <v>21.318581636999994</v>
      </c>
      <c r="Y58" s="186">
        <f t="shared" ref="Y58" ca="1" si="373">SUM(Y53:Y57)</f>
        <v>23.839665428000036</v>
      </c>
      <c r="Z58" s="186">
        <f t="shared" ref="Z58" ca="1" si="374">SUM(Z53:Z57)</f>
        <v>23.875614817103052</v>
      </c>
      <c r="AA58" s="186">
        <f t="shared" ref="AA58:AB58" ca="1" si="375">SUM(AA53:AA57)</f>
        <v>25.077916819103045</v>
      </c>
      <c r="AB58" s="186">
        <f t="shared" ca="1" si="375"/>
        <v>27.907244905103028</v>
      </c>
      <c r="AC58" s="186">
        <f t="shared" ref="AC58:AD58" ca="1" si="376">SUM(AC53:AC57)</f>
        <v>28.708800449103045</v>
      </c>
      <c r="AD58" s="186">
        <f t="shared" ca="1" si="376"/>
        <v>29.065791196103049</v>
      </c>
      <c r="AE58" s="186">
        <f t="shared" ref="AE58:AF58" ca="1" si="377">SUM(AE53:AE57)</f>
        <v>29.525187297103038</v>
      </c>
      <c r="AF58" s="186">
        <f t="shared" ca="1" si="377"/>
        <v>31.124638113103043</v>
      </c>
      <c r="AG58" s="186">
        <f t="shared" ref="AG58:BN58" ca="1" si="378">SUM(AG53:AG57)</f>
        <v>39.057884878103032</v>
      </c>
      <c r="AH58" s="186">
        <f t="shared" ref="AH58:AJ58" ca="1" si="379">SUM(AH53:AH57)</f>
        <v>32.206473723103038</v>
      </c>
      <c r="AI58" s="186">
        <f t="shared" ca="1" si="379"/>
        <v>32.257796499103051</v>
      </c>
      <c r="AJ58" s="186">
        <f t="shared" ca="1" si="379"/>
        <v>32.662374036103017</v>
      </c>
      <c r="AK58" s="186">
        <f t="shared" ref="AK58:AM58" ca="1" si="380">SUM(AK53:AK57)</f>
        <v>30.010646330102983</v>
      </c>
      <c r="AL58" s="186">
        <f t="shared" ca="1" si="380"/>
        <v>30.069674907999978</v>
      </c>
      <c r="AM58" s="186">
        <f t="shared" ca="1" si="380"/>
        <v>31.556387180999987</v>
      </c>
      <c r="AN58" s="186">
        <f t="shared" ref="AN58:AO58" ca="1" si="381">SUM(AN53:AN57)</f>
        <v>26.897611145000006</v>
      </c>
      <c r="AO58" s="186">
        <f t="shared" ca="1" si="381"/>
        <v>29.728331223000012</v>
      </c>
      <c r="AP58" s="186">
        <f t="shared" ref="AP58:BN58" ca="1" si="382">SUM(AP53:AP57)</f>
        <v>30.18679347900002</v>
      </c>
      <c r="AQ58" s="186">
        <f t="shared" ca="1" si="382"/>
        <v>30.789633550000023</v>
      </c>
      <c r="AR58" s="186">
        <f t="shared" ca="1" si="382"/>
        <v>31.353203787000002</v>
      </c>
      <c r="AS58" s="186">
        <f t="shared" ref="AS58:BN58" ca="1" si="383">SUM(AS53:AS57)</f>
        <v>29.671522542000005</v>
      </c>
      <c r="AT58" s="186">
        <f t="shared" ref="AT58:AW58" ca="1" si="384">SUM(AT53:AT57)</f>
        <v>32.353744157000001</v>
      </c>
      <c r="AU58" s="186">
        <f t="shared" ca="1" si="384"/>
        <v>34.504533285000008</v>
      </c>
      <c r="AV58" s="186">
        <f t="shared" ref="AV58:BN58" ca="1" si="385">SUM(AV53:AV57)</f>
        <v>33.541286254999996</v>
      </c>
      <c r="AW58" s="186">
        <f t="shared" ca="1" si="385"/>
        <v>34.243428097999981</v>
      </c>
      <c r="AX58" s="186">
        <f t="shared" ref="AX58:BM58" ca="1" si="386">SUM(AX53:AX57)</f>
        <v>35.506422111000013</v>
      </c>
      <c r="AY58" s="186">
        <f t="shared" ca="1" si="386"/>
        <v>30.360563193043994</v>
      </c>
      <c r="AZ58" s="186">
        <f t="shared" ca="1" si="386"/>
        <v>34.977049403999999</v>
      </c>
      <c r="BA58" s="186">
        <f t="shared" ca="1" si="386"/>
        <v>34.689900324999982</v>
      </c>
      <c r="BB58" s="186">
        <f t="shared" ca="1" si="386"/>
        <v>32.836599223999976</v>
      </c>
      <c r="BC58" s="186">
        <f t="shared" ca="1" si="386"/>
        <v>33.971367884999985</v>
      </c>
      <c r="BD58" s="186">
        <f t="shared" ca="1" si="386"/>
        <v>29.997796986999987</v>
      </c>
      <c r="BE58" s="186">
        <f t="shared" ca="1" si="386"/>
        <v>28.890844356000013</v>
      </c>
      <c r="BF58" s="186">
        <f t="shared" ca="1" si="386"/>
        <v>22.89637756299998</v>
      </c>
      <c r="BG58" s="186">
        <f t="shared" ca="1" si="386"/>
        <v>19.37365184199999</v>
      </c>
      <c r="BH58" s="186">
        <f t="shared" ca="1" si="386"/>
        <v>22.35750969799998</v>
      </c>
      <c r="BI58" s="186">
        <f t="shared" ca="1" si="386"/>
        <v>22.030550952999995</v>
      </c>
      <c r="BJ58" s="186">
        <f t="shared" ca="1" si="386"/>
        <v>19.62892517699995</v>
      </c>
      <c r="BK58" s="186">
        <f t="shared" ca="1" si="386"/>
        <v>20.727448655955975</v>
      </c>
      <c r="BL58" s="186">
        <f t="shared" ca="1" si="386"/>
        <v>18.678743664999963</v>
      </c>
      <c r="BM58" s="186">
        <f t="shared" ca="1" si="386"/>
        <v>15.183046371999964</v>
      </c>
      <c r="BN58" s="186">
        <f t="shared" ca="1" si="385"/>
        <v>15.174028345999965</v>
      </c>
      <c r="BO58" s="1"/>
      <c r="BP58" s="73"/>
      <c r="BQ58" s="6">
        <f t="shared" ca="1" si="325"/>
        <v>27.553061667702575</v>
      </c>
    </row>
    <row r="59" spans="1:69">
      <c r="A59" s="99"/>
      <c r="B59" s="183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  <c r="BA59" s="184"/>
      <c r="BB59" s="184"/>
      <c r="BC59" s="184"/>
      <c r="BD59" s="184"/>
      <c r="BE59" s="184"/>
      <c r="BF59" s="184"/>
      <c r="BG59" s="184"/>
      <c r="BH59" s="184"/>
      <c r="BI59" s="184"/>
      <c r="BJ59" s="184"/>
      <c r="BK59" s="184"/>
      <c r="BL59" s="184"/>
      <c r="BM59" s="184"/>
      <c r="BN59" s="184"/>
      <c r="BO59" s="1"/>
      <c r="BP59" s="73"/>
      <c r="BQ59" s="6"/>
    </row>
    <row r="60" spans="1:69">
      <c r="A60" s="203" t="s">
        <v>112</v>
      </c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3"/>
      <c r="BJ60" s="203"/>
      <c r="BK60" s="203"/>
      <c r="BL60" s="203"/>
      <c r="BM60" s="203"/>
      <c r="BN60" s="203"/>
      <c r="BO60" s="66"/>
      <c r="BP60" s="73"/>
      <c r="BQ60" s="6"/>
    </row>
    <row r="61" spans="1:69">
      <c r="A61" s="106" t="s">
        <v>6</v>
      </c>
      <c r="B61" s="118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185">
        <f ca="1">SUM(C28:N28)</f>
        <v>19.457679231817007</v>
      </c>
      <c r="O61" s="185">
        <f t="shared" ref="O61:AF65" ca="1" si="387">SUM(D28:O28)</f>
        <v>17.701440673000008</v>
      </c>
      <c r="P61" s="185">
        <f t="shared" ca="1" si="387"/>
        <v>5.8591552569999878</v>
      </c>
      <c r="Q61" s="185">
        <f t="shared" ca="1" si="387"/>
        <v>12.22059834900001</v>
      </c>
      <c r="R61" s="185">
        <f t="shared" ca="1" si="387"/>
        <v>10.694572353000027</v>
      </c>
      <c r="S61" s="185">
        <f t="shared" ca="1" si="387"/>
        <v>2.148303621000025</v>
      </c>
      <c r="T61" s="185">
        <f t="shared" ca="1" si="387"/>
        <v>-2.4066770079999933</v>
      </c>
      <c r="U61" s="185">
        <f t="shared" ca="1" si="387"/>
        <v>3.4350535610000001</v>
      </c>
      <c r="V61" s="185">
        <f t="shared" ca="1" si="387"/>
        <v>1.8506933379999837</v>
      </c>
      <c r="W61" s="185">
        <f t="shared" ca="1" si="387"/>
        <v>-1.3386323380000058</v>
      </c>
      <c r="X61" s="185">
        <f t="shared" ca="1" si="387"/>
        <v>1.3365722149999835</v>
      </c>
      <c r="Y61" s="185">
        <f t="shared" ca="1" si="387"/>
        <v>2.8458542192999361</v>
      </c>
      <c r="Z61" s="185">
        <f t="shared" ca="1" si="387"/>
        <v>-1.1076481431030607</v>
      </c>
      <c r="AA61" s="185">
        <f t="shared" ca="1" si="387"/>
        <v>-1.8123754641030523</v>
      </c>
      <c r="AB61" s="185">
        <f t="shared" ca="1" si="387"/>
        <v>4.891275790896966</v>
      </c>
      <c r="AC61" s="185">
        <f t="shared" ca="1" si="387"/>
        <v>-1.7004179191030329</v>
      </c>
      <c r="AD61" s="185">
        <f t="shared" ca="1" si="387"/>
        <v>4.7774365158969427</v>
      </c>
      <c r="AE61" s="185">
        <f t="shared" ca="1" si="387"/>
        <v>15.184931894896943</v>
      </c>
      <c r="AF61" s="185">
        <f t="shared" ca="1" si="387"/>
        <v>22.856481989896945</v>
      </c>
      <c r="AG61" s="185">
        <f ca="1">SUM(V28:AG28)</f>
        <v>19.23535005589698</v>
      </c>
      <c r="AH61" s="185">
        <f ca="1">SUM(W28:AH28)</f>
        <v>19.05172796089699</v>
      </c>
      <c r="AI61" s="185">
        <f ca="1">SUM(X28:AI28)</f>
        <v>23.038687719896959</v>
      </c>
      <c r="AJ61" s="185">
        <f ca="1">SUM(Y28:AJ28)</f>
        <v>19.248921343896992</v>
      </c>
      <c r="AK61" s="185">
        <f t="shared" ref="AK61:AL61" ca="1" si="388">SUM(Z28:AK28)</f>
        <v>29.087696196597005</v>
      </c>
      <c r="AL61" s="185">
        <f t="shared" ca="1" si="388"/>
        <v>40.720154066000049</v>
      </c>
      <c r="AM61" s="185">
        <f ca="1">SUM(AB28:AM28)</f>
        <v>46.258518356000017</v>
      </c>
      <c r="AN61" s="185">
        <f ca="1">SUM(AC28:AN28)</f>
        <v>52.384957282000016</v>
      </c>
      <c r="AO61" s="185">
        <f t="shared" ref="AO61:AS61" ca="1" si="389">SUM(AD28:AO28)</f>
        <v>54.419622143999959</v>
      </c>
      <c r="AP61" s="185">
        <f t="shared" ca="1" si="389"/>
        <v>52.080967400999967</v>
      </c>
      <c r="AQ61" s="185">
        <f t="shared" ca="1" si="389"/>
        <v>48.172363681999997</v>
      </c>
      <c r="AR61" s="185">
        <f t="shared" ca="1" si="389"/>
        <v>56.399147314000032</v>
      </c>
      <c r="AS61" s="185">
        <f t="shared" ca="1" si="389"/>
        <v>61.881846602999985</v>
      </c>
      <c r="AT61" s="185">
        <f ca="1">SUM(AI28:AT28)</f>
        <v>62.404755876000024</v>
      </c>
      <c r="AU61" s="185">
        <f ca="1">SUM(AJ28:AU28)</f>
        <v>63.465366170000031</v>
      </c>
      <c r="AV61" s="185">
        <f ca="1">SUM(AK28:AV28)</f>
        <v>50.964705146999982</v>
      </c>
      <c r="AW61" s="185">
        <f ca="1">SUM(AL28:AW28)</f>
        <v>41.186874892000056</v>
      </c>
      <c r="AX61" s="185">
        <f ca="1">SUM(AM28:AX28)</f>
        <v>33.867807847999963</v>
      </c>
      <c r="AY61" s="185">
        <f ca="1">SUM(AN28:AY28)</f>
        <v>16.45506032995597</v>
      </c>
      <c r="AZ61" s="185">
        <f ca="1">SUM(AO28:AZ28)</f>
        <v>-6.016391339000025</v>
      </c>
      <c r="BA61" s="185">
        <f ca="1">SUM(AP28:BA28)</f>
        <v>-0.12905565699993282</v>
      </c>
      <c r="BB61" s="185">
        <f ca="1">SUM(AQ28:BB28)</f>
        <v>4.1444427930000014</v>
      </c>
      <c r="BC61" s="185">
        <f ca="1">SUM(AR28:BC28)</f>
        <v>11.959695996000029</v>
      </c>
      <c r="BD61" s="185">
        <f ca="1">SUM(AS28:BD28)</f>
        <v>8.5238202210000011</v>
      </c>
      <c r="BE61" s="185">
        <f ca="1">SUM(AT28:BE28)</f>
        <v>-7.278937530000066</v>
      </c>
      <c r="BF61" s="185">
        <f ca="1">SUM(AU28:BF28)</f>
        <v>-8.5042111320000231</v>
      </c>
      <c r="BG61" s="185">
        <f ca="1">SUM(AV28:BG28)</f>
        <v>-9.6340020180000163</v>
      </c>
      <c r="BH61" s="185">
        <f ca="1">SUM(AW28:BH28)</f>
        <v>10.466276171000025</v>
      </c>
      <c r="BI61" s="185">
        <f ca="1">SUM(AX28:BI28)</f>
        <v>9.3058552919999471</v>
      </c>
      <c r="BJ61" s="185">
        <f ca="1">SUM(AY28:BJ28)</f>
        <v>7.529888151999983</v>
      </c>
      <c r="BK61" s="185">
        <f ca="1">SUM(AZ28:BK28)</f>
        <v>13.987106536044022</v>
      </c>
      <c r="BL61" s="185">
        <f ca="1">SUM(BA28:BL28)</f>
        <v>28.674695030000045</v>
      </c>
      <c r="BM61" s="185">
        <f ca="1">SUM(BB28:BM28)</f>
        <v>1.4010543019999986</v>
      </c>
      <c r="BN61" s="185">
        <f ca="1">SUM(BC28:BN28)</f>
        <v>19.838573145000026</v>
      </c>
      <c r="BO61" s="1"/>
      <c r="BP61" s="73"/>
      <c r="BQ61" s="6">
        <f ca="1">AVERAGE(C61:BN61)</f>
        <v>18.707313933727939</v>
      </c>
    </row>
    <row r="62" spans="1:69">
      <c r="A62" s="106" t="s">
        <v>7</v>
      </c>
      <c r="B62" s="118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185">
        <f t="shared" ref="N62:N65" ca="1" si="390">SUM(C29:N29)</f>
        <v>3.2630000000000003</v>
      </c>
      <c r="O62" s="185">
        <f t="shared" ca="1" si="387"/>
        <v>3.0049999999999999</v>
      </c>
      <c r="P62" s="185">
        <f t="shared" ca="1" si="387"/>
        <v>3.0540000000000003</v>
      </c>
      <c r="Q62" s="185">
        <f t="shared" ca="1" si="387"/>
        <v>3.5849999999999982</v>
      </c>
      <c r="R62" s="185">
        <f t="shared" ca="1" si="387"/>
        <v>3.1380999999999979</v>
      </c>
      <c r="S62" s="185">
        <f t="shared" ca="1" si="387"/>
        <v>3.0895999999999981</v>
      </c>
      <c r="T62" s="185">
        <f t="shared" ca="1" si="387"/>
        <v>3.1108999999999978</v>
      </c>
      <c r="U62" s="185">
        <f t="shared" ca="1" si="387"/>
        <v>3.1305699999999979</v>
      </c>
      <c r="V62" s="185">
        <f t="shared" ca="1" si="387"/>
        <v>3.1045799999999977</v>
      </c>
      <c r="W62" s="185">
        <f t="shared" ca="1" si="387"/>
        <v>3.1584999999999983</v>
      </c>
      <c r="X62" s="185">
        <f t="shared" ca="1" si="387"/>
        <v>3.1634999999999986</v>
      </c>
      <c r="Y62" s="185">
        <f t="shared" ca="1" si="387"/>
        <v>3.1834999999999982</v>
      </c>
      <c r="Z62" s="185">
        <f t="shared" ca="1" si="387"/>
        <v>3.177099999999998</v>
      </c>
      <c r="AA62" s="185">
        <f t="shared" ca="1" si="387"/>
        <v>3.2201099999999987</v>
      </c>
      <c r="AB62" s="185">
        <f t="shared" ca="1" si="387"/>
        <v>3.2108919999999985</v>
      </c>
      <c r="AC62" s="185">
        <f t="shared" ca="1" si="387"/>
        <v>3.4043400000000155</v>
      </c>
      <c r="AD62" s="185">
        <f t="shared" ca="1" si="387"/>
        <v>3.2608420000000158</v>
      </c>
      <c r="AE62" s="185">
        <f t="shared" ca="1" si="387"/>
        <v>3.3398400000000152</v>
      </c>
      <c r="AF62" s="185">
        <f t="shared" ca="1" si="387"/>
        <v>3.3231160000000157</v>
      </c>
      <c r="AG62" s="185">
        <f t="shared" ref="AG62:AI62" ca="1" si="391">SUM(V29:AG29)</f>
        <v>3.3068400000000158</v>
      </c>
      <c r="AH62" s="185">
        <f t="shared" ca="1" si="391"/>
        <v>3.3226400000000158</v>
      </c>
      <c r="AI62" s="185">
        <f t="shared" ca="1" si="391"/>
        <v>3.2914600000000154</v>
      </c>
      <c r="AJ62" s="185">
        <f t="shared" ref="AJ62:AK62" ca="1" si="392">SUM(Y29:AJ29)</f>
        <v>3.3002100000000154</v>
      </c>
      <c r="AK62" s="185">
        <f t="shared" ca="1" si="392"/>
        <v>3.2652380000000156</v>
      </c>
      <c r="AL62" s="185">
        <f t="shared" ref="AL62:AL65" ca="1" si="393">SUM(AA29:AL29)</f>
        <v>3.2917700000000161</v>
      </c>
      <c r="AM62" s="185">
        <f t="shared" ref="AM62:AN62" ca="1" si="394">SUM(AB29:AM29)</f>
        <v>3.3322320000000158</v>
      </c>
      <c r="AN62" s="185">
        <f t="shared" ca="1" si="394"/>
        <v>3.351188000000016</v>
      </c>
      <c r="AO62" s="185">
        <f t="shared" ref="AO62:AS65" ca="1" si="395">SUM(AD29:AO29)</f>
        <v>4.9845139999999883</v>
      </c>
      <c r="AP62" s="185">
        <f t="shared" ca="1" si="395"/>
        <v>4.9460279999999877</v>
      </c>
      <c r="AQ62" s="185">
        <f t="shared" ca="1" si="395"/>
        <v>4.9648999999999885</v>
      </c>
      <c r="AR62" s="185">
        <f t="shared" ca="1" si="395"/>
        <v>4.9937139999999882</v>
      </c>
      <c r="AS62" s="185">
        <f t="shared" ca="1" si="395"/>
        <v>5.0039019999999885</v>
      </c>
      <c r="AT62" s="185">
        <f t="shared" ref="AT62" ca="1" si="396">SUM(AI29:AT29)</f>
        <v>5.015005999999989</v>
      </c>
      <c r="AU62" s="185">
        <f t="shared" ref="AU62:AU64" ca="1" si="397">SUM(AJ29:AU29)</f>
        <v>5.0683159999999887</v>
      </c>
      <c r="AV62" s="185">
        <f t="shared" ref="AV62:AV63" ca="1" si="398">SUM(AK29:AV29)</f>
        <v>5.0785659999999888</v>
      </c>
      <c r="AW62" s="185">
        <f t="shared" ref="AW62:AW63" ca="1" si="399">SUM(AL29:AW29)</f>
        <v>5.0762879999999893</v>
      </c>
      <c r="AX62" s="185">
        <f t="shared" ref="AX62:AX63" ca="1" si="400">SUM(AM29:AX29)</f>
        <v>5.0695259999999891</v>
      </c>
      <c r="AY62" s="185">
        <f t="shared" ref="AY62:AY63" ca="1" si="401">SUM(AN29:AY29)</f>
        <v>5.0364739999999877</v>
      </c>
      <c r="AZ62" s="185">
        <f t="shared" ref="AZ62:AZ63" ca="1" si="402">SUM(AO29:AZ29)</f>
        <v>5.0118959999999877</v>
      </c>
      <c r="BA62" s="185">
        <f t="shared" ref="BA62" ca="1" si="403">SUM(AP29:BA29)</f>
        <v>5.9446220000000016</v>
      </c>
      <c r="BB62" s="185">
        <f t="shared" ref="BB62" ca="1" si="404">SUM(AQ29:BB29)</f>
        <v>6.0071080000000023</v>
      </c>
      <c r="BC62" s="185">
        <f t="shared" ref="BC62" ca="1" si="405">SUM(AR29:BC29)</f>
        <v>5.9826900000000007</v>
      </c>
      <c r="BD62" s="185">
        <f t="shared" ref="BD62" ca="1" si="406">SUM(AS29:BD29)</f>
        <v>5.9172680000000026</v>
      </c>
      <c r="BE62" s="185">
        <f t="shared" ref="BE62" ca="1" si="407">SUM(AT29:BE29)</f>
        <v>5.9266840000000007</v>
      </c>
      <c r="BF62" s="185">
        <f t="shared" ref="BF62" ca="1" si="408">SUM(AU29:BF29)</f>
        <v>5.8249100000000018</v>
      </c>
      <c r="BG62" s="185">
        <f t="shared" ref="BG62" ca="1" si="409">SUM(AV29:BG29)</f>
        <v>5.8290520000000008</v>
      </c>
      <c r="BH62" s="185">
        <f t="shared" ref="BH62" ca="1" si="410">SUM(AW29:BH29)</f>
        <v>5.7497580000000008</v>
      </c>
      <c r="BI62" s="185">
        <f t="shared" ref="BI62:BI65" ca="1" si="411">SUM(AX29:BI29)</f>
        <v>5.7495460000000023</v>
      </c>
      <c r="BJ62" s="185">
        <f t="shared" ref="BJ62:BN62" ca="1" si="412">SUM(AY29:BJ29)</f>
        <v>5.7325500000000007</v>
      </c>
      <c r="BK62" s="185">
        <f t="shared" ca="1" si="412"/>
        <v>5.6936700000000009</v>
      </c>
      <c r="BL62" s="185">
        <f t="shared" ca="1" si="412"/>
        <v>5.7426000000000013</v>
      </c>
      <c r="BM62" s="185">
        <f t="shared" ca="1" si="412"/>
        <v>5.3615999999999993</v>
      </c>
      <c r="BN62" s="185">
        <f t="shared" ca="1" si="412"/>
        <v>6.0311979999999989</v>
      </c>
      <c r="BO62" s="1"/>
      <c r="BP62" s="73"/>
      <c r="BQ62" s="6">
        <f t="shared" ref="BQ62:BQ66" ca="1" si="413">AVERAGE(C62:BN62)</f>
        <v>4.3231406415094353</v>
      </c>
    </row>
    <row r="63" spans="1:69">
      <c r="A63" s="106" t="s">
        <v>8</v>
      </c>
      <c r="B63" s="118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185">
        <f t="shared" ca="1" si="390"/>
        <v>-6.5500000000000058E-2</v>
      </c>
      <c r="O63" s="185">
        <f t="shared" ca="1" si="387"/>
        <v>-5.3214000000000095E-2</v>
      </c>
      <c r="P63" s="185">
        <f t="shared" ca="1" si="387"/>
        <v>2.5125000000000064E-2</v>
      </c>
      <c r="Q63" s="185">
        <f t="shared" ca="1" si="387"/>
        <v>3.9224499999999995E-2</v>
      </c>
      <c r="R63" s="185">
        <f t="shared" ca="1" si="387"/>
        <v>1.1700000000000266E-2</v>
      </c>
      <c r="S63" s="185">
        <f t="shared" ca="1" si="387"/>
        <v>-8.0034999999998302E-3</v>
      </c>
      <c r="T63" s="185">
        <f t="shared" ca="1" si="387"/>
        <v>9.1499999999999915E-3</v>
      </c>
      <c r="U63" s="185">
        <f t="shared" ca="1" si="387"/>
        <v>1.3286499999999979E-2</v>
      </c>
      <c r="V63" s="185">
        <f t="shared" ca="1" si="387"/>
        <v>5.4553999999999991E-2</v>
      </c>
      <c r="W63" s="185">
        <f t="shared" ca="1" si="387"/>
        <v>3.7689999999999779E-2</v>
      </c>
      <c r="X63" s="185">
        <f t="shared" ca="1" si="387"/>
        <v>3.6739999999999773E-2</v>
      </c>
      <c r="Y63" s="185">
        <f t="shared" ca="1" si="387"/>
        <v>5.1982000000000195E-2</v>
      </c>
      <c r="Z63" s="185">
        <f t="shared" ca="1" si="387"/>
        <v>0.10897699999999988</v>
      </c>
      <c r="AA63" s="185">
        <f t="shared" ca="1" si="387"/>
        <v>0.15459950000000022</v>
      </c>
      <c r="AB63" s="185">
        <f t="shared" ca="1" si="387"/>
        <v>0.11047499999999988</v>
      </c>
      <c r="AC63" s="185">
        <f t="shared" ca="1" si="387"/>
        <v>0.17300699999999991</v>
      </c>
      <c r="AD63" s="185">
        <f t="shared" ca="1" si="387"/>
        <v>0.22867499999999996</v>
      </c>
      <c r="AE63" s="185">
        <f t="shared" ca="1" si="387"/>
        <v>0.28364049999999974</v>
      </c>
      <c r="AF63" s="185">
        <f t="shared" ca="1" si="387"/>
        <v>0.26418399999999975</v>
      </c>
      <c r="AG63" s="185">
        <f t="shared" ref="AG63:AI63" ca="1" si="414">SUM(V30:AG30)</f>
        <v>0.27142999999999984</v>
      </c>
      <c r="AH63" s="185">
        <f t="shared" ca="1" si="414"/>
        <v>0.242788</v>
      </c>
      <c r="AI63" s="185">
        <f t="shared" ca="1" si="414"/>
        <v>0.25255700000000014</v>
      </c>
      <c r="AJ63" s="185">
        <f t="shared" ref="AJ63:AK63" ca="1" si="415">SUM(Y30:AJ30)</f>
        <v>0.26594999999999991</v>
      </c>
      <c r="AK63" s="185">
        <f t="shared" ca="1" si="415"/>
        <v>0.28995549999999981</v>
      </c>
      <c r="AL63" s="185">
        <f t="shared" ca="1" si="393"/>
        <v>0.26363700000000012</v>
      </c>
      <c r="AM63" s="185">
        <f t="shared" ref="AM63:AN63" ca="1" si="416">SUM(AB30:AM30)</f>
        <v>0.24483899999999981</v>
      </c>
      <c r="AN63" s="185">
        <f t="shared" ca="1" si="416"/>
        <v>0.24375950000000013</v>
      </c>
      <c r="AO63" s="185">
        <f t="shared" ca="1" si="395"/>
        <v>0.29432400000000003</v>
      </c>
      <c r="AP63" s="185">
        <f t="shared" ca="1" si="395"/>
        <v>0.33637600000000001</v>
      </c>
      <c r="AQ63" s="185">
        <f t="shared" ca="1" si="395"/>
        <v>0.35813550000000016</v>
      </c>
      <c r="AR63" s="185">
        <f t="shared" ca="1" si="395"/>
        <v>0.38754600000000017</v>
      </c>
      <c r="AS63" s="185">
        <f t="shared" ca="1" si="395"/>
        <v>0.41187299999999993</v>
      </c>
      <c r="AT63" s="185">
        <f t="shared" ref="AT63" ca="1" si="417">SUM(AI30:AT30)</f>
        <v>0.42173600000000011</v>
      </c>
      <c r="AU63" s="185">
        <f t="shared" ca="1" si="397"/>
        <v>0.5150809999999999</v>
      </c>
      <c r="AV63" s="185">
        <f t="shared" ca="1" si="398"/>
        <v>0.59663650000000024</v>
      </c>
      <c r="AW63" s="185">
        <f t="shared" ca="1" si="399"/>
        <v>0.48194400000000015</v>
      </c>
      <c r="AX63" s="185">
        <f t="shared" ca="1" si="400"/>
        <v>0.47501649999999973</v>
      </c>
      <c r="AY63" s="185">
        <f t="shared" ca="1" si="401"/>
        <v>0.49652750000000023</v>
      </c>
      <c r="AZ63" s="185">
        <f t="shared" ca="1" si="402"/>
        <v>0.5658455</v>
      </c>
      <c r="BA63" s="185">
        <f t="shared" ref="BA63" ca="1" si="418">SUM(AP30:BA30)</f>
        <v>0.5133080000000001</v>
      </c>
      <c r="BB63" s="185">
        <f t="shared" ref="BB63" ca="1" si="419">SUM(AQ30:BB30)</f>
        <v>0.50613900000000012</v>
      </c>
      <c r="BC63" s="185">
        <f t="shared" ref="BC63" ca="1" si="420">SUM(AR30:BC30)</f>
        <v>0.51258100000000018</v>
      </c>
      <c r="BD63" s="185">
        <f t="shared" ref="BD63" ca="1" si="421">SUM(AS30:BD30)</f>
        <v>0.58676399999999984</v>
      </c>
      <c r="BE63" s="185">
        <f t="shared" ref="BE63" ca="1" si="422">SUM(AT30:BE30)</f>
        <v>0.57937400000000028</v>
      </c>
      <c r="BF63" s="185">
        <f t="shared" ref="BF63" ca="1" si="423">SUM(AU30:BF30)</f>
        <v>0.9168305000000001</v>
      </c>
      <c r="BG63" s="185">
        <f t="shared" ref="BG63" ca="1" si="424">SUM(AV30:BG30)</f>
        <v>1.3240775</v>
      </c>
      <c r="BH63" s="185">
        <f t="shared" ref="BH63" ca="1" si="425">SUM(AW30:BH30)</f>
        <v>1.2125589999999997</v>
      </c>
      <c r="BI63" s="185">
        <f t="shared" ca="1" si="411"/>
        <v>1.5241685</v>
      </c>
      <c r="BJ63" s="185">
        <f t="shared" ref="BJ63:BN63" ca="1" si="426">SUM(AY30:BJ30)</f>
        <v>1.9147535000000007</v>
      </c>
      <c r="BK63" s="185">
        <f t="shared" ca="1" si="426"/>
        <v>2.9036365000000002</v>
      </c>
      <c r="BL63" s="185">
        <f t="shared" ca="1" si="426"/>
        <v>2.3800599999999998</v>
      </c>
      <c r="BM63" s="185">
        <f t="shared" ca="1" si="426"/>
        <v>1.8645449999999997</v>
      </c>
      <c r="BN63" s="185">
        <f t="shared" ca="1" si="426"/>
        <v>1.9054555</v>
      </c>
      <c r="BO63" s="1"/>
      <c r="BP63" s="73"/>
      <c r="BQ63" s="6">
        <f t="shared" ca="1" si="413"/>
        <v>0.51955664150943404</v>
      </c>
    </row>
    <row r="64" spans="1:69">
      <c r="A64" s="106" t="s">
        <v>9</v>
      </c>
      <c r="B64" s="118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185">
        <f t="shared" ca="1" si="390"/>
        <v>0.29484999999999995</v>
      </c>
      <c r="O64" s="185">
        <f t="shared" ca="1" si="387"/>
        <v>0.29484999999999995</v>
      </c>
      <c r="P64" s="185">
        <f t="shared" ca="1" si="387"/>
        <v>0.29484999999999995</v>
      </c>
      <c r="Q64" s="185">
        <f t="shared" ca="1" si="387"/>
        <v>0.29484999999999995</v>
      </c>
      <c r="R64" s="185">
        <f t="shared" ca="1" si="387"/>
        <v>0.29484999999999995</v>
      </c>
      <c r="S64" s="185">
        <f t="shared" ca="1" si="387"/>
        <v>0.29484999999999995</v>
      </c>
      <c r="T64" s="185">
        <f t="shared" ca="1" si="387"/>
        <v>0.29484999999999995</v>
      </c>
      <c r="U64" s="185">
        <f t="shared" ca="1" si="387"/>
        <v>0.29484999999999995</v>
      </c>
      <c r="V64" s="185">
        <f t="shared" ca="1" si="387"/>
        <v>0.18999999999999995</v>
      </c>
      <c r="W64" s="185">
        <f t="shared" ca="1" si="387"/>
        <v>0.18999999999999995</v>
      </c>
      <c r="X64" s="185">
        <f t="shared" ca="1" si="387"/>
        <v>0</v>
      </c>
      <c r="Y64" s="185">
        <f t="shared" ca="1" si="387"/>
        <v>0</v>
      </c>
      <c r="Z64" s="185">
        <f t="shared" ca="1" si="387"/>
        <v>0</v>
      </c>
      <c r="AA64" s="185">
        <f t="shared" ca="1" si="387"/>
        <v>0</v>
      </c>
      <c r="AB64" s="185">
        <f t="shared" ca="1" si="387"/>
        <v>0</v>
      </c>
      <c r="AC64" s="185">
        <f t="shared" ca="1" si="387"/>
        <v>0</v>
      </c>
      <c r="AD64" s="185">
        <f t="shared" ca="1" si="387"/>
        <v>0</v>
      </c>
      <c r="AE64" s="185">
        <f t="shared" ca="1" si="387"/>
        <v>0</v>
      </c>
      <c r="AF64" s="185">
        <f t="shared" ca="1" si="387"/>
        <v>0</v>
      </c>
      <c r="AG64" s="185">
        <f t="shared" ref="AG64:AI64" ca="1" si="427">SUM(V31:AG31)</f>
        <v>0</v>
      </c>
      <c r="AH64" s="185">
        <f t="shared" ca="1" si="427"/>
        <v>0</v>
      </c>
      <c r="AI64" s="185">
        <f t="shared" ca="1" si="427"/>
        <v>0</v>
      </c>
      <c r="AJ64" s="185">
        <f t="shared" ref="AJ64:AK65" ca="1" si="428">SUM(X31:AJ31)</f>
        <v>0</v>
      </c>
      <c r="AK64" s="185">
        <f t="shared" ca="1" si="428"/>
        <v>0</v>
      </c>
      <c r="AL64" s="185">
        <f t="shared" ca="1" si="393"/>
        <v>0</v>
      </c>
      <c r="AM64" s="185">
        <f t="shared" ref="AM64:AN64" ca="1" si="429">SUM(AB31:AM31)</f>
        <v>0</v>
      </c>
      <c r="AN64" s="185">
        <f t="shared" ca="1" si="429"/>
        <v>0</v>
      </c>
      <c r="AO64" s="185">
        <f t="shared" ca="1" si="395"/>
        <v>0</v>
      </c>
      <c r="AP64" s="185">
        <f t="shared" ca="1" si="395"/>
        <v>0</v>
      </c>
      <c r="AQ64" s="185">
        <f t="shared" ca="1" si="395"/>
        <v>0</v>
      </c>
      <c r="AR64" s="185">
        <f t="shared" ca="1" si="395"/>
        <v>0</v>
      </c>
      <c r="AS64" s="185">
        <f t="shared" ca="1" si="395"/>
        <v>0</v>
      </c>
      <c r="AT64" s="185">
        <f t="shared" ref="AT64" ca="1" si="430">SUM(AI31:AT31)</f>
        <v>0</v>
      </c>
      <c r="AU64" s="185">
        <f t="shared" ca="1" si="397"/>
        <v>0</v>
      </c>
      <c r="AV64" s="185">
        <f t="shared" ref="AV62:AW64" ca="1" si="431">SUM(AJ31:AV31)</f>
        <v>0</v>
      </c>
      <c r="AW64" s="185">
        <f t="shared" ca="1" si="431"/>
        <v>0</v>
      </c>
      <c r="AX64" s="185">
        <f t="shared" ref="AX64:AY64" ca="1" si="432">SUM(AL31:AX31)</f>
        <v>0</v>
      </c>
      <c r="AY64" s="185">
        <f t="shared" ca="1" si="432"/>
        <v>0</v>
      </c>
      <c r="AZ64" s="185">
        <f ca="1">SUM(AL31:AZ31)</f>
        <v>0</v>
      </c>
      <c r="BA64" s="185">
        <f ca="1">SUM(AL31:BA31)</f>
        <v>0</v>
      </c>
      <c r="BB64" s="185">
        <f t="shared" ref="BB64" ca="1" si="433">SUM(AQ31:BB31)</f>
        <v>0</v>
      </c>
      <c r="BC64" s="185">
        <f t="shared" ref="BC64" ca="1" si="434">SUM(AR31:BC31)</f>
        <v>0</v>
      </c>
      <c r="BD64" s="185">
        <f t="shared" ref="BD64" ca="1" si="435">SUM(AS31:BD31)</f>
        <v>0</v>
      </c>
      <c r="BE64" s="185">
        <f t="shared" ref="BE64" ca="1" si="436">SUM(AT31:BE31)</f>
        <v>0</v>
      </c>
      <c r="BF64" s="185">
        <f t="shared" ref="BF64" ca="1" si="437">SUM(AU31:BF31)</f>
        <v>0</v>
      </c>
      <c r="BG64" s="185">
        <f t="shared" ref="BG64" ca="1" si="438">SUM(AV31:BG31)</f>
        <v>0</v>
      </c>
      <c r="BH64" s="185">
        <f t="shared" ref="BH64" ca="1" si="439">SUM(AW31:BH31)</f>
        <v>0</v>
      </c>
      <c r="BI64" s="185">
        <f t="shared" ca="1" si="411"/>
        <v>0</v>
      </c>
      <c r="BJ64" s="185">
        <f t="shared" ref="BJ64:BJ65" ca="1" si="440">SUM(AX31:BJ31)</f>
        <v>0</v>
      </c>
      <c r="BK64" s="185">
        <f ca="1">SUM(AX31:BK31)</f>
        <v>0</v>
      </c>
      <c r="BL64" s="185">
        <f ca="1">SUM(AX31:BL31)</f>
        <v>0</v>
      </c>
      <c r="BM64" s="185">
        <f t="shared" ref="BM64:BN64" ca="1" si="441">SUM(BB31:BM31)</f>
        <v>0</v>
      </c>
      <c r="BN64" s="185">
        <f t="shared" ca="1" si="441"/>
        <v>0</v>
      </c>
      <c r="BO64" s="1"/>
      <c r="BP64" s="73"/>
      <c r="BQ64" s="6">
        <f t="shared" ca="1" si="413"/>
        <v>5.1675471698113186E-2</v>
      </c>
    </row>
    <row r="65" spans="1:69">
      <c r="A65" s="106" t="s">
        <v>10</v>
      </c>
      <c r="B65" s="118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185">
        <f t="shared" ca="1" si="390"/>
        <v>0</v>
      </c>
      <c r="O65" s="185">
        <f t="shared" ca="1" si="387"/>
        <v>0</v>
      </c>
      <c r="P65" s="185">
        <f t="shared" ca="1" si="387"/>
        <v>0</v>
      </c>
      <c r="Q65" s="185">
        <f t="shared" ca="1" si="387"/>
        <v>0</v>
      </c>
      <c r="R65" s="185">
        <f t="shared" ca="1" si="387"/>
        <v>0</v>
      </c>
      <c r="S65" s="185">
        <f t="shared" ca="1" si="387"/>
        <v>0</v>
      </c>
      <c r="T65" s="185">
        <f t="shared" ca="1" si="387"/>
        <v>0</v>
      </c>
      <c r="U65" s="185">
        <f t="shared" ca="1" si="387"/>
        <v>0</v>
      </c>
      <c r="V65" s="185">
        <f t="shared" ca="1" si="387"/>
        <v>0</v>
      </c>
      <c r="W65" s="185">
        <f t="shared" ca="1" si="387"/>
        <v>0</v>
      </c>
      <c r="X65" s="185">
        <f t="shared" ca="1" si="387"/>
        <v>0</v>
      </c>
      <c r="Y65" s="185">
        <f t="shared" ca="1" si="387"/>
        <v>0</v>
      </c>
      <c r="Z65" s="185">
        <f t="shared" ca="1" si="387"/>
        <v>0</v>
      </c>
      <c r="AA65" s="185">
        <f t="shared" ca="1" si="387"/>
        <v>0</v>
      </c>
      <c r="AB65" s="185">
        <f t="shared" ca="1" si="387"/>
        <v>0</v>
      </c>
      <c r="AC65" s="185">
        <f t="shared" ca="1" si="387"/>
        <v>0</v>
      </c>
      <c r="AD65" s="185">
        <f t="shared" ca="1" si="387"/>
        <v>0</v>
      </c>
      <c r="AE65" s="185">
        <f t="shared" ca="1" si="387"/>
        <v>0</v>
      </c>
      <c r="AF65" s="185">
        <f t="shared" ca="1" si="387"/>
        <v>0</v>
      </c>
      <c r="AG65" s="185">
        <f t="shared" ref="AG65:AI65" ca="1" si="442">SUM(V32:AG32)</f>
        <v>0</v>
      </c>
      <c r="AH65" s="185">
        <f t="shared" ca="1" si="442"/>
        <v>0</v>
      </c>
      <c r="AI65" s="185">
        <f t="shared" ca="1" si="442"/>
        <v>0</v>
      </c>
      <c r="AJ65" s="185">
        <f t="shared" ca="1" si="428"/>
        <v>0</v>
      </c>
      <c r="AK65" s="185">
        <f t="shared" ca="1" si="428"/>
        <v>0</v>
      </c>
      <c r="AL65" s="185">
        <f t="shared" ca="1" si="393"/>
        <v>0</v>
      </c>
      <c r="AM65" s="185">
        <f t="shared" ref="AM65:AN65" ca="1" si="443">SUM(AB32:AM32)</f>
        <v>0</v>
      </c>
      <c r="AN65" s="185">
        <f t="shared" ca="1" si="443"/>
        <v>0</v>
      </c>
      <c r="AO65" s="185">
        <f t="shared" ca="1" si="395"/>
        <v>0</v>
      </c>
      <c r="AP65" s="185">
        <f t="shared" ca="1" si="395"/>
        <v>0</v>
      </c>
      <c r="AQ65" s="185">
        <f t="shared" ca="1" si="395"/>
        <v>0</v>
      </c>
      <c r="AR65" s="185">
        <f t="shared" ca="1" si="395"/>
        <v>0</v>
      </c>
      <c r="AS65" s="185">
        <f t="shared" ca="1" si="395"/>
        <v>0</v>
      </c>
      <c r="AT65" s="185">
        <f t="shared" ref="AT65" ca="1" si="444">SUM(AI32:AT32)</f>
        <v>0</v>
      </c>
      <c r="AU65" s="185">
        <f ca="1">SUM(AJ32:AU32)</f>
        <v>0</v>
      </c>
      <c r="AV65" s="185">
        <f ca="1">SUM(AJ32:AV32)</f>
        <v>0</v>
      </c>
      <c r="AW65" s="185">
        <f ca="1">SUM(AK32:AW32)</f>
        <v>0</v>
      </c>
      <c r="AX65" s="185">
        <f t="shared" ref="AX65:AY65" ca="1" si="445">SUM(AL32:AX32)</f>
        <v>0</v>
      </c>
      <c r="AY65" s="185">
        <f t="shared" ca="1" si="445"/>
        <v>0</v>
      </c>
      <c r="AZ65" s="185">
        <f ca="1">SUM(AL32:AZ32)</f>
        <v>0</v>
      </c>
      <c r="BA65" s="185">
        <f ca="1">SUM(AL32:BA32)</f>
        <v>0</v>
      </c>
      <c r="BB65" s="185">
        <f ca="1">SUM(AL32:BB32)</f>
        <v>0</v>
      </c>
      <c r="BC65" s="185">
        <f t="shared" ref="BC65" ca="1" si="446">SUM(AR32:BC32)</f>
        <v>0</v>
      </c>
      <c r="BD65" s="185">
        <f t="shared" ref="BD65" ca="1" si="447">SUM(AS32:BD32)</f>
        <v>0</v>
      </c>
      <c r="BE65" s="185">
        <f t="shared" ref="BE65" ca="1" si="448">SUM(AT32:BE32)</f>
        <v>0</v>
      </c>
      <c r="BF65" s="185">
        <f t="shared" ref="BF65" ca="1" si="449">SUM(AU32:BF32)</f>
        <v>0</v>
      </c>
      <c r="BG65" s="185">
        <f t="shared" ref="BG65" ca="1" si="450">SUM(AV32:BG32)</f>
        <v>0</v>
      </c>
      <c r="BH65" s="185">
        <f t="shared" ref="BH65" ca="1" si="451">SUM(AW32:BH32)</f>
        <v>0</v>
      </c>
      <c r="BI65" s="185">
        <f t="shared" ca="1" si="411"/>
        <v>0</v>
      </c>
      <c r="BJ65" s="185">
        <f t="shared" ca="1" si="440"/>
        <v>0</v>
      </c>
      <c r="BK65" s="185">
        <f ca="1">SUM(AX32:BK32)</f>
        <v>0</v>
      </c>
      <c r="BL65" s="185">
        <f ca="1">SUM(AX32:BL32)</f>
        <v>0</v>
      </c>
      <c r="BM65" s="185">
        <f t="shared" ref="BM65:BN65" ca="1" si="452">SUM(BB32:BM32)</f>
        <v>0</v>
      </c>
      <c r="BN65" s="185">
        <f t="shared" ca="1" si="452"/>
        <v>0</v>
      </c>
      <c r="BO65" s="1"/>
      <c r="BP65" s="73"/>
      <c r="BQ65" s="6">
        <f t="shared" ca="1" si="413"/>
        <v>0</v>
      </c>
    </row>
    <row r="66" spans="1:69">
      <c r="A66" s="98" t="s">
        <v>11</v>
      </c>
      <c r="B66" s="75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186">
        <f ca="1">SUM(N61:N65)</f>
        <v>22.950029231817009</v>
      </c>
      <c r="O66" s="186">
        <f t="shared" ref="O66:BN66" ca="1" si="453">SUM(O61:O65)</f>
        <v>20.948076673000006</v>
      </c>
      <c r="P66" s="186">
        <f t="shared" ca="1" si="453"/>
        <v>9.2331302569999885</v>
      </c>
      <c r="Q66" s="186">
        <f t="shared" ca="1" si="453"/>
        <v>16.139672849000007</v>
      </c>
      <c r="R66" s="186">
        <f t="shared" ca="1" si="453"/>
        <v>14.139222353000026</v>
      </c>
      <c r="S66" s="186">
        <f t="shared" ca="1" si="453"/>
        <v>5.5247501210000234</v>
      </c>
      <c r="T66" s="186">
        <f t="shared" ca="1" si="453"/>
        <v>1.0082229920000043</v>
      </c>
      <c r="U66" s="186">
        <f t="shared" ca="1" si="453"/>
        <v>6.8737600609999987</v>
      </c>
      <c r="V66" s="186">
        <f t="shared" ca="1" si="453"/>
        <v>5.1998273379999809</v>
      </c>
      <c r="W66" s="186">
        <f t="shared" ca="1" si="453"/>
        <v>2.047557661999992</v>
      </c>
      <c r="X66" s="186">
        <f t="shared" ca="1" si="453"/>
        <v>4.5368122149999817</v>
      </c>
      <c r="Y66" s="186">
        <f t="shared" ca="1" si="453"/>
        <v>6.081336219299935</v>
      </c>
      <c r="Z66" s="186">
        <f t="shared" ca="1" si="453"/>
        <v>2.1784288568969372</v>
      </c>
      <c r="AA66" s="186">
        <f t="shared" ca="1" si="453"/>
        <v>1.5623340358969466</v>
      </c>
      <c r="AB66" s="186">
        <f t="shared" ref="AB66:AC66" ca="1" si="454">SUM(AB61:AB65)</f>
        <v>8.2126427908969628</v>
      </c>
      <c r="AC66" s="186">
        <f t="shared" ca="1" si="454"/>
        <v>1.8769290808969825</v>
      </c>
      <c r="AD66" s="186">
        <f t="shared" ref="AD66:AE66" ca="1" si="455">SUM(AD61:AD65)</f>
        <v>8.266953515896958</v>
      </c>
      <c r="AE66" s="186">
        <f t="shared" ca="1" si="455"/>
        <v>18.808412394896958</v>
      </c>
      <c r="AF66" s="186">
        <f t="shared" ref="AF66:AG66" ca="1" si="456">SUM(AF61:AF65)</f>
        <v>26.443781989896962</v>
      </c>
      <c r="AG66" s="186">
        <f t="shared" ca="1" si="456"/>
        <v>22.813620055896994</v>
      </c>
      <c r="AH66" s="186">
        <f t="shared" ref="AH66:AJ66" ca="1" si="457">SUM(AH61:AH65)</f>
        <v>22.617155960897005</v>
      </c>
      <c r="AI66" s="186">
        <f t="shared" ca="1" si="457"/>
        <v>26.582704719896974</v>
      </c>
      <c r="AJ66" s="186">
        <f t="shared" ca="1" si="457"/>
        <v>22.815081343897006</v>
      </c>
      <c r="AK66" s="186">
        <f t="shared" ref="AK66:AM66" ca="1" si="458">SUM(AK61:AK65)</f>
        <v>32.642889696597017</v>
      </c>
      <c r="AL66" s="186">
        <f t="shared" ca="1" si="458"/>
        <v>44.275561066000066</v>
      </c>
      <c r="AM66" s="186">
        <f t="shared" ca="1" si="458"/>
        <v>49.835589356000035</v>
      </c>
      <c r="AN66" s="186">
        <f t="shared" ref="AN66:AO66" ca="1" si="459">SUM(AN61:AN65)</f>
        <v>55.979904782000034</v>
      </c>
      <c r="AO66" s="186">
        <f t="shared" ca="1" si="459"/>
        <v>59.698460143999952</v>
      </c>
      <c r="AP66" s="186">
        <f t="shared" ref="AP66:AR66" ca="1" si="460">SUM(AP61:AP65)</f>
        <v>57.363371400999952</v>
      </c>
      <c r="AQ66" s="186">
        <f t="shared" ca="1" si="460"/>
        <v>53.495399181999986</v>
      </c>
      <c r="AR66" s="186">
        <f t="shared" ref="AR66:BN66" ca="1" si="461">SUM(AR61:AR65)</f>
        <v>61.780407314000023</v>
      </c>
      <c r="AS66" s="186">
        <f t="shared" ref="AS66:BN66" ca="1" si="462">SUM(AS61:AS65)</f>
        <v>67.297621602999968</v>
      </c>
      <c r="AT66" s="186">
        <f t="shared" ref="AT66:BN66" ca="1" si="463">SUM(AT61:AT65)</f>
        <v>67.841497876000005</v>
      </c>
      <c r="AU66" s="186">
        <f t="shared" ca="1" si="463"/>
        <v>69.048763170000015</v>
      </c>
      <c r="AV66" s="186">
        <f t="shared" ref="AV66:AW66" ca="1" si="464">SUM(AV61:AV65)</f>
        <v>56.639907646999973</v>
      </c>
      <c r="AW66" s="186">
        <f t="shared" ref="AW66:BN66" ca="1" si="465">SUM(AW61:AW65)</f>
        <v>46.745106892000045</v>
      </c>
      <c r="AX66" s="186">
        <f t="shared" ref="AX66:BM66" ca="1" si="466">SUM(AX61:AX65)</f>
        <v>39.412350347999954</v>
      </c>
      <c r="AY66" s="186">
        <f t="shared" ca="1" si="466"/>
        <v>21.988061829955956</v>
      </c>
      <c r="AZ66" s="186">
        <f t="shared" ca="1" si="466"/>
        <v>-0.43864983900003729</v>
      </c>
      <c r="BA66" s="186">
        <f t="shared" ca="1" si="466"/>
        <v>6.3288743430000691</v>
      </c>
      <c r="BB66" s="186">
        <f t="shared" ca="1" si="466"/>
        <v>10.657689793000003</v>
      </c>
      <c r="BC66" s="186">
        <f t="shared" ca="1" si="466"/>
        <v>18.454966996000032</v>
      </c>
      <c r="BD66" s="186">
        <f t="shared" ca="1" si="466"/>
        <v>15.027852221000005</v>
      </c>
      <c r="BE66" s="186">
        <f t="shared" ca="1" si="466"/>
        <v>-0.77287953000006504</v>
      </c>
      <c r="BF66" s="186">
        <f t="shared" ca="1" si="466"/>
        <v>-1.7624706320000212</v>
      </c>
      <c r="BG66" s="186">
        <f t="shared" ca="1" si="466"/>
        <v>-2.4808725180000155</v>
      </c>
      <c r="BH66" s="186">
        <f t="shared" ca="1" si="466"/>
        <v>17.428593171000024</v>
      </c>
      <c r="BI66" s="186">
        <f t="shared" ca="1" si="466"/>
        <v>16.579569791999951</v>
      </c>
      <c r="BJ66" s="186">
        <f t="shared" ca="1" si="466"/>
        <v>15.177191651999983</v>
      </c>
      <c r="BK66" s="186">
        <f t="shared" ca="1" si="466"/>
        <v>22.584413036044023</v>
      </c>
      <c r="BL66" s="186">
        <f t="shared" ca="1" si="466"/>
        <v>36.797355030000048</v>
      </c>
      <c r="BM66" s="186">
        <f t="shared" ca="1" si="466"/>
        <v>8.6271993019999975</v>
      </c>
      <c r="BN66" s="186">
        <f t="shared" ca="1" si="465"/>
        <v>27.775226645000025</v>
      </c>
      <c r="BO66" s="1"/>
      <c r="BP66" s="73"/>
      <c r="BQ66" s="6">
        <f t="shared" ca="1" si="413"/>
        <v>23.601686688444921</v>
      </c>
    </row>
    <row r="67" spans="1:69">
      <c r="A67" s="99"/>
      <c r="B67" s="183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87"/>
      <c r="BN67" s="187"/>
      <c r="BO67" s="1"/>
      <c r="BP67" s="73"/>
      <c r="BQ67" s="6"/>
    </row>
    <row r="68" spans="1:69">
      <c r="A68" s="203" t="s">
        <v>113</v>
      </c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3"/>
      <c r="BJ68" s="203"/>
      <c r="BK68" s="203"/>
      <c r="BL68" s="203"/>
      <c r="BM68" s="203"/>
      <c r="BN68" s="203"/>
      <c r="BO68" s="1"/>
      <c r="BP68" s="73"/>
      <c r="BQ68" s="6"/>
    </row>
    <row r="69" spans="1:69">
      <c r="A69" s="106" t="s">
        <v>6</v>
      </c>
      <c r="B69" s="118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185">
        <f ca="1">SUM(C36:N36)</f>
        <v>39.349874288816991</v>
      </c>
      <c r="O69" s="185">
        <f t="shared" ref="O69:O73" ca="1" si="467">SUM(D36:O36)</f>
        <v>38.136494705999993</v>
      </c>
      <c r="P69" s="185">
        <f t="shared" ref="P69:P73" ca="1" si="468">SUM(E36:P36)</f>
        <v>27.159834098999987</v>
      </c>
      <c r="Q69" s="185">
        <f t="shared" ref="Q69:Q73" ca="1" si="469">SUM(F36:Q36)</f>
        <v>33.326843452999995</v>
      </c>
      <c r="R69" s="185">
        <f t="shared" ref="R69:R73" ca="1" si="470">SUM(G36:R36)</f>
        <v>34.777318013000013</v>
      </c>
      <c r="S69" s="185">
        <f t="shared" ref="S69:S73" ca="1" si="471">SUM(H36:S36)</f>
        <v>24.762862764000015</v>
      </c>
      <c r="T69" s="185">
        <f t="shared" ref="T69:T73" ca="1" si="472">SUM(I36:T36)</f>
        <v>18.074583331000003</v>
      </c>
      <c r="U69" s="185">
        <f t="shared" ref="U69:U73" ca="1" si="473">SUM(J36:U36)</f>
        <v>23.159682747999998</v>
      </c>
      <c r="V69" s="185">
        <f t="shared" ref="V69:V73" ca="1" si="474">SUM(K36:V36)</f>
        <v>20.519712550999984</v>
      </c>
      <c r="W69" s="185">
        <f t="shared" ref="W69:W73" ca="1" si="475">SUM(L36:W36)</f>
        <v>17.935570594999987</v>
      </c>
      <c r="X69" s="185">
        <f t="shared" ref="X69:X73" ca="1" si="476">SUM(M36:X36)</f>
        <v>21.741328378000006</v>
      </c>
      <c r="Y69" s="185">
        <f t="shared" ref="Y69:Y73" ca="1" si="477">SUM(N36:Y36)</f>
        <v>23.6984300373</v>
      </c>
      <c r="Z69" s="185">
        <f t="shared" ref="Z69:Z73" ca="1" si="478">SUM(O36:Z36)</f>
        <v>18.744182375000012</v>
      </c>
      <c r="AA69" s="185">
        <f t="shared" ref="AA69:AF73" ca="1" si="479">SUM(P36:AA36)</f>
        <v>18.69846968600001</v>
      </c>
      <c r="AB69" s="185">
        <f t="shared" ca="1" si="479"/>
        <v>27.174740573000015</v>
      </c>
      <c r="AC69" s="185">
        <f t="shared" ca="1" si="479"/>
        <v>19.854593533000028</v>
      </c>
      <c r="AD69" s="185">
        <f t="shared" ca="1" si="479"/>
        <v>27.696365501000006</v>
      </c>
      <c r="AE69" s="185">
        <f t="shared" ca="1" si="479"/>
        <v>38.133151387999987</v>
      </c>
      <c r="AF69" s="185">
        <f t="shared" ca="1" si="479"/>
        <v>48.376320102999998</v>
      </c>
      <c r="AG69" s="185">
        <f t="shared" ref="AG69:AI73" ca="1" si="480">SUM(V36:AG36)</f>
        <v>48.791648934000023</v>
      </c>
      <c r="AH69" s="185">
        <f t="shared" ca="1" si="480"/>
        <v>49.363561684000025</v>
      </c>
      <c r="AI69" s="185">
        <f t="shared" ca="1" si="480"/>
        <v>51.854888219000017</v>
      </c>
      <c r="AJ69" s="185">
        <f ca="1">SUM(Y36:AJ36)</f>
        <v>45.899527380000009</v>
      </c>
      <c r="AK69" s="185">
        <f ca="1">SUM(Z36:AK36)</f>
        <v>53.353682526699998</v>
      </c>
      <c r="AL69" s="185">
        <f t="shared" ref="AL69" ca="1" si="481">SUM(AA36:AL36)</f>
        <v>64.512088974000022</v>
      </c>
      <c r="AM69" s="185">
        <f ca="1">SUM(AB36:AM36)</f>
        <v>69.504085537000009</v>
      </c>
      <c r="AN69" s="185">
        <f ca="1">SUM(AC36:AN36)</f>
        <v>74.93866842700001</v>
      </c>
      <c r="AO69" s="185">
        <f t="shared" ref="AO69:AQ69" ca="1" si="482">SUM(AD36:AO36)</f>
        <v>79.239009920999948</v>
      </c>
      <c r="AP69" s="185">
        <f t="shared" ca="1" si="482"/>
        <v>76.314498307999983</v>
      </c>
      <c r="AQ69" s="185">
        <f t="shared" ca="1" si="482"/>
        <v>74.000357232000013</v>
      </c>
      <c r="AR69" s="185">
        <f ca="1">AR61+AR53</f>
        <v>81.757631101000015</v>
      </c>
      <c r="AS69" s="185">
        <f t="shared" ref="AS69:BN69" ca="1" si="483">AS61+AS53</f>
        <v>84.745596122999984</v>
      </c>
      <c r="AT69" s="185">
        <f t="shared" ca="1" si="483"/>
        <v>85.900496478000022</v>
      </c>
      <c r="AU69" s="185">
        <f t="shared" ref="AU69:AX69" ca="1" si="484">AU61+AU53</f>
        <v>89.060228404000028</v>
      </c>
      <c r="AV69" s="185">
        <f t="shared" ca="1" si="484"/>
        <v>77.540209245999975</v>
      </c>
      <c r="AW69" s="185">
        <f t="shared" ca="1" si="484"/>
        <v>68.927456430000035</v>
      </c>
      <c r="AX69" s="185">
        <f t="shared" ca="1" si="484"/>
        <v>65.34146995899998</v>
      </c>
      <c r="AY69" s="185">
        <f t="shared" ref="AY69:BG69" ca="1" si="485">AY61+AY53</f>
        <v>44.728263522999967</v>
      </c>
      <c r="AZ69" s="185">
        <f t="shared" ca="1" si="485"/>
        <v>22.818698064999978</v>
      </c>
      <c r="BA69" s="185">
        <f t="shared" ca="1" si="485"/>
        <v>19.877748114000063</v>
      </c>
      <c r="BB69" s="185">
        <f t="shared" ca="1" si="485"/>
        <v>25.254470158999993</v>
      </c>
      <c r="BC69" s="185">
        <f t="shared" ca="1" si="485"/>
        <v>33.71402186100002</v>
      </c>
      <c r="BD69" s="185">
        <f t="shared" ca="1" si="485"/>
        <v>30.661257207999999</v>
      </c>
      <c r="BE69" s="185">
        <f ca="1">BE4-AS4</f>
        <v>13.351966622999981</v>
      </c>
      <c r="BF69" s="185">
        <f t="shared" ref="BF69:BG69" ca="1" si="486">BF4-AT4</f>
        <v>10.094729985999976</v>
      </c>
      <c r="BG69" s="185">
        <f t="shared" ca="1" si="486"/>
        <v>5.4062008749999677</v>
      </c>
      <c r="BH69" s="185">
        <f ca="1">BH4-AV4</f>
        <v>26.172968025000046</v>
      </c>
      <c r="BI69" s="185">
        <f ca="1">BI4-AW4</f>
        <v>24.099172804999938</v>
      </c>
      <c r="BJ69" s="185">
        <f ca="1">BJ4-AX4</f>
        <v>19.32801332899993</v>
      </c>
      <c r="BK69" s="185">
        <f ca="1">BK4-AY4</f>
        <v>26.814875191999988</v>
      </c>
      <c r="BL69" s="185">
        <f ca="1">BL4-AZ4</f>
        <v>39.384878694999998</v>
      </c>
      <c r="BM69" s="185">
        <f ca="1">BM4-AZ4</f>
        <v>20.393689295999991</v>
      </c>
      <c r="BN69" s="185">
        <f ca="1">BN4-BA4</f>
        <v>44.721950323999948</v>
      </c>
      <c r="BO69" s="1"/>
      <c r="BP69" s="73"/>
      <c r="BQ69" s="6">
        <f t="shared" ref="BQ69:BQ74" ca="1" si="487">AVERAGE(C69:BN69)</f>
        <v>40.928082397864472</v>
      </c>
    </row>
    <row r="70" spans="1:69">
      <c r="A70" s="106" t="s">
        <v>7</v>
      </c>
      <c r="B70" s="118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185">
        <f t="shared" ref="N70:N73" ca="1" si="488">SUM(C37:N37)</f>
        <v>8.0337400000000034</v>
      </c>
      <c r="O70" s="185">
        <f t="shared" ca="1" si="467"/>
        <v>7.8210400000000035</v>
      </c>
      <c r="P70" s="185">
        <f t="shared" ca="1" si="468"/>
        <v>7.6753400000000012</v>
      </c>
      <c r="Q70" s="185">
        <f t="shared" ca="1" si="469"/>
        <v>8.2921399999999963</v>
      </c>
      <c r="R70" s="185">
        <f t="shared" ca="1" si="470"/>
        <v>7.8905399999999934</v>
      </c>
      <c r="S70" s="185">
        <f t="shared" ca="1" si="471"/>
        <v>7.884339999999991</v>
      </c>
      <c r="T70" s="185">
        <f t="shared" ca="1" si="472"/>
        <v>7.9479799999999887</v>
      </c>
      <c r="U70" s="185">
        <f t="shared" ca="1" si="473"/>
        <v>8.0329939999999844</v>
      </c>
      <c r="V70" s="185">
        <f t="shared" ca="1" si="474"/>
        <v>9.6994899999999795</v>
      </c>
      <c r="W70" s="185">
        <f t="shared" ca="1" si="475"/>
        <v>8.1419939999999755</v>
      </c>
      <c r="X70" s="185">
        <f t="shared" ca="1" si="476"/>
        <v>8.1531019999999721</v>
      </c>
      <c r="Y70" s="185">
        <f t="shared" ca="1" si="477"/>
        <v>8.5164899999999761</v>
      </c>
      <c r="Z70" s="185">
        <f t="shared" ca="1" si="478"/>
        <v>8.5532899999999774</v>
      </c>
      <c r="AA70" s="185">
        <f t="shared" ca="1" si="479"/>
        <v>8.6394999999999786</v>
      </c>
      <c r="AB70" s="185">
        <f t="shared" ca="1" si="479"/>
        <v>8.6734819999999822</v>
      </c>
      <c r="AC70" s="185">
        <f t="shared" ca="1" si="479"/>
        <v>8.8811300000000024</v>
      </c>
      <c r="AD70" s="185">
        <f t="shared" ca="1" si="479"/>
        <v>8.7808320000000037</v>
      </c>
      <c r="AE70" s="185">
        <f t="shared" ca="1" si="479"/>
        <v>8.9030300000000064</v>
      </c>
      <c r="AF70" s="185">
        <f t="shared" ca="1" si="479"/>
        <v>8.9295060000000088</v>
      </c>
      <c r="AG70" s="185">
        <f t="shared" ca="1" si="480"/>
        <v>10.80842600000001</v>
      </c>
      <c r="AH70" s="185">
        <f t="shared" ca="1" si="480"/>
        <v>9.2172800000000148</v>
      </c>
      <c r="AI70" s="185">
        <f t="shared" ca="1" si="480"/>
        <v>9.2330560000000155</v>
      </c>
      <c r="AJ70" s="185">
        <f t="shared" ref="AJ70:AK70" ca="1" si="489">SUM(Y37:AJ37)</f>
        <v>9.3119780000000194</v>
      </c>
      <c r="AK70" s="185">
        <f t="shared" ca="1" si="489"/>
        <v>9.0098980000000211</v>
      </c>
      <c r="AL70" s="185">
        <f t="shared" ref="AL70:AL73" ca="1" si="490">SUM(AA37:AL37)</f>
        <v>9.0695100000000242</v>
      </c>
      <c r="AM70" s="185">
        <f t="shared" ref="AM70:AQ70" ca="1" si="491">SUM(AB37:AM37)</f>
        <v>9.1430520000000239</v>
      </c>
      <c r="AN70" s="185">
        <f t="shared" ca="1" si="491"/>
        <v>9.195088000000025</v>
      </c>
      <c r="AO70" s="185">
        <f t="shared" ca="1" si="491"/>
        <v>10.879994000000002</v>
      </c>
      <c r="AP70" s="185">
        <f t="shared" ca="1" si="491"/>
        <v>10.874588000000003</v>
      </c>
      <c r="AQ70" s="185">
        <f t="shared" ca="1" si="491"/>
        <v>10.926540000000003</v>
      </c>
      <c r="AR70" s="185">
        <f t="shared" ref="AR70:BN70" ca="1" si="492">AR62+AR54</f>
        <v>10.988434</v>
      </c>
      <c r="AS70" s="185">
        <f t="shared" ca="1" si="492"/>
        <v>10.806701999999998</v>
      </c>
      <c r="AT70" s="185">
        <f t="shared" ca="1" si="492"/>
        <v>10.850885999999997</v>
      </c>
      <c r="AU70" s="185">
        <f t="shared" ref="AU70:AX70" ca="1" si="493">AU62+AU54</f>
        <v>10.937275999999995</v>
      </c>
      <c r="AV70" s="185">
        <f t="shared" ca="1" si="493"/>
        <v>11.002125999999993</v>
      </c>
      <c r="AW70" s="185">
        <f t="shared" ca="1" si="493"/>
        <v>11.05444799999999</v>
      </c>
      <c r="AX70" s="185">
        <f t="shared" ca="1" si="493"/>
        <v>11.102285999999987</v>
      </c>
      <c r="AY70" s="185">
        <f t="shared" ref="AY70:BG70" ca="1" si="494">AY62+AY54</f>
        <v>11.123833999999983</v>
      </c>
      <c r="AZ70" s="185">
        <f t="shared" ca="1" si="494"/>
        <v>11.15385599999998</v>
      </c>
      <c r="BA70" s="185">
        <f t="shared" ca="1" si="494"/>
        <v>13.64118199999999</v>
      </c>
      <c r="BB70" s="185">
        <f t="shared" ca="1" si="494"/>
        <v>13.758267999999989</v>
      </c>
      <c r="BC70" s="185">
        <f t="shared" ca="1" si="494"/>
        <v>13.788449999999987</v>
      </c>
      <c r="BD70" s="185">
        <f t="shared" ca="1" si="494"/>
        <v>13.777627999999989</v>
      </c>
      <c r="BE70" s="185">
        <f t="shared" ref="BE70:BE73" ca="1" si="495">BE5-AS5</f>
        <v>12.185973999999987</v>
      </c>
      <c r="BF70" s="185">
        <f t="shared" ref="BF70:BF73" ca="1" si="496">BF5-AT5</f>
        <v>12.135189999999994</v>
      </c>
      <c r="BG70" s="185">
        <f t="shared" ref="BG70:BG73" ca="1" si="497">BG5-AU5</f>
        <v>12.191412</v>
      </c>
      <c r="BH70" s="185">
        <f t="shared" ref="BH70:BL70" ca="1" si="498">BH5-AV5</f>
        <v>12.442245999999997</v>
      </c>
      <c r="BI70" s="185">
        <f t="shared" ca="1" si="498"/>
        <v>12.508629999999997</v>
      </c>
      <c r="BJ70" s="185">
        <f t="shared" ca="1" si="498"/>
        <v>12.574299999999994</v>
      </c>
      <c r="BK70" s="185">
        <f t="shared" ca="1" si="498"/>
        <v>12.599039999999988</v>
      </c>
      <c r="BL70" s="185">
        <f t="shared" ca="1" si="498"/>
        <v>12.720960000000005</v>
      </c>
      <c r="BM70" s="185">
        <f ca="1">BM5-AZ5</f>
        <v>18.487019999999987</v>
      </c>
      <c r="BN70" s="185">
        <f ca="1">BN5-BA5</f>
        <v>12.107299999999995</v>
      </c>
      <c r="BO70" s="1"/>
      <c r="BP70" s="73"/>
      <c r="BQ70" s="6">
        <f t="shared" ca="1" si="487"/>
        <v>10.397298452830187</v>
      </c>
    </row>
    <row r="71" spans="1:69">
      <c r="A71" s="106" t="s">
        <v>8</v>
      </c>
      <c r="B71" s="118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185">
        <f t="shared" ca="1" si="488"/>
        <v>0.18199999999999994</v>
      </c>
      <c r="O71" s="185">
        <f t="shared" ca="1" si="467"/>
        <v>-5.3214000000000095E-2</v>
      </c>
      <c r="P71" s="185">
        <f t="shared" ca="1" si="468"/>
        <v>2.5125000000000064E-2</v>
      </c>
      <c r="Q71" s="185">
        <f t="shared" ca="1" si="469"/>
        <v>1.9524499999999945E-2</v>
      </c>
      <c r="R71" s="185">
        <f t="shared" ca="1" si="470"/>
        <v>3.8350000000000328E-2</v>
      </c>
      <c r="S71" s="185">
        <f t="shared" ca="1" si="471"/>
        <v>-1.6653499999999877E-2</v>
      </c>
      <c r="T71" s="185">
        <f t="shared" ca="1" si="472"/>
        <v>1.5900000000000025E-2</v>
      </c>
      <c r="U71" s="185">
        <f t="shared" ca="1" si="473"/>
        <v>1.8446500000000032E-2</v>
      </c>
      <c r="V71" s="185">
        <f t="shared" ca="1" si="474"/>
        <v>5.9714000000000045E-2</v>
      </c>
      <c r="W71" s="185">
        <f t="shared" ca="1" si="475"/>
        <v>4.2849999999999833E-2</v>
      </c>
      <c r="X71" s="185">
        <f t="shared" ca="1" si="476"/>
        <v>4.1899999999999826E-2</v>
      </c>
      <c r="Y71" s="185">
        <f t="shared" ca="1" si="477"/>
        <v>5.7142000000000248E-2</v>
      </c>
      <c r="Z71" s="185">
        <f t="shared" ca="1" si="478"/>
        <v>0.11413699999999993</v>
      </c>
      <c r="AA71" s="185">
        <f t="shared" ca="1" si="479"/>
        <v>0.15975950000000028</v>
      </c>
      <c r="AB71" s="185">
        <f t="shared" ca="1" si="479"/>
        <v>0.11563499999999993</v>
      </c>
      <c r="AC71" s="185">
        <f t="shared" ca="1" si="479"/>
        <v>0.19786700000000002</v>
      </c>
      <c r="AD71" s="185">
        <f t="shared" ca="1" si="479"/>
        <v>0.20718499999999995</v>
      </c>
      <c r="AE71" s="185">
        <f t="shared" ca="1" si="479"/>
        <v>0.29745049999999984</v>
      </c>
      <c r="AF71" s="185">
        <f t="shared" ca="1" si="479"/>
        <v>0.26259399999999977</v>
      </c>
      <c r="AG71" s="185">
        <f t="shared" ca="1" si="480"/>
        <v>0.27142999999999984</v>
      </c>
      <c r="AH71" s="185">
        <f t="shared" ca="1" si="480"/>
        <v>0.242788</v>
      </c>
      <c r="AI71" s="185">
        <f t="shared" ca="1" si="480"/>
        <v>0.25255700000000014</v>
      </c>
      <c r="AJ71" s="185">
        <f t="shared" ref="AJ71:AK71" ca="1" si="499">SUM(Y38:AJ38)</f>
        <v>0.26594999999999991</v>
      </c>
      <c r="AK71" s="185">
        <f t="shared" ca="1" si="499"/>
        <v>0.28995549999999981</v>
      </c>
      <c r="AL71" s="185">
        <f t="shared" ca="1" si="490"/>
        <v>0.26363700000000012</v>
      </c>
      <c r="AM71" s="185">
        <f t="shared" ref="AM71:AQ71" ca="1" si="500">SUM(AB38:AM38)</f>
        <v>0.24483899999999981</v>
      </c>
      <c r="AN71" s="185">
        <f t="shared" ca="1" si="500"/>
        <v>0.24375950000000013</v>
      </c>
      <c r="AO71" s="185">
        <f t="shared" ca="1" si="500"/>
        <v>0.29432400000000003</v>
      </c>
      <c r="AP71" s="185">
        <f t="shared" ca="1" si="500"/>
        <v>0.33637600000000001</v>
      </c>
      <c r="AQ71" s="185">
        <f t="shared" ca="1" si="500"/>
        <v>0.35813550000000016</v>
      </c>
      <c r="AR71" s="185">
        <f t="shared" ref="AR71:BN71" ca="1" si="501">AR63+AR55</f>
        <v>0.38754600000000017</v>
      </c>
      <c r="AS71" s="185">
        <f t="shared" ca="1" si="501"/>
        <v>0.41187299999999993</v>
      </c>
      <c r="AT71" s="185">
        <f t="shared" ca="1" si="501"/>
        <v>0.42173600000000011</v>
      </c>
      <c r="AU71" s="185">
        <f t="shared" ref="AU71:AX71" ca="1" si="502">AU63+AU55</f>
        <v>0.5150809999999999</v>
      </c>
      <c r="AV71" s="185">
        <f t="shared" ca="1" si="502"/>
        <v>0.59663650000000024</v>
      </c>
      <c r="AW71" s="185">
        <f t="shared" ca="1" si="502"/>
        <v>0.48194400000000015</v>
      </c>
      <c r="AX71" s="185">
        <f t="shared" ca="1" si="502"/>
        <v>0.47501649999999973</v>
      </c>
      <c r="AY71" s="185">
        <f t="shared" ref="AY71:BG71" ca="1" si="503">AY63+AY55</f>
        <v>0.49652750000000023</v>
      </c>
      <c r="AZ71" s="185">
        <f t="shared" ca="1" si="503"/>
        <v>0.5658455</v>
      </c>
      <c r="BA71" s="185">
        <f t="shared" ca="1" si="503"/>
        <v>0.5133080000000001</v>
      </c>
      <c r="BB71" s="185">
        <f t="shared" ca="1" si="503"/>
        <v>0.50613900000000012</v>
      </c>
      <c r="BC71" s="185">
        <f t="shared" ca="1" si="503"/>
        <v>0.51258100000000018</v>
      </c>
      <c r="BD71" s="185">
        <f t="shared" ca="1" si="503"/>
        <v>0.58676399999999984</v>
      </c>
      <c r="BE71" s="185">
        <f t="shared" ca="1" si="495"/>
        <v>1.5793740000000003</v>
      </c>
      <c r="BF71" s="185">
        <f t="shared" ca="1" si="496"/>
        <v>1.9168305000000001</v>
      </c>
      <c r="BG71" s="185">
        <f t="shared" ca="1" si="497"/>
        <v>2.3240775</v>
      </c>
      <c r="BH71" s="185">
        <f t="shared" ref="BH71:BL73" ca="1" si="504">BH6-AV6</f>
        <v>2.2125589999999997</v>
      </c>
      <c r="BI71" s="185">
        <f t="shared" ca="1" si="504"/>
        <v>2.5241685</v>
      </c>
      <c r="BJ71" s="185">
        <f t="shared" ca="1" si="504"/>
        <v>2.9147535000000007</v>
      </c>
      <c r="BK71" s="185">
        <f t="shared" ca="1" si="504"/>
        <v>3.9036365000000002</v>
      </c>
      <c r="BL71" s="185">
        <f t="shared" ca="1" si="504"/>
        <v>3.3800599999999998</v>
      </c>
      <c r="BM71" s="185">
        <f ca="1">BM6-AZ6</f>
        <v>2.9251039999999997</v>
      </c>
      <c r="BN71" s="185">
        <f ca="1">BN6-BA6</f>
        <v>2.9960065</v>
      </c>
      <c r="BO71" s="1"/>
      <c r="BP71" s="73"/>
      <c r="BQ71" s="6">
        <f t="shared" ca="1" si="487"/>
        <v>0.71692513207547182</v>
      </c>
    </row>
    <row r="72" spans="1:69">
      <c r="A72" s="106" t="s">
        <v>9</v>
      </c>
      <c r="B72" s="118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185">
        <f t="shared" ca="1" si="488"/>
        <v>0.10485</v>
      </c>
      <c r="O72" s="185">
        <f t="shared" ca="1" si="467"/>
        <v>0.10485</v>
      </c>
      <c r="P72" s="185">
        <f t="shared" ca="1" si="468"/>
        <v>0.10485</v>
      </c>
      <c r="Q72" s="185">
        <f t="shared" ca="1" si="469"/>
        <v>0.10485</v>
      </c>
      <c r="R72" s="185">
        <f t="shared" ca="1" si="470"/>
        <v>0.10485</v>
      </c>
      <c r="S72" s="185">
        <f t="shared" ca="1" si="471"/>
        <v>0.10485</v>
      </c>
      <c r="T72" s="185">
        <f t="shared" ca="1" si="472"/>
        <v>0.10485</v>
      </c>
      <c r="U72" s="185">
        <f t="shared" ca="1" si="473"/>
        <v>0.10485</v>
      </c>
      <c r="V72" s="185">
        <f t="shared" ca="1" si="474"/>
        <v>-0.10485</v>
      </c>
      <c r="W72" s="185">
        <f t="shared" ca="1" si="475"/>
        <v>-0.54</v>
      </c>
      <c r="X72" s="185">
        <f t="shared" ca="1" si="476"/>
        <v>-0.73</v>
      </c>
      <c r="Y72" s="185">
        <f t="shared" ca="1" si="477"/>
        <v>0</v>
      </c>
      <c r="Z72" s="185">
        <f t="shared" ca="1" si="478"/>
        <v>0</v>
      </c>
      <c r="AA72" s="185">
        <f t="shared" ca="1" si="479"/>
        <v>0</v>
      </c>
      <c r="AB72" s="185">
        <f t="shared" ca="1" si="479"/>
        <v>0</v>
      </c>
      <c r="AC72" s="185">
        <f t="shared" ca="1" si="479"/>
        <v>0</v>
      </c>
      <c r="AD72" s="185">
        <f t="shared" ca="1" si="479"/>
        <v>0</v>
      </c>
      <c r="AE72" s="185">
        <f t="shared" ca="1" si="479"/>
        <v>0</v>
      </c>
      <c r="AF72" s="185">
        <f t="shared" ca="1" si="479"/>
        <v>0</v>
      </c>
      <c r="AG72" s="185">
        <f t="shared" ca="1" si="480"/>
        <v>0</v>
      </c>
      <c r="AH72" s="185">
        <f t="shared" ca="1" si="480"/>
        <v>0</v>
      </c>
      <c r="AI72" s="185">
        <f t="shared" ca="1" si="480"/>
        <v>0</v>
      </c>
      <c r="AJ72" s="185">
        <f t="shared" ref="AJ72" ca="1" si="505">SUM(X39:AJ39)</f>
        <v>0</v>
      </c>
      <c r="AK72" s="185">
        <f t="shared" ref="AK72:AK73" ca="1" si="506">SUM(Z39:AK39)</f>
        <v>0</v>
      </c>
      <c r="AL72" s="185">
        <f t="shared" ca="1" si="490"/>
        <v>0</v>
      </c>
      <c r="AM72" s="185">
        <f t="shared" ref="AM72:AQ72" ca="1" si="507">SUM(AB39:AM39)</f>
        <v>0</v>
      </c>
      <c r="AN72" s="185">
        <f t="shared" ca="1" si="507"/>
        <v>0</v>
      </c>
      <c r="AO72" s="185">
        <f t="shared" ca="1" si="507"/>
        <v>0</v>
      </c>
      <c r="AP72" s="185">
        <f t="shared" ca="1" si="507"/>
        <v>0</v>
      </c>
      <c r="AQ72" s="185">
        <f t="shared" ca="1" si="507"/>
        <v>0</v>
      </c>
      <c r="AR72" s="185">
        <f t="shared" ref="AR72:BN72" ca="1" si="508">AR64+AR56</f>
        <v>0</v>
      </c>
      <c r="AS72" s="185">
        <f t="shared" ca="1" si="508"/>
        <v>0</v>
      </c>
      <c r="AT72" s="185">
        <f t="shared" ca="1" si="508"/>
        <v>0</v>
      </c>
      <c r="AU72" s="185">
        <f t="shared" ref="AU72:AX72" ca="1" si="509">AU64+AU56</f>
        <v>0</v>
      </c>
      <c r="AV72" s="185">
        <f t="shared" ca="1" si="509"/>
        <v>0</v>
      </c>
      <c r="AW72" s="185">
        <f t="shared" ca="1" si="509"/>
        <v>0</v>
      </c>
      <c r="AX72" s="185">
        <f t="shared" ca="1" si="509"/>
        <v>0</v>
      </c>
      <c r="AY72" s="185">
        <f t="shared" ref="AY72:BG72" ca="1" si="510">AY64+AY56</f>
        <v>0</v>
      </c>
      <c r="AZ72" s="185">
        <f t="shared" ca="1" si="510"/>
        <v>0</v>
      </c>
      <c r="BA72" s="185">
        <f t="shared" ca="1" si="510"/>
        <v>0</v>
      </c>
      <c r="BB72" s="185">
        <f t="shared" ca="1" si="510"/>
        <v>0</v>
      </c>
      <c r="BC72" s="185">
        <f t="shared" ca="1" si="510"/>
        <v>0</v>
      </c>
      <c r="BD72" s="185">
        <f t="shared" ca="1" si="510"/>
        <v>0</v>
      </c>
      <c r="BE72" s="185">
        <f t="shared" ca="1" si="495"/>
        <v>0</v>
      </c>
      <c r="BF72" s="185">
        <f t="shared" ca="1" si="496"/>
        <v>0</v>
      </c>
      <c r="BG72" s="185">
        <f t="shared" ca="1" si="497"/>
        <v>0</v>
      </c>
      <c r="BH72" s="185">
        <f t="shared" ref="BH72:BJ72" ca="1" si="511">BH7-AV7</f>
        <v>0</v>
      </c>
      <c r="BI72" s="185">
        <f t="shared" ca="1" si="511"/>
        <v>0</v>
      </c>
      <c r="BJ72" s="185">
        <f t="shared" ca="1" si="504"/>
        <v>0</v>
      </c>
      <c r="BK72" s="185">
        <f t="shared" ca="1" si="504"/>
        <v>0</v>
      </c>
      <c r="BL72" s="185">
        <f t="shared" ca="1" si="504"/>
        <v>0</v>
      </c>
      <c r="BM72" s="185">
        <f ca="1">BM7-AZ7</f>
        <v>0</v>
      </c>
      <c r="BN72" s="185">
        <f ca="1">BN7-BA7</f>
        <v>0</v>
      </c>
      <c r="BO72" s="1"/>
      <c r="BP72" s="73"/>
      <c r="BQ72" s="6">
        <f t="shared" ca="1" si="487"/>
        <v>-1.0114150943396226E-2</v>
      </c>
    </row>
    <row r="73" spans="1:69">
      <c r="A73" s="106" t="s">
        <v>10</v>
      </c>
      <c r="B73" s="118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185">
        <f t="shared" ca="1" si="488"/>
        <v>-1.7924342990000004</v>
      </c>
      <c r="O73" s="185">
        <f t="shared" ca="1" si="467"/>
        <v>-0.84252166900000036</v>
      </c>
      <c r="P73" s="185">
        <f t="shared" ca="1" si="468"/>
        <v>0.34396987699999992</v>
      </c>
      <c r="Q73" s="185">
        <f t="shared" ca="1" si="469"/>
        <v>0.34435938899999985</v>
      </c>
      <c r="R73" s="185">
        <f t="shared" ca="1" si="470"/>
        <v>-2.1591809439999996</v>
      </c>
      <c r="S73" s="185">
        <f t="shared" ca="1" si="471"/>
        <v>-3.5198530780000006</v>
      </c>
      <c r="T73" s="185">
        <f t="shared" ca="1" si="472"/>
        <v>-3.5291138629999996</v>
      </c>
      <c r="U73" s="185">
        <f t="shared" ca="1" si="473"/>
        <v>-2.5383889910000001</v>
      </c>
      <c r="V73" s="185">
        <f t="shared" ca="1" si="474"/>
        <v>1.9545104000000006</v>
      </c>
      <c r="W73" s="185">
        <f t="shared" ca="1" si="475"/>
        <v>-1.8487874399999997</v>
      </c>
      <c r="X73" s="185">
        <f t="shared" ca="1" si="476"/>
        <v>-3.3509365259999995</v>
      </c>
      <c r="Y73" s="185">
        <f t="shared" ca="1" si="477"/>
        <v>-2.3510603899999993</v>
      </c>
      <c r="Z73" s="185">
        <f t="shared" ca="1" si="478"/>
        <v>-1.357565701</v>
      </c>
      <c r="AA73" s="185">
        <f t="shared" ca="1" si="479"/>
        <v>-0.85747833099999982</v>
      </c>
      <c r="AB73" s="185">
        <f t="shared" ca="1" si="479"/>
        <v>0.15603012299999985</v>
      </c>
      <c r="AC73" s="185">
        <f t="shared" ca="1" si="479"/>
        <v>1.6521389969999998</v>
      </c>
      <c r="AD73" s="185">
        <f t="shared" ca="1" si="479"/>
        <v>0.64836221100000024</v>
      </c>
      <c r="AE73" s="185">
        <f t="shared" ca="1" si="479"/>
        <v>0.99996780400000018</v>
      </c>
      <c r="AF73" s="185">
        <f t="shared" ca="1" si="479"/>
        <v>0</v>
      </c>
      <c r="AG73" s="185">
        <f t="shared" ca="1" si="480"/>
        <v>2</v>
      </c>
      <c r="AH73" s="185">
        <f t="shared" ca="1" si="480"/>
        <v>-4</v>
      </c>
      <c r="AI73" s="185">
        <f t="shared" ca="1" si="480"/>
        <v>-2.5</v>
      </c>
      <c r="AJ73" s="185">
        <f t="shared" ref="AJ73" ca="1" si="512">SUM(Y40:AJ40)</f>
        <v>0</v>
      </c>
      <c r="AK73" s="185">
        <f t="shared" ca="1" si="506"/>
        <v>0</v>
      </c>
      <c r="AL73" s="185">
        <f t="shared" ca="1" si="490"/>
        <v>0.5</v>
      </c>
      <c r="AM73" s="185">
        <f t="shared" ref="AM73:AQ73" ca="1" si="513">SUM(AB40:AM40)</f>
        <v>2.5</v>
      </c>
      <c r="AN73" s="185">
        <f t="shared" ca="1" si="513"/>
        <v>-1.5</v>
      </c>
      <c r="AO73" s="185">
        <f t="shared" ca="1" si="513"/>
        <v>-0.98653655399999973</v>
      </c>
      <c r="AP73" s="185">
        <f t="shared" ca="1" si="513"/>
        <v>2.4702571999999812E-2</v>
      </c>
      <c r="AQ73" s="185">
        <f t="shared" ca="1" si="513"/>
        <v>-1</v>
      </c>
      <c r="AR73" s="185">
        <f t="shared" ref="AR73:BN73" ca="1" si="514">AR65+AR57</f>
        <v>0</v>
      </c>
      <c r="AS73" s="185">
        <f t="shared" ca="1" si="514"/>
        <v>1.0049730219999997</v>
      </c>
      <c r="AT73" s="185">
        <f t="shared" ca="1" si="514"/>
        <v>3.0221235549999999</v>
      </c>
      <c r="AU73" s="185">
        <f t="shared" ref="AU73:AX73" ca="1" si="515">AU65+AU57</f>
        <v>3.0407110509999997</v>
      </c>
      <c r="AV73" s="185">
        <f t="shared" ca="1" si="515"/>
        <v>1.042222156</v>
      </c>
      <c r="AW73" s="185">
        <f t="shared" ca="1" si="515"/>
        <v>0.52468656000000002</v>
      </c>
      <c r="AX73" s="185">
        <f t="shared" ca="1" si="515"/>
        <v>-2</v>
      </c>
      <c r="AY73" s="185">
        <f t="shared" ref="AY73:BG73" ca="1" si="516">AY65+AY57</f>
        <v>-4</v>
      </c>
      <c r="AZ73" s="185">
        <f t="shared" ca="1" si="516"/>
        <v>0</v>
      </c>
      <c r="BA73" s="185">
        <f t="shared" ca="1" si="516"/>
        <v>6.9865365539999997</v>
      </c>
      <c r="BB73" s="185">
        <f t="shared" ca="1" si="516"/>
        <v>3.9754118580000002</v>
      </c>
      <c r="BC73" s="185">
        <f t="shared" ca="1" si="516"/>
        <v>4.4112820199999998</v>
      </c>
      <c r="BD73" s="185">
        <f t="shared" ca="1" si="516"/>
        <v>0</v>
      </c>
      <c r="BE73" s="185">
        <f t="shared" ca="1" si="495"/>
        <v>0.99498020300000034</v>
      </c>
      <c r="BF73" s="185">
        <f t="shared" ca="1" si="496"/>
        <v>-3.0221235549999999</v>
      </c>
      <c r="BG73" s="185">
        <f t="shared" ca="1" si="497"/>
        <v>-3.0407110509999997</v>
      </c>
      <c r="BH73" s="185">
        <f t="shared" ref="BH73:BJ73" ca="1" si="517">BH8-AV8</f>
        <v>-1.042222156</v>
      </c>
      <c r="BI73" s="185">
        <f t="shared" ca="1" si="517"/>
        <v>-0.52468656000000002</v>
      </c>
      <c r="BJ73" s="185">
        <f t="shared" ca="1" si="504"/>
        <v>0</v>
      </c>
      <c r="BK73" s="185">
        <f t="shared" ca="1" si="504"/>
        <v>0</v>
      </c>
      <c r="BL73" s="185">
        <f t="shared" ca="1" si="504"/>
        <v>0</v>
      </c>
      <c r="BM73" s="185">
        <f ca="1">BM8-AZ8</f>
        <v>0</v>
      </c>
      <c r="BN73" s="185">
        <f ca="1">BN8-BA8</f>
        <v>-9</v>
      </c>
      <c r="BO73" s="1"/>
      <c r="BP73" s="73"/>
      <c r="BQ73" s="6">
        <f t="shared" ca="1" si="487"/>
        <v>-0.38937042935849053</v>
      </c>
    </row>
    <row r="74" spans="1:69">
      <c r="A74" s="98" t="s">
        <v>11</v>
      </c>
      <c r="B74" s="75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186">
        <f ca="1">SUM(N69:N73)</f>
        <v>45.878029989816994</v>
      </c>
      <c r="O74" s="186">
        <f t="shared" ref="O74" ca="1" si="518">SUM(O69:O73)</f>
        <v>45.166649036999999</v>
      </c>
      <c r="P74" s="186">
        <f t="shared" ref="P74" ca="1" si="519">SUM(P69:P73)</f>
        <v>35.309118975999986</v>
      </c>
      <c r="Q74" s="186">
        <f t="shared" ref="Q74" ca="1" si="520">SUM(Q69:Q73)</f>
        <v>42.087717341999991</v>
      </c>
      <c r="R74" s="186">
        <f t="shared" ref="R74" ca="1" si="521">SUM(R69:R73)</f>
        <v>40.651877069000008</v>
      </c>
      <c r="S74" s="186">
        <f t="shared" ref="S74" ca="1" si="522">SUM(S69:S73)</f>
        <v>29.215546186000008</v>
      </c>
      <c r="T74" s="186">
        <f t="shared" ref="T74" ca="1" si="523">SUM(T69:T73)</f>
        <v>22.614199467999992</v>
      </c>
      <c r="U74" s="186">
        <f t="shared" ref="U74" ca="1" si="524">SUM(U69:U73)</f>
        <v>28.77758425699998</v>
      </c>
      <c r="V74" s="186">
        <f t="shared" ref="V74" ca="1" si="525">SUM(V69:V73)</f>
        <v>32.128576950999964</v>
      </c>
      <c r="W74" s="186">
        <f t="shared" ref="W74" ca="1" si="526">SUM(W69:W73)</f>
        <v>23.731627154999966</v>
      </c>
      <c r="X74" s="186">
        <f t="shared" ref="X74" ca="1" si="527">SUM(X69:X73)</f>
        <v>25.855393851999978</v>
      </c>
      <c r="Y74" s="186">
        <f t="shared" ref="Y74" ca="1" si="528">SUM(Y69:Y73)</f>
        <v>29.921001647299974</v>
      </c>
      <c r="Z74" s="186">
        <f t="shared" ref="Z74" ca="1" si="529">SUM(Z69:Z73)</f>
        <v>26.054043673999992</v>
      </c>
      <c r="AA74" s="186">
        <f t="shared" ref="AA74:AB74" ca="1" si="530">SUM(AA69:AA73)</f>
        <v>26.640250854999987</v>
      </c>
      <c r="AB74" s="186">
        <f t="shared" ca="1" si="530"/>
        <v>36.119887695999999</v>
      </c>
      <c r="AC74" s="186">
        <f t="shared" ref="AC74:AD74" ca="1" si="531">SUM(AC69:AC73)</f>
        <v>30.58572953000003</v>
      </c>
      <c r="AD74" s="186">
        <f t="shared" ca="1" si="531"/>
        <v>37.332744712000007</v>
      </c>
      <c r="AE74" s="186">
        <f t="shared" ref="AE74:AF74" ca="1" si="532">SUM(AE69:AE73)</f>
        <v>48.333599691999993</v>
      </c>
      <c r="AF74" s="186">
        <f t="shared" ca="1" si="532"/>
        <v>57.568420103000008</v>
      </c>
      <c r="AG74" s="186">
        <f t="shared" ref="AG74:BN74" ca="1" si="533">SUM(AG69:AG73)</f>
        <v>61.871504934000036</v>
      </c>
      <c r="AH74" s="186">
        <f t="shared" ref="AH74:AJ74" ca="1" si="534">SUM(AH69:AH73)</f>
        <v>54.823629684000039</v>
      </c>
      <c r="AI74" s="186">
        <f t="shared" ca="1" si="534"/>
        <v>58.840501219000039</v>
      </c>
      <c r="AJ74" s="186">
        <f t="shared" ca="1" si="534"/>
        <v>55.477455380000023</v>
      </c>
      <c r="AK74" s="186">
        <f t="shared" ref="AK74:AM74" ca="1" si="535">SUM(AK69:AK73)</f>
        <v>62.653536026700017</v>
      </c>
      <c r="AL74" s="186">
        <f t="shared" ca="1" si="535"/>
        <v>74.345235974000047</v>
      </c>
      <c r="AM74" s="186">
        <f t="shared" ca="1" si="535"/>
        <v>81.391976537000033</v>
      </c>
      <c r="AN74" s="186">
        <f t="shared" ref="AN74:AO74" ca="1" si="536">SUM(AN69:AN73)</f>
        <v>82.877515927000033</v>
      </c>
      <c r="AO74" s="186">
        <f t="shared" ca="1" si="536"/>
        <v>89.42679136699995</v>
      </c>
      <c r="AP74" s="186">
        <f t="shared" ref="AP74:AR74" ca="1" si="537">SUM(AP69:AP73)</f>
        <v>87.550164879999983</v>
      </c>
      <c r="AQ74" s="186">
        <f t="shared" ca="1" si="537"/>
        <v>84.285032732000019</v>
      </c>
      <c r="AR74" s="186">
        <f t="shared" ca="1" si="537"/>
        <v>93.133611101000014</v>
      </c>
      <c r="AS74" s="186">
        <f t="shared" ref="AS74:BN74" ca="1" si="538">SUM(AS69:AS73)</f>
        <v>96.969144144999987</v>
      </c>
      <c r="AT74" s="186">
        <f t="shared" ref="AT74:AX74" ca="1" si="539">SUM(AT69:AT73)</f>
        <v>100.19524203300001</v>
      </c>
      <c r="AU74" s="186">
        <f t="shared" ca="1" si="539"/>
        <v>103.55329645500002</v>
      </c>
      <c r="AV74" s="186">
        <f t="shared" ca="1" si="539"/>
        <v>90.181193901999961</v>
      </c>
      <c r="AW74" s="186">
        <f t="shared" ca="1" si="539"/>
        <v>80.988534990000034</v>
      </c>
      <c r="AX74" s="186">
        <f t="shared" ca="1" si="539"/>
        <v>74.918772458999968</v>
      </c>
      <c r="AY74" s="186">
        <f t="shared" ref="AY74:BJ74" ca="1" si="540">SUM(AY69:AY73)</f>
        <v>52.348625022999947</v>
      </c>
      <c r="AZ74" s="186">
        <f t="shared" ca="1" si="540"/>
        <v>34.538399564999956</v>
      </c>
      <c r="BA74" s="186">
        <f t="shared" ca="1" si="540"/>
        <v>41.018774668000056</v>
      </c>
      <c r="BB74" s="186">
        <f t="shared" ca="1" si="540"/>
        <v>43.494289016999979</v>
      </c>
      <c r="BC74" s="186">
        <f t="shared" ca="1" si="540"/>
        <v>52.426334881000002</v>
      </c>
      <c r="BD74" s="186">
        <f t="shared" ca="1" si="540"/>
        <v>45.02564920799999</v>
      </c>
      <c r="BE74" s="186">
        <f t="shared" ca="1" si="540"/>
        <v>28.112294825999971</v>
      </c>
      <c r="BF74" s="186">
        <f t="shared" ca="1" si="540"/>
        <v>21.12462693099997</v>
      </c>
      <c r="BG74" s="186">
        <f t="shared" ca="1" si="540"/>
        <v>16.88097932399997</v>
      </c>
      <c r="BH74" s="186">
        <f t="shared" ca="1" si="540"/>
        <v>39.785550869000041</v>
      </c>
      <c r="BI74" s="186">
        <f t="shared" ca="1" si="540"/>
        <v>38.607284744999937</v>
      </c>
      <c r="BJ74" s="186">
        <f t="shared" ref="BJ74" ca="1" si="541">BJ9-AX9</f>
        <v>34.817066828999998</v>
      </c>
      <c r="BK74" s="186">
        <f ca="1">BK9-AY9</f>
        <v>43.317551691999995</v>
      </c>
      <c r="BL74" s="186">
        <f ca="1">BL9-AZ9</f>
        <v>55.485898695000003</v>
      </c>
      <c r="BM74" s="186">
        <f ca="1">BM9-AZ9</f>
        <v>41.805813295999997</v>
      </c>
      <c r="BN74" s="186">
        <f ca="1">BN9-BA9</f>
        <v>50.82525682399995</v>
      </c>
      <c r="BO74" s="1"/>
      <c r="BP74" s="73"/>
      <c r="BQ74" s="6">
        <f t="shared" ca="1" si="487"/>
        <v>51.642821402468229</v>
      </c>
    </row>
    <row r="75" spans="1:69">
      <c r="A75" s="99"/>
      <c r="B75" s="183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7"/>
      <c r="BA75" s="187"/>
      <c r="BB75" s="187"/>
      <c r="BC75" s="187"/>
      <c r="BD75" s="187"/>
      <c r="BE75" s="187"/>
      <c r="BF75" s="187"/>
      <c r="BG75" s="187"/>
      <c r="BH75" s="187"/>
      <c r="BI75" s="187"/>
      <c r="BJ75" s="187"/>
      <c r="BK75" s="187"/>
      <c r="BL75" s="187"/>
      <c r="BM75" s="187"/>
      <c r="BN75" s="187"/>
      <c r="BO75" s="1"/>
      <c r="BP75" s="7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B0B-AF56-4730-8B51-FD9CE46DB36B}">
  <dimension ref="A1:CE113"/>
  <sheetViews>
    <sheetView showGridLines="0" workbookViewId="0">
      <pane xSplit="1" ySplit="2" topLeftCell="BG126" activePane="bottomRight" state="frozen"/>
      <selection pane="bottomRight" activeCell="BO141" sqref="BO141"/>
      <selection pane="bottomLeft"/>
      <selection pane="topRight"/>
    </sheetView>
  </sheetViews>
  <sheetFormatPr defaultRowHeight="15" customHeight="1"/>
  <cols>
    <col min="1" max="1" width="14.85546875" style="100" bestFit="1" customWidth="1"/>
    <col min="2" max="2" width="10.5703125" style="100" bestFit="1" customWidth="1"/>
    <col min="3" max="4" width="12.85546875" bestFit="1" customWidth="1"/>
    <col min="5" max="67" width="12.85546875" customWidth="1"/>
    <col min="69" max="69" width="12.7109375" bestFit="1" customWidth="1"/>
  </cols>
  <sheetData>
    <row r="1" spans="1:83" ht="15" customHeight="1">
      <c r="A1" s="108" t="s">
        <v>114</v>
      </c>
      <c r="B1" s="108" t="s">
        <v>115</v>
      </c>
      <c r="C1" s="109">
        <v>44197</v>
      </c>
      <c r="D1" s="109">
        <v>44228</v>
      </c>
      <c r="E1" s="109">
        <v>44256</v>
      </c>
      <c r="F1" s="109">
        <v>44290</v>
      </c>
      <c r="G1" s="109">
        <v>44321</v>
      </c>
      <c r="H1" s="109">
        <v>44352</v>
      </c>
      <c r="I1" s="109">
        <v>44381</v>
      </c>
      <c r="J1" s="109">
        <v>44409</v>
      </c>
      <c r="K1" s="109">
        <v>44446</v>
      </c>
      <c r="L1" s="109">
        <v>44471</v>
      </c>
      <c r="M1" s="109">
        <v>44501</v>
      </c>
      <c r="N1" s="109">
        <v>44534</v>
      </c>
      <c r="O1" s="109">
        <v>44563</v>
      </c>
      <c r="P1" s="109">
        <v>44594</v>
      </c>
      <c r="Q1" s="109">
        <v>44625</v>
      </c>
      <c r="R1" s="109">
        <v>44653</v>
      </c>
      <c r="S1" s="109">
        <v>44682</v>
      </c>
      <c r="T1" s="109">
        <v>44717</v>
      </c>
      <c r="U1" s="109">
        <v>44744</v>
      </c>
      <c r="V1" s="109">
        <v>44774</v>
      </c>
      <c r="W1" s="109">
        <v>44807</v>
      </c>
      <c r="X1" s="109">
        <v>44835</v>
      </c>
      <c r="Y1" s="109">
        <v>44868</v>
      </c>
      <c r="Z1" s="109">
        <v>44898</v>
      </c>
      <c r="AA1" s="109">
        <v>44927</v>
      </c>
      <c r="AB1" s="109">
        <v>44960</v>
      </c>
      <c r="AC1" s="109">
        <v>44988</v>
      </c>
      <c r="AD1" s="109">
        <v>45018</v>
      </c>
      <c r="AE1" s="109">
        <v>45047</v>
      </c>
      <c r="AF1" s="109">
        <v>45080</v>
      </c>
      <c r="AG1" s="109">
        <v>45108</v>
      </c>
      <c r="AH1" s="109">
        <v>45143</v>
      </c>
      <c r="AI1" s="109">
        <v>45171</v>
      </c>
      <c r="AJ1" s="109">
        <v>45201</v>
      </c>
      <c r="AK1" s="109">
        <v>45234</v>
      </c>
      <c r="AL1" s="109">
        <v>45262</v>
      </c>
      <c r="AM1" s="109">
        <v>45292</v>
      </c>
      <c r="AN1" s="109">
        <v>45325</v>
      </c>
      <c r="AO1" s="109">
        <v>45354</v>
      </c>
      <c r="AP1" s="109">
        <v>45385</v>
      </c>
      <c r="AQ1" s="109">
        <v>45413</v>
      </c>
      <c r="AR1" s="109">
        <v>45446</v>
      </c>
      <c r="AS1" s="109">
        <v>45474</v>
      </c>
      <c r="AT1" s="109">
        <v>45506</v>
      </c>
      <c r="AU1" s="109">
        <v>45536</v>
      </c>
      <c r="AV1" s="109">
        <v>45567</v>
      </c>
      <c r="AW1" s="109">
        <v>45598</v>
      </c>
      <c r="AX1" s="109">
        <v>45627</v>
      </c>
      <c r="AY1" s="109">
        <v>45661</v>
      </c>
      <c r="AZ1" s="109">
        <v>45689</v>
      </c>
      <c r="BA1" s="109">
        <v>45718</v>
      </c>
      <c r="BB1" s="109">
        <v>45752</v>
      </c>
      <c r="BC1" s="109">
        <v>45779</v>
      </c>
      <c r="BD1" s="109">
        <v>45810</v>
      </c>
      <c r="BE1" s="109">
        <v>45845</v>
      </c>
      <c r="BF1" s="109">
        <v>45871</v>
      </c>
      <c r="BG1" s="109">
        <v>45901</v>
      </c>
      <c r="BH1" s="109">
        <v>45934</v>
      </c>
      <c r="BI1" s="109">
        <v>45962</v>
      </c>
      <c r="BJ1" s="109">
        <v>45992</v>
      </c>
      <c r="BK1" s="109">
        <v>46023</v>
      </c>
      <c r="BL1" s="109">
        <v>46054</v>
      </c>
      <c r="BM1" s="109">
        <v>46082</v>
      </c>
      <c r="BN1" s="109">
        <v>46114</v>
      </c>
      <c r="BO1" s="109">
        <v>46143</v>
      </c>
      <c r="BP1" s="162" t="s">
        <v>11</v>
      </c>
      <c r="BQ1" s="162" t="s">
        <v>3</v>
      </c>
      <c r="BR1" s="163" t="s">
        <v>42</v>
      </c>
    </row>
    <row r="2" spans="1:83">
      <c r="C2" s="107" t="s">
        <v>116</v>
      </c>
      <c r="D2" s="107" t="s">
        <v>116</v>
      </c>
      <c r="E2" s="107" t="s">
        <v>116</v>
      </c>
      <c r="F2" s="107" t="s">
        <v>116</v>
      </c>
      <c r="G2" s="107" t="s">
        <v>116</v>
      </c>
      <c r="H2" s="107" t="s">
        <v>116</v>
      </c>
      <c r="I2" s="107" t="s">
        <v>116</v>
      </c>
      <c r="J2" s="107" t="s">
        <v>116</v>
      </c>
      <c r="K2" s="107" t="s">
        <v>116</v>
      </c>
      <c r="L2" s="107" t="s">
        <v>116</v>
      </c>
      <c r="M2" s="107" t="s">
        <v>116</v>
      </c>
      <c r="N2" s="107" t="s">
        <v>116</v>
      </c>
      <c r="O2" s="107" t="s">
        <v>116</v>
      </c>
      <c r="P2" s="107" t="s">
        <v>116</v>
      </c>
      <c r="Q2" s="107" t="s">
        <v>116</v>
      </c>
      <c r="R2" s="107" t="s">
        <v>116</v>
      </c>
      <c r="S2" s="107" t="s">
        <v>116</v>
      </c>
      <c r="T2" s="107" t="s">
        <v>116</v>
      </c>
      <c r="U2" s="107" t="s">
        <v>116</v>
      </c>
      <c r="V2" s="107" t="s">
        <v>116</v>
      </c>
      <c r="W2" s="107" t="s">
        <v>116</v>
      </c>
      <c r="X2" s="107" t="s">
        <v>116</v>
      </c>
      <c r="Y2" s="107" t="s">
        <v>116</v>
      </c>
      <c r="Z2" s="107" t="s">
        <v>116</v>
      </c>
      <c r="AA2" s="107" t="s">
        <v>116</v>
      </c>
      <c r="AB2" s="107" t="s">
        <v>116</v>
      </c>
      <c r="AC2" s="107" t="s">
        <v>116</v>
      </c>
      <c r="AD2" s="107" t="s">
        <v>116</v>
      </c>
      <c r="AE2" s="107" t="s">
        <v>116</v>
      </c>
      <c r="AF2" s="107" t="s">
        <v>116</v>
      </c>
      <c r="AG2" s="107" t="s">
        <v>116</v>
      </c>
      <c r="AH2" s="107" t="s">
        <v>116</v>
      </c>
      <c r="AI2" s="107" t="s">
        <v>116</v>
      </c>
      <c r="AJ2" s="107" t="s">
        <v>116</v>
      </c>
      <c r="AK2" s="107" t="s">
        <v>116</v>
      </c>
      <c r="AL2" s="107" t="s">
        <v>116</v>
      </c>
      <c r="AM2" s="107" t="s">
        <v>116</v>
      </c>
      <c r="AN2" s="107" t="s">
        <v>116</v>
      </c>
      <c r="AO2" s="107" t="s">
        <v>116</v>
      </c>
      <c r="AP2" s="107" t="s">
        <v>116</v>
      </c>
      <c r="AQ2" s="107" t="s">
        <v>116</v>
      </c>
      <c r="AR2" s="107" t="s">
        <v>116</v>
      </c>
      <c r="AS2" s="107" t="s">
        <v>116</v>
      </c>
      <c r="AT2" s="107" t="s">
        <v>116</v>
      </c>
      <c r="AU2" s="107" t="s">
        <v>116</v>
      </c>
      <c r="AV2" s="107" t="s">
        <v>116</v>
      </c>
      <c r="AW2" s="107" t="s">
        <v>116</v>
      </c>
      <c r="AX2" s="107" t="s">
        <v>116</v>
      </c>
      <c r="AY2" s="107" t="s">
        <v>116</v>
      </c>
      <c r="AZ2" s="107" t="s">
        <v>116</v>
      </c>
      <c r="BA2" s="107" t="s">
        <v>116</v>
      </c>
      <c r="BB2" s="107" t="s">
        <v>116</v>
      </c>
      <c r="BC2" s="107" t="s">
        <v>116</v>
      </c>
      <c r="BD2" s="107" t="s">
        <v>116</v>
      </c>
      <c r="BE2" s="107" t="s">
        <v>116</v>
      </c>
      <c r="BF2" s="107" t="s">
        <v>116</v>
      </c>
      <c r="BG2" s="107" t="s">
        <v>116</v>
      </c>
      <c r="BH2" s="107" t="s">
        <v>116</v>
      </c>
      <c r="BI2" s="107" t="s">
        <v>116</v>
      </c>
      <c r="BJ2" s="107" t="s">
        <v>116</v>
      </c>
      <c r="BK2" s="107" t="s">
        <v>116</v>
      </c>
      <c r="BL2" s="107" t="s">
        <v>116</v>
      </c>
      <c r="BM2" s="107" t="s">
        <v>116</v>
      </c>
      <c r="BN2" s="107" t="s">
        <v>116</v>
      </c>
      <c r="BO2" s="107" t="s">
        <v>116</v>
      </c>
      <c r="BQ2" s="110">
        <f>COUNTA($C2:BO2)-1</f>
        <v>64</v>
      </c>
    </row>
    <row r="3" spans="1:83">
      <c r="A3" s="161" t="s">
        <v>5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1"/>
    </row>
    <row r="4" spans="1:83">
      <c r="A4" s="101" t="s">
        <v>117</v>
      </c>
      <c r="B4" s="101" t="s">
        <v>6</v>
      </c>
      <c r="C4" s="87">
        <f>'20201227 E'!F72/100000</f>
        <v>18.841826499999996</v>
      </c>
      <c r="D4" s="87">
        <f>'20210131 E'!F72/10^5</f>
        <v>19.928775000000002</v>
      </c>
      <c r="E4" s="87">
        <f>'20210301 E'!F71/10^5</f>
        <v>20.107378500000003</v>
      </c>
      <c r="F4" s="87">
        <f>'20210404 E'!F72/10^5</f>
        <v>21.0441365</v>
      </c>
      <c r="G4" s="87">
        <f>'20210505 E'!F72/10^5</f>
        <v>22.165356499999998</v>
      </c>
      <c r="H4" s="87">
        <f>'20210605 E'!F72/10^5</f>
        <v>24.364378999999989</v>
      </c>
      <c r="I4" s="87">
        <f>'20210704 E'!$F82/10^5</f>
        <v>26.000709499999996</v>
      </c>
      <c r="J4" s="87">
        <f>'20210801 E'!$F82/10^5</f>
        <v>27.720609500000002</v>
      </c>
      <c r="K4" s="87">
        <f>'20210907 E'!$F82/10^5</f>
        <v>30.030264499999994</v>
      </c>
      <c r="L4" s="87">
        <f>'20211002 E'!$F85/10^5</f>
        <v>32.00548400000001</v>
      </c>
      <c r="M4" s="87">
        <f>'20211101 E'!$F85/10^5</f>
        <v>33.260254999999994</v>
      </c>
      <c r="N4" s="87">
        <f>'20211204 E'!$F90/10^5</f>
        <v>33.82749900000001</v>
      </c>
      <c r="O4" s="87">
        <f>'20220102 E'!$F90/10^5</f>
        <v>35.050812000000001</v>
      </c>
      <c r="P4" s="87">
        <f>'20220202 E'!$F92/10^5</f>
        <v>36.934765300000009</v>
      </c>
      <c r="Q4" s="87">
        <f>'20220305 E'!$F92/10^5</f>
        <v>33.95202969999999</v>
      </c>
      <c r="R4" s="87">
        <f>'20220402 E'!$F94/10^5</f>
        <v>37.301109899999993</v>
      </c>
      <c r="S4" s="87">
        <f>'20220501 E'!$F94/10^5</f>
        <v>37.925964400000012</v>
      </c>
      <c r="T4" s="87">
        <f>'20220605 E'!$F94/10^5</f>
        <v>36.577079000000005</v>
      </c>
      <c r="U4" s="87">
        <f>'20220702 E'!$F94/10^5</f>
        <v>35.422102800000005</v>
      </c>
      <c r="V4" s="87">
        <f>'20220801 E'!$E104/10^5-V14-V6</f>
        <v>39.275389399999987</v>
      </c>
      <c r="W4" s="87">
        <f>'20220903 E'!$E104/10^5-W14-W6</f>
        <v>40.663915499999995</v>
      </c>
      <c r="X4" s="87">
        <f>'20221001 E'!$E104/10^5-X14-X6</f>
        <v>40.369198499999989</v>
      </c>
      <c r="Y4" s="87">
        <f>'20221103 E'!$E104/10^5-Y14-Y6</f>
        <v>42.692984700000004</v>
      </c>
      <c r="Z4" s="87">
        <f>'20221203 E'!$E104/10^5-Z14-Z6</f>
        <v>43.507940200000007</v>
      </c>
      <c r="AA4" s="87">
        <f>'20230101 E'!$E104/10^5-AA14-AA6</f>
        <v>42.945084000000016</v>
      </c>
      <c r="AB4" s="87">
        <f>'20230203 E'!$E104/10^5-AB14-AB6</f>
        <v>43.398321400000015</v>
      </c>
      <c r="AC4" s="87">
        <f>'20230303 E'!$E104/10^5-AC14-AC6</f>
        <v>43.924912500000012</v>
      </c>
      <c r="AD4" s="87">
        <f>'20230402 E'!$E104/10^5-AD14-AD6</f>
        <v>43.956907800000025</v>
      </c>
      <c r="AE4" s="87">
        <f>'20230501 E'!$E104/10^5-AE14-AE6</f>
        <v>47.13196090000001</v>
      </c>
      <c r="AF4" s="87">
        <f>'20230603 E'!$E104/10^5-AF14-AF6</f>
        <v>48.170795600000005</v>
      </c>
      <c r="AG4" s="87">
        <f>'20230701 E'!$E104/10^5-AG14-AG6</f>
        <v>50.875903999999984</v>
      </c>
      <c r="AH4" s="87">
        <f>'20230805 E'!$E104/10^5-AH14-AH6</f>
        <v>54.167471200000016</v>
      </c>
      <c r="AI4" s="87">
        <v>55.3</v>
      </c>
      <c r="AJ4" s="87">
        <f>'20231002 E'!$E104/10^5-AJ14-AJ6</f>
        <v>57.2470371</v>
      </c>
      <c r="AK4" s="87">
        <f>'20231104 E'!$E104/10^5-AK14-AK6</f>
        <v>57.059029299999999</v>
      </c>
      <c r="AL4" s="87">
        <f>'20231202 E'!$E104/10^5-AL14-AL6</f>
        <v>61.721329700000013</v>
      </c>
      <c r="AM4" s="87">
        <f>'20240101 E'!$E104/10^5-AM14-AM6</f>
        <v>64.968427800000015</v>
      </c>
      <c r="AN4" s="87">
        <f>'20240203 E'!$E104/10^5-AN14-AN6</f>
        <v>67.02980460000002</v>
      </c>
      <c r="AO4" s="87">
        <f>'20240303 E'!$E104/10^5-AO14-AO6</f>
        <v>69.949432299999998</v>
      </c>
      <c r="AP4" s="87">
        <f>'20240403 E'!$E104/10^5-AP14-AP6</f>
        <v>71.432994899999983</v>
      </c>
      <c r="AQ4" s="87">
        <f>'20240501 E'!$E104/10^5-AQ14-AQ6</f>
        <v>72.418568599999986</v>
      </c>
      <c r="AR4" s="87">
        <f>'20240603 E'!$E104/10^5-AR14-AR6</f>
        <v>73.053823899999998</v>
      </c>
      <c r="AS4" s="87">
        <f>'20240701 E'!$E104/10^5-AS14-AS6</f>
        <v>78.524932700000008</v>
      </c>
      <c r="AT4" s="87">
        <f>'20240802 E'!$E104/10^5-AT14-AT6</f>
        <v>84.921035299999986</v>
      </c>
      <c r="AU4" s="87">
        <f>'20240901 E'!$E104/10^5-AU14-AU6</f>
        <v>86.361439800000014</v>
      </c>
      <c r="AV4" s="87">
        <f>'20241002 E'!$E104/10^5-AV14-AV6</f>
        <v>87.55221250000001</v>
      </c>
      <c r="AW4" s="87">
        <f>'20241102 E'!$E104/10^5-AW14-AW6</f>
        <v>81.795471499999991</v>
      </c>
      <c r="AX4" s="87">
        <f>'20241201 E'!$E104/10^5-AX14-AX6</f>
        <v>80.913654300000005</v>
      </c>
      <c r="AY4" s="87">
        <f>'20250104 E'!$E104/10^5-AY14-AY6</f>
        <v>81.101257000000004</v>
      </c>
      <c r="AZ4" s="87">
        <f>'20250201 E'!$E104/10^5-AZ14-AZ6</f>
        <v>75.643765200000004</v>
      </c>
      <c r="BA4" s="87">
        <f>'20250302 E'!$F104/10^5-BA14-BA6</f>
        <v>69.665521600000005</v>
      </c>
      <c r="BB4" s="87">
        <f>'20250405 E'!$F104/10^5-BB14-BB6</f>
        <v>63.515731099999996</v>
      </c>
      <c r="BC4" s="87">
        <f>'20250502 E'!$F104/10^5-BC14-BC6</f>
        <v>66.14081139999999</v>
      </c>
      <c r="BD4" s="87">
        <f>'20250602 E'!$F104/10^5-BD14-BD6</f>
        <v>68.636916600000006</v>
      </c>
      <c r="BE4" s="87">
        <f>'20250707 E'!$F104/10^5-BE14-BE6</f>
        <v>71.137837500000003</v>
      </c>
      <c r="BF4" s="87">
        <f>'20250802 E'!$F104/10^5-BF14-BF6</f>
        <v>68.136693199999982</v>
      </c>
      <c r="BG4" s="87">
        <f>'20250901 E'!$F104/10^5-BG14-BG6</f>
        <v>69.489358099999976</v>
      </c>
      <c r="BH4" s="87">
        <f>'20251004 E'!$F104/10^5-BH14-BH6</f>
        <v>65.671932099999992</v>
      </c>
      <c r="BI4" s="87">
        <f>'20251101 E'!$F104/10^5-BI14-BI6</f>
        <v>67.973184099999983</v>
      </c>
      <c r="BJ4" s="87">
        <f>'20251201 E'!$F104/10^5-BJ14-BJ6</f>
        <v>68.802066700000012</v>
      </c>
      <c r="BK4" s="87">
        <f>'20260101 E'!$F104/10^5-BK14-BK6</f>
        <v>68.428467299999994</v>
      </c>
      <c r="BL4" s="87">
        <f>'20260201 E'!$F104/10^5-BL14-BL6</f>
        <v>66.450526400000015</v>
      </c>
      <c r="BM4" s="87">
        <f>'20260301 E'!$F104/10^5-BM14-BM6</f>
        <v>67.047304799999992</v>
      </c>
      <c r="BN4" s="87">
        <f>'20260402 E'!$F104/10^5-BN14-BN6</f>
        <v>60.916094900000012</v>
      </c>
      <c r="BO4" s="87">
        <f>'20260501 E'!$F104/10^5-BO14-BO6</f>
        <v>65.42562359999998</v>
      </c>
      <c r="BQ4" s="1">
        <f>((BO4/C4)^(12/$BQ$2)-1)</f>
        <v>0.26289476558004576</v>
      </c>
      <c r="BT4" t="s">
        <v>118</v>
      </c>
    </row>
    <row r="5" spans="1:83">
      <c r="A5" s="101" t="s">
        <v>119</v>
      </c>
      <c r="B5" s="101" t="s">
        <v>6</v>
      </c>
      <c r="C5" s="87">
        <f>'20201227 MF'!G9/100000</f>
        <v>22.528768281183002</v>
      </c>
      <c r="D5" s="87">
        <f>'20210131 MF'!G10/10^5</f>
        <v>23.935691219999995</v>
      </c>
      <c r="E5" s="87">
        <f>'20210301 MF'!G11/10^5</f>
        <v>27.988408345</v>
      </c>
      <c r="F5" s="87">
        <f>'20210404 MF'!G11/10^5-F12</f>
        <v>28.733425109999995</v>
      </c>
      <c r="G5" s="87">
        <f>'20210505 MF'!G12/10^5-G12</f>
        <v>26.242302552999998</v>
      </c>
      <c r="H5" s="87">
        <f>'20210605 MF'!G12/10^5-H12</f>
        <v>29.973678404999998</v>
      </c>
      <c r="I5" s="87">
        <f>'20210704 MF'!$G12/10^5-I12</f>
        <v>32.278217716999997</v>
      </c>
      <c r="J5" s="87">
        <f>'20210801 MF'!$G12/10^5-J12</f>
        <v>34.354228560999999</v>
      </c>
      <c r="K5" s="87">
        <f>'20210907 MF'!$G13/10^5-K12</f>
        <v>37.868912151000004</v>
      </c>
      <c r="L5" s="87">
        <f>'20211002 MF'!$G13/10^5-L12</f>
        <v>38.786268306999993</v>
      </c>
      <c r="M5" s="87">
        <f>'20211101 MF'!$G14/10^5-M12</f>
        <v>40.250964000000003</v>
      </c>
      <c r="N5" s="87">
        <f>'20211204 MF'!$G14/10^5-N12</f>
        <v>41.382267661000007</v>
      </c>
      <c r="O5" s="87">
        <f>'20220102 MF'!$G14/10^5-O12</f>
        <v>42.884657069999996</v>
      </c>
      <c r="P5" s="87">
        <f>'20220202 MF'!$G14/10^5-P12</f>
        <v>43.616195625999993</v>
      </c>
      <c r="Q5" s="87">
        <f>'20220305 MF'!$G14/10^5-Q12</f>
        <v>40.833591244000004</v>
      </c>
      <c r="R5" s="87">
        <f>'20220402 MF'!$G14/10^5-R12</f>
        <v>44.522295163000003</v>
      </c>
      <c r="S5" s="87">
        <f>'20220501 MF'!$G14/10^5-S12</f>
        <v>44.045012665999998</v>
      </c>
      <c r="T5" s="87">
        <f>'20220605 MF'!$G14/10^5-T12</f>
        <v>42.023841169000001</v>
      </c>
      <c r="U5" s="87">
        <f>'20220702 MF'!$G15/10^5-U12</f>
        <v>40.760407747999992</v>
      </c>
      <c r="V5" s="87">
        <f>'20220801 MF'!$G15/10^5-V12</f>
        <v>45.271531409000012</v>
      </c>
      <c r="W5" s="87">
        <f>'20220903 MF'!$G17/10^5</f>
        <v>47.060873701999988</v>
      </c>
      <c r="X5" s="87">
        <f>'20221001 MF'!$G17/10^5</f>
        <v>48.258124402</v>
      </c>
      <c r="Y5" s="87">
        <f>'20221103 MF'!$G17/10^5</f>
        <v>52.139562677999997</v>
      </c>
      <c r="Z5" s="87">
        <f>'20221203 MF'!$G18/10^5</f>
        <v>54.554256498300006</v>
      </c>
      <c r="AA5" s="87">
        <f>'20230101 MF'!$G18/10^5</f>
        <v>53.199567444999992</v>
      </c>
      <c r="AB5" s="87">
        <f>'20230203 MF'!$G18/10^5</f>
        <v>55.592109211999997</v>
      </c>
      <c r="AC5" s="87">
        <f>'20230303 MF'!$G18/10^5</f>
        <v>57.174449016999993</v>
      </c>
      <c r="AD5" s="87">
        <f>'20230402 MF'!$G18/10^5</f>
        <v>57.221090795999999</v>
      </c>
      <c r="AE5" s="87">
        <f>'20230501 MF'!$G18/10^5</f>
        <v>61.517381667000002</v>
      </c>
      <c r="AF5" s="87">
        <f>'20230603 MF'!$G18/10^5</f>
        <v>67.028275956999991</v>
      </c>
      <c r="AG5" s="87">
        <f>'20230701 MF'!$G18/10^5</f>
        <v>71.572926651000003</v>
      </c>
      <c r="AH5" s="87">
        <f>'20230805 MF'!$G18/10^5</f>
        <v>76.341098543000001</v>
      </c>
      <c r="AI5" s="87">
        <f>'20230902 MF'!$G18/10^5</f>
        <v>79.475350886000015</v>
      </c>
      <c r="AJ5" s="87">
        <f>'20231002 MF'!$G18/10^5</f>
        <v>80.695174021</v>
      </c>
      <c r="AK5" s="87">
        <f>'20231104 MF'!$G18/10^5</f>
        <v>81.613045458000002</v>
      </c>
      <c r="AL5" s="87">
        <f>'20231202 MF'!$G18/10^5</f>
        <v>87.281749524999981</v>
      </c>
      <c r="AM5" s="87">
        <f>'20240101 MF'!$G18/10^5</f>
        <v>92.290312619000005</v>
      </c>
      <c r="AN5" s="87">
        <f>'20240203 MF'!$G18/10^5</f>
        <v>97.721711548999991</v>
      </c>
      <c r="AO5" s="87">
        <f>'20240303 MF'!$G18/10^5</f>
        <v>101.99059764400002</v>
      </c>
      <c r="AP5" s="87">
        <f>'20240403 MF'!$G18/10^5-AP12</f>
        <v>105.24401361699999</v>
      </c>
      <c r="AQ5" s="87">
        <f>'20240501 MF'!$G18/10^5-AQ12</f>
        <v>109.035272275</v>
      </c>
      <c r="AR5" s="87">
        <f>'20240603 MF'!$G18/10^5-AR12</f>
        <v>112.79960488900001</v>
      </c>
      <c r="AS5" s="87">
        <f>'20240701 MF'!$G18/10^5-AS12</f>
        <v>121.89652905200001</v>
      </c>
      <c r="AT5" s="87">
        <f>'20240802 MF'!$G18/10^5-AT12</f>
        <v>126.99713056600001</v>
      </c>
      <c r="AU5" s="87">
        <f>'20240901 MF'!$G18/10^5-AU12</f>
        <v>130.90440756400002</v>
      </c>
      <c r="AV5" s="87">
        <f>'20241002 MF'!$G18/10^5-AV12</f>
        <v>135.84022702500002</v>
      </c>
      <c r="AW5" s="87">
        <f>'20241102 MF'!$G18/10^5-AW12</f>
        <v>131.563812504</v>
      </c>
      <c r="AX5" s="87">
        <f>'20241201 MF'!$G18/10^5-AX12</f>
        <v>134.69568135500003</v>
      </c>
      <c r="AY5" s="87">
        <f>'20250104 MF'!$G18/10^5-AY12</f>
        <v>139.89695337800001</v>
      </c>
      <c r="AZ5" s="87">
        <f>'20250201 MF'!$G18/10^5-AZ12</f>
        <v>132.92801447199997</v>
      </c>
      <c r="BA5" s="87">
        <f>'20250302 MF'!$G18/10^5-BA12</f>
        <v>125.40220640899999</v>
      </c>
      <c r="BB5" s="87">
        <f>'20250405 MF'!$G22/10^5</f>
        <v>132.92902553100004</v>
      </c>
      <c r="BC5" s="87">
        <f>'20250502 MF'!$G22/10^5-BC12</f>
        <v>139.97949963399998</v>
      </c>
      <c r="BD5" s="87">
        <f>'20250602 MF'!$G22/10^5-BD12</f>
        <v>150.16653405000002</v>
      </c>
      <c r="BE5" s="87">
        <f>'20250707 MF'!$G22/10^5-BE12</f>
        <v>159.49988146000001</v>
      </c>
      <c r="BF5" s="87">
        <f>'20250802 MF'!$G22/10^5-(BF12-3)</f>
        <v>158.00943928899997</v>
      </c>
      <c r="BG5" s="87">
        <f>'20250901 MF'!$G22/10^5-(BG12)</f>
        <v>158.94421925000003</v>
      </c>
      <c r="BH5" s="87">
        <f>'20251004 MF'!$G22/10^5-(BH12)</f>
        <v>164.12070830000002</v>
      </c>
      <c r="BI5" s="87">
        <f>'20251101 MF'!$G22/10^5-(BI12)</f>
        <v>170.82952792900002</v>
      </c>
      <c r="BJ5" s="87">
        <f>'20251201 MF'!$G22/10^5-(BJ12)</f>
        <v>169.95865175999998</v>
      </c>
      <c r="BK5" s="87">
        <f>'20260101 MF'!$G22/10^5-(BK12)</f>
        <v>170.99075640699996</v>
      </c>
      <c r="BL5" s="87">
        <f>'20260201 MF'!$G22/10^5-(BL12)</f>
        <v>167.84012846399997</v>
      </c>
      <c r="BM5" s="87">
        <f>'20260301 MF'!$G22/10^5-(BM12)</f>
        <v>165.38530190400002</v>
      </c>
      <c r="BN5" s="87">
        <f>'20260402 MF'!$G22/10^5-(BN12)</f>
        <v>154.06532240499999</v>
      </c>
      <c r="BO5" s="87">
        <f>'20260501 MF'!$G22/10^5-(BO12)</f>
        <v>174.94108335499999</v>
      </c>
      <c r="BQ5" s="1">
        <f t="shared" ref="BQ5:BQ15" si="0">((BO5/C5)^(12/$BQ$2)-1)</f>
        <v>0.4686014178575415</v>
      </c>
      <c r="BV5" t="s">
        <v>118</v>
      </c>
      <c r="CD5" t="s">
        <v>118</v>
      </c>
      <c r="CE5" t="s">
        <v>118</v>
      </c>
    </row>
    <row r="6" spans="1:83">
      <c r="A6" s="101" t="s">
        <v>8</v>
      </c>
      <c r="B6" s="101" t="s">
        <v>8</v>
      </c>
      <c r="C6" s="86">
        <v>1</v>
      </c>
      <c r="D6" s="87">
        <f>(48992.7+49393.7+24250)/10^5</f>
        <v>1.226364</v>
      </c>
      <c r="E6" s="87">
        <f>(47500+47050+4672.5*5)/10^5</f>
        <v>1.179125</v>
      </c>
      <c r="F6" s="87">
        <f>(47102.5+46300+4620.01*5)/10^5</f>
        <v>1.1650255</v>
      </c>
      <c r="G6" s="87">
        <f>0.481303+0.475+0.0472494*5</f>
        <v>1.1925499999999998</v>
      </c>
      <c r="H6" s="87">
        <f>0.483451+0.48788+0.0481845*5</f>
        <v>1.2122534999999999</v>
      </c>
      <c r="I6" s="87">
        <f>0.4799+0.2375+0.4777</f>
        <v>1.1951000000000001</v>
      </c>
      <c r="J6" s="87">
        <f>0.47949+0.0472947*5+0.475</f>
        <v>1.1909635000000001</v>
      </c>
      <c r="K6" s="87">
        <f>0.4725+0.0467396*5+0.4713</f>
        <v>1.1774979999999999</v>
      </c>
      <c r="L6" s="87">
        <f>0.4734+0.04623*5+0.4688</f>
        <v>1.1733500000000001</v>
      </c>
      <c r="M6" s="87">
        <f>0.4764+0.04692*5+0.4726</f>
        <v>1.1836000000000002</v>
      </c>
      <c r="N6" s="87">
        <f>0.481+0.235+0.471</f>
        <v>1.1869999999999998</v>
      </c>
      <c r="O6" s="87">
        <f>0.477+0.235+0.47</f>
        <v>1.1819999999999999</v>
      </c>
      <c r="P6" s="87">
        <f>0.4681+0.04611*5+0.4745</f>
        <v>1.1731499999999999</v>
      </c>
      <c r="Q6" s="87">
        <f>0.488+0.04765*5+0.478</f>
        <v>1.20425</v>
      </c>
      <c r="R6" s="87">
        <f>0.4765+0.04721*5+0.472</f>
        <v>1.18455</v>
      </c>
      <c r="S6" s="87">
        <f>0.484+0.0499*5+0.4974</f>
        <v>1.2309000000000001</v>
      </c>
      <c r="T6" s="87">
        <f>0.4817+0.0476*5+0.4759</f>
        <v>1.1956</v>
      </c>
      <c r="U6" s="87">
        <f>0.493+0.04798*5+0.4781</f>
        <v>1.2110000000000001</v>
      </c>
      <c r="V6" s="87">
        <f>SUM('20220801 E'!$E81:$E83)/10^5</f>
        <v>1.2094100000000001</v>
      </c>
      <c r="W6" s="87">
        <f>SUM('20220903 E'!$E81:$E83)/10^5</f>
        <v>1.237212</v>
      </c>
      <c r="X6" s="87">
        <f>SUM('20221001 E'!$E79:$E81)/10^5</f>
        <v>1.2161999999999999</v>
      </c>
      <c r="Y6" s="87">
        <f>SUM('20221103 E'!$E79:$E81)/10^5</f>
        <v>1.2255</v>
      </c>
      <c r="Z6" s="87">
        <f>SUM('20221203 E'!$E77:$E79)/10^5</f>
        <v>1.2441420000000001</v>
      </c>
      <c r="AA6" s="87">
        <f>SUM('20230101 E'!$E80:$E82)/10^5</f>
        <v>1.2961369999999999</v>
      </c>
      <c r="AB6" s="87">
        <f>SUM('20230203 E'!$E79:$E81)/10^5</f>
        <v>1.3329095000000002</v>
      </c>
      <c r="AC6" s="87">
        <f>SUM('20230303 E'!$E79:$E81)/10^5</f>
        <v>1.319885</v>
      </c>
      <c r="AD6" s="87">
        <f>SUM('20230402 E'!$E79:$E81)/10^5</f>
        <v>1.382417</v>
      </c>
      <c r="AE6" s="87">
        <f>SUM('20230501 E'!$E79:$E81)/10^5</f>
        <v>1.4380850000000001</v>
      </c>
      <c r="AF6" s="87">
        <f>SUM('20230603 E'!$E75:$E77)/10^5</f>
        <v>1.4930504999999998</v>
      </c>
      <c r="AG6" s="87">
        <f>SUM('20230701 E'!$E78:$E80)/10^5</f>
        <v>1.4735939999999998</v>
      </c>
      <c r="AH6" s="87">
        <f>SUM('20230805 E'!$E78:$E80)/10^5</f>
        <v>1.4808399999999999</v>
      </c>
      <c r="AI6" s="87">
        <v>1.48</v>
      </c>
      <c r="AJ6" s="87">
        <f>SUM('20231002 E'!$E78:$E80)/10^5</f>
        <v>1.4687570000000001</v>
      </c>
      <c r="AK6" s="87">
        <f>SUM('20231104 E'!$E78:$E80)/10^5</f>
        <v>1.4914499999999999</v>
      </c>
      <c r="AL6" s="87">
        <f>SUM('20231202 E'!$E78:$E80)/10^5</f>
        <v>1.5340974999999999</v>
      </c>
      <c r="AM6" s="87">
        <f>SUM('20240101 E'!$E72:$E74)/10^5</f>
        <v>1.559774</v>
      </c>
      <c r="AN6" s="87">
        <f>SUM('20240203 E'!$E72:$E74)/10^5</f>
        <v>1.5777485</v>
      </c>
      <c r="AO6" s="87">
        <f>SUM('20240303 E'!$E73:$E75)/10^5</f>
        <v>1.5636445000000001</v>
      </c>
      <c r="AP6" s="87">
        <f>SUM('20240403 E'!$E76:$E78)/10^5</f>
        <v>1.676741</v>
      </c>
      <c r="AQ6" s="87">
        <f>SUM('20240501 E'!$E76:$E78)/10^5</f>
        <v>1.7744610000000001</v>
      </c>
      <c r="AR6" s="87">
        <f>SUM('20240603 E'!$E75:$E77)/10^5</f>
        <v>1.851186</v>
      </c>
      <c r="AS6" s="87">
        <f>SUM('20240701 E'!$E75:$E77)/10^5</f>
        <v>1.86114</v>
      </c>
      <c r="AT6" s="87">
        <f>SUM('20240802 E'!$E75:$E77)/10^5</f>
        <v>1.8927129999999999</v>
      </c>
      <c r="AU6" s="87">
        <f>SUM('20240901 E'!$E75:$E77)/10^5</f>
        <v>1.9017360000000001</v>
      </c>
      <c r="AV6" s="87">
        <f>SUM('20241002 E'!$E78:$E80)/10^5</f>
        <v>1.983838</v>
      </c>
      <c r="AW6" s="87">
        <f>SUM('20241102 E'!$E78:$E80)/10^5</f>
        <v>2.0880865000000002</v>
      </c>
      <c r="AX6" s="87">
        <f>SUM('20241201 E'!$E78:$E80)/10^5</f>
        <v>2.0160415</v>
      </c>
      <c r="AY6" s="87">
        <f>SUM('20250104 E'!$E79:$E81)/10^5</f>
        <v>2.0347904999999997</v>
      </c>
      <c r="AZ6" s="87">
        <f>SUM('20250201 E'!$E79:$E81)/10^5</f>
        <v>2.0742760000000002</v>
      </c>
      <c r="BA6" s="87">
        <f>SUM('20250302 E'!$F79:$F81)/10^5</f>
        <v>2.1294900000000001</v>
      </c>
      <c r="BB6" s="87">
        <f>SUM('20250405 E'!$F65:$F67)/10^5</f>
        <v>2.1900490000000001</v>
      </c>
      <c r="BC6" s="87">
        <f>SUM('20250502 E'!$F65:$F67)/10^5</f>
        <v>2.2806000000000002</v>
      </c>
      <c r="BD6" s="87">
        <f>SUM('20250602 E'!$F65:$F67)/10^5</f>
        <v>2.3637670000000002</v>
      </c>
      <c r="BE6" s="87">
        <f>SUM('20250707 E'!$F66:$F68)/10^5</f>
        <v>2.4479039999999999</v>
      </c>
      <c r="BF6" s="87">
        <f>('20250802 E'!$F32+SUM('20250802 E'!$F67:$F69))/10^5</f>
        <v>3.4720870000000001</v>
      </c>
      <c r="BG6" s="87">
        <f>('20250901 E'!$F32+SUM('20250901 E'!$F67:$F69))/10^5</f>
        <v>3.8185665000000002</v>
      </c>
      <c r="BH6" s="87">
        <f>('20251004 E'!$F33+SUM('20251004 E'!$F67:$F69))/10^5</f>
        <v>4.3079155</v>
      </c>
      <c r="BI6" s="87">
        <f>('20251101 E'!$F33+SUM('20251101 E'!$F67:$F69))/10^5</f>
        <v>4.3006454999999999</v>
      </c>
      <c r="BJ6" s="87">
        <f>('20251201 E'!$F33+SUM('20251201 E'!$F67:$F69))/10^5</f>
        <v>4.5402100000000001</v>
      </c>
      <c r="BK6" s="87">
        <f>('20260101 E'!$F33+SUM('20260101 E'!$F67:$F69))/10^5</f>
        <v>4.9495440000000004</v>
      </c>
      <c r="BL6" s="87">
        <f>('20260201 E'!$F32+SUM('20260201 E'!$F67:$F69))/10^5</f>
        <v>5.9779125000000004</v>
      </c>
      <c r="BM6" s="87">
        <f>('20260301 E'!$F32+SUM('20260301 E'!$F67:$F69))/10^5</f>
        <v>5.5095499999999999</v>
      </c>
      <c r="BN6" s="87">
        <f>('20260402 E'!$F33+SUM('20260402 E'!$F67:$F69))/10^5</f>
        <v>5.0545939999999998</v>
      </c>
      <c r="BO6" s="87">
        <f>('20260501 E'!$F32+SUM('20260501 E'!$F67:$F69))/10^5</f>
        <v>5.1860555000000002</v>
      </c>
      <c r="BQ6" s="1">
        <f t="shared" si="0"/>
        <v>0.36154489932916078</v>
      </c>
    </row>
    <row r="7" spans="1:83">
      <c r="A7" s="101" t="s">
        <v>120</v>
      </c>
      <c r="B7" s="101" t="s">
        <v>6</v>
      </c>
      <c r="C7" s="86">
        <v>4.55</v>
      </c>
      <c r="D7" s="87">
        <f>2.82+3.17</f>
        <v>5.99</v>
      </c>
      <c r="E7" s="87">
        <f>3.01+3.39</f>
        <v>6.4</v>
      </c>
      <c r="F7" s="87">
        <f>2.763+3.096</f>
        <v>5.859</v>
      </c>
      <c r="G7" s="87">
        <f>2.74+3.06</f>
        <v>5.8000000000000007</v>
      </c>
      <c r="H7" s="87">
        <f>2.97+3.32</f>
        <v>6.29</v>
      </c>
      <c r="I7" s="87">
        <f>3+3.349</f>
        <v>6.3490000000000002</v>
      </c>
      <c r="J7" s="87">
        <f>3.044+3.3784</f>
        <v>6.4223999999999997</v>
      </c>
      <c r="K7" s="87">
        <f>3.2997+3.6962</f>
        <v>6.9959000000000007</v>
      </c>
      <c r="L7" s="87">
        <f>3.67+3.74</f>
        <v>7.41</v>
      </c>
      <c r="M7" s="87">
        <f>3.71+3.77</f>
        <v>7.48</v>
      </c>
      <c r="N7" s="87">
        <f>3.6+3.67</f>
        <v>7.27</v>
      </c>
      <c r="O7" s="87">
        <f>3.64+3.695</f>
        <v>7.335</v>
      </c>
      <c r="P7" s="87">
        <f>3.7+3.74</f>
        <v>7.44</v>
      </c>
      <c r="Q7" s="87">
        <f>3.41+3.46</f>
        <v>6.87</v>
      </c>
      <c r="R7" s="87">
        <f>3.55+3.59</f>
        <v>7.14</v>
      </c>
      <c r="S7" s="87">
        <f>3.484+3.53</f>
        <v>7.0139999999999993</v>
      </c>
      <c r="T7" s="87">
        <f>3.4+3.39</f>
        <v>6.79</v>
      </c>
      <c r="U7" s="87">
        <f>3.276+3.244</f>
        <v>6.52</v>
      </c>
      <c r="V7" s="87">
        <f>3.56+3.55</f>
        <v>7.1099999999999994</v>
      </c>
      <c r="W7" s="87">
        <f>4.02+3.67</f>
        <v>7.6899999999999995</v>
      </c>
      <c r="X7" s="87">
        <f>3.92+3.59</f>
        <v>7.51</v>
      </c>
      <c r="Y7" s="87">
        <f>4.12+3.78</f>
        <v>7.9</v>
      </c>
      <c r="Z7" s="87">
        <f>4.239+3.877</f>
        <v>8.1159999999999997</v>
      </c>
      <c r="AA7" s="87">
        <f>4.11+3.76</f>
        <v>7.87</v>
      </c>
      <c r="AB7" s="87">
        <f>4.027+3.672</f>
        <v>7.6989999999999998</v>
      </c>
      <c r="AC7" s="87">
        <f>4.028+3.703</f>
        <v>7.7309999999999999</v>
      </c>
      <c r="AD7" s="87">
        <f>3.986+3.654</f>
        <v>7.6400000000000006</v>
      </c>
      <c r="AE7" s="87">
        <f>4.185+3.847</f>
        <v>8.032</v>
      </c>
      <c r="AF7" s="87">
        <f>4.332+3.993</f>
        <v>8.3249999999999993</v>
      </c>
      <c r="AG7" s="87">
        <f>4.48+4.15</f>
        <v>8.6300000000000008</v>
      </c>
      <c r="AH7" s="87">
        <f>4.946+4.994</f>
        <v>9.94</v>
      </c>
      <c r="AI7" s="87">
        <f>4.971+5.032</f>
        <v>10.003</v>
      </c>
      <c r="AJ7" s="87">
        <f>4.98+5.07</f>
        <v>10.050000000000001</v>
      </c>
      <c r="AK7" s="87">
        <f>4.93+5.03</f>
        <v>9.9600000000000009</v>
      </c>
      <c r="AL7" s="87">
        <f>5.215+5.3138</f>
        <v>10.5288</v>
      </c>
      <c r="AM7" s="87">
        <f>5.574+5.694</f>
        <v>11.268000000000001</v>
      </c>
      <c r="AN7" s="87">
        <f>5.638+5.804</f>
        <v>11.442</v>
      </c>
      <c r="AO7" s="87">
        <f>5.837+5.992</f>
        <v>11.829000000000001</v>
      </c>
      <c r="AP7" s="87">
        <f>5.62+5.76</f>
        <v>11.379999999999999</v>
      </c>
      <c r="AQ7" s="87">
        <f>5.705+5.837</f>
        <v>11.542</v>
      </c>
      <c r="AR7" s="87">
        <f>5.766+5.905</f>
        <v>11.670999999999999</v>
      </c>
      <c r="AS7" s="87">
        <f>6.145+6.27</f>
        <v>12.414999999999999</v>
      </c>
      <c r="AT7" s="87">
        <f>6.77+6.506</f>
        <v>13.276</v>
      </c>
      <c r="AU7" s="87">
        <f>6.845+6.568</f>
        <v>13.413</v>
      </c>
      <c r="AV7" s="87">
        <f>7+6.66</f>
        <v>13.66</v>
      </c>
      <c r="AW7" s="87">
        <f>6.555+6.258</f>
        <v>12.812999999999999</v>
      </c>
      <c r="AX7" s="87">
        <f>6.555+6.295</f>
        <v>12.85</v>
      </c>
      <c r="AY7" s="87">
        <f>6.53+6.34</f>
        <v>12.870000000000001</v>
      </c>
      <c r="AZ7" s="87">
        <f>6.31+6.04</f>
        <v>12.35</v>
      </c>
      <c r="BA7" s="87">
        <f>5.9+5.62</f>
        <v>11.52</v>
      </c>
      <c r="BB7" s="87">
        <f>5.86+5.63</f>
        <v>11.49</v>
      </c>
      <c r="BC7" s="87">
        <f>6.21+5.92</f>
        <v>12.129999999999999</v>
      </c>
      <c r="BD7" s="87">
        <f>6.37+6.065</f>
        <v>12.435</v>
      </c>
      <c r="BE7" s="87">
        <f>6.57+6.29</f>
        <v>12.86</v>
      </c>
      <c r="BF7" s="87">
        <f>6.33+6.07</f>
        <v>12.4</v>
      </c>
      <c r="BG7" s="87">
        <f>6.33+6.01</f>
        <v>12.34</v>
      </c>
      <c r="BH7" s="87">
        <f>6.472+6.194</f>
        <v>12.666</v>
      </c>
      <c r="BI7" s="87">
        <f>6.772+6.77054</f>
        <v>13.542539999999999</v>
      </c>
      <c r="BJ7" s="87">
        <f>6.88491+6.91288</f>
        <v>13.797789999999999</v>
      </c>
      <c r="BK7" s="87">
        <f>6.872+6.905</f>
        <v>13.777000000000001</v>
      </c>
      <c r="BL7" s="87">
        <f>6.71+6.736</f>
        <v>13.446</v>
      </c>
      <c r="BM7" s="87">
        <f>6.77+6.77</f>
        <v>13.54</v>
      </c>
      <c r="BN7" s="87">
        <f>6.01+5.99</f>
        <v>12</v>
      </c>
      <c r="BO7" s="87">
        <f>6.11+6.18</f>
        <v>12.29</v>
      </c>
      <c r="BQ7" s="1">
        <f t="shared" si="0"/>
        <v>0.20479689936304224</v>
      </c>
      <c r="BU7" t="s">
        <v>118</v>
      </c>
      <c r="BV7" t="s">
        <v>118</v>
      </c>
    </row>
    <row r="8" spans="1:83">
      <c r="A8" s="101" t="s">
        <v>121</v>
      </c>
      <c r="B8" s="101" t="s">
        <v>7</v>
      </c>
      <c r="C8" s="86">
        <v>0.45</v>
      </c>
      <c r="D8" s="87">
        <f>0.26+0.285</f>
        <v>0.54499999999999993</v>
      </c>
      <c r="E8" s="87">
        <f>0.258+0.282</f>
        <v>0.54</v>
      </c>
      <c r="F8" s="87">
        <f>0.262+0.286</f>
        <v>0.54800000000000004</v>
      </c>
      <c r="G8" s="87">
        <f>0.374+0.4188</f>
        <v>0.79279999999999995</v>
      </c>
      <c r="H8" s="87">
        <f>0.376+0.422</f>
        <v>0.79800000000000004</v>
      </c>
      <c r="I8" s="87">
        <f>0.376+0.422</f>
        <v>0.79800000000000004</v>
      </c>
      <c r="J8" s="87">
        <f>0.3783+0.4248</f>
        <v>0.80310000000000004</v>
      </c>
      <c r="K8" s="87">
        <f>0.38257+0.4293</f>
        <v>0.81187000000000009</v>
      </c>
      <c r="L8" s="87">
        <f>0.435+0.431</f>
        <v>0.86599999999999999</v>
      </c>
      <c r="M8" s="87">
        <f>0.43+0.43</f>
        <v>0.86</v>
      </c>
      <c r="N8" s="87">
        <f>0.43+0.43</f>
        <v>0.86</v>
      </c>
      <c r="O8" s="87">
        <f>0.438+0.435</f>
        <v>0.873</v>
      </c>
      <c r="P8" s="87">
        <f>0.438+0.435</f>
        <v>0.873</v>
      </c>
      <c r="Q8" s="87">
        <f>0.439+0.437</f>
        <v>0.876</v>
      </c>
      <c r="R8" s="87">
        <f>0.44+0.44</f>
        <v>0.88</v>
      </c>
      <c r="S8" s="87">
        <f>0.469+0.476</f>
        <v>0.94499999999999995</v>
      </c>
      <c r="T8" s="87">
        <f>0.461+0.467</f>
        <v>0.92800000000000005</v>
      </c>
      <c r="U8" s="87">
        <f>0.463+0.47</f>
        <v>0.93300000000000005</v>
      </c>
      <c r="V8" s="87">
        <f>0.468+0.475</f>
        <v>0.94300000000000006</v>
      </c>
      <c r="W8" s="87">
        <f>0.524+0.481</f>
        <v>1.0049999999999999</v>
      </c>
      <c r="X8" s="87">
        <f>0.534+0.498</f>
        <v>1.032</v>
      </c>
      <c r="Y8" s="87">
        <f>0.536+0.48</f>
        <v>1.016</v>
      </c>
      <c r="Z8" s="87">
        <f>0.541+0.487</f>
        <v>1.028</v>
      </c>
      <c r="AA8" s="87">
        <f>0.544+0.489</f>
        <v>1.0329999999999999</v>
      </c>
      <c r="AB8" s="87">
        <f>0.547+0.492</f>
        <v>1.0390000000000001</v>
      </c>
      <c r="AC8" s="87">
        <f>0.547+0.492</f>
        <v>1.0390000000000001</v>
      </c>
      <c r="AD8" s="87">
        <f>0.531+0.485</f>
        <v>1.016</v>
      </c>
      <c r="AE8" s="87">
        <f>0.5385+0.4922</f>
        <v>1.0306999999999999</v>
      </c>
      <c r="AF8" s="87">
        <f>0.544+0.497</f>
        <v>1.0409999999999999</v>
      </c>
      <c r="AG8" s="87">
        <f>0.5454+0.499</f>
        <v>1.0444</v>
      </c>
      <c r="AH8" s="87">
        <f>0.598+0.601</f>
        <v>1.1989999999999998</v>
      </c>
      <c r="AI8" s="87">
        <f>0.602+0.604</f>
        <v>1.206</v>
      </c>
      <c r="AJ8" s="87">
        <f>0.604+0.607</f>
        <v>1.2109999999999999</v>
      </c>
      <c r="AK8" s="87">
        <f>0.606+0.609</f>
        <v>1.2149999999999999</v>
      </c>
      <c r="AL8" s="87">
        <f>0.6098+0.6119</f>
        <v>1.2217</v>
      </c>
      <c r="AM8" s="87">
        <f>0.614+0.617</f>
        <v>1.2309999999999999</v>
      </c>
      <c r="AN8" s="87">
        <f>0.6211+0.6234</f>
        <v>1.2444999999999999</v>
      </c>
      <c r="AO8" s="87">
        <f>0.625+0.627</f>
        <v>1.252</v>
      </c>
      <c r="AP8" s="87">
        <f>0.744+0.761</f>
        <v>1.5049999999999999</v>
      </c>
      <c r="AQ8" s="87">
        <f>0.745+0.763</f>
        <v>1.508</v>
      </c>
      <c r="AR8" s="87">
        <f>0.752+0.76958</f>
        <v>1.5215800000000002</v>
      </c>
      <c r="AS8" s="87">
        <f>0.757+0.7748</f>
        <v>1.5318000000000001</v>
      </c>
      <c r="AT8" s="87">
        <f>0.814+0.782</f>
        <v>1.5960000000000001</v>
      </c>
      <c r="AU8" s="87">
        <f>0.82+0.787</f>
        <v>1.607</v>
      </c>
      <c r="AV8" s="87">
        <f>0.831+0.797</f>
        <v>1.6280000000000001</v>
      </c>
      <c r="AW8" s="87">
        <f>0.837+0.803</f>
        <v>1.6400000000000001</v>
      </c>
      <c r="AX8" s="87">
        <f>0.842+0.806</f>
        <v>1.6480000000000001</v>
      </c>
      <c r="AY8" s="87">
        <f>0.848+0.812</f>
        <v>1.6600000000000001</v>
      </c>
      <c r="AZ8" s="87">
        <f>0.852+0.818</f>
        <v>1.67</v>
      </c>
      <c r="BA8" s="87">
        <f>0.853+0.818</f>
        <v>1.6709999999999998</v>
      </c>
      <c r="BB8" s="87">
        <f>0.939+0.901</f>
        <v>1.8399999999999999</v>
      </c>
      <c r="BC8" s="87">
        <f>0.948+0.9098</f>
        <v>1.8578000000000001</v>
      </c>
      <c r="BD8" s="87">
        <f>0.96+0.92</f>
        <v>1.88</v>
      </c>
      <c r="BE8" s="87">
        <f>0.96+0.92</f>
        <v>1.88</v>
      </c>
      <c r="BF8" s="87">
        <f>0.968+0.928</f>
        <v>1.8959999999999999</v>
      </c>
      <c r="BG8" s="87">
        <f>0.965+0.925</f>
        <v>1.8900000000000001</v>
      </c>
      <c r="BH8" s="87">
        <f>0.972+0.932</f>
        <v>1.9039999999999999</v>
      </c>
      <c r="BI8" s="87">
        <f>0.993+0.99683</f>
        <v>1.98983</v>
      </c>
      <c r="BJ8" s="87">
        <f>0.9998+1.00304</f>
        <v>2.00284</v>
      </c>
      <c r="BK8" s="87">
        <f>1+1.0044</f>
        <v>2.0044</v>
      </c>
      <c r="BL8" s="87">
        <f>0.998+1.001</f>
        <v>1.9989999999999999</v>
      </c>
      <c r="BM8" s="87">
        <f>1.01+1.008</f>
        <v>2.0179999999999998</v>
      </c>
      <c r="BN8" s="87">
        <f>1.01+1.008</f>
        <v>2.0179999999999998</v>
      </c>
      <c r="BO8" s="87">
        <f>1.05+1.06</f>
        <v>2.1100000000000003</v>
      </c>
      <c r="BQ8" s="1">
        <f t="shared" si="0"/>
        <v>0.33605892969500739</v>
      </c>
      <c r="BV8" t="s">
        <v>118</v>
      </c>
    </row>
    <row r="9" spans="1:83">
      <c r="A9" s="101" t="s">
        <v>122</v>
      </c>
      <c r="B9" s="101" t="s">
        <v>7</v>
      </c>
      <c r="C9" s="86">
        <v>0.67</v>
      </c>
      <c r="D9" s="87">
        <f>0.392+0.421</f>
        <v>0.81299999999999994</v>
      </c>
      <c r="E9" s="87">
        <f>0.379+0.401</f>
        <v>0.78</v>
      </c>
      <c r="F9" s="87">
        <f>0.386+0.415</f>
        <v>0.80099999999999993</v>
      </c>
      <c r="G9" s="87">
        <f>0.5586+0.627</f>
        <v>1.1856</v>
      </c>
      <c r="H9" s="87">
        <f>0.5579+0.631</f>
        <v>1.1888999999999998</v>
      </c>
      <c r="I9" s="87">
        <f>0.5548+0.6298</f>
        <v>1.1846000000000001</v>
      </c>
      <c r="J9" s="87">
        <f>0.5555+0.63033</f>
        <v>1.1858299999999999</v>
      </c>
      <c r="K9" s="87">
        <f>0.5673+0.64075</f>
        <v>1.2080500000000001</v>
      </c>
      <c r="L9" s="87">
        <f>0.645+0.643</f>
        <v>1.288</v>
      </c>
      <c r="M9" s="87">
        <f>0.64+0.64</f>
        <v>1.28</v>
      </c>
      <c r="N9" s="87">
        <f>0.65+0.65</f>
        <v>1.3</v>
      </c>
      <c r="O9" s="87">
        <f>0.65+0.65</f>
        <v>1.3</v>
      </c>
      <c r="P9" s="87">
        <f>0.64+0.64</f>
        <v>1.28</v>
      </c>
      <c r="Q9" s="87">
        <f>0.644+0.644</f>
        <v>1.288</v>
      </c>
      <c r="R9" s="87">
        <f>0.6476+0.6469</f>
        <v>1.2945</v>
      </c>
      <c r="S9" s="87">
        <f>0.701+0.711</f>
        <v>1.4119999999999999</v>
      </c>
      <c r="T9" s="87">
        <f>0.687+0.702</f>
        <v>1.389</v>
      </c>
      <c r="U9" s="87">
        <f>0.694+0.707</f>
        <v>1.4009999999999998</v>
      </c>
      <c r="V9" s="87">
        <f>0.702+0.715</f>
        <v>1.4169999999999998</v>
      </c>
      <c r="W9" s="87">
        <f>0.79+0.72</f>
        <v>1.51</v>
      </c>
      <c r="X9" s="87">
        <f>0.799+0.722</f>
        <v>1.5209999999999999</v>
      </c>
      <c r="Y9" s="87">
        <f>0.802+0.726</f>
        <v>1.528</v>
      </c>
      <c r="Z9" s="87">
        <f>0.817+0.739</f>
        <v>1.556</v>
      </c>
      <c r="AA9" s="87">
        <f>0.816+0.739</f>
        <v>1.5549999999999999</v>
      </c>
      <c r="AB9" s="87">
        <f>0.824+0.746</f>
        <v>1.5699999999999998</v>
      </c>
      <c r="AC9" s="87">
        <f>0.824+0.745</f>
        <v>1.569</v>
      </c>
      <c r="AD9" s="87">
        <f>0.797+0.726</f>
        <v>1.5230000000000001</v>
      </c>
      <c r="AE9" s="87">
        <f>0.809+0.7393</f>
        <v>1.5483</v>
      </c>
      <c r="AF9" s="87">
        <f>0.82+0.751</f>
        <v>1.571</v>
      </c>
      <c r="AG9" s="87">
        <f>0.817+0.748</f>
        <v>1.5649999999999999</v>
      </c>
      <c r="AH9" s="87">
        <f>0.894+0.8988</f>
        <v>1.7928000000000002</v>
      </c>
      <c r="AI9" s="87">
        <f>0.901+0.906</f>
        <v>1.8069999999999999</v>
      </c>
      <c r="AJ9" s="87">
        <f>0.901+0.905</f>
        <v>1.806</v>
      </c>
      <c r="AK9" s="87">
        <f>0.901+0.905</f>
        <v>1.806</v>
      </c>
      <c r="AL9" s="87">
        <f>0.905+0.91</f>
        <v>1.8149999999999999</v>
      </c>
      <c r="AM9" s="87">
        <f>0.919+0.923</f>
        <v>1.8420000000000001</v>
      </c>
      <c r="AN9" s="87">
        <f>0.941+0.9425</f>
        <v>1.8835</v>
      </c>
      <c r="AO9" s="87">
        <f>0.947+0.9487</f>
        <v>1.8956999999999999</v>
      </c>
      <c r="AP9" s="87">
        <f>1.11+1.138</f>
        <v>2.2480000000000002</v>
      </c>
      <c r="AQ9" s="87">
        <f>1.109+1.135</f>
        <v>2.2439999999999998</v>
      </c>
      <c r="AR9" s="87">
        <f>1.1304+1.1561</f>
        <v>2.2865000000000002</v>
      </c>
      <c r="AS9" s="87">
        <f>1.14+1.167</f>
        <v>2.3069999999999999</v>
      </c>
      <c r="AT9" s="87">
        <f>1.227+1.1788</f>
        <v>2.4058000000000002</v>
      </c>
      <c r="AU9" s="87">
        <f>1.24+1.18</f>
        <v>2.42</v>
      </c>
      <c r="AV9" s="87">
        <f>1.26+1.21</f>
        <v>2.4699999999999998</v>
      </c>
      <c r="AW9" s="87">
        <f>1.259+1.208</f>
        <v>2.4669999999999996</v>
      </c>
      <c r="AX9" s="87">
        <f>1.262+1.2129</f>
        <v>2.4748999999999999</v>
      </c>
      <c r="AY9" s="87">
        <f>1.268+1.219</f>
        <v>2.4870000000000001</v>
      </c>
      <c r="AZ9" s="87">
        <f>1.278+1.229</f>
        <v>2.5070000000000001</v>
      </c>
      <c r="BA9" s="87">
        <f>1.273+1.227</f>
        <v>2.5</v>
      </c>
      <c r="BB9" s="87">
        <f>1.539+1.476</f>
        <v>3.0149999999999997</v>
      </c>
      <c r="BC9" s="87">
        <f>1.562+1.4979</f>
        <v>3.0598999999999998</v>
      </c>
      <c r="BD9" s="87">
        <f>1.566+1.5057</f>
        <v>3.0716999999999999</v>
      </c>
      <c r="BE9" s="87">
        <f>1.54+1.49</f>
        <v>3.0300000000000002</v>
      </c>
      <c r="BF9" s="87">
        <f>1.544+1.49</f>
        <v>3.0339999999999998</v>
      </c>
      <c r="BG9" s="87">
        <f>1.505+1.459</f>
        <v>2.964</v>
      </c>
      <c r="BH9" s="87">
        <f>1.537+1.486</f>
        <v>3.0229999999999997</v>
      </c>
      <c r="BI9" s="87">
        <f>1.551+1.57584</f>
        <v>3.1268399999999996</v>
      </c>
      <c r="BJ9" s="87">
        <f>1.551+1.57687</f>
        <v>3.1278699999999997</v>
      </c>
      <c r="BK9" s="87">
        <f>1.5586+1.58561</f>
        <v>3.1442100000000002</v>
      </c>
      <c r="BL9" s="87">
        <f>1.556+1.584</f>
        <v>3.14</v>
      </c>
      <c r="BM9" s="87">
        <f>1.567+1.5957</f>
        <v>3.1627000000000001</v>
      </c>
      <c r="BN9" s="87">
        <f>1.529+1.563</f>
        <v>3.0919999999999996</v>
      </c>
      <c r="BO9" s="87">
        <f>1.865+1.871</f>
        <v>3.7359999999999998</v>
      </c>
      <c r="BQ9" s="1">
        <f t="shared" si="0"/>
        <v>0.38018486978029231</v>
      </c>
    </row>
    <row r="10" spans="1:83">
      <c r="A10" s="101" t="s">
        <v>123</v>
      </c>
      <c r="B10" s="101" t="s">
        <v>7</v>
      </c>
      <c r="C10" s="86">
        <v>13.39</v>
      </c>
      <c r="D10" s="87">
        <v>13.62</v>
      </c>
      <c r="E10" s="87">
        <v>14.09</v>
      </c>
      <c r="F10" s="87">
        <v>15.44</v>
      </c>
      <c r="G10" s="87">
        <f>15.67</f>
        <v>15.67</v>
      </c>
      <c r="H10" s="87">
        <f>15.903</f>
        <v>15.903</v>
      </c>
      <c r="I10" s="87">
        <f>H10+0.12273+0.11023</f>
        <v>16.135960000000001</v>
      </c>
      <c r="J10" s="87">
        <f>I10+0.12273+0.11023</f>
        <v>16.368920000000003</v>
      </c>
      <c r="K10" s="87">
        <f>J10+0.12273+0.11023</f>
        <v>16.601880000000005</v>
      </c>
      <c r="L10" s="87">
        <f>K10+0.12273+0.11023</f>
        <v>16.834840000000007</v>
      </c>
      <c r="M10" s="87">
        <f>L10+0.2753</f>
        <v>17.110140000000008</v>
      </c>
      <c r="N10" s="87">
        <f t="shared" ref="N10:Q10" si="1">M10+0.1439+0.1314</f>
        <v>17.385440000000006</v>
      </c>
      <c r="O10" s="87">
        <f t="shared" si="1"/>
        <v>17.660740000000004</v>
      </c>
      <c r="P10" s="87">
        <f t="shared" si="1"/>
        <v>17.936040000000002</v>
      </c>
      <c r="Q10" s="87">
        <f t="shared" si="1"/>
        <v>18.21134</v>
      </c>
      <c r="R10" s="87">
        <f>Q10+0.1439+0.1314+1.52</f>
        <v>20.006639999999997</v>
      </c>
      <c r="S10" s="87">
        <f t="shared" ref="S10:Y10" si="2">R10+0.1439+0.1314</f>
        <v>20.281939999999995</v>
      </c>
      <c r="T10" s="87">
        <f t="shared" si="2"/>
        <v>20.557239999999993</v>
      </c>
      <c r="U10" s="87">
        <f t="shared" si="2"/>
        <v>20.832539999999991</v>
      </c>
      <c r="V10" s="87">
        <f t="shared" si="2"/>
        <v>21.107839999999989</v>
      </c>
      <c r="W10" s="87">
        <f t="shared" si="2"/>
        <v>21.383139999999987</v>
      </c>
      <c r="X10" s="87">
        <f t="shared" si="2"/>
        <v>21.658439999999985</v>
      </c>
      <c r="Y10" s="87">
        <f t="shared" si="2"/>
        <v>21.933739999999982</v>
      </c>
      <c r="Z10" s="87">
        <f>Y10+0.1655*2+0.153*2</f>
        <v>22.570739999999983</v>
      </c>
      <c r="AA10" s="87">
        <f>Z10+0.1655+0.153</f>
        <v>22.889239999999983</v>
      </c>
      <c r="AB10" s="87">
        <f>AA10+0.1655+0.153</f>
        <v>23.207739999999983</v>
      </c>
      <c r="AC10" s="87">
        <f>AB10+0.1655+0.153</f>
        <v>23.526239999999984</v>
      </c>
      <c r="AD10" s="87">
        <f>25.40307</f>
        <v>25.40307</v>
      </c>
      <c r="AE10" s="87">
        <f t="shared" ref="AE10:AJ10" si="3">AD10+0.1655+0.153</f>
        <v>25.72157</v>
      </c>
      <c r="AF10" s="87">
        <f t="shared" si="3"/>
        <v>26.04007</v>
      </c>
      <c r="AG10" s="87">
        <f t="shared" si="3"/>
        <v>26.35857</v>
      </c>
      <c r="AH10" s="87">
        <f t="shared" si="3"/>
        <v>26.677070000000001</v>
      </c>
      <c r="AI10" s="87">
        <f t="shared" si="3"/>
        <v>26.995570000000001</v>
      </c>
      <c r="AJ10" s="87">
        <f t="shared" si="3"/>
        <v>27.314070000000001</v>
      </c>
      <c r="AK10" s="87">
        <f>AJ10+0.18204+0.16954</f>
        <v>27.665650000000003</v>
      </c>
      <c r="AL10" s="87">
        <f>AK10+0.18204+0.16954</f>
        <v>28.017230000000005</v>
      </c>
      <c r="AM10" s="87">
        <f t="shared" ref="AM10" si="4">AL10+0.18204+0.16954</f>
        <v>28.368810000000007</v>
      </c>
      <c r="AN10" s="87">
        <f t="shared" ref="AN10" si="5">AM10+0.18204+0.16954</f>
        <v>28.720390000000009</v>
      </c>
      <c r="AO10" s="87">
        <f>AN10+0.18204+0.16954</f>
        <v>29.071970000000011</v>
      </c>
      <c r="AP10" s="87">
        <v>31.73</v>
      </c>
      <c r="AQ10" s="87">
        <f>AP10+0.18204+0.16954</f>
        <v>32.081580000000002</v>
      </c>
      <c r="AR10" s="87">
        <f>AQ10+0.18204+0.16954</f>
        <v>32.433160000000001</v>
      </c>
      <c r="AS10" s="87">
        <f>AR10+0.18204+0.16954</f>
        <v>32.784739999999999</v>
      </c>
      <c r="AT10" s="87">
        <f t="shared" ref="AT10:AV10" si="6">AS10+0.18204+0.16954</f>
        <v>33.136319999999998</v>
      </c>
      <c r="AU10" s="87">
        <f t="shared" si="6"/>
        <v>33.487899999999996</v>
      </c>
      <c r="AV10" s="87">
        <f t="shared" si="6"/>
        <v>33.839479999999995</v>
      </c>
      <c r="AW10" s="87">
        <f>AV10+0.20934+0.19684</f>
        <v>34.245659999999994</v>
      </c>
      <c r="AX10" s="87">
        <f t="shared" ref="AX10" si="7">AW10+0.20934+0.19684</f>
        <v>34.651839999999993</v>
      </c>
      <c r="AY10" s="87">
        <f t="shared" ref="AY10:AZ10" si="8">AX10+0.20934+0.19684</f>
        <v>35.058019999999992</v>
      </c>
      <c r="AZ10" s="87">
        <f t="shared" ref="AZ10" si="9">AY10+0.20934+0.19684</f>
        <v>35.464199999999991</v>
      </c>
      <c r="BA10" s="87">
        <f t="shared" ref="BA10" si="10">AZ10+0.20934+0.19684</f>
        <v>35.87037999999999</v>
      </c>
      <c r="BB10" s="87">
        <f>BA10+0.20934+0.19684+2.92</f>
        <v>39.196559999999991</v>
      </c>
      <c r="BC10" s="87">
        <f>BB10+0.20934+0.19684</f>
        <v>39.60273999999999</v>
      </c>
      <c r="BD10" s="87">
        <f t="shared" ref="BD10" si="11">BC10+0.20934+0.19684</f>
        <v>40.008919999999989</v>
      </c>
      <c r="BE10" s="87">
        <f t="shared" ref="BE10:BF10" si="12">BD10+0.20934+0.19684</f>
        <v>40.415099999999988</v>
      </c>
      <c r="BF10" s="87">
        <f t="shared" si="12"/>
        <v>40.821279999999987</v>
      </c>
      <c r="BG10" s="87">
        <f t="shared" ref="BG10" si="13">BF10+0.20934+0.19684</f>
        <v>41.227459999999986</v>
      </c>
      <c r="BH10" s="87">
        <f t="shared" ref="BH10" si="14">BG10+0.20934+0.19684</f>
        <v>41.633639999999986</v>
      </c>
      <c r="BI10" s="87">
        <f>BH10+0.24378+0.23128</f>
        <v>42.108699999999985</v>
      </c>
      <c r="BJ10" s="87">
        <f t="shared" ref="BJ10" si="15">BI10+0.24378+0.23128</f>
        <v>42.583759999999984</v>
      </c>
      <c r="BK10" s="87">
        <f t="shared" ref="BK10" si="16">BJ10+0.24378+0.23128</f>
        <v>43.058819999999983</v>
      </c>
      <c r="BL10" s="87">
        <f t="shared" ref="BL10" si="17">BK10+0.24378+0.23128</f>
        <v>43.533879999999982</v>
      </c>
      <c r="BM10" s="87">
        <f t="shared" ref="BM10" si="18">BL10+0.24378+0.23128</f>
        <v>44.008939999999981</v>
      </c>
      <c r="BN10" s="87">
        <f>BM10+0.24378+0.23128+3</f>
        <v>47.48399999999998</v>
      </c>
      <c r="BO10" s="87">
        <f>BN10+0.24378+0.23128</f>
        <v>47.95905999999998</v>
      </c>
      <c r="BP10" s="211"/>
      <c r="BQ10" s="1">
        <f t="shared" si="0"/>
        <v>0.27025786032544752</v>
      </c>
      <c r="BR10" t="s">
        <v>118</v>
      </c>
    </row>
    <row r="11" spans="1:83">
      <c r="A11" s="101" t="s">
        <v>124</v>
      </c>
      <c r="B11" s="101" t="s">
        <v>7</v>
      </c>
      <c r="C11" s="86">
        <v>17.71</v>
      </c>
      <c r="D11" s="87">
        <v>17.71</v>
      </c>
      <c r="E11" s="87">
        <v>17.71</v>
      </c>
      <c r="F11" s="87">
        <v>18.920000000000002</v>
      </c>
      <c r="G11" s="87">
        <f>F11</f>
        <v>18.920000000000002</v>
      </c>
      <c r="H11" s="87">
        <f>F11</f>
        <v>18.920000000000002</v>
      </c>
      <c r="I11" s="87">
        <f>H11</f>
        <v>18.920000000000002</v>
      </c>
      <c r="J11" s="87">
        <f>F11</f>
        <v>18.920000000000002</v>
      </c>
      <c r="K11" s="87">
        <f>F11</f>
        <v>18.920000000000002</v>
      </c>
      <c r="L11" s="87">
        <f>K11+1.5</f>
        <v>20.420000000000002</v>
      </c>
      <c r="M11" s="87">
        <f>L11</f>
        <v>20.420000000000002</v>
      </c>
      <c r="N11" s="87">
        <f>L11</f>
        <v>20.420000000000002</v>
      </c>
      <c r="O11" s="87">
        <f>M11</f>
        <v>20.420000000000002</v>
      </c>
      <c r="P11" s="87">
        <f>O11</f>
        <v>20.420000000000002</v>
      </c>
      <c r="Q11" s="87">
        <f>O11</f>
        <v>20.420000000000002</v>
      </c>
      <c r="R11" s="87">
        <f>P11+1.4</f>
        <v>21.82</v>
      </c>
      <c r="S11" s="87">
        <f>R11</f>
        <v>21.82</v>
      </c>
      <c r="T11" s="87">
        <f>S11</f>
        <v>21.82</v>
      </c>
      <c r="U11" s="87">
        <f>T11</f>
        <v>21.82</v>
      </c>
      <c r="V11" s="87">
        <f>U11</f>
        <v>21.82</v>
      </c>
      <c r="W11" s="87">
        <f>T11+1.5</f>
        <v>23.32</v>
      </c>
      <c r="X11" s="87">
        <f>W11</f>
        <v>23.32</v>
      </c>
      <c r="Y11" s="87">
        <f t="shared" ref="Y11:AA11" si="19">X11</f>
        <v>23.32</v>
      </c>
      <c r="Z11" s="87">
        <f t="shared" si="19"/>
        <v>23.32</v>
      </c>
      <c r="AA11" s="87">
        <f t="shared" si="19"/>
        <v>23.32</v>
      </c>
      <c r="AB11" s="87">
        <f>Z11</f>
        <v>23.32</v>
      </c>
      <c r="AC11" s="87">
        <f>AA11</f>
        <v>23.32</v>
      </c>
      <c r="AD11" s="87">
        <v>24.93</v>
      </c>
      <c r="AE11" s="87">
        <v>24.93</v>
      </c>
      <c r="AF11" s="87">
        <v>24.93</v>
      </c>
      <c r="AG11" s="87">
        <v>24.93</v>
      </c>
      <c r="AH11" s="87">
        <f>24.93+1.5</f>
        <v>26.43</v>
      </c>
      <c r="AI11" s="87">
        <f>AH11</f>
        <v>26.43</v>
      </c>
      <c r="AJ11" s="87">
        <f t="shared" ref="AJ11:AL11" si="20">AI11</f>
        <v>26.43</v>
      </c>
      <c r="AK11" s="87">
        <f t="shared" si="20"/>
        <v>26.43</v>
      </c>
      <c r="AL11" s="87">
        <f t="shared" si="20"/>
        <v>26.43</v>
      </c>
      <c r="AM11" s="87">
        <f>AK11</f>
        <v>26.43</v>
      </c>
      <c r="AN11" s="87">
        <f>AK11</f>
        <v>26.43</v>
      </c>
      <c r="AO11" s="87">
        <f>AK11</f>
        <v>26.43</v>
      </c>
      <c r="AP11" s="87">
        <f>AO11+1.8408</f>
        <v>28.270800000000001</v>
      </c>
      <c r="AQ11" s="87">
        <f>AP11</f>
        <v>28.270800000000001</v>
      </c>
      <c r="AR11" s="87">
        <f t="shared" ref="AR11:AS11" si="21">AQ11</f>
        <v>28.270800000000001</v>
      </c>
      <c r="AS11" s="87">
        <f t="shared" si="21"/>
        <v>28.270800000000001</v>
      </c>
      <c r="AT11" s="87">
        <f>AS11+1.5</f>
        <v>29.770800000000001</v>
      </c>
      <c r="AU11" s="87">
        <f>AT11</f>
        <v>29.770800000000001</v>
      </c>
      <c r="AV11" s="87">
        <f t="shared" ref="AV11" si="22">AU11</f>
        <v>29.770800000000001</v>
      </c>
      <c r="AW11" s="87">
        <f t="shared" ref="AW11" si="23">AV11</f>
        <v>29.770800000000001</v>
      </c>
      <c r="AX11" s="87">
        <f t="shared" ref="AX11" si="24">AW11</f>
        <v>29.770800000000001</v>
      </c>
      <c r="AY11" s="87">
        <f t="shared" ref="AY11:AZ11" si="25">AX11</f>
        <v>29.770800000000001</v>
      </c>
      <c r="AZ11" s="87">
        <f t="shared" ref="AZ11" si="26">AY11</f>
        <v>29.770800000000001</v>
      </c>
      <c r="BA11" s="87">
        <f t="shared" ref="BA11" si="27">AZ11</f>
        <v>29.770800000000001</v>
      </c>
      <c r="BB11" s="87">
        <f>AZ11+1.5+2.075</f>
        <v>33.345800000000004</v>
      </c>
      <c r="BC11" s="87">
        <f>BB11</f>
        <v>33.345800000000004</v>
      </c>
      <c r="BD11" s="87">
        <f t="shared" ref="BD11:BL11" si="28">BC11</f>
        <v>33.345800000000004</v>
      </c>
      <c r="BE11" s="87">
        <f t="shared" si="28"/>
        <v>33.345800000000004</v>
      </c>
      <c r="BF11" s="87">
        <f t="shared" si="28"/>
        <v>33.345800000000004</v>
      </c>
      <c r="BG11" s="87">
        <f t="shared" si="28"/>
        <v>33.345800000000004</v>
      </c>
      <c r="BH11" s="87">
        <f t="shared" si="28"/>
        <v>33.345800000000004</v>
      </c>
      <c r="BI11" s="87">
        <f t="shared" si="28"/>
        <v>33.345800000000004</v>
      </c>
      <c r="BJ11" s="87">
        <f t="shared" si="28"/>
        <v>33.345800000000004</v>
      </c>
      <c r="BK11" s="87">
        <f t="shared" si="28"/>
        <v>33.345800000000004</v>
      </c>
      <c r="BL11" s="87">
        <f t="shared" si="28"/>
        <v>33.345800000000004</v>
      </c>
      <c r="BM11" s="87">
        <f t="shared" ref="BM11" si="29">BL11</f>
        <v>33.345800000000004</v>
      </c>
      <c r="BN11" s="87">
        <f>BM11+2.36</f>
        <v>35.705800000000004</v>
      </c>
      <c r="BO11" s="87">
        <f>BN11</f>
        <v>35.705800000000004</v>
      </c>
      <c r="BQ11" s="1">
        <f t="shared" si="0"/>
        <v>0.14050590655542261</v>
      </c>
    </row>
    <row r="12" spans="1:83">
      <c r="A12" s="101" t="s">
        <v>125</v>
      </c>
      <c r="B12" s="101" t="s">
        <v>10</v>
      </c>
      <c r="C12" s="86">
        <v>4.6500000000000004</v>
      </c>
      <c r="D12" s="87">
        <v>3.2</v>
      </c>
      <c r="E12" s="87">
        <v>1</v>
      </c>
      <c r="F12" s="87">
        <f>'20210404 MF'!G4/100000</f>
        <v>1.0035016139999999</v>
      </c>
      <c r="G12" s="87">
        <f>'20210505 MF'!G4/10^5</f>
        <v>3.5108187329999998</v>
      </c>
      <c r="H12" s="87">
        <f>'20210605 MF'!G4/10^5</f>
        <v>3.5198852740000004</v>
      </c>
      <c r="I12" s="87">
        <f>'20210704 MF'!$G4/10^5</f>
        <v>3.5291138630000001</v>
      </c>
      <c r="J12" s="87">
        <f>'20210801 MF'!$G4/10^5</f>
        <v>2.5383889910000001</v>
      </c>
      <c r="K12" s="87">
        <f>'20210907 MF'!$G4/10^5</f>
        <v>2.0454895999999998</v>
      </c>
      <c r="L12" s="87">
        <f>'20211002 MF'!$G4/10^5</f>
        <v>4.3487874399999997</v>
      </c>
      <c r="M12" s="87">
        <f>'20211101 MF'!$G4/10^5</f>
        <v>3.3509365259999999</v>
      </c>
      <c r="N12" s="87">
        <f>'20211204 MF'!$G4/10^5</f>
        <v>2.3510603899999998</v>
      </c>
      <c r="O12" s="87">
        <f>'20220102 MF'!$G4/10^5</f>
        <v>2.857565701</v>
      </c>
      <c r="P12" s="87">
        <f>'20220202 MF'!$G4/10^5</f>
        <v>2.3574783309999998</v>
      </c>
      <c r="Q12" s="87">
        <f>'20220305 MF'!$G4/10^5</f>
        <v>1.3439698769999999</v>
      </c>
      <c r="R12" s="87">
        <f>'20220402 MF'!$G4/10^5</f>
        <v>1.347861003</v>
      </c>
      <c r="S12" s="87">
        <f>'20220501 MF'!$G4/10^5</f>
        <v>1.351637789</v>
      </c>
      <c r="T12" s="87">
        <f>'20220605 MF'!$G4/10^5</f>
        <v>3.2195999999999995E-5</v>
      </c>
      <c r="U12" s="87">
        <v>0</v>
      </c>
      <c r="V12" s="87">
        <v>0</v>
      </c>
      <c r="W12" s="87">
        <v>4</v>
      </c>
      <c r="X12" s="87">
        <v>2.5</v>
      </c>
      <c r="Y12" s="87">
        <v>0</v>
      </c>
      <c r="Z12" s="87">
        <v>0</v>
      </c>
      <c r="AA12" s="87">
        <v>1.5</v>
      </c>
      <c r="AB12" s="87">
        <v>1.5</v>
      </c>
      <c r="AC12" s="87">
        <v>1.5</v>
      </c>
      <c r="AD12" s="87">
        <v>3</v>
      </c>
      <c r="AE12" s="87">
        <v>2</v>
      </c>
      <c r="AF12" s="87">
        <v>1</v>
      </c>
      <c r="AG12" s="87">
        <v>0</v>
      </c>
      <c r="AH12" s="87">
        <v>2</v>
      </c>
      <c r="AI12" s="87">
        <v>0</v>
      </c>
      <c r="AJ12" s="87">
        <v>0</v>
      </c>
      <c r="AK12" s="87">
        <v>0</v>
      </c>
      <c r="AL12" s="87">
        <v>0</v>
      </c>
      <c r="AM12" s="87">
        <v>2</v>
      </c>
      <c r="AN12" s="87">
        <v>4</v>
      </c>
      <c r="AO12" s="87">
        <v>0</v>
      </c>
      <c r="AP12" s="87">
        <f>'20240403 MF'!$G$5/10^5</f>
        <v>2.0134634460000003</v>
      </c>
      <c r="AQ12" s="87">
        <f>'20240501 MF'!$G$5/10^5</f>
        <v>2.0247025719999998</v>
      </c>
      <c r="AR12" s="87">
        <v>0</v>
      </c>
      <c r="AS12" s="87">
        <v>0</v>
      </c>
      <c r="AT12" s="87">
        <f>'20240802 MF'!$G5/10^5</f>
        <v>3.0049730219999997</v>
      </c>
      <c r="AU12" s="87">
        <f>'20240901 MF'!$G5/10^5</f>
        <v>3.0221235549999999</v>
      </c>
      <c r="AV12" s="87">
        <f>'20241002 MF'!$G6/10^5</f>
        <v>3.0407110509999997</v>
      </c>
      <c r="AW12" s="87">
        <f>'20241102 MF'!$G6/10^5</f>
        <v>1.042222156</v>
      </c>
      <c r="AX12" s="87">
        <f>'20241201 MF'!$G6/10^5</f>
        <v>0.52468656000000002</v>
      </c>
      <c r="AY12" s="87">
        <v>0</v>
      </c>
      <c r="AZ12" s="87">
        <v>0</v>
      </c>
      <c r="BA12" s="87">
        <v>0</v>
      </c>
      <c r="BB12" s="87">
        <v>9</v>
      </c>
      <c r="BC12" s="87">
        <f>'20250502 MF'!F3/10^5</f>
        <v>6.00011443</v>
      </c>
      <c r="BD12" s="87">
        <f>'20250602 MF'!F3/10^5</f>
        <v>4.4112820199999998</v>
      </c>
      <c r="BE12" s="87">
        <v>0</v>
      </c>
      <c r="BF12" s="87">
        <f>'20250802 MF'!F6/10^5+3</f>
        <v>3.9999532250000001</v>
      </c>
      <c r="BG12" s="87">
        <v>0</v>
      </c>
      <c r="BH12" s="87">
        <v>0</v>
      </c>
      <c r="BI12" s="87">
        <v>0</v>
      </c>
      <c r="BJ12" s="87">
        <v>0</v>
      </c>
      <c r="BK12" s="87">
        <v>0</v>
      </c>
      <c r="BL12" s="87">
        <v>0</v>
      </c>
      <c r="BM12" s="87">
        <v>0</v>
      </c>
      <c r="BN12" s="87">
        <v>0</v>
      </c>
      <c r="BO12" s="87">
        <v>0</v>
      </c>
      <c r="BQ12" s="1"/>
    </row>
    <row r="13" spans="1:83">
      <c r="A13" s="101" t="s">
        <v>126</v>
      </c>
      <c r="B13" s="101" t="s">
        <v>9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0.10485</v>
      </c>
      <c r="L13" s="87">
        <v>0.54</v>
      </c>
      <c r="M13" s="87">
        <v>0.73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  <c r="AG13" s="87">
        <v>0</v>
      </c>
      <c r="AH13" s="87">
        <v>0</v>
      </c>
      <c r="AI13" s="87">
        <v>0</v>
      </c>
      <c r="AJ13" s="87">
        <v>0</v>
      </c>
      <c r="AK13" s="87">
        <v>0</v>
      </c>
      <c r="AL13" s="87">
        <v>0</v>
      </c>
      <c r="AM13" s="87">
        <v>0</v>
      </c>
      <c r="AN13" s="87">
        <v>0</v>
      </c>
      <c r="AO13" s="87">
        <v>0</v>
      </c>
      <c r="AP13" s="87">
        <v>0</v>
      </c>
      <c r="AQ13" s="87">
        <v>0</v>
      </c>
      <c r="AR13" s="87">
        <v>0</v>
      </c>
      <c r="AS13" s="87">
        <v>0</v>
      </c>
      <c r="AT13" s="87">
        <v>0</v>
      </c>
      <c r="AU13" s="87">
        <v>0</v>
      </c>
      <c r="AV13" s="87">
        <v>0</v>
      </c>
      <c r="AW13" s="87">
        <v>0</v>
      </c>
      <c r="AX13" s="87">
        <v>0</v>
      </c>
      <c r="AY13" s="87">
        <v>0</v>
      </c>
      <c r="AZ13" s="87">
        <v>0</v>
      </c>
      <c r="BA13" s="87">
        <v>0</v>
      </c>
      <c r="BB13" s="87">
        <v>0</v>
      </c>
      <c r="BC13" s="87">
        <v>0</v>
      </c>
      <c r="BD13" s="87">
        <v>0</v>
      </c>
      <c r="BE13" s="87">
        <v>0</v>
      </c>
      <c r="BF13" s="87">
        <v>0</v>
      </c>
      <c r="BG13" s="87">
        <v>0</v>
      </c>
      <c r="BH13" s="87">
        <v>0</v>
      </c>
      <c r="BI13" s="87">
        <v>0</v>
      </c>
      <c r="BJ13" s="87">
        <v>0</v>
      </c>
      <c r="BK13" s="87">
        <v>0</v>
      </c>
      <c r="BL13" s="87">
        <v>0</v>
      </c>
      <c r="BM13" s="87">
        <v>0</v>
      </c>
      <c r="BN13" s="87">
        <v>0</v>
      </c>
      <c r="BO13" s="87">
        <v>0</v>
      </c>
      <c r="BQ13" s="1"/>
    </row>
    <row r="14" spans="1:83">
      <c r="A14" s="101" t="s">
        <v>127</v>
      </c>
      <c r="B14" s="101" t="s">
        <v>7</v>
      </c>
      <c r="C14" s="86">
        <v>0.31</v>
      </c>
      <c r="D14" s="87">
        <v>0.31</v>
      </c>
      <c r="E14" s="87">
        <f>D14</f>
        <v>0.31</v>
      </c>
      <c r="F14" s="87">
        <f>E14</f>
        <v>0.31</v>
      </c>
      <c r="G14" s="87">
        <f>F14</f>
        <v>0.31</v>
      </c>
      <c r="H14" s="87">
        <f>F14</f>
        <v>0.31</v>
      </c>
      <c r="I14" s="87">
        <f>H14</f>
        <v>0.31</v>
      </c>
      <c r="J14" s="87">
        <f>F14</f>
        <v>0.31</v>
      </c>
      <c r="K14" s="87">
        <f>F14</f>
        <v>0.31</v>
      </c>
      <c r="L14" s="87">
        <f>G14</f>
        <v>0.31</v>
      </c>
      <c r="M14" s="87">
        <f>G14</f>
        <v>0.31</v>
      </c>
      <c r="N14" s="87">
        <f>G14</f>
        <v>0.31</v>
      </c>
      <c r="O14" s="87">
        <f>M14</f>
        <v>0.31</v>
      </c>
      <c r="P14" s="87">
        <f>O14</f>
        <v>0.31</v>
      </c>
      <c r="Q14" s="87">
        <f>P14</f>
        <v>0.31</v>
      </c>
      <c r="R14" s="87">
        <f>O14</f>
        <v>0.31</v>
      </c>
      <c r="S14" s="87">
        <f>R14</f>
        <v>0.31</v>
      </c>
      <c r="T14" s="87">
        <f>O14</f>
        <v>0.31</v>
      </c>
      <c r="U14" s="87">
        <f>O14</f>
        <v>0.31</v>
      </c>
      <c r="V14" s="87">
        <f>('20220801 E'!$E2+'20220801 E'!$E76)/10^5</f>
        <v>0.33300400000000002</v>
      </c>
      <c r="W14" s="87">
        <f>('20220903 E'!$E2+'20220903 E'!$E76)/10^5</f>
        <v>0.33315</v>
      </c>
      <c r="X14" s="87">
        <f>('20221001 E'!$E2+'20221001 E'!$E75)/10^5</f>
        <v>0.32939400000000002</v>
      </c>
      <c r="Y14" s="87">
        <f>('20221103 E'!$E2+'20221103 E'!$E75)/10^5</f>
        <v>0.33550199999999997</v>
      </c>
      <c r="Z14" s="87">
        <f>('20221203 E'!$E2+'20221203 E'!$E73)/10^5</f>
        <v>0.31719000000000003</v>
      </c>
      <c r="AA14" s="87">
        <f>('20230101 E'!$E2+'20230101 E'!$E74)/10^5</f>
        <v>0.31979000000000002</v>
      </c>
      <c r="AB14" s="87">
        <f>('20230203 E'!$E2+'20230203 E'!$E73)/10^5</f>
        <v>0.32179999999999997</v>
      </c>
      <c r="AC14" s="87">
        <f>('20230303 E'!$E2+'20230303 E'!$E73)/10^5</f>
        <v>0.32458199999999998</v>
      </c>
      <c r="AD14" s="87">
        <f>('20230402 E'!$E2+'20230402 E'!$E73)/10^5</f>
        <v>0.32019999999999998</v>
      </c>
      <c r="AE14" s="87">
        <f>('20230501 E'!$E2+'20230501 E'!$E73)/10^5</f>
        <v>0.31920199999999999</v>
      </c>
      <c r="AF14" s="87">
        <f>('20230603 E'!$E2+'20230603 E'!$E71)/10^5</f>
        <v>0.32519999999999999</v>
      </c>
      <c r="AG14" s="87">
        <f>('20230701 E'!$E2+'20230701 E'!$E74)/10^5</f>
        <v>0.32807599999999998</v>
      </c>
      <c r="AH14" s="87">
        <f>('20230805 E'!$E2+'20230805 E'!$E74)/10^5</f>
        <v>0.33040000000000003</v>
      </c>
      <c r="AI14" s="87">
        <v>0.33</v>
      </c>
      <c r="AJ14" s="87">
        <f>('20231002 E'!$E2+'20231002 E'!$E74)/10^5</f>
        <v>0.33282</v>
      </c>
      <c r="AK14" s="87">
        <f>('20231104 E'!$E2+'20231104 E'!$E74)/10^5</f>
        <v>0.32856999999999997</v>
      </c>
      <c r="AL14" s="87">
        <f>('20231202 E'!$E2+'20231202 E'!$E74)/10^5</f>
        <v>0.31789800000000001</v>
      </c>
      <c r="AM14" s="87">
        <f>('20240101 E'!$E2+'20240101 E'!$E68)/10^5</f>
        <v>0.31473000000000001</v>
      </c>
      <c r="AN14" s="87">
        <f>('20240203 E'!$E2+'20240203 E'!$E68)/10^5</f>
        <v>0.32320199999999999</v>
      </c>
      <c r="AO14" s="87">
        <f>('20240303 E'!$E2+'20240303 E'!$E69)/10^5</f>
        <v>0.32423999999999997</v>
      </c>
      <c r="AP14" s="87">
        <f>('20240403 E'!$E2+'20240403 E'!$E72)/10^5</f>
        <v>0.31846400000000002</v>
      </c>
      <c r="AQ14" s="87">
        <f>('20240501 E'!$E2+'20240501 E'!$E72)/10^5</f>
        <v>0.31997999999999999</v>
      </c>
      <c r="AR14" s="87">
        <f>('20240603 E'!$E2+'20240603 E'!$E3)/10^5</f>
        <v>0.32025400000000004</v>
      </c>
      <c r="AS14" s="87">
        <f>('20240701 E'!$E2+'20240701 E'!$E71)/10^5</f>
        <v>0.31835000000000002</v>
      </c>
      <c r="AT14" s="87">
        <f>('20240802 E'!$E2+'20240802 E'!$E71)/10^5</f>
        <v>0.32716600000000001</v>
      </c>
      <c r="AU14" s="87">
        <f>('20240901 E'!$E2+'20240901 E'!$E71)/10^5</f>
        <v>0.33387</v>
      </c>
      <c r="AV14" s="87">
        <f>('20241002 E'!$E2+'20241002 E'!$E74)/10^5</f>
        <v>0.32300000000000001</v>
      </c>
      <c r="AW14" s="87">
        <f>('20241102 E'!$E2+'20241102 E'!$E74)/10^5</f>
        <v>0.32400000000000001</v>
      </c>
      <c r="AX14" s="87">
        <f>('20241201 E'!$E2+'20241201 E'!$E3)/10^5</f>
        <v>0.31085000000000002</v>
      </c>
      <c r="AY14" s="87">
        <f>('20250104 E'!$E2+'20250104 E'!$E3)/10^5</f>
        <v>0.31312000000000001</v>
      </c>
      <c r="AZ14" s="87">
        <f>('20250201 E'!$E2+'20250201 E'!$E3)/10^5</f>
        <v>0.31353999999999999</v>
      </c>
      <c r="BA14" s="87">
        <f>('20250302 E'!$F2+'20250302 E'!$F76)/10^5</f>
        <v>0.31569999999999998</v>
      </c>
      <c r="BB14" s="87">
        <f>('20250405 E'!$F2+'20250405 E'!$F3)/10^5</f>
        <v>0.31619999999999998</v>
      </c>
      <c r="BC14" s="87">
        <f>('20250502 E'!$F2+'20250502 E'!$F62)/10^5</f>
        <v>0.31600200000000001</v>
      </c>
      <c r="BD14" s="87">
        <f>('20250602 E'!$F2+'20250602 E'!$F3)/10^5</f>
        <v>0.31565199999999999</v>
      </c>
      <c r="BE14" s="87">
        <f>('20250707 E'!$F2+'20250707 E'!$F63)/10^5</f>
        <v>0.32136999999999999</v>
      </c>
      <c r="BF14" s="87">
        <f>('20250802 E'!$F2+'20250802 E'!$F64)/10^5</f>
        <v>0.32497999999999999</v>
      </c>
      <c r="BG14" s="87">
        <f>('20250901 E'!$F2+'20250901 E'!$F64)/10^5</f>
        <v>0.32750000000000001</v>
      </c>
      <c r="BH14" s="87">
        <f>('20251004 E'!$F2+'20251004 E'!$F3)/10^5</f>
        <v>0.31625200000000003</v>
      </c>
      <c r="BI14" s="87">
        <f>('20251101 E'!$F2+'20251101 E'!$F3)/10^5</f>
        <v>0.31853599999999999</v>
      </c>
      <c r="BJ14" s="87">
        <f>('20251201 E'!$F2+'20251201 E'!$F3)/10^5</f>
        <v>0.30475000000000002</v>
      </c>
      <c r="BK14" s="87">
        <f>('20260101 E'!$F2+'20260101 E'!$F3)/10^5</f>
        <v>0.31001000000000001</v>
      </c>
      <c r="BL14" s="87">
        <f>('20260201 E'!$F2+'20260201 E'!$F64)/10^5</f>
        <v>0.30590000000000001</v>
      </c>
      <c r="BM14" s="87">
        <f>('20260301 E'!$F2+'20260301 E'!$F64)/10^5</f>
        <v>0.31340000000000001</v>
      </c>
      <c r="BN14" s="87">
        <f>('20260402 E'!$F2+'20260402 E'!$F3)/10^5</f>
        <v>0.31509999999999999</v>
      </c>
      <c r="BO14" s="87">
        <f>('20260501 E'!$F2+'20260501 E'!$F64)/10^5</f>
        <v>0.31</v>
      </c>
      <c r="BQ14" s="1">
        <f t="shared" si="0"/>
        <v>0</v>
      </c>
    </row>
    <row r="15" spans="1:83">
      <c r="A15" s="98" t="s">
        <v>11</v>
      </c>
      <c r="B15" s="98"/>
      <c r="C15" s="83">
        <f t="shared" ref="C15:G15" si="30">SUM(C4:C14)</f>
        <v>84.10059478118302</v>
      </c>
      <c r="D15" s="83">
        <f t="shared" si="30"/>
        <v>87.278830220000017</v>
      </c>
      <c r="E15" s="83">
        <f t="shared" si="30"/>
        <v>90.104911845000004</v>
      </c>
      <c r="F15" s="83">
        <f t="shared" si="30"/>
        <v>93.824088724000006</v>
      </c>
      <c r="G15" s="83">
        <f t="shared" si="30"/>
        <v>95.78942778599999</v>
      </c>
      <c r="H15" s="83">
        <f t="shared" ref="H15:L15" si="31">SUM(H4:H14)</f>
        <v>102.480096179</v>
      </c>
      <c r="I15" s="83">
        <f t="shared" si="31"/>
        <v>106.70070108</v>
      </c>
      <c r="J15" s="83">
        <f t="shared" si="31"/>
        <v>109.81444055200001</v>
      </c>
      <c r="K15" s="83">
        <f t="shared" si="31"/>
        <v>116.07471425100002</v>
      </c>
      <c r="L15" s="83">
        <f t="shared" si="31"/>
        <v>123.98272974700001</v>
      </c>
      <c r="M15" s="83">
        <f t="shared" ref="M15:P15" si="32">SUM(M4:M14)</f>
        <v>126.23589552600001</v>
      </c>
      <c r="N15" s="83">
        <f t="shared" si="32"/>
        <v>126.29326705100002</v>
      </c>
      <c r="O15" s="83">
        <f t="shared" si="32"/>
        <v>129.873774771</v>
      </c>
      <c r="P15" s="83">
        <f t="shared" si="32"/>
        <v>132.34062925700002</v>
      </c>
      <c r="Q15" s="83">
        <f t="shared" ref="Q15:R15" si="33">SUM(Q4:Q14)</f>
        <v>125.309180821</v>
      </c>
      <c r="R15" s="83">
        <f t="shared" si="33"/>
        <v>135.80695606599997</v>
      </c>
      <c r="S15" s="83">
        <f t="shared" ref="S15:T15" si="34">SUM(S4:S14)</f>
        <v>136.336454855</v>
      </c>
      <c r="T15" s="83">
        <f t="shared" si="34"/>
        <v>131.590792365</v>
      </c>
      <c r="U15" s="83">
        <f t="shared" ref="U15:V15" si="35">SUM(U4:U14)</f>
        <v>129.210050548</v>
      </c>
      <c r="V15" s="83">
        <f t="shared" si="35"/>
        <v>138.48717480899998</v>
      </c>
      <c r="W15" s="83">
        <f t="shared" ref="W15:BO15" si="36">SUM(W4:W14)</f>
        <v>148.20329120199995</v>
      </c>
      <c r="X15" s="83">
        <f t="shared" si="36"/>
        <v>147.71435690199999</v>
      </c>
      <c r="Y15" s="83">
        <f t="shared" si="36"/>
        <v>152.09128937799997</v>
      </c>
      <c r="Z15" s="83">
        <f t="shared" si="36"/>
        <v>156.2142686983</v>
      </c>
      <c r="AA15" s="83">
        <f t="shared" si="36"/>
        <v>155.92781844500001</v>
      </c>
      <c r="AB15" s="83">
        <f t="shared" si="36"/>
        <v>158.98088011199997</v>
      </c>
      <c r="AC15" s="83">
        <f t="shared" si="36"/>
        <v>161.42906851699996</v>
      </c>
      <c r="AD15" s="83">
        <f t="shared" si="36"/>
        <v>166.39268559600004</v>
      </c>
      <c r="AE15" s="83">
        <f t="shared" si="36"/>
        <v>173.66919956699999</v>
      </c>
      <c r="AF15" s="83">
        <f t="shared" si="36"/>
        <v>179.92439205699998</v>
      </c>
      <c r="AG15" s="83">
        <f t="shared" si="36"/>
        <v>186.77847065100002</v>
      </c>
      <c r="AH15" s="83">
        <f t="shared" si="36"/>
        <v>200.35867974300004</v>
      </c>
      <c r="AI15" s="83">
        <f t="shared" si="36"/>
        <v>203.026920886</v>
      </c>
      <c r="AJ15" s="83">
        <f t="shared" si="36"/>
        <v>206.55485812100008</v>
      </c>
      <c r="AK15" s="83">
        <f t="shared" si="36"/>
        <v>207.56874475800004</v>
      </c>
      <c r="AL15" s="83">
        <f t="shared" si="36"/>
        <v>218.86780472500001</v>
      </c>
      <c r="AM15" s="83">
        <f t="shared" si="36"/>
        <v>230.27305441900003</v>
      </c>
      <c r="AN15" s="83">
        <f t="shared" si="36"/>
        <v>240.37285664900003</v>
      </c>
      <c r="AO15" s="83">
        <f t="shared" ref="AO15:AP15" si="37">SUM(AO4:AO14)</f>
        <v>244.30658444400007</v>
      </c>
      <c r="AP15" s="83">
        <f t="shared" si="37"/>
        <v>255.81947696299997</v>
      </c>
      <c r="AQ15" s="83">
        <f t="shared" ref="AQ15:AY15" si="38">SUM(AQ4:AQ14)</f>
        <v>261.21936444699998</v>
      </c>
      <c r="AR15" s="83">
        <f t="shared" si="38"/>
        <v>264.20790878899999</v>
      </c>
      <c r="AS15" s="83">
        <f t="shared" si="38"/>
        <v>279.91029175200003</v>
      </c>
      <c r="AT15" s="83">
        <f t="shared" si="38"/>
        <v>297.32793788799995</v>
      </c>
      <c r="AU15" s="83">
        <f t="shared" si="38"/>
        <v>303.22227691900002</v>
      </c>
      <c r="AV15" s="83">
        <f t="shared" si="38"/>
        <v>310.10826857600006</v>
      </c>
      <c r="AW15" s="83">
        <f t="shared" si="38"/>
        <v>297.75005265999999</v>
      </c>
      <c r="AX15" s="83">
        <f t="shared" si="38"/>
        <v>299.85645371500004</v>
      </c>
      <c r="AY15" s="83">
        <f t="shared" si="38"/>
        <v>305.19194087800003</v>
      </c>
      <c r="AZ15" s="83">
        <f t="shared" ref="AZ15:BN15" si="39">SUM(AZ4:AZ14)</f>
        <v>292.72159567199998</v>
      </c>
      <c r="BA15" s="83">
        <f t="shared" si="39"/>
        <v>278.84509800899997</v>
      </c>
      <c r="BB15" s="83">
        <f t="shared" si="39"/>
        <v>296.83836563099999</v>
      </c>
      <c r="BC15" s="83">
        <f t="shared" si="39"/>
        <v>304.71326746399995</v>
      </c>
      <c r="BD15" s="83">
        <f t="shared" si="39"/>
        <v>316.63557166999999</v>
      </c>
      <c r="BE15" s="83">
        <f t="shared" si="39"/>
        <v>324.93789296</v>
      </c>
      <c r="BF15" s="83">
        <f t="shared" si="39"/>
        <v>325.44023271399993</v>
      </c>
      <c r="BG15" s="83">
        <f t="shared" si="39"/>
        <v>324.34690384999999</v>
      </c>
      <c r="BH15" s="83">
        <f t="shared" si="39"/>
        <v>326.98924790000001</v>
      </c>
      <c r="BI15" s="83">
        <f t="shared" si="39"/>
        <v>337.53560352900001</v>
      </c>
      <c r="BJ15" s="83">
        <f t="shared" si="39"/>
        <v>338.46373845999995</v>
      </c>
      <c r="BK15" s="83">
        <f t="shared" si="39"/>
        <v>340.00900770699985</v>
      </c>
      <c r="BL15" s="83">
        <f t="shared" si="39"/>
        <v>336.03914736399997</v>
      </c>
      <c r="BM15" s="83">
        <f t="shared" si="39"/>
        <v>334.33099670399997</v>
      </c>
      <c r="BN15" s="83">
        <f t="shared" si="39"/>
        <v>320.65091130500002</v>
      </c>
      <c r="BO15" s="83">
        <f t="shared" si="36"/>
        <v>347.663622455</v>
      </c>
      <c r="BQ15" s="1">
        <f t="shared" si="0"/>
        <v>0.30487086524815488</v>
      </c>
    </row>
    <row r="16" spans="1:83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</row>
    <row r="17" spans="1:70">
      <c r="A17" s="193" t="s">
        <v>12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  <c r="BI17" s="193"/>
      <c r="BJ17" s="193"/>
      <c r="BK17" s="193"/>
      <c r="BL17" s="193"/>
      <c r="BM17" s="193"/>
      <c r="BN17" s="193"/>
      <c r="BO17" s="193"/>
    </row>
    <row r="18" spans="1:70">
      <c r="A18" s="102" t="s">
        <v>117</v>
      </c>
      <c r="B18" s="102"/>
      <c r="C18" s="88">
        <f>C4/C$15</f>
        <v>0.22403915868875326</v>
      </c>
      <c r="D18" s="88">
        <f t="shared" ref="D18:G18" si="40">D4/D$15</f>
        <v>0.22833457952823599</v>
      </c>
      <c r="E18" s="88">
        <f t="shared" si="40"/>
        <v>0.22315518752838975</v>
      </c>
      <c r="F18" s="88">
        <f t="shared" si="40"/>
        <v>0.22429353470093394</v>
      </c>
      <c r="G18" s="88">
        <f t="shared" si="40"/>
        <v>0.23139668972153057</v>
      </c>
      <c r="H18" s="88">
        <f>H4/H$15</f>
        <v>0.23774742519213876</v>
      </c>
      <c r="I18" s="88">
        <f t="shared" ref="I18:J18" si="41">I4/I$15</f>
        <v>0.24367890029612535</v>
      </c>
      <c r="J18" s="88">
        <f t="shared" si="41"/>
        <v>0.25243136841255015</v>
      </c>
      <c r="K18" s="88">
        <f t="shared" ref="K18:L20" si="42">K4/K$15</f>
        <v>0.25871495522325849</v>
      </c>
      <c r="L18" s="88">
        <f t="shared" si="42"/>
        <v>0.25814469535644696</v>
      </c>
      <c r="M18" s="88">
        <f t="shared" ref="M18:BO18" si="43">M4/M$15</f>
        <v>0.26347699963953269</v>
      </c>
      <c r="N18" s="88">
        <f t="shared" ref="N18:P18" si="44">N4/N$15</f>
        <v>0.26784879186267085</v>
      </c>
      <c r="O18" s="88">
        <f t="shared" si="44"/>
        <v>0.26988367791575602</v>
      </c>
      <c r="P18" s="88">
        <f t="shared" si="44"/>
        <v>0.27908863292673503</v>
      </c>
      <c r="Q18" s="88">
        <f t="shared" ref="Q18:R18" si="45">Q4/Q$15</f>
        <v>0.27094606698051388</v>
      </c>
      <c r="R18" s="88">
        <f t="shared" si="45"/>
        <v>0.27466273437328392</v>
      </c>
      <c r="S18" s="88">
        <f t="shared" ref="S18:T18" si="46">S4/S$15</f>
        <v>0.27817918868681157</v>
      </c>
      <c r="T18" s="88">
        <f t="shared" si="46"/>
        <v>0.27796077782208595</v>
      </c>
      <c r="U18" s="88">
        <f t="shared" ref="U18:W18" si="47">U4/U$15</f>
        <v>0.27414355655592842</v>
      </c>
      <c r="V18" s="88">
        <f t="shared" si="47"/>
        <v>0.28360308060416556</v>
      </c>
      <c r="W18" s="88">
        <f t="shared" si="47"/>
        <v>0.27437930136501076</v>
      </c>
      <c r="X18" s="88">
        <f t="shared" ref="X18:Y18" si="48">X4/X$15</f>
        <v>0.27329231461761455</v>
      </c>
      <c r="Y18" s="88">
        <f t="shared" si="48"/>
        <v>0.28070631049680317</v>
      </c>
      <c r="Z18" s="88">
        <f t="shared" ref="Z18:AA18" si="49">Z4/Z$15</f>
        <v>0.27851450806986033</v>
      </c>
      <c r="AA18" s="88">
        <f t="shared" si="49"/>
        <v>0.27541643581159903</v>
      </c>
      <c r="AB18" s="88">
        <f t="shared" ref="AB18:AD18" si="50">AB4/AB$15</f>
        <v>0.2729782434807661</v>
      </c>
      <c r="AC18" s="88">
        <f t="shared" si="50"/>
        <v>0.27210038999496744</v>
      </c>
      <c r="AD18" s="88">
        <f t="shared" si="50"/>
        <v>0.26417572168242426</v>
      </c>
      <c r="AE18" s="88">
        <f t="shared" ref="AE18:AF18" si="51">AE4/AE$15</f>
        <v>0.27138929077528756</v>
      </c>
      <c r="AF18" s="88">
        <f t="shared" si="51"/>
        <v>0.26772798868059822</v>
      </c>
      <c r="AG18" s="88">
        <f t="shared" ref="AG18:AH18" si="52">AG4/AG$15</f>
        <v>0.27238633993884021</v>
      </c>
      <c r="AH18" s="88">
        <f t="shared" si="52"/>
        <v>0.27035250616285056</v>
      </c>
      <c r="AI18" s="88">
        <f t="shared" ref="AI18:AJ18" si="53">AI4/AI$15</f>
        <v>0.27237767168350574</v>
      </c>
      <c r="AJ18" s="88">
        <f t="shared" si="53"/>
        <v>0.27715173402730919</v>
      </c>
      <c r="AK18" s="88">
        <f t="shared" ref="AK18:AL18" si="54">AK4/AK$15</f>
        <v>0.27489220193783942</v>
      </c>
      <c r="AL18" s="88">
        <f t="shared" si="54"/>
        <v>0.2820027814394665</v>
      </c>
      <c r="AM18" s="88">
        <f t="shared" ref="AM18:AP18" si="55">AM4/AM$15</f>
        <v>0.28213647473396875</v>
      </c>
      <c r="AN18" s="88">
        <f t="shared" si="55"/>
        <v>0.27885762783057921</v>
      </c>
      <c r="AO18" s="88">
        <f t="shared" si="55"/>
        <v>0.28631824418155949</v>
      </c>
      <c r="AP18" s="88">
        <f t="shared" si="55"/>
        <v>0.27923204186025125</v>
      </c>
      <c r="AQ18" s="88">
        <f t="shared" ref="AQ18:AY18" si="56">AQ4/AQ$15</f>
        <v>0.27723277236092247</v>
      </c>
      <c r="AR18" s="88">
        <f t="shared" si="56"/>
        <v>0.2765012759642323</v>
      </c>
      <c r="AS18" s="88">
        <f t="shared" si="56"/>
        <v>0.28053606821135729</v>
      </c>
      <c r="AT18" s="88">
        <f t="shared" si="56"/>
        <v>0.28561404590236916</v>
      </c>
      <c r="AU18" s="88">
        <f t="shared" si="56"/>
        <v>0.28481231879631919</v>
      </c>
      <c r="AV18" s="88">
        <f t="shared" si="56"/>
        <v>0.2823278879406696</v>
      </c>
      <c r="AW18" s="88">
        <f t="shared" si="56"/>
        <v>0.27471186241368034</v>
      </c>
      <c r="AX18" s="88">
        <f t="shared" si="56"/>
        <v>0.26984129671894524</v>
      </c>
      <c r="AY18" s="88">
        <f t="shared" si="56"/>
        <v>0.26573852758589095</v>
      </c>
      <c r="AZ18" s="88">
        <f t="shared" ref="AZ18:BN18" si="57">AZ4/AZ$15</f>
        <v>0.25841538963445748</v>
      </c>
      <c r="BA18" s="88">
        <f t="shared" si="57"/>
        <v>0.24983592000513308</v>
      </c>
      <c r="BB18" s="88">
        <f t="shared" si="57"/>
        <v>0.21397413021387018</v>
      </c>
      <c r="BC18" s="88">
        <f t="shared" si="57"/>
        <v>0.21705917812657807</v>
      </c>
      <c r="BD18" s="88">
        <f t="shared" si="57"/>
        <v>0.21676944330036907</v>
      </c>
      <c r="BE18" s="88">
        <f t="shared" si="57"/>
        <v>0.21892749057973704</v>
      </c>
      <c r="BF18" s="88">
        <f t="shared" si="57"/>
        <v>0.20936776203659851</v>
      </c>
      <c r="BG18" s="88">
        <f t="shared" si="57"/>
        <v>0.21424393843493128</v>
      </c>
      <c r="BH18" s="88">
        <f t="shared" si="57"/>
        <v>0.20083820040493749</v>
      </c>
      <c r="BI18" s="88">
        <f t="shared" si="57"/>
        <v>0.2013807829139421</v>
      </c>
      <c r="BJ18" s="88">
        <f t="shared" si="57"/>
        <v>0.2032775121289134</v>
      </c>
      <c r="BK18" s="88">
        <f t="shared" si="57"/>
        <v>0.20125486604451284</v>
      </c>
      <c r="BL18" s="88">
        <f t="shared" si="57"/>
        <v>0.19774638437592612</v>
      </c>
      <c r="BM18" s="88">
        <f t="shared" si="57"/>
        <v>0.20054169508955325</v>
      </c>
      <c r="BN18" s="88">
        <f t="shared" si="57"/>
        <v>0.18997636604892482</v>
      </c>
      <c r="BO18" s="88">
        <f t="shared" si="43"/>
        <v>0.18818656705582815</v>
      </c>
    </row>
    <row r="19" spans="1:70">
      <c r="A19" s="102" t="s">
        <v>119</v>
      </c>
      <c r="B19" s="102"/>
      <c r="C19" s="88">
        <f t="shared" ref="C19:G19" si="58">C5/C$15</f>
        <v>0.26787882225802845</v>
      </c>
      <c r="D19" s="88">
        <f t="shared" si="58"/>
        <v>0.27424395079157593</v>
      </c>
      <c r="E19" s="88">
        <f t="shared" si="58"/>
        <v>0.31062022892987379</v>
      </c>
      <c r="F19" s="88">
        <f t="shared" si="58"/>
        <v>0.30624784637689795</v>
      </c>
      <c r="G19" s="88">
        <f t="shared" si="58"/>
        <v>0.2739582348443198</v>
      </c>
      <c r="H19" s="88">
        <f>H5/H$15</f>
        <v>0.29248292617373772</v>
      </c>
      <c r="I19" s="88">
        <f t="shared" ref="I19:J19" si="59">I5/I$15</f>
        <v>0.30251176787300632</v>
      </c>
      <c r="J19" s="88">
        <f t="shared" si="59"/>
        <v>0.31283889794741859</v>
      </c>
      <c r="K19" s="88">
        <f t="shared" si="42"/>
        <v>0.32624600797303926</v>
      </c>
      <c r="L19" s="88">
        <f t="shared" si="42"/>
        <v>0.31283605697460859</v>
      </c>
      <c r="M19" s="88">
        <f t="shared" ref="M19:BO19" si="60">M5/M$15</f>
        <v>0.3188551388832962</v>
      </c>
      <c r="N19" s="88">
        <f t="shared" ref="N19:P19" si="61">N5/N$15</f>
        <v>0.32766804301838937</v>
      </c>
      <c r="O19" s="88">
        <f t="shared" si="61"/>
        <v>0.33020259205999353</v>
      </c>
      <c r="P19" s="88">
        <f t="shared" si="61"/>
        <v>0.32957524738150629</v>
      </c>
      <c r="Q19" s="88">
        <f t="shared" ref="Q19:R19" si="62">Q5/Q$15</f>
        <v>0.32586272591095644</v>
      </c>
      <c r="R19" s="88">
        <f t="shared" si="62"/>
        <v>0.32783515994101869</v>
      </c>
      <c r="S19" s="88">
        <f t="shared" ref="S19:T19" si="63">S5/S$15</f>
        <v>0.3230611556743489</v>
      </c>
      <c r="T19" s="88">
        <f t="shared" si="63"/>
        <v>0.31935244414697617</v>
      </c>
      <c r="U19" s="88">
        <f t="shared" ref="U19:W19" si="64">U5/U$15</f>
        <v>0.31545849239380946</v>
      </c>
      <c r="V19" s="88">
        <f t="shared" si="64"/>
        <v>0.3269005340851095</v>
      </c>
      <c r="W19" s="88">
        <f t="shared" si="64"/>
        <v>0.31754270313643967</v>
      </c>
      <c r="X19" s="88">
        <f t="shared" ref="X19:Y19" si="65">X5/X$15</f>
        <v>0.32669894392199467</v>
      </c>
      <c r="Y19" s="88">
        <f t="shared" si="65"/>
        <v>0.3428175465618874</v>
      </c>
      <c r="Z19" s="88">
        <f t="shared" ref="Z19:AA19" si="66">Z5/Z$15</f>
        <v>0.34922710295857684</v>
      </c>
      <c r="AA19" s="88">
        <f t="shared" si="66"/>
        <v>0.3411807333389002</v>
      </c>
      <c r="AB19" s="88">
        <f t="shared" ref="AB19:AD19" si="67">AB5/AB$15</f>
        <v>0.34967795607142244</v>
      </c>
      <c r="AC19" s="88">
        <f t="shared" si="67"/>
        <v>0.35417691214007718</v>
      </c>
      <c r="AD19" s="88">
        <f t="shared" si="67"/>
        <v>0.34389186394245896</v>
      </c>
      <c r="AE19" s="88">
        <f t="shared" ref="AE19:AF19" si="68">AE5/AE$15</f>
        <v>0.35422159957193305</v>
      </c>
      <c r="AF19" s="88">
        <f t="shared" si="68"/>
        <v>0.37253579234418344</v>
      </c>
      <c r="AG19" s="88">
        <f t="shared" ref="AG19:AH19" si="69">AG5/AG$15</f>
        <v>0.38319687703587479</v>
      </c>
      <c r="AH19" s="88">
        <f t="shared" si="69"/>
        <v>0.38102216804843536</v>
      </c>
      <c r="AI19" s="88">
        <f t="shared" ref="AI19:AJ19" si="70">AI5/AI$15</f>
        <v>0.39145227903360447</v>
      </c>
      <c r="AJ19" s="88">
        <f t="shared" si="70"/>
        <v>0.39067187649359797</v>
      </c>
      <c r="AK19" s="88">
        <f t="shared" ref="AK19:AL19" si="71">AK5/AK$15</f>
        <v>0.39318561931446327</v>
      </c>
      <c r="AL19" s="88">
        <f t="shared" si="71"/>
        <v>0.3987875221514034</v>
      </c>
      <c r="AM19" s="88">
        <f t="shared" ref="AM19:AP19" si="72">AM5/AM$15</f>
        <v>0.40078641789790342</v>
      </c>
      <c r="AN19" s="88">
        <f t="shared" si="72"/>
        <v>0.40654220660070739</v>
      </c>
      <c r="AO19" s="88">
        <f t="shared" si="72"/>
        <v>0.41746970461771693</v>
      </c>
      <c r="AP19" s="88">
        <f t="shared" si="72"/>
        <v>0.41139953402461921</v>
      </c>
      <c r="AQ19" s="88">
        <f t="shared" ref="AQ19:AY19" si="73">AQ5/AQ$15</f>
        <v>0.41740884143802698</v>
      </c>
      <c r="AR19" s="88">
        <f t="shared" si="73"/>
        <v>0.42693500511024934</v>
      </c>
      <c r="AS19" s="88">
        <f t="shared" si="73"/>
        <v>0.43548426993888489</v>
      </c>
      <c r="AT19" s="88">
        <f t="shared" si="73"/>
        <v>0.42712814499738799</v>
      </c>
      <c r="AU19" s="88">
        <f t="shared" si="73"/>
        <v>0.43171105003927074</v>
      </c>
      <c r="AV19" s="88">
        <f t="shared" si="73"/>
        <v>0.4380412932836999</v>
      </c>
      <c r="AW19" s="88">
        <f t="shared" si="73"/>
        <v>0.44185991346988063</v>
      </c>
      <c r="AX19" s="88">
        <f t="shared" si="73"/>
        <v>0.44920054141313287</v>
      </c>
      <c r="AY19" s="88">
        <f t="shared" si="73"/>
        <v>0.45839006421838507</v>
      </c>
      <c r="AZ19" s="88">
        <f t="shared" ref="AZ19:BN19" si="74">AZ5/AZ$15</f>
        <v>0.45411071966466149</v>
      </c>
      <c r="BA19" s="88">
        <f t="shared" si="74"/>
        <v>0.44971996030911943</v>
      </c>
      <c r="BB19" s="88">
        <f t="shared" si="74"/>
        <v>0.44781618861304545</v>
      </c>
      <c r="BC19" s="88">
        <f t="shared" si="74"/>
        <v>0.45938104631606735</v>
      </c>
      <c r="BD19" s="88">
        <f t="shared" si="74"/>
        <v>0.47425667703092039</v>
      </c>
      <c r="BE19" s="88">
        <f t="shared" si="74"/>
        <v>0.49086266919209243</v>
      </c>
      <c r="BF19" s="88">
        <f t="shared" si="74"/>
        <v>0.48552521601673082</v>
      </c>
      <c r="BG19" s="88">
        <f t="shared" si="74"/>
        <v>0.49004389239832741</v>
      </c>
      <c r="BH19" s="88">
        <f t="shared" si="74"/>
        <v>0.50191469399688482</v>
      </c>
      <c r="BI19" s="88">
        <f t="shared" si="74"/>
        <v>0.50610817390208407</v>
      </c>
      <c r="BJ19" s="88">
        <f t="shared" si="74"/>
        <v>0.50214729806302694</v>
      </c>
      <c r="BK19" s="88">
        <f t="shared" si="74"/>
        <v>0.50290066595632643</v>
      </c>
      <c r="BL19" s="88">
        <f t="shared" si="74"/>
        <v>0.49946599906764544</v>
      </c>
      <c r="BM19" s="88">
        <f t="shared" si="74"/>
        <v>0.49467534728891421</v>
      </c>
      <c r="BN19" s="88">
        <f t="shared" si="74"/>
        <v>0.48047679570900875</v>
      </c>
      <c r="BO19" s="88">
        <f t="shared" si="60"/>
        <v>0.50319064767164001</v>
      </c>
    </row>
    <row r="20" spans="1:70">
      <c r="A20" s="102" t="s">
        <v>8</v>
      </c>
      <c r="B20" s="102"/>
      <c r="C20" s="88">
        <f t="shared" ref="C20:G20" si="75">C6/C$15</f>
        <v>1.1890522327479945E-2</v>
      </c>
      <c r="D20" s="88">
        <f t="shared" si="75"/>
        <v>1.4051104911795412E-2</v>
      </c>
      <c r="E20" s="88">
        <f t="shared" si="75"/>
        <v>1.3086134549782934E-2</v>
      </c>
      <c r="F20" s="88">
        <f t="shared" si="75"/>
        <v>1.2417125664040572E-2</v>
      </c>
      <c r="G20" s="88">
        <f t="shared" si="75"/>
        <v>1.2449703767562287E-2</v>
      </c>
      <c r="H20" s="88">
        <f>H6/H$15</f>
        <v>1.1829160443824918E-2</v>
      </c>
      <c r="I20" s="88">
        <f t="shared" ref="I20:J20" si="76">I6/I$15</f>
        <v>1.1200488730659425E-2</v>
      </c>
      <c r="J20" s="88">
        <f t="shared" si="76"/>
        <v>1.0845235781500409E-2</v>
      </c>
      <c r="K20" s="88">
        <f t="shared" si="42"/>
        <v>1.0144310994845765E-2</v>
      </c>
      <c r="L20" s="88">
        <f t="shared" si="42"/>
        <v>9.4638180849409108E-3</v>
      </c>
      <c r="M20" s="88">
        <f t="shared" ref="M20:BO20" si="77">M6/M$15</f>
        <v>9.3760969894353188E-3</v>
      </c>
      <c r="N20" s="88">
        <f t="shared" ref="N20:P20" si="78">N6/N$15</f>
        <v>9.3987591557090928E-3</v>
      </c>
      <c r="O20" s="88">
        <f t="shared" si="78"/>
        <v>9.1011445696728387E-3</v>
      </c>
      <c r="P20" s="88">
        <f t="shared" si="78"/>
        <v>8.8646246174467792E-3</v>
      </c>
      <c r="Q20" s="88">
        <f t="shared" ref="Q20:R20" si="79">Q6/Q$15</f>
        <v>9.6102296105520877E-3</v>
      </c>
      <c r="R20" s="88">
        <f t="shared" si="79"/>
        <v>8.722307268446014E-3</v>
      </c>
      <c r="S20" s="88">
        <f t="shared" ref="S20:T20" si="80">S6/S$15</f>
        <v>9.0283996405005392E-3</v>
      </c>
      <c r="T20" s="88">
        <f t="shared" si="80"/>
        <v>9.0857420835623835E-3</v>
      </c>
      <c r="U20" s="88">
        <f t="shared" ref="U20:W20" si="81">U6/U$15</f>
        <v>9.3723359356641372E-3</v>
      </c>
      <c r="V20" s="88">
        <f t="shared" si="81"/>
        <v>8.7330108486074996E-3</v>
      </c>
      <c r="W20" s="88">
        <f t="shared" si="81"/>
        <v>8.3480737166200282E-3</v>
      </c>
      <c r="X20" s="88">
        <f t="shared" ref="X20:Y20" si="82">X6/X$15</f>
        <v>8.2334583144607863E-3</v>
      </c>
      <c r="Y20" s="88">
        <f t="shared" si="82"/>
        <v>8.0576606655901536E-3</v>
      </c>
      <c r="Z20" s="88">
        <f t="shared" ref="Z20:AA20" si="83">Z6/Z$15</f>
        <v>7.9643300856392218E-3</v>
      </c>
      <c r="AA20" s="88">
        <f t="shared" si="83"/>
        <v>8.3124166869376331E-3</v>
      </c>
      <c r="AB20" s="88">
        <f t="shared" ref="AB20:AD20" si="84">AB6/AB$15</f>
        <v>8.3840868100678693E-3</v>
      </c>
      <c r="AC20" s="88">
        <f t="shared" si="84"/>
        <v>8.1762535838519317E-3</v>
      </c>
      <c r="AD20" s="88">
        <f t="shared" si="84"/>
        <v>8.3081596708914005E-3</v>
      </c>
      <c r="AE20" s="88">
        <f t="shared" ref="AE20:AF20" si="85">AE6/AE$15</f>
        <v>8.2805989984723796E-3</v>
      </c>
      <c r="AF20" s="88">
        <f t="shared" si="85"/>
        <v>8.2982106146397422E-3</v>
      </c>
      <c r="AG20" s="88">
        <f t="shared" ref="AG20:AH20" si="86">AG6/AG$15</f>
        <v>7.8895281392117461E-3</v>
      </c>
      <c r="AH20" s="88">
        <f t="shared" si="86"/>
        <v>7.390945088575511E-3</v>
      </c>
      <c r="AI20" s="88">
        <f t="shared" ref="AI20:AJ20" si="87">AI6/AI$15</f>
        <v>7.2896736725422875E-3</v>
      </c>
      <c r="AJ20" s="88">
        <f t="shared" si="87"/>
        <v>7.1107356823319088E-3</v>
      </c>
      <c r="AK20" s="88">
        <f t="shared" ref="AK20:AL20" si="88">AK6/AK$15</f>
        <v>7.1853303431537808E-3</v>
      </c>
      <c r="AL20" s="88">
        <f t="shared" si="88"/>
        <v>7.0092424142853783E-3</v>
      </c>
      <c r="AM20" s="88">
        <f t="shared" ref="AM20:AP20" si="89">AM6/AM$15</f>
        <v>6.7735845339588355E-3</v>
      </c>
      <c r="AN20" s="88">
        <f t="shared" si="89"/>
        <v>6.5637548348642287E-3</v>
      </c>
      <c r="AO20" s="88">
        <f t="shared" si="89"/>
        <v>6.4003371155901797E-3</v>
      </c>
      <c r="AP20" s="88">
        <f t="shared" si="89"/>
        <v>6.5543914791230404E-3</v>
      </c>
      <c r="AQ20" s="88">
        <f t="shared" ref="AQ20:AY20" si="90">AQ6/AQ$15</f>
        <v>6.792991797359758E-3</v>
      </c>
      <c r="AR20" s="88">
        <f t="shared" si="90"/>
        <v>7.006550290204909E-3</v>
      </c>
      <c r="AS20" s="88">
        <f t="shared" si="90"/>
        <v>6.6490588407837692E-3</v>
      </c>
      <c r="AT20" s="88">
        <f t="shared" si="90"/>
        <v>6.3657421951144174E-3</v>
      </c>
      <c r="AU20" s="88">
        <f t="shared" si="90"/>
        <v>6.2717555560998974E-3</v>
      </c>
      <c r="AV20" s="88">
        <f t="shared" si="90"/>
        <v>6.3972431599765914E-3</v>
      </c>
      <c r="AW20" s="88">
        <f t="shared" si="90"/>
        <v>7.0128837303158453E-3</v>
      </c>
      <c r="AX20" s="88">
        <f t="shared" si="90"/>
        <v>6.7233553756230174E-3</v>
      </c>
      <c r="AY20" s="88">
        <f t="shared" si="90"/>
        <v>6.6672484671323742E-3</v>
      </c>
      <c r="AZ20" s="88">
        <f t="shared" ref="AZ20:BN20" si="91">AZ6/AZ$15</f>
        <v>7.0861734517335215E-3</v>
      </c>
      <c r="BA20" s="88">
        <f t="shared" si="91"/>
        <v>7.6368206405811332E-3</v>
      </c>
      <c r="BB20" s="88">
        <f t="shared" si="91"/>
        <v>7.3779175927765747E-3</v>
      </c>
      <c r="BC20" s="88">
        <f t="shared" si="91"/>
        <v>7.484413195987403E-3</v>
      </c>
      <c r="BD20" s="88">
        <f t="shared" si="91"/>
        <v>7.4652604176246385E-3</v>
      </c>
      <c r="BE20" s="88">
        <f t="shared" si="91"/>
        <v>7.5334519396952513E-3</v>
      </c>
      <c r="BF20" s="88">
        <f t="shared" si="91"/>
        <v>1.0668892936330046E-2</v>
      </c>
      <c r="BG20" s="88">
        <f t="shared" si="91"/>
        <v>1.1773093729810858E-2</v>
      </c>
      <c r="BH20" s="88">
        <f t="shared" si="91"/>
        <v>1.3174486707640761E-2</v>
      </c>
      <c r="BI20" s="88">
        <f t="shared" si="91"/>
        <v>1.2741309227933052E-2</v>
      </c>
      <c r="BJ20" s="88">
        <f t="shared" si="91"/>
        <v>1.3414169626140225E-2</v>
      </c>
      <c r="BK20" s="88">
        <f t="shared" si="91"/>
        <v>1.4557096688053724E-2</v>
      </c>
      <c r="BL20" s="88">
        <f t="shared" si="91"/>
        <v>1.7789333614528797E-2</v>
      </c>
      <c r="BM20" s="88">
        <f t="shared" si="91"/>
        <v>1.6479327535633442E-2</v>
      </c>
      <c r="BN20" s="88">
        <f t="shared" si="91"/>
        <v>1.5763541664137418E-2</v>
      </c>
      <c r="BO20" s="88">
        <f t="shared" si="77"/>
        <v>1.4916877018593625E-2</v>
      </c>
      <c r="BQ20" s="169"/>
    </row>
    <row r="21" spans="1:70">
      <c r="A21" s="102" t="s">
        <v>128</v>
      </c>
      <c r="B21" s="102"/>
      <c r="C21" s="88">
        <f>(C7+C8+C9)/C$15</f>
        <v>6.7419261596811289E-2</v>
      </c>
      <c r="D21" s="88">
        <f t="shared" ref="D21:G21" si="92">(D7+D8+D9)/D$15</f>
        <v>8.4189945963737259E-2</v>
      </c>
      <c r="E21" s="88">
        <f t="shared" si="92"/>
        <v>8.5677904144449701E-2</v>
      </c>
      <c r="F21" s="88">
        <f t="shared" si="92"/>
        <v>7.6824620393634677E-2</v>
      </c>
      <c r="G21" s="88">
        <f t="shared" si="92"/>
        <v>8.1203115832129913E-2</v>
      </c>
      <c r="H21" s="88">
        <f t="shared" ref="H21:BO21" si="93">(H7+H8+H9)/H$15</f>
        <v>8.0765927322539774E-2</v>
      </c>
      <c r="I21" s="88">
        <f t="shared" si="93"/>
        <v>7.8083835585609634E-2</v>
      </c>
      <c r="J21" s="88">
        <f t="shared" si="93"/>
        <v>7.6595846208559568E-2</v>
      </c>
      <c r="K21" s="88">
        <f t="shared" si="93"/>
        <v>7.7672558215428275E-2</v>
      </c>
      <c r="L21" s="88">
        <f t="shared" si="93"/>
        <v>7.7139775995546819E-2</v>
      </c>
      <c r="M21" s="88">
        <f t="shared" ref="M21:P21" si="94">(M7+M8+M9)/M$15</f>
        <v>7.6206533489665218E-2</v>
      </c>
      <c r="N21" s="88">
        <f t="shared" si="94"/>
        <v>7.4667480065995578E-2</v>
      </c>
      <c r="O21" s="88">
        <f t="shared" si="94"/>
        <v>7.3209545320177122E-2</v>
      </c>
      <c r="P21" s="88">
        <f t="shared" si="94"/>
        <v>7.2487187448465218E-2</v>
      </c>
      <c r="Q21" s="88">
        <f t="shared" ref="Q21:R21" si="95">(Q7+Q8+Q9)/Q$15</f>
        <v>7.2093680134297344E-2</v>
      </c>
      <c r="R21" s="88">
        <f t="shared" si="95"/>
        <v>6.8586324808526777E-2</v>
      </c>
      <c r="S21" s="88">
        <f t="shared" ref="S21:T21" si="96">(S7+S8+S9)/S$15</f>
        <v>6.8734367561240184E-2</v>
      </c>
      <c r="T21" s="88">
        <f t="shared" si="96"/>
        <v>6.9206969851959357E-2</v>
      </c>
      <c r="U21" s="88">
        <f t="shared" ref="U21:W21" si="97">(U7+U8+U9)/U$15</f>
        <v>6.852408123399692E-2</v>
      </c>
      <c r="V21" s="88">
        <f t="shared" si="97"/>
        <v>6.8381783461615997E-2</v>
      </c>
      <c r="W21" s="88">
        <f t="shared" si="97"/>
        <v>6.8858119932644846E-2</v>
      </c>
      <c r="X21" s="88">
        <f t="shared" ref="X21:Y21" si="98">(X7+X8+X9)/X$15</f>
        <v>6.8124725389260718E-2</v>
      </c>
      <c r="Y21" s="88">
        <f t="shared" si="98"/>
        <v>6.8669284366726702E-2</v>
      </c>
      <c r="Z21" s="88">
        <f t="shared" ref="Z21:AA21" si="99">(Z7+Z8+Z9)/Z$15</f>
        <v>6.8495663611018401E-2</v>
      </c>
      <c r="AA21" s="88">
        <f t="shared" si="99"/>
        <v>6.7069494746306746E-2</v>
      </c>
      <c r="AB21" s="88">
        <f t="shared" ref="AB21:AD21" si="100">(AB7+AB8+AB9)/AB$15</f>
        <v>6.4837985503276546E-2</v>
      </c>
      <c r="AC21" s="88">
        <f t="shared" si="100"/>
        <v>6.4046705435280432E-2</v>
      </c>
      <c r="AD21" s="88">
        <f t="shared" si="100"/>
        <v>6.1174564035311754E-2</v>
      </c>
      <c r="AE21" s="88">
        <f t="shared" ref="AE21:AF21" si="101">(AE7+AE8+AE9)/AE$15</f>
        <v>6.1098916943567602E-2</v>
      </c>
      <c r="AF21" s="88">
        <f t="shared" si="101"/>
        <v>6.0786644184047944E-2</v>
      </c>
      <c r="AG21" s="88">
        <f t="shared" ref="AG21:AH21" si="102">(AG7+AG8+AG9)/AG$15</f>
        <v>6.0175029599643118E-2</v>
      </c>
      <c r="AH21" s="88">
        <f t="shared" si="102"/>
        <v>6.4543248221577476E-2</v>
      </c>
      <c r="AI21" s="88">
        <f t="shared" ref="AI21:AJ21" si="103">(AI7+AI8+AI9)/AI$15</f>
        <v>6.4109724676898919E-2</v>
      </c>
      <c r="AJ21" s="88">
        <f t="shared" si="103"/>
        <v>6.3261644479672974E-2</v>
      </c>
      <c r="AK21" s="88">
        <f t="shared" ref="AK21:AL21" si="104">(AK7+AK8+AK9)/AK$15</f>
        <v>6.2538317197679605E-2</v>
      </c>
      <c r="AL21" s="88">
        <f t="shared" si="104"/>
        <v>6.198033565075773E-2</v>
      </c>
      <c r="AM21" s="88">
        <f t="shared" ref="AM21:AP21" si="105">(AM7+AM8+AM9)/AM$15</f>
        <v>6.2278237617439239E-2</v>
      </c>
      <c r="AN21" s="88">
        <f t="shared" si="105"/>
        <v>6.0614165023114779E-2</v>
      </c>
      <c r="AO21" s="88">
        <f t="shared" si="105"/>
        <v>6.1302891340748775E-2</v>
      </c>
      <c r="AP21" s="88">
        <f t="shared" si="105"/>
        <v>5.9154995466544305E-2</v>
      </c>
      <c r="AQ21" s="88">
        <f t="shared" ref="AQ21:AY21" si="106">(AQ7+AQ8+AQ9)/AQ$15</f>
        <v>5.8548492499311135E-2</v>
      </c>
      <c r="AR21" s="88">
        <f t="shared" si="106"/>
        <v>5.8586739779851946E-2</v>
      </c>
      <c r="AS21" s="88">
        <f t="shared" si="106"/>
        <v>5.8067889888096122E-2</v>
      </c>
      <c r="AT21" s="88">
        <f t="shared" si="106"/>
        <v>5.8110247300434813E-2</v>
      </c>
      <c r="AU21" s="88">
        <f t="shared" si="106"/>
        <v>5.7515563095183658E-2</v>
      </c>
      <c r="AV21" s="88">
        <f t="shared" si="106"/>
        <v>5.7263871361907727E-2</v>
      </c>
      <c r="AW21" s="88">
        <f t="shared" si="106"/>
        <v>5.6826186423284707E-2</v>
      </c>
      <c r="AX21" s="88">
        <f t="shared" si="106"/>
        <v>5.6603417367604734E-2</v>
      </c>
      <c r="AY21" s="88">
        <f t="shared" si="106"/>
        <v>5.5758353090989782E-2</v>
      </c>
      <c r="AZ21" s="88">
        <f t="shared" ref="AZ21:BN21" si="107">(AZ7+AZ8+AZ9)/AZ$15</f>
        <v>5.6459790614556547E-2</v>
      </c>
      <c r="BA21" s="88">
        <f t="shared" si="107"/>
        <v>5.6271385482607829E-2</v>
      </c>
      <c r="BB21" s="88">
        <f t="shared" si="107"/>
        <v>5.5063636956950782E-2</v>
      </c>
      <c r="BC21" s="88">
        <f t="shared" si="107"/>
        <v>5.5946694221360359E-2</v>
      </c>
      <c r="BD21" s="88">
        <f t="shared" si="107"/>
        <v>5.4910760368138779E-2</v>
      </c>
      <c r="BE21" s="88">
        <f t="shared" si="107"/>
        <v>5.46873737566443E-2</v>
      </c>
      <c r="BF21" s="88">
        <f t="shared" si="107"/>
        <v>5.3250945205750799E-2</v>
      </c>
      <c r="BG21" s="88">
        <f t="shared" si="107"/>
        <v>5.3011142686756371E-2</v>
      </c>
      <c r="BH21" s="88">
        <f t="shared" si="107"/>
        <v>5.3802992339920301E-2</v>
      </c>
      <c r="BI21" s="88">
        <f t="shared" si="107"/>
        <v>5.5280716478245104E-2</v>
      </c>
      <c r="BJ21" s="88">
        <f t="shared" si="107"/>
        <v>5.592475012574203E-2</v>
      </c>
      <c r="BK21" s="88">
        <f t="shared" si="107"/>
        <v>5.5662084153691012E-2</v>
      </c>
      <c r="BL21" s="88">
        <f t="shared" si="107"/>
        <v>5.5306056290723167E-2</v>
      </c>
      <c r="BM21" s="88">
        <f t="shared" si="107"/>
        <v>5.5994508988271817E-2</v>
      </c>
      <c r="BN21" s="88">
        <f t="shared" si="107"/>
        <v>5.336021011250186E-2</v>
      </c>
      <c r="BO21" s="88">
        <f t="shared" si="93"/>
        <v>5.2165365682880556E-2</v>
      </c>
    </row>
    <row r="22" spans="1:70">
      <c r="A22" s="102" t="s">
        <v>123</v>
      </c>
      <c r="B22" s="102"/>
      <c r="C22" s="88">
        <f>C10/C$15</f>
        <v>0.15921409396495648</v>
      </c>
      <c r="D22" s="88">
        <f t="shared" ref="D22:G22" si="108">D10/D$15</f>
        <v>0.1560515873742653</v>
      </c>
      <c r="E22" s="88">
        <f t="shared" si="108"/>
        <v>0.15637327323773267</v>
      </c>
      <c r="F22" s="88">
        <f t="shared" si="108"/>
        <v>0.16456328230822964</v>
      </c>
      <c r="G22" s="88">
        <f t="shared" si="108"/>
        <v>0.16358799047226621</v>
      </c>
      <c r="H22" s="88">
        <f>H10/H$15</f>
        <v>0.15518135318903817</v>
      </c>
      <c r="I22" s="88">
        <f t="shared" ref="I22:J22" si="109">I10/I$15</f>
        <v>0.15122637280426013</v>
      </c>
      <c r="J22" s="88">
        <f t="shared" si="109"/>
        <v>0.14905981324240222</v>
      </c>
      <c r="K22" s="88">
        <f t="shared" ref="K22:L24" si="110">K10/K$15</f>
        <v>0.14302753280184771</v>
      </c>
      <c r="L22" s="88">
        <f t="shared" si="110"/>
        <v>0.1357837501590205</v>
      </c>
      <c r="M22" s="88">
        <f t="shared" ref="M22:BO22" si="111">M10/M$15</f>
        <v>0.13554100383813525</v>
      </c>
      <c r="N22" s="88">
        <f t="shared" ref="N22:P22" si="112">N10/N$15</f>
        <v>0.13765927832858565</v>
      </c>
      <c r="O22" s="88">
        <f t="shared" si="112"/>
        <v>0.13598388151218607</v>
      </c>
      <c r="P22" s="88">
        <f t="shared" si="112"/>
        <v>0.1355293540668373</v>
      </c>
      <c r="Q22" s="88">
        <f t="shared" ref="Q22:R22" si="113">Q10/Q$15</f>
        <v>0.1453312509161982</v>
      </c>
      <c r="R22" s="88">
        <f t="shared" si="113"/>
        <v>0.14731675445458844</v>
      </c>
      <c r="S22" s="88">
        <f t="shared" ref="S22:T22" si="114">S10/S$15</f>
        <v>0.14876387992903847</v>
      </c>
      <c r="T22" s="88">
        <f t="shared" si="114"/>
        <v>0.15622096068073929</v>
      </c>
      <c r="U22" s="88">
        <f t="shared" ref="U22:W22" si="115">U10/U$15</f>
        <v>0.16123002747577247</v>
      </c>
      <c r="V22" s="88">
        <f t="shared" si="115"/>
        <v>0.15241729083658248</v>
      </c>
      <c r="W22" s="88">
        <f t="shared" si="115"/>
        <v>0.144282490804168</v>
      </c>
      <c r="X22" s="88">
        <f t="shared" ref="X22:Y22" si="116">X10/X$15</f>
        <v>0.14662379780977633</v>
      </c>
      <c r="Y22" s="88">
        <f t="shared" si="116"/>
        <v>0.14421430766812016</v>
      </c>
      <c r="Z22" s="88">
        <f t="shared" ref="Z22:AA22" si="117">Z10/Z$15</f>
        <v>0.14448577705530435</v>
      </c>
      <c r="AA22" s="88">
        <f t="shared" si="117"/>
        <v>0.14679381927012364</v>
      </c>
      <c r="AB22" s="88">
        <f t="shared" ref="AB22:AD22" si="118">AB10/AB$15</f>
        <v>0.14597818293401341</v>
      </c>
      <c r="AC22" s="88">
        <f t="shared" si="118"/>
        <v>0.14573732114128166</v>
      </c>
      <c r="AD22" s="88">
        <f t="shared" si="118"/>
        <v>0.15266939113945446</v>
      </c>
      <c r="AE22" s="88">
        <f t="shared" ref="AE22:AF22" si="119">AE10/AE$15</f>
        <v>0.14810668825635287</v>
      </c>
      <c r="AF22" s="88">
        <f t="shared" si="119"/>
        <v>0.14472784763808186</v>
      </c>
      <c r="AG22" s="88">
        <f t="shared" ref="AG22:AH22" si="120">AG10/AG$15</f>
        <v>0.14112209993009103</v>
      </c>
      <c r="AH22" s="88">
        <f t="shared" si="120"/>
        <v>0.13314656512120496</v>
      </c>
      <c r="AI22" s="88">
        <f t="shared" ref="AI22:AJ22" si="121">AI10/AI$15</f>
        <v>0.13296547020558946</v>
      </c>
      <c r="AJ22" s="88">
        <f t="shared" si="121"/>
        <v>0.13223639593119318</v>
      </c>
      <c r="AK22" s="88">
        <f t="shared" ref="AK22:AL22" si="122">AK10/AK$15</f>
        <v>0.13328427664894729</v>
      </c>
      <c r="AL22" s="88">
        <f t="shared" si="122"/>
        <v>0.12800982782827611</v>
      </c>
      <c r="AM22" s="88">
        <f t="shared" ref="AM22:AP22" si="123">AM10/AM$15</f>
        <v>0.12319639426148712</v>
      </c>
      <c r="AN22" s="88">
        <f t="shared" si="123"/>
        <v>0.1194826670547849</v>
      </c>
      <c r="AO22" s="88">
        <f t="shared" si="123"/>
        <v>0.11899789793288967</v>
      </c>
      <c r="AP22" s="88">
        <f t="shared" si="123"/>
        <v>0.12403277645896062</v>
      </c>
      <c r="AQ22" s="88">
        <f t="shared" ref="AQ22:AY22" si="124">AQ10/AQ$15</f>
        <v>0.12281470812057345</v>
      </c>
      <c r="AR22" s="88">
        <f t="shared" si="124"/>
        <v>0.12275620419032029</v>
      </c>
      <c r="AS22" s="88">
        <f t="shared" si="124"/>
        <v>0.11712588270618936</v>
      </c>
      <c r="AT22" s="88">
        <f t="shared" si="124"/>
        <v>0.11144704475259258</v>
      </c>
      <c r="AU22" s="88">
        <f t="shared" si="124"/>
        <v>0.11044010466600923</v>
      </c>
      <c r="AV22" s="88">
        <f t="shared" si="124"/>
        <v>0.10912150183995095</v>
      </c>
      <c r="AW22" s="88">
        <f t="shared" si="124"/>
        <v>0.11501479074163262</v>
      </c>
      <c r="AX22" s="88">
        <f t="shared" si="124"/>
        <v>0.11556142804561743</v>
      </c>
      <c r="AY22" s="88">
        <f t="shared" si="124"/>
        <v>0.1148720372469284</v>
      </c>
      <c r="AZ22" s="88">
        <f t="shared" ref="AZ22:BN22" si="125">AZ10/AZ$15</f>
        <v>0.1211533433964274</v>
      </c>
      <c r="BA22" s="88">
        <f t="shared" si="125"/>
        <v>0.12863909122348008</v>
      </c>
      <c r="BB22" s="88">
        <f t="shared" si="125"/>
        <v>0.13204681246872671</v>
      </c>
      <c r="BC22" s="88">
        <f t="shared" si="125"/>
        <v>0.12996723224294399</v>
      </c>
      <c r="BD22" s="88">
        <f t="shared" si="125"/>
        <v>0.12635636542345782</v>
      </c>
      <c r="BE22" s="88">
        <f t="shared" si="125"/>
        <v>0.12437792229106104</v>
      </c>
      <c r="BF22" s="88">
        <f t="shared" si="125"/>
        <v>0.1254340302659325</v>
      </c>
      <c r="BG22" s="88">
        <f t="shared" si="125"/>
        <v>0.12710915230153194</v>
      </c>
      <c r="BH22" s="88">
        <f t="shared" si="125"/>
        <v>0.12732418655163977</v>
      </c>
      <c r="BI22" s="88">
        <f t="shared" si="125"/>
        <v>0.12475335804503401</v>
      </c>
      <c r="BJ22" s="88">
        <f t="shared" si="125"/>
        <v>0.12581483674958754</v>
      </c>
      <c r="BK22" s="88">
        <f t="shared" si="125"/>
        <v>0.126640233123193</v>
      </c>
      <c r="BL22" s="88">
        <f t="shared" si="125"/>
        <v>0.12955002517264388</v>
      </c>
      <c r="BM22" s="88">
        <f t="shared" si="125"/>
        <v>0.1316328441988982</v>
      </c>
      <c r="BN22" s="88">
        <f t="shared" si="125"/>
        <v>0.14808627802349722</v>
      </c>
      <c r="BO22" s="88">
        <f t="shared" si="111"/>
        <v>0.13794673040952848</v>
      </c>
    </row>
    <row r="23" spans="1:70">
      <c r="A23" s="102" t="s">
        <v>124</v>
      </c>
      <c r="B23" s="102"/>
      <c r="C23" s="88">
        <f t="shared" ref="C23:G23" si="126">C11/C$15</f>
        <v>0.21058115041966982</v>
      </c>
      <c r="D23" s="88">
        <f t="shared" si="126"/>
        <v>0.20291289371499549</v>
      </c>
      <c r="E23" s="88">
        <f t="shared" si="126"/>
        <v>0.19654866352308342</v>
      </c>
      <c r="F23" s="88">
        <f t="shared" si="126"/>
        <v>0.20165397028961823</v>
      </c>
      <c r="G23" s="88">
        <f t="shared" si="126"/>
        <v>0.19751657815796281</v>
      </c>
      <c r="H23" s="88">
        <f>H11/H$15</f>
        <v>0.18462121626967254</v>
      </c>
      <c r="I23" s="88">
        <f t="shared" ref="I23:J23" si="127">I11/I$15</f>
        <v>0.17731842254545757</v>
      </c>
      <c r="J23" s="88">
        <f t="shared" si="127"/>
        <v>0.17229063777856143</v>
      </c>
      <c r="K23" s="88">
        <f t="shared" si="110"/>
        <v>0.16299846286149269</v>
      </c>
      <c r="L23" s="88">
        <f t="shared" si="110"/>
        <v>0.16470035820044607</v>
      </c>
      <c r="M23" s="88">
        <f t="shared" ref="M23:BO23" si="128">M11/M$15</f>
        <v>0.16176064593128525</v>
      </c>
      <c r="N23" s="88">
        <f t="shared" ref="N23:P23" si="129">N11/N$15</f>
        <v>0.16168716256072427</v>
      </c>
      <c r="O23" s="88">
        <f t="shared" si="129"/>
        <v>0.15722958723580321</v>
      </c>
      <c r="P23" s="88">
        <f t="shared" si="129"/>
        <v>0.15429879784193265</v>
      </c>
      <c r="Q23" s="88">
        <f t="shared" ref="Q23:R23" si="130">Q11/Q$15</f>
        <v>0.16295693472906261</v>
      </c>
      <c r="R23" s="88">
        <f t="shared" si="130"/>
        <v>0.16066923692329749</v>
      </c>
      <c r="S23" s="88">
        <f t="shared" ref="S23:T23" si="131">S11/S$15</f>
        <v>0.16004523532027115</v>
      </c>
      <c r="T23" s="88">
        <f t="shared" si="131"/>
        <v>0.16581707281978186</v>
      </c>
      <c r="U23" s="88">
        <f t="shared" ref="U23:W23" si="132">U11/U$15</f>
        <v>0.16887231223467503</v>
      </c>
      <c r="V23" s="88">
        <f t="shared" si="132"/>
        <v>0.15755971648706033</v>
      </c>
      <c r="W23" s="88">
        <f t="shared" si="132"/>
        <v>0.15735143134044857</v>
      </c>
      <c r="X23" s="88">
        <f t="shared" ref="X23:Y23" si="133">X11/X$15</f>
        <v>0.15787226434239893</v>
      </c>
      <c r="Y23" s="88">
        <f t="shared" si="133"/>
        <v>0.15332896509307417</v>
      </c>
      <c r="Z23" s="88">
        <f t="shared" ref="Z23:AA23" si="134">Z11/Z$15</f>
        <v>0.14928213788868686</v>
      </c>
      <c r="AA23" s="88">
        <f t="shared" si="134"/>
        <v>0.14955637956434054</v>
      </c>
      <c r="AB23" s="88">
        <f t="shared" ref="AB23:AD23" si="135">AB11/AB$15</f>
        <v>0.14668430558172382</v>
      </c>
      <c r="AC23" s="88">
        <f t="shared" si="135"/>
        <v>0.14445973215501884</v>
      </c>
      <c r="AD23" s="88">
        <f t="shared" si="135"/>
        <v>0.14982629741628078</v>
      </c>
      <c r="AE23" s="88">
        <f t="shared" ref="AE23:AF23" si="136">AE11/AE$15</f>
        <v>0.14354877008794087</v>
      </c>
      <c r="AF23" s="88">
        <f t="shared" si="136"/>
        <v>0.13855820055850007</v>
      </c>
      <c r="AG23" s="88">
        <f t="shared" ref="AG23:AH23" si="137">AG11/AG$15</f>
        <v>0.13347362741063606</v>
      </c>
      <c r="AH23" s="88">
        <f t="shared" si="137"/>
        <v>0.13191342663019015</v>
      </c>
      <c r="AI23" s="88">
        <f t="shared" ref="AI23:AJ23" si="138">AI11/AI$15</f>
        <v>0.13017978051708962</v>
      </c>
      <c r="AJ23" s="88">
        <f t="shared" si="138"/>
        <v>0.12795632230793272</v>
      </c>
      <c r="AK23" s="88">
        <f t="shared" ref="AK23:AL23" si="139">AK11/AK$15</f>
        <v>0.12733130910828686</v>
      </c>
      <c r="AL23" s="88">
        <f t="shared" si="139"/>
        <v>0.12075782472076421</v>
      </c>
      <c r="AM23" s="88">
        <f t="shared" ref="AM23:AP23" si="140">AM11/AM$15</f>
        <v>0.11477678127249975</v>
      </c>
      <c r="AN23" s="88">
        <f t="shared" si="140"/>
        <v>0.10995417855600025</v>
      </c>
      <c r="AO23" s="88">
        <f t="shared" si="140"/>
        <v>0.10818373995179112</v>
      </c>
      <c r="AP23" s="88">
        <f t="shared" si="140"/>
        <v>0.11051074115083466</v>
      </c>
      <c r="AQ23" s="88">
        <f t="shared" ref="AQ23:AY23" si="141">AQ11/AQ$15</f>
        <v>0.10822627970115897</v>
      </c>
      <c r="AR23" s="88">
        <f t="shared" si="141"/>
        <v>0.10700209592354575</v>
      </c>
      <c r="AS23" s="88">
        <f t="shared" si="141"/>
        <v>0.10099950174410834</v>
      </c>
      <c r="AT23" s="88">
        <f t="shared" si="141"/>
        <v>0.10012782589981276</v>
      </c>
      <c r="AU23" s="88">
        <f t="shared" si="141"/>
        <v>9.8181440699202635E-2</v>
      </c>
      <c r="AV23" s="88">
        <f t="shared" si="141"/>
        <v>9.6001309918970754E-2</v>
      </c>
      <c r="AW23" s="88">
        <f t="shared" si="141"/>
        <v>9.9985876523068826E-2</v>
      </c>
      <c r="AX23" s="88">
        <f t="shared" si="141"/>
        <v>9.9283505928125848E-2</v>
      </c>
      <c r="AY23" s="88">
        <f t="shared" si="141"/>
        <v>9.7547792102088401E-2</v>
      </c>
      <c r="AZ23" s="88">
        <f t="shared" ref="AZ23:BN23" si="142">AZ11/AZ$15</f>
        <v>0.10170346308633388</v>
      </c>
      <c r="BA23" s="88">
        <f t="shared" si="142"/>
        <v>0.10676465253493221</v>
      </c>
      <c r="BB23" s="88">
        <f t="shared" si="142"/>
        <v>0.11233655706571365</v>
      </c>
      <c r="BC23" s="88">
        <f t="shared" si="142"/>
        <v>0.10943337084572338</v>
      </c>
      <c r="BD23" s="88">
        <f t="shared" si="142"/>
        <v>0.10531286748398962</v>
      </c>
      <c r="BE23" s="88">
        <f t="shared" si="142"/>
        <v>0.10262207247126111</v>
      </c>
      <c r="BF23" s="88">
        <f t="shared" si="142"/>
        <v>0.10246366812705859</v>
      </c>
      <c r="BG23" s="88">
        <f t="shared" si="142"/>
        <v>0.10280905907898343</v>
      </c>
      <c r="BH23" s="88">
        <f t="shared" si="142"/>
        <v>0.10197827669917095</v>
      </c>
      <c r="BI23" s="88">
        <f t="shared" si="142"/>
        <v>9.8791948616274008E-2</v>
      </c>
      <c r="BJ23" s="88">
        <f t="shared" si="142"/>
        <v>9.8521041431860357E-2</v>
      </c>
      <c r="BK23" s="88">
        <f t="shared" si="142"/>
        <v>9.8073284072331082E-2</v>
      </c>
      <c r="BL23" s="88">
        <f t="shared" si="142"/>
        <v>9.9231890872165551E-2</v>
      </c>
      <c r="BM23" s="88">
        <f t="shared" si="142"/>
        <v>9.9738882510863075E-2</v>
      </c>
      <c r="BN23" s="88">
        <f t="shared" si="142"/>
        <v>0.11135411982670773</v>
      </c>
      <c r="BO23" s="88">
        <f t="shared" si="128"/>
        <v>0.10270214567709511</v>
      </c>
    </row>
    <row r="24" spans="1:70">
      <c r="A24" s="102" t="s">
        <v>125</v>
      </c>
      <c r="B24" s="102"/>
      <c r="C24" s="88">
        <f t="shared" ref="C24:L25" si="143">C12/C$15</f>
        <v>5.5290928822781749E-2</v>
      </c>
      <c r="D24" s="88">
        <f t="shared" si="143"/>
        <v>3.6664102760473494E-2</v>
      </c>
      <c r="E24" s="88">
        <f t="shared" si="143"/>
        <v>1.1098174111975348E-2</v>
      </c>
      <c r="F24" s="88">
        <f t="shared" si="143"/>
        <v>1.0695564728072933E-2</v>
      </c>
      <c r="G24" s="88">
        <f t="shared" si="143"/>
        <v>3.6651421917285112E-2</v>
      </c>
      <c r="H24" s="88">
        <f>H12/H$15</f>
        <v>3.4347013764037503E-2</v>
      </c>
      <c r="I24" s="88">
        <f t="shared" ref="I24:J24" si="144">I12/I$15</f>
        <v>3.3074889173914698E-2</v>
      </c>
      <c r="J24" s="88">
        <f t="shared" si="144"/>
        <v>2.3115256775341916E-2</v>
      </c>
      <c r="K24" s="88">
        <f t="shared" si="110"/>
        <v>1.7622180792767943E-2</v>
      </c>
      <c r="L24" s="88">
        <f t="shared" si="110"/>
        <v>3.507575167020572E-2</v>
      </c>
      <c r="M24" s="88">
        <f t="shared" ref="M24:BO24" si="145">M12/M$15</f>
        <v>2.6545037067605137E-2</v>
      </c>
      <c r="N24" s="88">
        <f t="shared" ref="N24:P24" si="146">N12/N$15</f>
        <v>1.8615880679138577E-2</v>
      </c>
      <c r="O24" s="88">
        <f t="shared" si="146"/>
        <v>2.2002638377444594E-2</v>
      </c>
      <c r="P24" s="88">
        <f t="shared" si="146"/>
        <v>1.7813715593129564E-2</v>
      </c>
      <c r="Q24" s="88">
        <f t="shared" ref="Q24:R24" si="147">Q12/Q$15</f>
        <v>1.0725230730857752E-2</v>
      </c>
      <c r="R24" s="88">
        <f t="shared" si="147"/>
        <v>9.9248303772080833E-3</v>
      </c>
      <c r="S24" s="88">
        <f t="shared" ref="S24:T24" si="148">S12/S$15</f>
        <v>9.9139866181611365E-3</v>
      </c>
      <c r="T24" s="88">
        <f t="shared" si="148"/>
        <v>2.446675745419659E-7</v>
      </c>
      <c r="U24" s="88">
        <f t="shared" ref="U24:W24" si="149">U12/U$15</f>
        <v>0</v>
      </c>
      <c r="V24" s="88">
        <f t="shared" si="149"/>
        <v>0</v>
      </c>
      <c r="W24" s="88">
        <f t="shared" si="149"/>
        <v>2.698995391774418E-2</v>
      </c>
      <c r="X24" s="88">
        <f t="shared" ref="X24:Y24" si="150">X12/X$15</f>
        <v>1.6924556640480159E-2</v>
      </c>
      <c r="Y24" s="88">
        <f t="shared" si="150"/>
        <v>0</v>
      </c>
      <c r="Z24" s="88">
        <f t="shared" ref="Z24:AA24" si="151">Z12/Z$15</f>
        <v>0</v>
      </c>
      <c r="AA24" s="88">
        <f t="shared" si="151"/>
        <v>9.6198357352706172E-3</v>
      </c>
      <c r="AB24" s="88">
        <f t="shared" ref="AB24:AD24" si="152">AB12/AB$15</f>
        <v>9.4350968427352362E-3</v>
      </c>
      <c r="AC24" s="88">
        <f t="shared" si="152"/>
        <v>9.2920067852713673E-3</v>
      </c>
      <c r="AD24" s="88">
        <f t="shared" si="152"/>
        <v>1.8029638678252802E-2</v>
      </c>
      <c r="AE24" s="88">
        <f t="shared" ref="AE24:AF24" si="153">AE12/AE$15</f>
        <v>1.1516146818126021E-2</v>
      </c>
      <c r="AF24" s="88">
        <f t="shared" si="153"/>
        <v>5.5578901146610534E-3</v>
      </c>
      <c r="AG24" s="88">
        <f t="shared" ref="AG24:AH24" si="154">AG12/AG$15</f>
        <v>0</v>
      </c>
      <c r="AH24" s="88">
        <f t="shared" si="154"/>
        <v>9.9820981180620619E-3</v>
      </c>
      <c r="AI24" s="88">
        <f t="shared" ref="AI24:AJ24" si="155">AI12/AI$15</f>
        <v>0</v>
      </c>
      <c r="AJ24" s="88">
        <f t="shared" si="155"/>
        <v>0</v>
      </c>
      <c r="AK24" s="88">
        <f t="shared" ref="AK24:AL24" si="156">AK12/AK$15</f>
        <v>0</v>
      </c>
      <c r="AL24" s="88">
        <f t="shared" si="156"/>
        <v>0</v>
      </c>
      <c r="AM24" s="88">
        <f t="shared" ref="AM24:AP24" si="157">AM12/AM$15</f>
        <v>8.6853409967839398E-3</v>
      </c>
      <c r="AN24" s="88">
        <f t="shared" si="157"/>
        <v>1.6640814007718538E-2</v>
      </c>
      <c r="AO24" s="88">
        <f t="shared" si="157"/>
        <v>0</v>
      </c>
      <c r="AP24" s="88">
        <f t="shared" si="157"/>
        <v>7.8706417115035152E-3</v>
      </c>
      <c r="AQ24" s="88">
        <f t="shared" ref="AQ24:AY24" si="158">AQ12/AQ$15</f>
        <v>7.7509666110944127E-3</v>
      </c>
      <c r="AR24" s="88">
        <f t="shared" si="158"/>
        <v>0</v>
      </c>
      <c r="AS24" s="88">
        <f t="shared" si="158"/>
        <v>0</v>
      </c>
      <c r="AT24" s="88">
        <f t="shared" si="158"/>
        <v>1.0106594904418094E-2</v>
      </c>
      <c r="AU24" s="88">
        <f t="shared" si="158"/>
        <v>9.9666936931790857E-3</v>
      </c>
      <c r="AV24" s="88">
        <f t="shared" si="158"/>
        <v>9.8053207834888634E-3</v>
      </c>
      <c r="AW24" s="88">
        <f t="shared" si="158"/>
        <v>3.5003256815209056E-3</v>
      </c>
      <c r="AX24" s="88">
        <f t="shared" si="158"/>
        <v>1.7497924540209858E-3</v>
      </c>
      <c r="AY24" s="88">
        <f t="shared" si="158"/>
        <v>0</v>
      </c>
      <c r="AZ24" s="88">
        <f t="shared" ref="AZ24:BN24" si="159">AZ12/AZ$15</f>
        <v>0</v>
      </c>
      <c r="BA24" s="88">
        <f t="shared" si="159"/>
        <v>0</v>
      </c>
      <c r="BB24" s="88">
        <f t="shared" si="159"/>
        <v>3.0319530903184892E-2</v>
      </c>
      <c r="BC24" s="88">
        <f t="shared" si="159"/>
        <v>1.9691017985322471E-2</v>
      </c>
      <c r="BD24" s="88">
        <f t="shared" si="159"/>
        <v>1.3931732296324153E-2</v>
      </c>
      <c r="BE24" s="88">
        <f t="shared" si="159"/>
        <v>0</v>
      </c>
      <c r="BF24" s="88">
        <f t="shared" si="159"/>
        <v>1.229089959665558E-2</v>
      </c>
      <c r="BG24" s="88">
        <f t="shared" si="159"/>
        <v>0</v>
      </c>
      <c r="BH24" s="88">
        <f t="shared" si="159"/>
        <v>0</v>
      </c>
      <c r="BI24" s="88">
        <f t="shared" si="159"/>
        <v>0</v>
      </c>
      <c r="BJ24" s="88">
        <f t="shared" si="159"/>
        <v>0</v>
      </c>
      <c r="BK24" s="88">
        <f t="shared" si="159"/>
        <v>0</v>
      </c>
      <c r="BL24" s="88">
        <f t="shared" si="159"/>
        <v>0</v>
      </c>
      <c r="BM24" s="88">
        <f t="shared" si="159"/>
        <v>0</v>
      </c>
      <c r="BN24" s="88">
        <f t="shared" si="159"/>
        <v>0</v>
      </c>
      <c r="BO24" s="88">
        <f t="shared" si="145"/>
        <v>0</v>
      </c>
    </row>
    <row r="25" spans="1:70">
      <c r="A25" s="102" t="s">
        <v>126</v>
      </c>
      <c r="B25" s="102"/>
      <c r="C25" s="88">
        <f t="shared" si="143"/>
        <v>0</v>
      </c>
      <c r="D25" s="88">
        <f t="shared" si="143"/>
        <v>0</v>
      </c>
      <c r="E25" s="88">
        <f t="shared" si="143"/>
        <v>0</v>
      </c>
      <c r="F25" s="88">
        <f t="shared" si="143"/>
        <v>0</v>
      </c>
      <c r="G25" s="88">
        <f t="shared" si="143"/>
        <v>0</v>
      </c>
      <c r="H25" s="88">
        <f t="shared" si="143"/>
        <v>0</v>
      </c>
      <c r="I25" s="88">
        <f t="shared" si="143"/>
        <v>0</v>
      </c>
      <c r="J25" s="88">
        <f t="shared" si="143"/>
        <v>0</v>
      </c>
      <c r="K25" s="88">
        <f t="shared" ref="K25" si="160">K13/K$15</f>
        <v>9.0329750692534389E-4</v>
      </c>
      <c r="L25" s="88">
        <f t="shared" si="143"/>
        <v>4.3554453196983775E-3</v>
      </c>
      <c r="M25" s="88">
        <f t="shared" ref="M25:BO25" si="161">M13/M$15</f>
        <v>5.7828242668872777E-3</v>
      </c>
      <c r="N25" s="88">
        <f t="shared" ref="N25:P25" si="162">N13/N$15</f>
        <v>0</v>
      </c>
      <c r="O25" s="88">
        <f t="shared" si="162"/>
        <v>0</v>
      </c>
      <c r="P25" s="88">
        <f t="shared" si="162"/>
        <v>0</v>
      </c>
      <c r="Q25" s="88">
        <f t="shared" ref="Q25:R25" si="163">Q13/Q$15</f>
        <v>0</v>
      </c>
      <c r="R25" s="88">
        <f t="shared" si="163"/>
        <v>0</v>
      </c>
      <c r="S25" s="88">
        <f t="shared" ref="S25:T25" si="164">S13/S$15</f>
        <v>0</v>
      </c>
      <c r="T25" s="88">
        <f t="shared" si="164"/>
        <v>0</v>
      </c>
      <c r="U25" s="88">
        <f t="shared" ref="U25:W25" si="165">U13/U$15</f>
        <v>0</v>
      </c>
      <c r="V25" s="88">
        <f t="shared" si="165"/>
        <v>0</v>
      </c>
      <c r="W25" s="88">
        <f t="shared" si="165"/>
        <v>0</v>
      </c>
      <c r="X25" s="88">
        <f t="shared" ref="X25:Y25" si="166">X13/X$15</f>
        <v>0</v>
      </c>
      <c r="Y25" s="88">
        <f t="shared" si="166"/>
        <v>0</v>
      </c>
      <c r="Z25" s="88">
        <f t="shared" ref="Z25:AA25" si="167">Z13/Z$15</f>
        <v>0</v>
      </c>
      <c r="AA25" s="88">
        <f t="shared" si="167"/>
        <v>0</v>
      </c>
      <c r="AB25" s="88">
        <f t="shared" ref="AB25:AD25" si="168">AB13/AB$15</f>
        <v>0</v>
      </c>
      <c r="AC25" s="88">
        <f t="shared" si="168"/>
        <v>0</v>
      </c>
      <c r="AD25" s="88">
        <f t="shared" si="168"/>
        <v>0</v>
      </c>
      <c r="AE25" s="88">
        <f t="shared" ref="AE25:AF25" si="169">AE13/AE$15</f>
        <v>0</v>
      </c>
      <c r="AF25" s="88">
        <f t="shared" si="169"/>
        <v>0</v>
      </c>
      <c r="AG25" s="88">
        <f t="shared" ref="AG25:AH25" si="170">AG13/AG$15</f>
        <v>0</v>
      </c>
      <c r="AH25" s="88">
        <f t="shared" si="170"/>
        <v>0</v>
      </c>
      <c r="AI25" s="88">
        <f t="shared" ref="AI25:AJ25" si="171">AI13/AI$15</f>
        <v>0</v>
      </c>
      <c r="AJ25" s="88">
        <f t="shared" si="171"/>
        <v>0</v>
      </c>
      <c r="AK25" s="88">
        <f t="shared" ref="AK25:AL25" si="172">AK13/AK$15</f>
        <v>0</v>
      </c>
      <c r="AL25" s="88">
        <f t="shared" si="172"/>
        <v>0</v>
      </c>
      <c r="AM25" s="88">
        <f t="shared" ref="AM25:AP25" si="173">AM13/AM$15</f>
        <v>0</v>
      </c>
      <c r="AN25" s="88">
        <f t="shared" si="173"/>
        <v>0</v>
      </c>
      <c r="AO25" s="88">
        <f t="shared" si="173"/>
        <v>0</v>
      </c>
      <c r="AP25" s="88">
        <f t="shared" si="173"/>
        <v>0</v>
      </c>
      <c r="AQ25" s="88">
        <f t="shared" ref="AQ25:AY25" si="174">AQ13/AQ$15</f>
        <v>0</v>
      </c>
      <c r="AR25" s="88">
        <f t="shared" si="174"/>
        <v>0</v>
      </c>
      <c r="AS25" s="88">
        <f t="shared" si="174"/>
        <v>0</v>
      </c>
      <c r="AT25" s="88">
        <f t="shared" si="174"/>
        <v>0</v>
      </c>
      <c r="AU25" s="88">
        <f t="shared" si="174"/>
        <v>0</v>
      </c>
      <c r="AV25" s="88">
        <f t="shared" si="174"/>
        <v>0</v>
      </c>
      <c r="AW25" s="88">
        <f t="shared" si="174"/>
        <v>0</v>
      </c>
      <c r="AX25" s="88">
        <f t="shared" si="174"/>
        <v>0</v>
      </c>
      <c r="AY25" s="88">
        <f t="shared" si="174"/>
        <v>0</v>
      </c>
      <c r="AZ25" s="88">
        <f t="shared" ref="AZ25:BN25" si="175">AZ13/AZ$15</f>
        <v>0</v>
      </c>
      <c r="BA25" s="88">
        <f t="shared" si="175"/>
        <v>0</v>
      </c>
      <c r="BB25" s="88">
        <f t="shared" si="175"/>
        <v>0</v>
      </c>
      <c r="BC25" s="88">
        <f t="shared" si="175"/>
        <v>0</v>
      </c>
      <c r="BD25" s="88">
        <f t="shared" si="175"/>
        <v>0</v>
      </c>
      <c r="BE25" s="88">
        <f t="shared" si="175"/>
        <v>0</v>
      </c>
      <c r="BF25" s="88">
        <f t="shared" si="175"/>
        <v>0</v>
      </c>
      <c r="BG25" s="88">
        <f t="shared" si="175"/>
        <v>0</v>
      </c>
      <c r="BH25" s="88">
        <f t="shared" si="175"/>
        <v>0</v>
      </c>
      <c r="BI25" s="88">
        <f t="shared" si="175"/>
        <v>0</v>
      </c>
      <c r="BJ25" s="88">
        <f t="shared" si="175"/>
        <v>0</v>
      </c>
      <c r="BK25" s="88">
        <f t="shared" si="175"/>
        <v>0</v>
      </c>
      <c r="BL25" s="88">
        <f t="shared" si="175"/>
        <v>0</v>
      </c>
      <c r="BM25" s="88">
        <f t="shared" si="175"/>
        <v>0</v>
      </c>
      <c r="BN25" s="88">
        <f t="shared" si="175"/>
        <v>0</v>
      </c>
      <c r="BO25" s="88">
        <f t="shared" si="161"/>
        <v>0</v>
      </c>
    </row>
    <row r="26" spans="1:70">
      <c r="A26" s="102" t="s">
        <v>127</v>
      </c>
      <c r="B26" s="102"/>
      <c r="C26" s="88">
        <f t="shared" ref="C26:G26" si="176">C14/C$15</f>
        <v>3.6860619215187827E-3</v>
      </c>
      <c r="D26" s="88">
        <f t="shared" si="176"/>
        <v>3.5518349549208696E-3</v>
      </c>
      <c r="E26" s="88">
        <f t="shared" si="176"/>
        <v>3.4404339747123583E-3</v>
      </c>
      <c r="F26" s="88">
        <f t="shared" si="176"/>
        <v>3.3040555385719685E-3</v>
      </c>
      <c r="G26" s="88">
        <f t="shared" si="176"/>
        <v>3.2362652869433648E-3</v>
      </c>
      <c r="H26" s="88">
        <f>H14/H$15</f>
        <v>3.0249776450104906E-3</v>
      </c>
      <c r="I26" s="88">
        <f t="shared" ref="I26:J26" si="177">I14/I$15</f>
        <v>2.9053229909667992E-3</v>
      </c>
      <c r="J26" s="88">
        <f t="shared" si="177"/>
        <v>2.8229438536656469E-3</v>
      </c>
      <c r="K26" s="88">
        <f t="shared" ref="K26:BO26" si="178">K14/K$15</f>
        <v>2.6706936303944359E-3</v>
      </c>
      <c r="L26" s="88">
        <f t="shared" si="178"/>
        <v>2.5003482390861058E-3</v>
      </c>
      <c r="M26" s="88">
        <f t="shared" si="178"/>
        <v>2.4557198941576111E-3</v>
      </c>
      <c r="N26" s="88">
        <f t="shared" si="178"/>
        <v>2.4546043287867053E-3</v>
      </c>
      <c r="O26" s="88">
        <f t="shared" si="178"/>
        <v>2.3869330089666498E-3</v>
      </c>
      <c r="P26" s="88">
        <f t="shared" ref="P26:R26" si="179">P14/P$15</f>
        <v>2.3424401239470673E-3</v>
      </c>
      <c r="Q26" s="88">
        <f t="shared" si="179"/>
        <v>2.4738809875616751E-3</v>
      </c>
      <c r="R26" s="88">
        <f t="shared" si="179"/>
        <v>2.2826518536307157E-3</v>
      </c>
      <c r="S26" s="88">
        <f t="shared" ref="S26:T26" si="180">S14/S$15</f>
        <v>2.2737865696280503E-3</v>
      </c>
      <c r="T26" s="88">
        <f t="shared" si="180"/>
        <v>2.3557879273204572E-3</v>
      </c>
      <c r="U26" s="88">
        <f t="shared" ref="U26:W26" si="181">U14/U$15</f>
        <v>2.3991941701534949E-3</v>
      </c>
      <c r="V26" s="88">
        <f t="shared" si="181"/>
        <v>2.4045836768587093E-3</v>
      </c>
      <c r="W26" s="88">
        <f t="shared" si="181"/>
        <v>2.2479257869241183E-3</v>
      </c>
      <c r="X26" s="88">
        <f t="shared" ref="X26:Y26" si="182">X14/X$15</f>
        <v>2.2299389640137285E-3</v>
      </c>
      <c r="Y26" s="88">
        <f t="shared" si="182"/>
        <v>2.2059251477983088E-3</v>
      </c>
      <c r="Z26" s="88">
        <f t="shared" ref="Z26:AA26" si="183">Z14/Z$15</f>
        <v>2.030480330913919E-3</v>
      </c>
      <c r="AA26" s="88">
        <f t="shared" si="183"/>
        <v>2.0508848465214603E-3</v>
      </c>
      <c r="AB26" s="88">
        <f t="shared" ref="AB26:AD26" si="184">AB14/AB$15</f>
        <v>2.0241427759947993E-3</v>
      </c>
      <c r="AC26" s="88">
        <f t="shared" si="184"/>
        <v>2.0106787642513004E-3</v>
      </c>
      <c r="AD26" s="88">
        <f t="shared" si="184"/>
        <v>1.9243634349255156E-3</v>
      </c>
      <c r="AE26" s="88">
        <f t="shared" ref="AE26:AF26" si="185">AE14/AE$15</f>
        <v>1.837988548319731E-3</v>
      </c>
      <c r="AF26" s="88">
        <f t="shared" si="185"/>
        <v>1.8074258652877747E-3</v>
      </c>
      <c r="AG26" s="88">
        <f t="shared" ref="AG26:AH26" si="186">AG14/AG$15</f>
        <v>1.7564979457028414E-3</v>
      </c>
      <c r="AH26" s="88">
        <f t="shared" si="186"/>
        <v>1.6490426091038527E-3</v>
      </c>
      <c r="AI26" s="88">
        <f t="shared" ref="AI26:AJ26" si="187">AI14/AI$15</f>
        <v>1.6254002107695641E-3</v>
      </c>
      <c r="AJ26" s="88">
        <f t="shared" si="187"/>
        <v>1.6112910779616408E-3</v>
      </c>
      <c r="AK26" s="88">
        <f t="shared" ref="AK26:AL26" si="188">AK14/AK$15</f>
        <v>1.5829454496295804E-3</v>
      </c>
      <c r="AL26" s="88">
        <f t="shared" si="188"/>
        <v>1.4524657950465948E-3</v>
      </c>
      <c r="AM26" s="88">
        <f t="shared" ref="AM26:AP26" si="189">AM14/AM$15</f>
        <v>1.3667686859589047E-3</v>
      </c>
      <c r="AN26" s="88">
        <f t="shared" si="189"/>
        <v>1.3445860922306617E-3</v>
      </c>
      <c r="AO26" s="88">
        <f t="shared" si="189"/>
        <v>1.3271848597036983E-3</v>
      </c>
      <c r="AP26" s="88">
        <f t="shared" si="189"/>
        <v>1.2448778481634552E-3</v>
      </c>
      <c r="AQ26" s="88">
        <f t="shared" ref="AQ26:AY26" si="190">AQ14/AQ$15</f>
        <v>1.2249474715528689E-3</v>
      </c>
      <c r="AR26" s="88">
        <f t="shared" si="190"/>
        <v>1.2121287415955411E-3</v>
      </c>
      <c r="AS26" s="88">
        <f t="shared" si="190"/>
        <v>1.1373286705801354E-3</v>
      </c>
      <c r="AT26" s="88">
        <f t="shared" si="190"/>
        <v>1.100354047870334E-3</v>
      </c>
      <c r="AU26" s="88">
        <f t="shared" si="190"/>
        <v>1.1010734547356061E-3</v>
      </c>
      <c r="AV26" s="88">
        <f t="shared" si="190"/>
        <v>1.0415717113355218E-3</v>
      </c>
      <c r="AW26" s="88">
        <f t="shared" si="190"/>
        <v>1.0881610166160903E-3</v>
      </c>
      <c r="AX26" s="88">
        <f t="shared" si="190"/>
        <v>1.0366626969298077E-3</v>
      </c>
      <c r="AY26" s="88">
        <f t="shared" si="190"/>
        <v>1.0259772885849866E-3</v>
      </c>
      <c r="AZ26" s="88">
        <f t="shared" ref="AZ26:BN26" si="191">AZ14/AZ$15</f>
        <v>1.0711201518296156E-3</v>
      </c>
      <c r="BA26" s="88">
        <f t="shared" si="191"/>
        <v>1.1321698041462807E-3</v>
      </c>
      <c r="BB26" s="88">
        <f t="shared" si="191"/>
        <v>1.0652261857318959E-3</v>
      </c>
      <c r="BC26" s="88">
        <f t="shared" si="191"/>
        <v>1.0370470660170179E-3</v>
      </c>
      <c r="BD26" s="88">
        <f t="shared" si="191"/>
        <v>9.9689367917567685E-4</v>
      </c>
      <c r="BE26" s="88">
        <f t="shared" si="191"/>
        <v>9.8901976950887898E-4</v>
      </c>
      <c r="BF26" s="88">
        <f t="shared" si="191"/>
        <v>9.9858581494315611E-4</v>
      </c>
      <c r="BG26" s="88">
        <f t="shared" si="191"/>
        <v>1.0097213696587596E-3</v>
      </c>
      <c r="BH26" s="88">
        <f t="shared" si="191"/>
        <v>9.671632998058589E-4</v>
      </c>
      <c r="BI26" s="88">
        <f t="shared" si="191"/>
        <v>9.4371081648763721E-4</v>
      </c>
      <c r="BJ26" s="88">
        <f t="shared" si="191"/>
        <v>9.0039187472963438E-4</v>
      </c>
      <c r="BK26" s="88">
        <f t="shared" si="191"/>
        <v>9.1176996189215294E-4</v>
      </c>
      <c r="BL26" s="88">
        <f t="shared" si="191"/>
        <v>9.1031060636708187E-4</v>
      </c>
      <c r="BM26" s="88">
        <f t="shared" si="191"/>
        <v>9.3739438786607262E-4</v>
      </c>
      <c r="BN26" s="88">
        <f t="shared" si="191"/>
        <v>9.8268861522205365E-4</v>
      </c>
      <c r="BO26" s="88">
        <f t="shared" si="178"/>
        <v>8.9166648443388694E-4</v>
      </c>
    </row>
    <row r="27" spans="1:70">
      <c r="A27" s="103" t="s">
        <v>11</v>
      </c>
      <c r="B27" s="103"/>
      <c r="C27" s="53">
        <f t="shared" ref="C27:G27" si="192">SUM(C16:C26)</f>
        <v>0.99999999999999978</v>
      </c>
      <c r="D27" s="53">
        <f t="shared" si="192"/>
        <v>0.99999999999999978</v>
      </c>
      <c r="E27" s="53">
        <f t="shared" si="192"/>
        <v>0.99999999999999989</v>
      </c>
      <c r="F27" s="53">
        <f t="shared" si="192"/>
        <v>0.99999999999999989</v>
      </c>
      <c r="G27" s="53">
        <f t="shared" si="192"/>
        <v>1</v>
      </c>
      <c r="H27" s="53">
        <f t="shared" ref="H27:O27" si="193">SUM(H16:H26)</f>
        <v>0.99999999999999978</v>
      </c>
      <c r="I27" s="53">
        <f t="shared" si="193"/>
        <v>0.99999999999999978</v>
      </c>
      <c r="J27" s="53">
        <f t="shared" si="193"/>
        <v>0.99999999999999989</v>
      </c>
      <c r="K27" s="53">
        <f t="shared" si="193"/>
        <v>0.99999999999999989</v>
      </c>
      <c r="L27" s="53">
        <f t="shared" si="193"/>
        <v>0.99999999999999978</v>
      </c>
      <c r="M27" s="53">
        <f t="shared" si="193"/>
        <v>0.99999999999999989</v>
      </c>
      <c r="N27" s="53">
        <f t="shared" si="193"/>
        <v>1</v>
      </c>
      <c r="O27" s="53">
        <f t="shared" si="193"/>
        <v>0.99999999999999989</v>
      </c>
      <c r="P27" s="53">
        <f t="shared" ref="P27:R27" si="194">SUM(P16:P26)</f>
        <v>1</v>
      </c>
      <c r="Q27" s="53">
        <f t="shared" si="194"/>
        <v>0.99999999999999989</v>
      </c>
      <c r="R27" s="53">
        <f t="shared" si="194"/>
        <v>1.0000000000000002</v>
      </c>
      <c r="S27" s="53">
        <f t="shared" ref="S27:T27" si="195">SUM(S16:S26)</f>
        <v>1</v>
      </c>
      <c r="T27" s="53">
        <f t="shared" si="195"/>
        <v>1</v>
      </c>
      <c r="U27" s="53">
        <f t="shared" ref="U27:V27" si="196">SUM(U16:U26)</f>
        <v>0.99999999999999978</v>
      </c>
      <c r="V27" s="53">
        <f t="shared" si="196"/>
        <v>1.0000000000000002</v>
      </c>
      <c r="W27" s="53">
        <f t="shared" ref="W27:BO27" si="197">SUM(W18:W26)</f>
        <v>1.0000000000000002</v>
      </c>
      <c r="X27" s="53">
        <f t="shared" si="197"/>
        <v>0.99999999999999989</v>
      </c>
      <c r="Y27" s="53">
        <f t="shared" si="197"/>
        <v>0.99999999999999989</v>
      </c>
      <c r="Z27" s="53">
        <f t="shared" si="197"/>
        <v>1</v>
      </c>
      <c r="AA27" s="53">
        <f t="shared" si="197"/>
        <v>0.99999999999999989</v>
      </c>
      <c r="AB27" s="53">
        <f t="shared" si="197"/>
        <v>1.0000000000000002</v>
      </c>
      <c r="AC27" s="53">
        <f t="shared" si="197"/>
        <v>1.0000000000000002</v>
      </c>
      <c r="AD27" s="53">
        <f t="shared" si="197"/>
        <v>0.99999999999999978</v>
      </c>
      <c r="AE27" s="53">
        <f t="shared" si="197"/>
        <v>1</v>
      </c>
      <c r="AF27" s="53">
        <f t="shared" si="197"/>
        <v>1</v>
      </c>
      <c r="AG27" s="53">
        <f t="shared" si="197"/>
        <v>0.99999999999999989</v>
      </c>
      <c r="AH27" s="53">
        <f t="shared" si="197"/>
        <v>0.99999999999999989</v>
      </c>
      <c r="AI27" s="53">
        <f t="shared" si="197"/>
        <v>0.99999999999999989</v>
      </c>
      <c r="AJ27" s="53">
        <f t="shared" si="197"/>
        <v>0.99999999999999967</v>
      </c>
      <c r="AK27" s="53">
        <f t="shared" si="197"/>
        <v>0.99999999999999967</v>
      </c>
      <c r="AL27" s="53">
        <f t="shared" si="197"/>
        <v>0.99999999999999989</v>
      </c>
      <c r="AM27" s="53">
        <f t="shared" si="197"/>
        <v>1</v>
      </c>
      <c r="AN27" s="53">
        <f t="shared" si="197"/>
        <v>1</v>
      </c>
      <c r="AO27" s="53">
        <f t="shared" ref="AO27:AP27" si="198">SUM(AO18:AO26)</f>
        <v>0.99999999999999989</v>
      </c>
      <c r="AP27" s="53">
        <f t="shared" si="198"/>
        <v>1.0000000000000002</v>
      </c>
      <c r="AQ27" s="53">
        <f t="shared" ref="AQ27:AY27" si="199">SUM(AQ18:AQ26)</f>
        <v>1</v>
      </c>
      <c r="AR27" s="53">
        <f t="shared" si="199"/>
        <v>1</v>
      </c>
      <c r="AS27" s="53">
        <f t="shared" si="199"/>
        <v>0.99999999999999989</v>
      </c>
      <c r="AT27" s="53">
        <f t="shared" si="199"/>
        <v>1</v>
      </c>
      <c r="AU27" s="53">
        <f t="shared" si="199"/>
        <v>1</v>
      </c>
      <c r="AV27" s="53">
        <f t="shared" si="199"/>
        <v>0.99999999999999989</v>
      </c>
      <c r="AW27" s="53">
        <f t="shared" si="199"/>
        <v>1</v>
      </c>
      <c r="AX27" s="53">
        <f t="shared" si="199"/>
        <v>0.99999999999999989</v>
      </c>
      <c r="AY27" s="53">
        <f t="shared" si="199"/>
        <v>1</v>
      </c>
      <c r="AZ27" s="53">
        <f t="shared" ref="AZ27:BN27" si="200">SUM(AZ18:AZ26)</f>
        <v>1</v>
      </c>
      <c r="BA27" s="53">
        <f t="shared" si="200"/>
        <v>1</v>
      </c>
      <c r="BB27" s="53">
        <f t="shared" si="200"/>
        <v>1.0000000000000002</v>
      </c>
      <c r="BC27" s="53">
        <f t="shared" si="200"/>
        <v>1</v>
      </c>
      <c r="BD27" s="53">
        <f t="shared" si="200"/>
        <v>1.0000000000000002</v>
      </c>
      <c r="BE27" s="53">
        <f t="shared" si="200"/>
        <v>1</v>
      </c>
      <c r="BF27" s="53">
        <f t="shared" si="200"/>
        <v>0.99999999999999989</v>
      </c>
      <c r="BG27" s="53">
        <f t="shared" si="200"/>
        <v>1</v>
      </c>
      <c r="BH27" s="53">
        <f t="shared" si="200"/>
        <v>0.99999999999999989</v>
      </c>
      <c r="BI27" s="53">
        <f t="shared" si="200"/>
        <v>1</v>
      </c>
      <c r="BJ27" s="53">
        <f t="shared" si="200"/>
        <v>1</v>
      </c>
      <c r="BK27" s="53">
        <f t="shared" si="200"/>
        <v>1.0000000000000002</v>
      </c>
      <c r="BL27" s="53">
        <f t="shared" si="200"/>
        <v>1</v>
      </c>
      <c r="BM27" s="53">
        <f t="shared" si="200"/>
        <v>1</v>
      </c>
      <c r="BN27" s="53">
        <f t="shared" si="200"/>
        <v>1</v>
      </c>
      <c r="BO27" s="53">
        <f t="shared" si="197"/>
        <v>0.99999999999999978</v>
      </c>
    </row>
    <row r="29" spans="1:70">
      <c r="A29" s="205" t="s">
        <v>13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5"/>
      <c r="BD29" s="205"/>
      <c r="BE29" s="205"/>
      <c r="BF29" s="205"/>
      <c r="BG29" s="205"/>
      <c r="BH29" s="205"/>
      <c r="BI29" s="205"/>
      <c r="BJ29" s="205"/>
      <c r="BK29" s="205"/>
      <c r="BL29" s="205"/>
      <c r="BM29" s="205"/>
      <c r="BN29" s="205"/>
      <c r="BO29" s="205"/>
    </row>
    <row r="30" spans="1:70">
      <c r="A30" s="104" t="s">
        <v>117</v>
      </c>
      <c r="B30" s="104" t="s">
        <v>6</v>
      </c>
      <c r="C30" s="90"/>
      <c r="D30" s="90">
        <f>('20210131 E'!E72-'20201227 E'!E72)/100000</f>
        <v>0.84637083299999827</v>
      </c>
      <c r="E30" s="90">
        <f>0.7-1.29</f>
        <v>-0.59000000000000008</v>
      </c>
      <c r="F30" s="90">
        <v>0.8</v>
      </c>
      <c r="G30" s="90">
        <v>0.55000000000000004</v>
      </c>
      <c r="H30" s="90">
        <v>0.7</v>
      </c>
      <c r="I30" s="90">
        <f>0.7+0.73</f>
        <v>1.43</v>
      </c>
      <c r="J30" s="90">
        <v>0.8</v>
      </c>
      <c r="K30" s="90">
        <v>1.2</v>
      </c>
      <c r="L30" s="90">
        <f>('20211002 E'!E85-'20210907 E'!E82)/10^5</f>
        <v>1.2399347999999952</v>
      </c>
      <c r="M30" s="90">
        <f>('20211101 E'!E85-'20211002 E'!E85)/10^5</f>
        <v>1.0273797000000067</v>
      </c>
      <c r="N30" s="90">
        <f>('20211204 E'!E90-'20211101 E'!E85)/10^5</f>
        <v>1.5190123999999976</v>
      </c>
      <c r="O30" s="90">
        <f>('20220102 E'!$E90-'20211204 E'!$E90)/10^5</f>
        <v>1.2934105999999959</v>
      </c>
      <c r="P30" s="90">
        <f>('20220202 E'!$E92-'20220102 E'!$E90)/10^5</f>
        <v>1.1916834000000032</v>
      </c>
      <c r="Q30" s="90">
        <f>('20220305 E'!$E92-'20220202 E'!$E92)/10^5</f>
        <v>0.66721750000000468</v>
      </c>
      <c r="R30" s="90">
        <f>('20220402 E'!$E94-'20220305 E'!$E92)/10^5</f>
        <v>1.0094978999999864</v>
      </c>
      <c r="S30" s="90">
        <f>(-'20220402 E'!$E94+'20220501 E'!$E94)/10^5</f>
        <v>0.85029699999999719</v>
      </c>
      <c r="T30" s="90">
        <f>('20220605 E'!$E94-'20220501 E'!$E94)/10^5</f>
        <v>0.40807550000000747</v>
      </c>
      <c r="U30" s="90">
        <f>('20220702 E'!$E94-'20220605 E'!$E94)/10^5</f>
        <v>-0.20327450000000186</v>
      </c>
      <c r="V30" s="90">
        <f>('20220801 E'!$G104-'20220702 E'!$E94-'20220801 E'!$G83-'20220801 E'!$G82-'20220801 E'!$G81-'20220801 E'!$G2-'20220801 E'!$G76)/10^5</f>
        <v>4.3409700000002049E-2</v>
      </c>
      <c r="W30" s="90">
        <f>('20220903 E'!$G104-'20220801 E'!$G104)/10^5</f>
        <v>0.38313490000001155</v>
      </c>
      <c r="X30" s="90">
        <f>('20221001 E'!$G104-'20220903 E'!$G104)/10^5</f>
        <v>0.79568369999998712</v>
      </c>
      <c r="Y30" s="90">
        <f>('20221103 E'!$G104-'20221001 E'!$G104)/10^5</f>
        <v>0.76859820000002621</v>
      </c>
      <c r="Z30" s="90">
        <f>('20221103 E'!$G104-'20221001 E'!$G104)/10^5</f>
        <v>0.76859820000002621</v>
      </c>
      <c r="AA30" s="90">
        <f>('20230101 E'!$G104-'20221203 E'!$G104)/10^5</f>
        <v>0.68621299999999819</v>
      </c>
      <c r="AB30" s="90">
        <f>('20230203 E'!$G104-'20230101 E'!$G104)/10^5</f>
        <v>0.64836399999999905</v>
      </c>
      <c r="AC30" s="90">
        <f>('20230203 E'!$G104-'20230101 E'!$G104)/10^5</f>
        <v>0.64836399999999905</v>
      </c>
      <c r="AD30" s="90">
        <f>('20230402 E'!$G104-'20230303 E'!$G104)/10^5</f>
        <v>0.6116668999999948</v>
      </c>
      <c r="AE30" s="90">
        <f>('20230501 E'!$G104-'20230402 E'!$G104)/10^5</f>
        <v>0.61051809999999596</v>
      </c>
      <c r="AF30" s="90">
        <f>('20230603 E'!$G104-'20230501 E'!$G104)/10^5</f>
        <v>-1.5387952999999979</v>
      </c>
      <c r="AG30" s="90">
        <f>('20230701 E'!$G104-'20230603 E'!$G104)/10^5</f>
        <v>0.86342029999999326</v>
      </c>
      <c r="AH30" s="90">
        <f>('20230805 E'!$G104-'20230701 E'!$G104)/10^5</f>
        <v>1.1549590999999968</v>
      </c>
      <c r="AI30" s="90">
        <v>0.6</v>
      </c>
      <c r="AJ30" s="90">
        <v>0.3</v>
      </c>
      <c r="AK30" s="90">
        <f>('20231104 E'!$G104-'20231002 E'!$G104)/10^5</f>
        <v>2.9331999999983238E-3</v>
      </c>
      <c r="AL30" s="90">
        <f>('20231202 E'!$G104-'20231104 E'!$G104)/10^5</f>
        <v>0.28388310000000055</v>
      </c>
      <c r="AM30" s="90">
        <f>('20240101 E'!$G104-'20231202 E'!$G104)/10^5</f>
        <v>0.21206530000000262</v>
      </c>
      <c r="AN30" s="90">
        <f>('20240203 E'!$G104-'20240101 E'!$G104)/10^5</f>
        <v>2.0020000000018625E-3</v>
      </c>
      <c r="AO30" s="90">
        <f>('20240303 E'!$G104-'20240203 E'!$G104)/10^5</f>
        <v>0.4564830000000028</v>
      </c>
      <c r="AP30" s="90">
        <f>('20240403 E'!$G104-'20240303 E'!$G104)/10^5</f>
        <v>1.3564599999999953</v>
      </c>
      <c r="AQ30" s="90">
        <f>('20240501 E'!$G104-'20240403 E'!$G104)/10^5</f>
        <v>0.43587999999999999</v>
      </c>
      <c r="AR30" s="90">
        <f>('20240603 E'!$G104-'20240501 E'!$G104)/10^5</f>
        <v>0.43083880000000818</v>
      </c>
      <c r="AS30" s="90">
        <f>('20240701 E'!$G104-'20240603 E'!$G104)/10^5</f>
        <v>1.1988713999999874</v>
      </c>
      <c r="AT30" s="90">
        <f>('20240802 E'!$G104-'20240701 E'!$G104)/10^5</f>
        <v>0.84026919999999927</v>
      </c>
      <c r="AU30" s="90">
        <f>('20240901 E'!$G104-'20240802 E'!$G104)/10^5</f>
        <v>0.24919129999999889</v>
      </c>
      <c r="AV30" s="90">
        <f>('20241002 E'!$G104-'20240901 E'!$G104)/10^5</f>
        <v>1.6167492999999971</v>
      </c>
      <c r="AW30" s="90">
        <f>('20241102 E'!$G104-'20241002 E'!$G104)/10^5</f>
        <v>0.26250000000000001</v>
      </c>
      <c r="AX30" s="90">
        <f>('20241201 E'!$G104-'20241102 E'!$G104)/10^5</f>
        <v>0.24204999999999999</v>
      </c>
      <c r="AY30" s="90">
        <f>('20250104 E'!$G104-'20241201 E'!$G104)/10^5</f>
        <v>1.432395300000012</v>
      </c>
      <c r="AZ30" s="90">
        <f>('20250201 E'!$G104-'20250104 E'!$G104)/10^5</f>
        <v>-1.8985224709560071</v>
      </c>
      <c r="BA30" s="90">
        <f>('20250302 E'!$E104-'20250201 E'!$G104)/10^5</f>
        <v>1.318353870956013</v>
      </c>
      <c r="BB30" s="90">
        <f>('20250405 E'!$E104-'20250302 E'!$E104)/10^5</f>
        <v>-8.8353283000000058</v>
      </c>
      <c r="BC30" s="90">
        <f>('20250502 E'!$E104-'20250405 E'!$E104)/10^5</f>
        <v>-8.2055299999997958E-2</v>
      </c>
      <c r="BD30" s="90">
        <f>('20250602 E'!$E104-'20250502 E'!$E104)/10^5</f>
        <v>0</v>
      </c>
      <c r="BE30" s="90">
        <f>('20250707 E'!$E104-'20250602 E'!$E104)/10^5</f>
        <v>8.2055299999997958E-2</v>
      </c>
      <c r="BF30" s="90">
        <f>('20250802 E'!$E104-'20250707 E'!$E104)/10^5-BF32</f>
        <v>-2.1392399999997536E-2</v>
      </c>
      <c r="BG30" s="90">
        <f>('20250901 E'!$E104-'20250802 E'!$E104)/10^5-BG32</f>
        <v>-0.2</v>
      </c>
      <c r="BH30" s="90">
        <f>('20251004 E'!$E104-'20250901 E'!$E104)/10^5-BH32</f>
        <v>-1.1543272999999998</v>
      </c>
      <c r="BI30" s="90">
        <f>('20251101 E'!$E104-'20251004 E'!$E104)/10^5-BI32</f>
        <v>0</v>
      </c>
      <c r="BJ30" s="90">
        <f>('20251201 E'!$E104-'20251101 E'!$E104)/10^5-BJ32</f>
        <v>0</v>
      </c>
      <c r="BK30" s="90">
        <f>('20260101 E'!$E104-'20251201 E'!$E104)/10^5-BK32</f>
        <v>0</v>
      </c>
      <c r="BL30" s="90">
        <f>('20260201 E'!$E104-'20260101 E'!$E104)/10^5-BL32</f>
        <v>0</v>
      </c>
      <c r="BM30" s="90">
        <f>('20260301 E'!$E104-'20260201 E'!$E104)/10^5-BM32</f>
        <v>0.48265529999999796</v>
      </c>
      <c r="BN30" s="90">
        <f>('20260402 E'!$E104-'20260301 E'!$E104)/10^5-BN32</f>
        <v>0</v>
      </c>
      <c r="BO30" s="90">
        <f>('20260501 E'!$E104-'20260402 E'!$E104)/10^5-BO32</f>
        <v>0</v>
      </c>
      <c r="BP30" s="72">
        <f>SUM(D30:BO30)</f>
        <v>20.797750533000031</v>
      </c>
      <c r="BR30" s="159">
        <f t="shared" ref="BR30:BR41" si="201">BP30/$BQ$2</f>
        <v>0.32496485207812548</v>
      </c>
    </row>
    <row r="31" spans="1:70">
      <c r="A31" s="104" t="s">
        <v>119</v>
      </c>
      <c r="B31" s="104" t="s">
        <v>6</v>
      </c>
      <c r="C31" s="90"/>
      <c r="D31" s="90">
        <v>1</v>
      </c>
      <c r="E31" s="90">
        <v>1</v>
      </c>
      <c r="F31" s="90">
        <v>1.2</v>
      </c>
      <c r="G31" s="90">
        <f>0.85-3.13</f>
        <v>-2.2799999999999998</v>
      </c>
      <c r="H31" s="90">
        <v>1.2</v>
      </c>
      <c r="I31" s="90">
        <v>1</v>
      </c>
      <c r="J31" s="90">
        <v>0.8</v>
      </c>
      <c r="K31" s="90">
        <v>1.2</v>
      </c>
      <c r="L31" s="90">
        <f>('20211002 MF'!F13-'20210907 MF'!F13)/10^5-L38</f>
        <v>0.60046475999999771</v>
      </c>
      <c r="M31" s="90">
        <f>('20211101 MF'!F14-'20211002 MF'!F13)/10^5-M38</f>
        <v>1.0105448510000035</v>
      </c>
      <c r="N31" s="90">
        <f>('20211204 MF'!F14-'20211101 MF'!F14)/10^5-N38</f>
        <v>1.2016457260000029</v>
      </c>
      <c r="O31" s="90">
        <f>('20220102 MF'!$F14-'20211204 MF'!$F14)/10^5-O38</f>
        <v>0.79343138699999316</v>
      </c>
      <c r="P31" s="90">
        <f>('20220202 MF'!$F14-'20220102 MF'!$F14)/10^5-P38</f>
        <v>1.1975464089999983</v>
      </c>
      <c r="Q31" s="90">
        <f>('20220305 MF'!$F14-'20220202 MF'!$F14)/10^5-Q38</f>
        <v>0.60840730900000306</v>
      </c>
      <c r="R31" s="90">
        <f>('20220402 MF'!$F14-'20220305 MF'!$F14)/10^5-R38</f>
        <v>0.79606836199999886</v>
      </c>
      <c r="S31" s="90">
        <f>(-'20220402 MF'!$F14+'20220501 MF'!$F14)/10^5-S38</f>
        <v>0.39620355600000112</v>
      </c>
      <c r="T31" s="90">
        <f>('20220605 MF'!$F14-'20220501 MF'!$F14)/10^5-T38</f>
        <v>2.3737983000000629E-2</v>
      </c>
      <c r="U31" s="90">
        <f>('20220702 MF'!$F15-'20220605 MF'!$F14)/10^5-U38</f>
        <v>0.49997569600000558</v>
      </c>
      <c r="V31" s="90">
        <f>('20220801 MF'!$F15-'20220702 MF'!$F15)/10^5-V38</f>
        <v>0.79995914799999912</v>
      </c>
      <c r="W31" s="90">
        <f>('20220903 MF'!$F17-'20220801 MF'!$F15)/10^5</f>
        <v>0.61125512599999088</v>
      </c>
      <c r="X31" s="90">
        <f>('20221001 MF'!$F17-'20220903 MF'!$F17)/10^5</f>
        <v>1.9998995799999963</v>
      </c>
      <c r="Y31" s="90">
        <f>('20221103 MF'!$F17-'20221001 MF'!$F17)/10^5</f>
        <v>2.3998795810000133</v>
      </c>
      <c r="Z31" s="90">
        <f>('20221103 MF'!$F17-'20221001 MF'!$F17)/10^5</f>
        <v>2.3998795810000133</v>
      </c>
      <c r="AA31" s="90">
        <f>('20230101 MF'!$F18-'20221203 MF'!$F18)/10^5</f>
        <v>0.3998836871030042</v>
      </c>
      <c r="AB31" s="90">
        <f>('20230203 MF'!$F18-'20230101 MF'!$F18)/10^5</f>
        <v>2.3998804409999912</v>
      </c>
      <c r="AC31" s="90">
        <f>('20230203 MF'!$F18-'20230101 MF'!$F18)/10^5</f>
        <v>2.3998804409999912</v>
      </c>
      <c r="AD31" s="90">
        <f>('20230402 MF'!$F18-'20230303 MF'!$F18)/10^5</f>
        <v>0.46544603200000711</v>
      </c>
      <c r="AE31" s="90">
        <f>('20230501 MF'!$F18-'20230402 MF'!$F18)/10^5</f>
        <v>1.999899989</v>
      </c>
      <c r="AF31" s="90">
        <f>('20230603 MF'!$F18-'20230501 MF'!$F18)/10^5</f>
        <v>1.9998992909999938</v>
      </c>
      <c r="AG31" s="90">
        <f>('20230701 MF'!$F18-'20230603 MF'!$F18)/10^5</f>
        <v>2.004899516000012</v>
      </c>
      <c r="AH31" s="90">
        <f>('20230805 MF'!$F18-'20230701 MF'!$F18)/10^5</f>
        <v>2.5998705129999946</v>
      </c>
      <c r="AI31" s="90">
        <f>('20230902 MF'!$F18-'20230805 MF'!$F18)/10^5</f>
        <v>1.4999248710000048</v>
      </c>
      <c r="AJ31" s="90">
        <f>('20231002 MF'!$F18-'20230902 MF'!$F18)/10^5</f>
        <v>0.99995005599999798</v>
      </c>
      <c r="AK31" s="90">
        <f>('20231104 MF'!$F18-'20231002 MF'!$F18)/10^5</f>
        <v>0.99995011799999511</v>
      </c>
      <c r="AL31" s="90">
        <f>('20231202 MF'!$F18-'20231104 MF'!$F18)/10^5</f>
        <v>0.49997497500000521</v>
      </c>
      <c r="AM31" s="90">
        <f>('20240101 MF'!$F18-'20231202 MF'!$F18)/10^5</f>
        <v>0.39997996499999428</v>
      </c>
      <c r="AN31" s="90">
        <f>('20240203 MF'!$F18-'20240101 MF'!$F18)/10^5</f>
        <v>2.4998747140000015</v>
      </c>
      <c r="AO31" s="90">
        <f>('20240303 MF'!$F18-'20240203 MF'!$F18)/10^5</f>
        <v>1.8999054050000013</v>
      </c>
      <c r="AP31" s="90">
        <f>('20240403 MF'!$F18-'20240303 MF'!$F18)/10^5-AP38</f>
        <v>1.9863295640000089</v>
      </c>
      <c r="AQ31" s="90">
        <f>('20240501 MF'!$F18-'20240403 MF'!$F18)/10^5-AQ38</f>
        <v>1.588681219000001</v>
      </c>
      <c r="AR31" s="90">
        <f>('20240603 MF'!$F18-'20240501 MF'!$F18)/10^5-AR38</f>
        <v>1.6247278339999924</v>
      </c>
      <c r="AS31" s="90">
        <f>('20240701 MF'!$F18-'20240603 MF'!$F18)/10^5</f>
        <v>1.1999386529999971</v>
      </c>
      <c r="AT31" s="90">
        <f>('20240802 MF'!$F18-'20240701 MF'!$F18)/10^5-(AT38)</f>
        <v>1.1948261459999978</v>
      </c>
      <c r="AU31" s="90">
        <f>('20240901 MF'!$F18-'20240802 MF'!$F18)/10^5-AU38</f>
        <v>2.4827246530000098</v>
      </c>
      <c r="AV31" s="90">
        <f>('20241002 MF'!$F18-'20240901 MF'!$F18)/10^5-AV38</f>
        <v>1.7823223880000016</v>
      </c>
      <c r="AW31" s="90">
        <f>('20241102 MF'!$F18-'20241002 MF'!$F18)/10^5-AW38</f>
        <v>1.721025182999991</v>
      </c>
      <c r="AX31" s="90">
        <f>('20241201 MF'!$F18-'20241102 MF'!$F18)/10^5-AX38</f>
        <v>1.7068855139999903</v>
      </c>
      <c r="AY31" s="90">
        <f>('20250104 MF'!$F18-'20241201 MF'!$F18)/10^5-AY38</f>
        <v>2.9127305380000226</v>
      </c>
      <c r="AZ31" s="90">
        <f>('20250201 MF'!$F18-'20250104 MF'!$F18)/10^5-AZ38</f>
        <v>1.1999402669999935</v>
      </c>
      <c r="BA31" s="90">
        <f>('20250302 MF'!$F18-'20250201 MF'!$F18)/10^5-BA38</f>
        <v>1.5999207449999917</v>
      </c>
      <c r="BB31" s="90">
        <f>('20250405 MF'!$F22-'20250302 MF'!$F18)/10^5</f>
        <v>3.3498322310000006</v>
      </c>
      <c r="BC31" s="90">
        <f>('20250502 MF'!$F22-'20250405 MF'!$F22)/10^5-BC12</f>
        <v>3.2098401139999915</v>
      </c>
      <c r="BD31" s="90">
        <f>('20250602 MF'!$F22-'20250502 MF'!$F22)/10^5-BD38</f>
        <v>2.6998651330000127</v>
      </c>
      <c r="BE31" s="90">
        <f>('20250707 MF'!$F22-'20250602 MF'!$F22)/10^5-BE38</f>
        <v>2.6998658749999889</v>
      </c>
      <c r="BF31" s="90">
        <f>('20250802 MF'!$F22-'20250707 MF'!$F22)/10^5-(BF38-3)</f>
        <v>0.89995491200001676</v>
      </c>
      <c r="BG31" s="90">
        <f>('20250901 MF'!$F22-'20250802 MF'!$F22)/10^5</f>
        <v>0.89995291799997912</v>
      </c>
      <c r="BH31" s="90">
        <f>('20251004 MF'!$F22-'20250901 MF'!$F22)/10^5</f>
        <v>0.99466076300000772</v>
      </c>
      <c r="BI31" s="90">
        <f>('20251101 MF'!$F22-'20251004 MF'!$F22)/10^5</f>
        <v>2.2000141439999825</v>
      </c>
      <c r="BJ31" s="90">
        <f>('20251201 MF'!$F22-'20251101 MF'!$F22)/10^5</f>
        <v>1.0355611730000005</v>
      </c>
      <c r="BK31" s="90">
        <f>('20260101 MF'!$F22-'20251201 MF'!$F22)/10^5</f>
        <v>1.349933501999993</v>
      </c>
      <c r="BL31" s="90">
        <f>('20260201 MF'!$F22-'20260101 MF'!$F22)/10^5</f>
        <v>0.33106127500001342</v>
      </c>
      <c r="BM31" s="90">
        <f>('20260301 MF'!$F22-'20260201 MF'!$F22)/10^5</f>
        <v>0.31803432499999179</v>
      </c>
      <c r="BN31" s="90">
        <f>('20260402 MF'!$F22-'20260301 MF'!$F22)/10^5</f>
        <v>1.4499266379999929</v>
      </c>
      <c r="BO31" s="90">
        <f>('20260501 MF'!$F22-'20260402 MF'!$F22)/10^5</f>
        <v>5.000121799999848E-2</v>
      </c>
      <c r="BP31" s="72">
        <f t="shared" ref="BP31:BP41" si="202">SUM(D31:BO31)</f>
        <v>86.016675994102968</v>
      </c>
      <c r="BR31" s="159">
        <f t="shared" si="201"/>
        <v>1.3440105624078589</v>
      </c>
    </row>
    <row r="32" spans="1:70">
      <c r="A32" s="104" t="s">
        <v>8</v>
      </c>
      <c r="B32" s="104" t="s">
        <v>8</v>
      </c>
      <c r="C32" s="90"/>
      <c r="D32" s="90">
        <v>0.2475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f t="shared" ref="R32:S35" si="203">R6-Q6</f>
        <v>-1.9700000000000051E-2</v>
      </c>
      <c r="S32" s="90">
        <f t="shared" si="203"/>
        <v>4.6350000000000113E-2</v>
      </c>
      <c r="T32" s="90">
        <f>T6-S6</f>
        <v>-3.5300000000000109E-2</v>
      </c>
      <c r="U32" s="90">
        <f>U6-T6</f>
        <v>1.540000000000008E-2</v>
      </c>
      <c r="V32" s="90">
        <f>V6-U6</f>
        <v>-1.5899999999999803E-3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0">
        <v>0</v>
      </c>
      <c r="AG32" s="90">
        <v>0</v>
      </c>
      <c r="AH32" s="90">
        <v>0</v>
      </c>
      <c r="AI32" s="90">
        <v>0</v>
      </c>
      <c r="AJ32" s="90">
        <v>0</v>
      </c>
      <c r="AK32" s="90">
        <v>0</v>
      </c>
      <c r="AL32" s="90">
        <v>0</v>
      </c>
      <c r="AM32" s="90">
        <v>0</v>
      </c>
      <c r="AN32" s="90">
        <v>0</v>
      </c>
      <c r="AO32" s="90">
        <v>0</v>
      </c>
      <c r="AP32" s="90">
        <v>0</v>
      </c>
      <c r="AQ32" s="90">
        <v>0</v>
      </c>
      <c r="AR32" s="90">
        <v>0</v>
      </c>
      <c r="AS32" s="90">
        <v>0</v>
      </c>
      <c r="AT32" s="90">
        <v>0</v>
      </c>
      <c r="AU32" s="90">
        <v>0</v>
      </c>
      <c r="AV32" s="90">
        <v>0</v>
      </c>
      <c r="AW32" s="90">
        <v>0</v>
      </c>
      <c r="AX32" s="90">
        <v>0</v>
      </c>
      <c r="AY32" s="90">
        <v>0</v>
      </c>
      <c r="AZ32" s="90">
        <v>0</v>
      </c>
      <c r="BA32" s="90">
        <v>0</v>
      </c>
      <c r="BB32" s="90">
        <v>0</v>
      </c>
      <c r="BC32" s="90">
        <v>0</v>
      </c>
      <c r="BD32" s="90">
        <v>0</v>
      </c>
      <c r="BE32" s="90">
        <v>0</v>
      </c>
      <c r="BF32" s="90">
        <v>1</v>
      </c>
      <c r="BG32" s="90"/>
      <c r="BH32" s="90">
        <v>0</v>
      </c>
      <c r="BI32" s="90">
        <v>0</v>
      </c>
      <c r="BJ32" s="90">
        <v>0</v>
      </c>
      <c r="BK32" s="90">
        <v>0</v>
      </c>
      <c r="BL32" s="90">
        <v>0</v>
      </c>
      <c r="BM32" s="90">
        <v>0</v>
      </c>
      <c r="BN32" s="90">
        <v>0</v>
      </c>
      <c r="BO32" s="90">
        <v>0</v>
      </c>
      <c r="BP32" s="72">
        <f t="shared" si="202"/>
        <v>1.2526600000000001</v>
      </c>
      <c r="BR32" s="159">
        <f t="shared" si="201"/>
        <v>1.9572812500000002E-2</v>
      </c>
    </row>
    <row r="33" spans="1:70">
      <c r="A33" s="104" t="s">
        <v>120</v>
      </c>
      <c r="B33" s="104" t="s">
        <v>6</v>
      </c>
      <c r="C33" s="90"/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0.35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f>0.35</f>
        <v>0.35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0">
        <v>0</v>
      </c>
      <c r="AG33" s="90">
        <v>0</v>
      </c>
      <c r="AH33" s="90">
        <f>0.75*1.5</f>
        <v>1.125</v>
      </c>
      <c r="AI33" s="90">
        <v>0</v>
      </c>
      <c r="AJ33" s="90">
        <v>0</v>
      </c>
      <c r="AK33" s="90">
        <v>0</v>
      </c>
      <c r="AL33" s="90">
        <v>0</v>
      </c>
      <c r="AM33" s="90">
        <v>0</v>
      </c>
      <c r="AN33" s="90">
        <v>0</v>
      </c>
      <c r="AO33" s="90">
        <v>0</v>
      </c>
      <c r="AP33" s="90">
        <v>0</v>
      </c>
      <c r="AQ33" s="90">
        <v>0</v>
      </c>
      <c r="AR33" s="90">
        <v>0</v>
      </c>
      <c r="AS33" s="90">
        <v>0</v>
      </c>
      <c r="AT33" s="90">
        <v>0.35</v>
      </c>
      <c r="AU33" s="90">
        <v>0</v>
      </c>
      <c r="AV33" s="90">
        <v>0</v>
      </c>
      <c r="AW33" s="90">
        <v>0</v>
      </c>
      <c r="AX33" s="90">
        <v>0</v>
      </c>
      <c r="AY33" s="90">
        <v>0</v>
      </c>
      <c r="AZ33" s="90">
        <v>0</v>
      </c>
      <c r="BA33" s="90">
        <v>0</v>
      </c>
      <c r="BB33" s="90">
        <v>0</v>
      </c>
      <c r="BC33" s="90">
        <v>0</v>
      </c>
      <c r="BD33" s="90">
        <v>0</v>
      </c>
      <c r="BE33" s="90">
        <v>0</v>
      </c>
      <c r="BF33" s="90">
        <v>0</v>
      </c>
      <c r="BG33" s="90"/>
      <c r="BH33" s="90">
        <v>0</v>
      </c>
      <c r="BI33" s="90">
        <v>0.45</v>
      </c>
      <c r="BJ33" s="90">
        <v>0</v>
      </c>
      <c r="BK33" s="90">
        <v>0</v>
      </c>
      <c r="BL33" s="90">
        <v>0</v>
      </c>
      <c r="BM33" s="90">
        <v>0</v>
      </c>
      <c r="BN33" s="90">
        <v>0</v>
      </c>
      <c r="BO33" s="90">
        <v>0</v>
      </c>
      <c r="BP33" s="72">
        <f t="shared" si="202"/>
        <v>2.625</v>
      </c>
      <c r="BR33" s="159">
        <f t="shared" si="201"/>
        <v>4.1015625E-2</v>
      </c>
    </row>
    <row r="34" spans="1:70">
      <c r="A34" s="104" t="s">
        <v>121</v>
      </c>
      <c r="B34" s="104" t="s">
        <v>7</v>
      </c>
      <c r="C34" s="90"/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0.1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f t="shared" si="203"/>
        <v>4.0000000000000036E-3</v>
      </c>
      <c r="S34" s="90">
        <v>0</v>
      </c>
      <c r="T34" s="90">
        <v>0</v>
      </c>
      <c r="U34" s="90">
        <v>0</v>
      </c>
      <c r="V34" s="90">
        <v>0</v>
      </c>
      <c r="W34" s="90">
        <v>0.1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0">
        <v>0</v>
      </c>
      <c r="AG34" s="90">
        <v>0</v>
      </c>
      <c r="AH34" s="90">
        <f>0.1*1.5</f>
        <v>0.15000000000000002</v>
      </c>
      <c r="AI34" s="90">
        <v>0</v>
      </c>
      <c r="AJ34" s="90">
        <v>0</v>
      </c>
      <c r="AK34" s="90">
        <v>0</v>
      </c>
      <c r="AL34" s="90">
        <v>0</v>
      </c>
      <c r="AM34" s="90">
        <v>0</v>
      </c>
      <c r="AN34" s="90">
        <v>0</v>
      </c>
      <c r="AO34" s="90">
        <v>0</v>
      </c>
      <c r="AP34" s="90">
        <v>0</v>
      </c>
      <c r="AQ34" s="90">
        <v>0</v>
      </c>
      <c r="AR34" s="90">
        <v>0</v>
      </c>
      <c r="AS34" s="90">
        <v>0</v>
      </c>
      <c r="AT34" s="90">
        <v>0.05</v>
      </c>
      <c r="AU34" s="90">
        <v>0</v>
      </c>
      <c r="AV34" s="90">
        <v>0</v>
      </c>
      <c r="AW34" s="90">
        <v>0</v>
      </c>
      <c r="AX34" s="90">
        <v>0</v>
      </c>
      <c r="AY34" s="90">
        <v>0</v>
      </c>
      <c r="AZ34" s="90">
        <v>0</v>
      </c>
      <c r="BA34" s="90">
        <v>0</v>
      </c>
      <c r="BB34" s="90">
        <v>0</v>
      </c>
      <c r="BC34" s="90">
        <v>0</v>
      </c>
      <c r="BD34" s="90">
        <v>0</v>
      </c>
      <c r="BE34" s="90">
        <v>0</v>
      </c>
      <c r="BF34" s="90">
        <v>0</v>
      </c>
      <c r="BG34" s="90"/>
      <c r="BH34" s="90">
        <v>0</v>
      </c>
      <c r="BI34" s="90">
        <v>0.1</v>
      </c>
      <c r="BJ34" s="90">
        <v>0</v>
      </c>
      <c r="BK34" s="90">
        <v>0</v>
      </c>
      <c r="BL34" s="90">
        <v>0</v>
      </c>
      <c r="BM34" s="90">
        <v>0</v>
      </c>
      <c r="BN34" s="90">
        <v>0</v>
      </c>
      <c r="BO34" s="90">
        <v>0</v>
      </c>
      <c r="BP34" s="72">
        <f t="shared" si="202"/>
        <v>0.504</v>
      </c>
      <c r="BR34" s="159">
        <f t="shared" si="201"/>
        <v>7.8750000000000001E-3</v>
      </c>
    </row>
    <row r="35" spans="1:70">
      <c r="A35" s="104" t="s">
        <v>122</v>
      </c>
      <c r="B35" s="104" t="s">
        <v>7</v>
      </c>
      <c r="C35" s="90"/>
      <c r="D35" s="90">
        <v>0</v>
      </c>
      <c r="E35" s="90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0.05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f t="shared" si="203"/>
        <v>6.4999999999999503E-3</v>
      </c>
      <c r="S35" s="90">
        <v>0</v>
      </c>
      <c r="T35" s="90">
        <v>0</v>
      </c>
      <c r="U35" s="90">
        <v>0</v>
      </c>
      <c r="V35" s="90">
        <v>0</v>
      </c>
      <c r="W35" s="90">
        <v>0.05</v>
      </c>
      <c r="X35" s="90">
        <v>0</v>
      </c>
      <c r="Y35" s="90">
        <v>0</v>
      </c>
      <c r="Z35" s="90">
        <v>0</v>
      </c>
      <c r="AA35" s="90">
        <v>0</v>
      </c>
      <c r="AB35" s="90">
        <v>0</v>
      </c>
      <c r="AC35" s="90">
        <v>0</v>
      </c>
      <c r="AD35" s="90">
        <v>0</v>
      </c>
      <c r="AE35" s="90">
        <v>0</v>
      </c>
      <c r="AF35" s="90">
        <v>0</v>
      </c>
      <c r="AG35" s="90">
        <v>0</v>
      </c>
      <c r="AH35" s="90">
        <f>0.15*1.5</f>
        <v>0.22499999999999998</v>
      </c>
      <c r="AI35" s="90">
        <v>0</v>
      </c>
      <c r="AJ35" s="90">
        <v>0</v>
      </c>
      <c r="AK35" s="90">
        <v>0</v>
      </c>
      <c r="AL35" s="90">
        <v>0</v>
      </c>
      <c r="AM35" s="90">
        <v>0</v>
      </c>
      <c r="AN35" s="90">
        <v>0</v>
      </c>
      <c r="AO35" s="90">
        <v>0</v>
      </c>
      <c r="AP35" s="90">
        <v>0</v>
      </c>
      <c r="AQ35" s="90">
        <v>0</v>
      </c>
      <c r="AR35" s="90">
        <v>0</v>
      </c>
      <c r="AS35" s="90">
        <v>0</v>
      </c>
      <c r="AT35" s="90">
        <v>0.1</v>
      </c>
      <c r="AU35" s="90">
        <v>0</v>
      </c>
      <c r="AV35" s="90">
        <v>0</v>
      </c>
      <c r="AW35" s="90">
        <v>0</v>
      </c>
      <c r="AX35" s="90">
        <v>0</v>
      </c>
      <c r="AY35" s="90">
        <v>0</v>
      </c>
      <c r="AZ35" s="90">
        <v>0</v>
      </c>
      <c r="BA35" s="90">
        <v>0</v>
      </c>
      <c r="BB35" s="90">
        <v>0</v>
      </c>
      <c r="BC35" s="90">
        <v>0</v>
      </c>
      <c r="BD35" s="90">
        <v>0</v>
      </c>
      <c r="BE35" s="90">
        <v>0</v>
      </c>
      <c r="BF35" s="90">
        <v>0</v>
      </c>
      <c r="BG35" s="90"/>
      <c r="BH35" s="90">
        <v>0</v>
      </c>
      <c r="BI35" s="90">
        <v>0.15</v>
      </c>
      <c r="BJ35" s="90">
        <v>0</v>
      </c>
      <c r="BK35" s="90">
        <v>0</v>
      </c>
      <c r="BL35" s="90">
        <v>0</v>
      </c>
      <c r="BM35" s="90">
        <v>0</v>
      </c>
      <c r="BN35" s="90">
        <v>0</v>
      </c>
      <c r="BO35" s="90">
        <v>0</v>
      </c>
      <c r="BP35" s="72">
        <f t="shared" si="202"/>
        <v>0.58149999999999991</v>
      </c>
      <c r="BR35" s="159">
        <f t="shared" si="201"/>
        <v>9.0859374999999985E-3</v>
      </c>
    </row>
    <row r="36" spans="1:70">
      <c r="A36" s="104" t="s">
        <v>123</v>
      </c>
      <c r="B36" s="104" t="s">
        <v>7</v>
      </c>
      <c r="C36" s="90"/>
      <c r="D36" s="90">
        <f t="shared" ref="D36:E39" si="204">D10-C10</f>
        <v>0.22999999999999865</v>
      </c>
      <c r="E36" s="90">
        <f t="shared" si="204"/>
        <v>0.47000000000000064</v>
      </c>
      <c r="F36" s="90">
        <v>0.2</v>
      </c>
      <c r="G36" s="90">
        <f t="shared" ref="G36:L36" si="205">G10-F10</f>
        <v>0.23000000000000043</v>
      </c>
      <c r="H36" s="90">
        <f t="shared" si="205"/>
        <v>0.23300000000000054</v>
      </c>
      <c r="I36" s="90">
        <f t="shared" si="205"/>
        <v>0.23296000000000028</v>
      </c>
      <c r="J36" s="90">
        <f t="shared" si="205"/>
        <v>0.23296000000000205</v>
      </c>
      <c r="K36" s="90">
        <f t="shared" si="205"/>
        <v>0.23296000000000205</v>
      </c>
      <c r="L36" s="90">
        <f t="shared" si="205"/>
        <v>0.23296000000000205</v>
      </c>
      <c r="M36" s="90">
        <f>M10-L10</f>
        <v>0.27530000000000143</v>
      </c>
      <c r="N36" s="90">
        <f>N10-M10</f>
        <v>0.27529999999999788</v>
      </c>
      <c r="O36" s="90">
        <f>O10-N10</f>
        <v>0.27529999999999788</v>
      </c>
      <c r="P36" s="90">
        <f>P10-O10</f>
        <v>0.27529999999999788</v>
      </c>
      <c r="Q36" s="90">
        <f>Q10-P10</f>
        <v>0.27529999999999788</v>
      </c>
      <c r="R36" s="90">
        <v>0.27529999999999788</v>
      </c>
      <c r="S36" s="90">
        <f>S10-R10</f>
        <v>0.27529999999999788</v>
      </c>
      <c r="T36" s="90">
        <f>T10-S10</f>
        <v>0.27529999999999788</v>
      </c>
      <c r="U36" s="90">
        <f>U10-T10</f>
        <v>0.27529999999999788</v>
      </c>
      <c r="V36" s="90">
        <f>V10-U10</f>
        <v>0.27529999999999788</v>
      </c>
      <c r="W36" s="90">
        <f t="shared" ref="W36:X36" si="206">W10-V10</f>
        <v>0.27529999999999788</v>
      </c>
      <c r="X36" s="90">
        <f t="shared" si="206"/>
        <v>0.27529999999999788</v>
      </c>
      <c r="Y36" s="90">
        <f t="shared" ref="Y36:Z36" si="207">Y10-X10</f>
        <v>0.27529999999999788</v>
      </c>
      <c r="Z36" s="90">
        <f t="shared" si="207"/>
        <v>0.63700000000000045</v>
      </c>
      <c r="AA36" s="90">
        <f t="shared" ref="AA36:AA39" si="208">AA10-Z10</f>
        <v>0.31850000000000023</v>
      </c>
      <c r="AB36" s="90">
        <f>AB10-AA10</f>
        <v>0.31850000000000023</v>
      </c>
      <c r="AC36" s="90">
        <f>AC10-AB10</f>
        <v>0.31850000000000023</v>
      </c>
      <c r="AD36" s="90">
        <v>0.3</v>
      </c>
      <c r="AE36" s="90">
        <f t="shared" ref="AE36:AG36" si="209">AE10-AD10</f>
        <v>0.31850000000000023</v>
      </c>
      <c r="AF36" s="90">
        <f t="shared" si="209"/>
        <v>0.31850000000000023</v>
      </c>
      <c r="AG36" s="90">
        <f t="shared" si="209"/>
        <v>0.31850000000000023</v>
      </c>
      <c r="AH36" s="90">
        <f>AH10-AG10</f>
        <v>0.31850000000000023</v>
      </c>
      <c r="AI36" s="90">
        <f>AI10-AH10</f>
        <v>0.31850000000000023</v>
      </c>
      <c r="AJ36" s="90">
        <f>AJ10-AI10</f>
        <v>0.31850000000000023</v>
      </c>
      <c r="AK36" s="90">
        <f>AK10-AJ10</f>
        <v>0.351580000000002</v>
      </c>
      <c r="AL36" s="90">
        <f>AL10-AK10</f>
        <v>0.351580000000002</v>
      </c>
      <c r="AM36" s="90">
        <f t="shared" ref="AM36" si="210">AM10-AL10</f>
        <v>0.351580000000002</v>
      </c>
      <c r="AN36" s="90">
        <f t="shared" ref="AN36" si="211">AN10-AM10</f>
        <v>0.351580000000002</v>
      </c>
      <c r="AO36" s="90">
        <f>AO10-AN10</f>
        <v>0.351580000000002</v>
      </c>
      <c r="AP36" s="90">
        <f>AO36</f>
        <v>0.351580000000002</v>
      </c>
      <c r="AQ36" s="90">
        <f t="shared" ref="AQ36" si="212">AQ10-AP10</f>
        <v>0.351580000000002</v>
      </c>
      <c r="AR36" s="90">
        <f t="shared" ref="AR36" si="213">AR10-AQ10</f>
        <v>0.35157999999999845</v>
      </c>
      <c r="AS36" s="90">
        <f t="shared" ref="AS36" si="214">AS10-AR10</f>
        <v>0.35157999999999845</v>
      </c>
      <c r="AT36" s="90">
        <f t="shared" ref="AT36" si="215">AT10-AS10</f>
        <v>0.35157999999999845</v>
      </c>
      <c r="AU36" s="90">
        <f t="shared" ref="AU36" si="216">AU10-AT10</f>
        <v>0.35157999999999845</v>
      </c>
      <c r="AV36" s="90">
        <f t="shared" ref="AV36:AV37" si="217">AV10-AU10</f>
        <v>0.35157999999999845</v>
      </c>
      <c r="AW36" s="90">
        <f t="shared" ref="AW36:AW37" si="218">AW10-AV10</f>
        <v>0.4061799999999991</v>
      </c>
      <c r="AX36" s="90">
        <f t="shared" ref="AX36:AX37" si="219">AX10-AW10</f>
        <v>0.4061799999999991</v>
      </c>
      <c r="AY36" s="90">
        <f t="shared" ref="AY36:AY37" si="220">AY10-AX10</f>
        <v>0.4061799999999991</v>
      </c>
      <c r="AZ36" s="90">
        <f t="shared" ref="AZ36:AZ37" si="221">AZ10-AY10</f>
        <v>0.4061799999999991</v>
      </c>
      <c r="BA36" s="90">
        <f t="shared" ref="BA36" si="222">BA10-AZ10</f>
        <v>0.4061799999999991</v>
      </c>
      <c r="BB36" s="90">
        <f>BA36</f>
        <v>0.4061799999999991</v>
      </c>
      <c r="BC36" s="90">
        <f>BC10-BB10</f>
        <v>0.4061799999999991</v>
      </c>
      <c r="BD36" s="90">
        <f t="shared" ref="BD36" si="223">BD10-BC10</f>
        <v>0.4061799999999991</v>
      </c>
      <c r="BE36" s="90">
        <f t="shared" ref="BE36" si="224">BE10-BD10</f>
        <v>0.4061799999999991</v>
      </c>
      <c r="BF36" s="90">
        <f t="shared" ref="BF36" si="225">BF10-BE10</f>
        <v>0.4061799999999991</v>
      </c>
      <c r="BG36" s="90">
        <f t="shared" ref="BG32:BG40" si="226">BG10-BF10</f>
        <v>0.4061799999999991</v>
      </c>
      <c r="BH36" s="90">
        <f t="shared" ref="BH36" si="227">BH10-BG10</f>
        <v>0.4061799999999991</v>
      </c>
      <c r="BI36" s="90">
        <f t="shared" ref="BI36" si="228">BI10-BH10</f>
        <v>0.47505999999999915</v>
      </c>
      <c r="BJ36" s="90">
        <f t="shared" ref="BJ36" si="229">BJ10-BI10</f>
        <v>0.47505999999999915</v>
      </c>
      <c r="BK36" s="90">
        <f t="shared" ref="BK36" si="230">BK10-BJ10</f>
        <v>0.47505999999999915</v>
      </c>
      <c r="BL36" s="90">
        <f t="shared" ref="BL36" si="231">BL10-BK10</f>
        <v>0.47505999999999915</v>
      </c>
      <c r="BM36" s="90">
        <f t="shared" ref="BM36" si="232">BM10-BL10</f>
        <v>0.47505999999999915</v>
      </c>
      <c r="BN36" s="90">
        <f>BM36</f>
        <v>0.47505999999999915</v>
      </c>
      <c r="BO36" s="90">
        <f t="shared" ref="BO36" si="233">BO10-BN10</f>
        <v>0.47505999999999915</v>
      </c>
      <c r="BP36" s="72">
        <f t="shared" si="202"/>
        <v>22.095779999999976</v>
      </c>
      <c r="BR36" s="159">
        <f t="shared" si="201"/>
        <v>0.34524656249999963</v>
      </c>
    </row>
    <row r="37" spans="1:70">
      <c r="A37" s="104" t="s">
        <v>124</v>
      </c>
      <c r="B37" s="104" t="s">
        <v>7</v>
      </c>
      <c r="C37" s="90"/>
      <c r="D37" s="90">
        <f t="shared" si="204"/>
        <v>0</v>
      </c>
      <c r="E37" s="90">
        <f t="shared" si="204"/>
        <v>0</v>
      </c>
      <c r="F37" s="90">
        <v>0</v>
      </c>
      <c r="G37" s="90">
        <f t="shared" ref="G37:I39" si="234">G11-F11</f>
        <v>0</v>
      </c>
      <c r="H37" s="90">
        <f t="shared" si="234"/>
        <v>0</v>
      </c>
      <c r="I37" s="90">
        <f t="shared" si="234"/>
        <v>0</v>
      </c>
      <c r="J37" s="90">
        <f>J11-H11</f>
        <v>0</v>
      </c>
      <c r="K37" s="90">
        <f>K11-H11</f>
        <v>0</v>
      </c>
      <c r="L37" s="90">
        <f>L11-I11</f>
        <v>1.5</v>
      </c>
      <c r="M37" s="90">
        <f>M11-L11</f>
        <v>0</v>
      </c>
      <c r="N37" s="90">
        <f t="shared" ref="N37:N40" si="235">N11-M11</f>
        <v>0</v>
      </c>
      <c r="O37" s="90">
        <f t="shared" ref="O37" si="236">O11-M11</f>
        <v>0</v>
      </c>
      <c r="P37" s="90">
        <f>P11-M11</f>
        <v>0</v>
      </c>
      <c r="Q37" s="90">
        <f>Q11-P11</f>
        <v>0</v>
      </c>
      <c r="R37" s="90">
        <v>0</v>
      </c>
      <c r="S37" s="90">
        <f t="shared" ref="R37:S40" si="237">S11-R11</f>
        <v>0</v>
      </c>
      <c r="T37" s="90">
        <f>T11-R11</f>
        <v>0</v>
      </c>
      <c r="U37" s="90">
        <f>U11-S11</f>
        <v>0</v>
      </c>
      <c r="V37" s="90">
        <f>V11-T11</f>
        <v>0</v>
      </c>
      <c r="W37" s="90">
        <f>W11-V11</f>
        <v>1.5</v>
      </c>
      <c r="X37" s="90">
        <f>X11-W11</f>
        <v>0</v>
      </c>
      <c r="Y37" s="90">
        <f t="shared" ref="Y37:Z40" si="238">Y11-X11</f>
        <v>0</v>
      </c>
      <c r="Z37" s="90">
        <f t="shared" si="238"/>
        <v>0</v>
      </c>
      <c r="AA37" s="90">
        <f t="shared" si="208"/>
        <v>0</v>
      </c>
      <c r="AB37" s="90">
        <f t="shared" ref="AB37:AC39" si="239">AB11-Z11</f>
        <v>0</v>
      </c>
      <c r="AC37" s="90">
        <f t="shared" si="239"/>
        <v>0</v>
      </c>
      <c r="AD37" s="90">
        <v>0</v>
      </c>
      <c r="AE37" s="90">
        <v>0</v>
      </c>
      <c r="AF37" s="90">
        <v>0</v>
      </c>
      <c r="AG37" s="90">
        <v>0</v>
      </c>
      <c r="AH37" s="90">
        <f t="shared" ref="AH37:AM39" si="240">AH11-AG11</f>
        <v>1.5</v>
      </c>
      <c r="AI37" s="90">
        <f t="shared" si="240"/>
        <v>0</v>
      </c>
      <c r="AJ37" s="90">
        <f t="shared" si="240"/>
        <v>0</v>
      </c>
      <c r="AK37" s="90">
        <f t="shared" si="240"/>
        <v>0</v>
      </c>
      <c r="AL37" s="90">
        <f t="shared" si="240"/>
        <v>0</v>
      </c>
      <c r="AM37" s="90">
        <f t="shared" si="240"/>
        <v>0</v>
      </c>
      <c r="AN37" s="90">
        <f>AN11-AH11</f>
        <v>0</v>
      </c>
      <c r="AO37" s="90">
        <f t="shared" ref="AO37:AO40" si="241">AO11-AN11</f>
        <v>0</v>
      </c>
      <c r="AP37" s="90">
        <v>0</v>
      </c>
      <c r="AQ37" s="90">
        <v>0</v>
      </c>
      <c r="AR37" s="90">
        <v>0</v>
      </c>
      <c r="AS37" s="90">
        <f t="shared" ref="AS37" si="242">AS11-AQ11</f>
        <v>0</v>
      </c>
      <c r="AT37" s="90">
        <f>AT11-AQ11</f>
        <v>1.5</v>
      </c>
      <c r="AU37" s="90">
        <f>AU11-AT11</f>
        <v>0</v>
      </c>
      <c r="AV37" s="90">
        <f t="shared" si="217"/>
        <v>0</v>
      </c>
      <c r="AW37" s="90">
        <f t="shared" si="218"/>
        <v>0</v>
      </c>
      <c r="AX37" s="90">
        <f t="shared" si="219"/>
        <v>0</v>
      </c>
      <c r="AY37" s="90">
        <f t="shared" si="220"/>
        <v>0</v>
      </c>
      <c r="AZ37" s="90">
        <f t="shared" si="221"/>
        <v>0</v>
      </c>
      <c r="BA37" s="90">
        <f t="shared" ref="BA36:BA38" si="243">BA11-AZ11</f>
        <v>0</v>
      </c>
      <c r="BB37" s="90">
        <v>1.5</v>
      </c>
      <c r="BC37" s="90">
        <f>BC11-BB11</f>
        <v>0</v>
      </c>
      <c r="BD37" s="90">
        <f t="shared" ref="BD37" si="244">BD11-BC11</f>
        <v>0</v>
      </c>
      <c r="BE37" s="90">
        <f>BE11-BC11</f>
        <v>0</v>
      </c>
      <c r="BF37" s="90">
        <f>BF11-BC11</f>
        <v>0</v>
      </c>
      <c r="BG37" s="90">
        <f t="shared" si="226"/>
        <v>0</v>
      </c>
      <c r="BH37" s="90">
        <f t="shared" ref="BH37:BH40" si="245">BH11-BG11</f>
        <v>0</v>
      </c>
      <c r="BI37" s="90">
        <f t="shared" ref="BI37:BI40" si="246">BI11-BH11</f>
        <v>0</v>
      </c>
      <c r="BJ37" s="90">
        <f t="shared" ref="BJ37:BJ39" si="247">BJ11-BH11</f>
        <v>0</v>
      </c>
      <c r="BK37" s="90">
        <f>BK11-BH11</f>
        <v>0</v>
      </c>
      <c r="BL37" s="90">
        <f>BL11-BH11</f>
        <v>0</v>
      </c>
      <c r="BM37" s="90">
        <f>BM11-BH11</f>
        <v>0</v>
      </c>
      <c r="BN37" s="90">
        <v>0</v>
      </c>
      <c r="BO37" s="90">
        <v>0</v>
      </c>
      <c r="BP37" s="72">
        <f t="shared" si="202"/>
        <v>7.5</v>
      </c>
      <c r="BR37" s="159">
        <f t="shared" si="201"/>
        <v>0.1171875</v>
      </c>
    </row>
    <row r="38" spans="1:70">
      <c r="A38" s="104" t="s">
        <v>125</v>
      </c>
      <c r="B38" s="104" t="s">
        <v>10</v>
      </c>
      <c r="C38" s="90"/>
      <c r="D38" s="90">
        <f t="shared" si="204"/>
        <v>-1.4500000000000002</v>
      </c>
      <c r="E38" s="90">
        <f t="shared" ref="E38" si="248">E12-D12</f>
        <v>-2.2000000000000002</v>
      </c>
      <c r="F38" s="90">
        <f t="shared" ref="F38" si="249">F12-E12</f>
        <v>3.5016139999999307E-3</v>
      </c>
      <c r="G38" s="90">
        <f t="shared" si="234"/>
        <v>2.5073171189999996</v>
      </c>
      <c r="H38" s="90">
        <f t="shared" si="234"/>
        <v>9.0665410000005942E-3</v>
      </c>
      <c r="I38" s="90">
        <f t="shared" si="234"/>
        <v>9.2285889999996762E-3</v>
      </c>
      <c r="J38" s="90">
        <f t="shared" ref="J38" si="250">J12-I12</f>
        <v>-0.99072487199999992</v>
      </c>
      <c r="K38" s="90">
        <f t="shared" ref="K38" si="251">K12-J12</f>
        <v>-0.49289939100000035</v>
      </c>
      <c r="L38" s="90">
        <f t="shared" ref="L38" si="252">L12-K12</f>
        <v>2.3032978399999999</v>
      </c>
      <c r="M38" s="90">
        <f t="shared" ref="M38" si="253">M12-L12</f>
        <v>-0.99785091399999981</v>
      </c>
      <c r="N38" s="90">
        <f t="shared" si="235"/>
        <v>-0.99987613600000014</v>
      </c>
      <c r="O38" s="90">
        <f t="shared" ref="O38" si="254">O12-N12</f>
        <v>0.50650531100000018</v>
      </c>
      <c r="P38" s="90">
        <f t="shared" ref="P38" si="255">P12-O12</f>
        <v>-0.50008737000000014</v>
      </c>
      <c r="Q38" s="90">
        <f t="shared" ref="Q38" si="256">Q12-P12</f>
        <v>-1.0135084539999999</v>
      </c>
      <c r="R38" s="90">
        <f t="shared" ref="R38" si="257">R12-Q12</f>
        <v>3.891126000000078E-3</v>
      </c>
      <c r="S38" s="90">
        <f t="shared" si="237"/>
        <v>3.7767859999999764E-3</v>
      </c>
      <c r="T38" s="90">
        <f t="shared" ref="T38" si="258">T12-S12</f>
        <v>-1.3516055929999999</v>
      </c>
      <c r="U38" s="90">
        <f t="shared" ref="U38" si="259">U12-T12</f>
        <v>-3.2195999999999995E-5</v>
      </c>
      <c r="V38" s="90">
        <f t="shared" ref="V38" si="260">V12-U12</f>
        <v>0</v>
      </c>
      <c r="W38" s="90">
        <f t="shared" ref="W38" si="261">W12-V12</f>
        <v>4</v>
      </c>
      <c r="X38" s="90">
        <f t="shared" ref="X38" si="262">X12-W12</f>
        <v>-1.5</v>
      </c>
      <c r="Y38" s="90">
        <f t="shared" si="238"/>
        <v>-2.5</v>
      </c>
      <c r="Z38" s="90">
        <f t="shared" si="238"/>
        <v>0</v>
      </c>
      <c r="AA38" s="90">
        <f t="shared" si="208"/>
        <v>1.5</v>
      </c>
      <c r="AB38" s="90">
        <f t="shared" ref="AB38" si="263">AB12-AA12</f>
        <v>0</v>
      </c>
      <c r="AC38" s="90">
        <f t="shared" ref="AC38" si="264">AC12-AB12</f>
        <v>0</v>
      </c>
      <c r="AD38" s="90">
        <f t="shared" ref="AD38" si="265">AD12-AC12</f>
        <v>1.5</v>
      </c>
      <c r="AE38" s="90">
        <f t="shared" ref="AE38" si="266">AE12-AD12</f>
        <v>-1</v>
      </c>
      <c r="AF38" s="90">
        <f t="shared" ref="AF38" si="267">AF12-AE12</f>
        <v>-1</v>
      </c>
      <c r="AG38" s="90">
        <f t="shared" ref="AG38" si="268">AG12-AF12</f>
        <v>-1</v>
      </c>
      <c r="AH38" s="90">
        <f t="shared" si="240"/>
        <v>2</v>
      </c>
      <c r="AI38" s="90">
        <f t="shared" si="240"/>
        <v>-2</v>
      </c>
      <c r="AJ38" s="90">
        <f t="shared" si="240"/>
        <v>0</v>
      </c>
      <c r="AK38" s="90">
        <f t="shared" si="240"/>
        <v>0</v>
      </c>
      <c r="AL38" s="90">
        <f t="shared" si="240"/>
        <v>0</v>
      </c>
      <c r="AM38" s="90">
        <f t="shared" si="240"/>
        <v>2</v>
      </c>
      <c r="AN38" s="90">
        <f t="shared" ref="AN38" si="269">AN12-AM12</f>
        <v>2</v>
      </c>
      <c r="AO38" s="90">
        <f t="shared" si="241"/>
        <v>-4</v>
      </c>
      <c r="AP38" s="90">
        <f>AP12-AO12</f>
        <v>2.0134634460000003</v>
      </c>
      <c r="AQ38" s="90">
        <f>AQ12-AP12</f>
        <v>1.1239125999999544E-2</v>
      </c>
      <c r="AR38" s="90">
        <f t="shared" ref="AR38:AS38" si="270">AR12-AQ12</f>
        <v>-2.0247025719999998</v>
      </c>
      <c r="AS38" s="90">
        <f t="shared" si="270"/>
        <v>0</v>
      </c>
      <c r="AT38" s="90">
        <f>AT12-AS12</f>
        <v>3.0049730219999997</v>
      </c>
      <c r="AU38" s="90">
        <f t="shared" ref="AU38:AU40" si="271">AU12-AT12</f>
        <v>1.7150533000000134E-2</v>
      </c>
      <c r="AV38" s="90">
        <f>AV12-AU12</f>
        <v>1.858749599999987E-2</v>
      </c>
      <c r="AW38" s="90">
        <f>AW12-AV12</f>
        <v>-1.9984888949999997</v>
      </c>
      <c r="AX38" s="90">
        <f t="shared" ref="AX38:AZ38" si="272">AX12-AW12</f>
        <v>-0.51753559599999999</v>
      </c>
      <c r="AY38" s="90">
        <f t="shared" si="272"/>
        <v>-0.52468656000000002</v>
      </c>
      <c r="AZ38" s="90">
        <f t="shared" si="272"/>
        <v>0</v>
      </c>
      <c r="BA38" s="90">
        <f t="shared" si="243"/>
        <v>0</v>
      </c>
      <c r="BB38" s="90">
        <f>BB12-BA12</f>
        <v>9</v>
      </c>
      <c r="BC38" s="90">
        <f>BC12-BB12</f>
        <v>-2.99988557</v>
      </c>
      <c r="BD38" s="90">
        <f>BD12-BC12</f>
        <v>-1.5888324100000002</v>
      </c>
      <c r="BE38" s="90">
        <f t="shared" ref="BE38" si="273">BE12-BD12</f>
        <v>-4.4112820199999998</v>
      </c>
      <c r="BF38" s="90">
        <f t="shared" ref="BF38" si="274">BF12-BE12</f>
        <v>3.9999532250000001</v>
      </c>
      <c r="BG38" s="90">
        <f t="shared" ref="BG38:BH38" si="275">BG12-BF12</f>
        <v>-3.9999532250000001</v>
      </c>
      <c r="BH38" s="90">
        <f t="shared" si="245"/>
        <v>0</v>
      </c>
      <c r="BI38" s="90">
        <f t="shared" si="246"/>
        <v>0</v>
      </c>
      <c r="BJ38" s="90">
        <f t="shared" si="247"/>
        <v>0</v>
      </c>
      <c r="BK38" s="90">
        <f>BK12-BH12</f>
        <v>0</v>
      </c>
      <c r="BL38" s="90">
        <f>BL12-BH12</f>
        <v>0</v>
      </c>
      <c r="BM38" s="90">
        <f>BM12-BH12</f>
        <v>0</v>
      </c>
      <c r="BN38" s="90">
        <f>BN12-BH12</f>
        <v>0</v>
      </c>
      <c r="BO38" s="90">
        <f>BO12-BI12</f>
        <v>0</v>
      </c>
      <c r="BP38" s="72">
        <f t="shared" si="202"/>
        <v>-4.6500000000000004</v>
      </c>
      <c r="BR38" s="159">
        <f t="shared" si="201"/>
        <v>-7.2656250000000006E-2</v>
      </c>
    </row>
    <row r="39" spans="1:70">
      <c r="A39" s="104" t="s">
        <v>126</v>
      </c>
      <c r="B39" s="104" t="s">
        <v>9</v>
      </c>
      <c r="C39" s="90"/>
      <c r="D39" s="90">
        <f t="shared" si="204"/>
        <v>0</v>
      </c>
      <c r="E39" s="90">
        <f t="shared" si="204"/>
        <v>0</v>
      </c>
      <c r="F39" s="90">
        <f>F13-E13</f>
        <v>0</v>
      </c>
      <c r="G39" s="90">
        <f t="shared" si="234"/>
        <v>0</v>
      </c>
      <c r="H39" s="90">
        <f t="shared" si="234"/>
        <v>0</v>
      </c>
      <c r="I39" s="90">
        <f t="shared" si="234"/>
        <v>0</v>
      </c>
      <c r="J39" s="90">
        <f>J13-H13</f>
        <v>0</v>
      </c>
      <c r="K39" s="90">
        <f>K13-J13</f>
        <v>0.10485</v>
      </c>
      <c r="L39" s="90">
        <f>L13-K13</f>
        <v>0.43515000000000004</v>
      </c>
      <c r="M39" s="90">
        <v>0</v>
      </c>
      <c r="N39" s="90">
        <f t="shared" si="235"/>
        <v>-0.73</v>
      </c>
      <c r="O39" s="90">
        <f t="shared" ref="O39" si="276">O13-N13</f>
        <v>0</v>
      </c>
      <c r="P39" s="90">
        <f>P13-N13</f>
        <v>0</v>
      </c>
      <c r="Q39" s="90">
        <f>Q13-O13</f>
        <v>0</v>
      </c>
      <c r="R39" s="90">
        <f t="shared" si="237"/>
        <v>0</v>
      </c>
      <c r="S39" s="90">
        <f t="shared" si="237"/>
        <v>0</v>
      </c>
      <c r="T39" s="90">
        <f t="shared" ref="T39:W40" si="277">T13-S13</f>
        <v>0</v>
      </c>
      <c r="U39" s="90">
        <f t="shared" si="277"/>
        <v>0</v>
      </c>
      <c r="V39" s="90">
        <f t="shared" si="277"/>
        <v>0</v>
      </c>
      <c r="W39" s="90">
        <f t="shared" si="277"/>
        <v>0</v>
      </c>
      <c r="X39" s="90">
        <f t="shared" ref="X39" si="278">X13-W13</f>
        <v>0</v>
      </c>
      <c r="Y39" s="90">
        <f t="shared" si="238"/>
        <v>0</v>
      </c>
      <c r="Z39" s="90">
        <f t="shared" si="238"/>
        <v>0</v>
      </c>
      <c r="AA39" s="90">
        <f t="shared" si="208"/>
        <v>0</v>
      </c>
      <c r="AB39" s="90">
        <f t="shared" si="239"/>
        <v>0</v>
      </c>
      <c r="AC39" s="90">
        <f t="shared" si="239"/>
        <v>0</v>
      </c>
      <c r="AD39" s="90">
        <v>0</v>
      </c>
      <c r="AE39" s="90">
        <v>0</v>
      </c>
      <c r="AF39" s="90">
        <v>0</v>
      </c>
      <c r="AG39" s="90">
        <v>0</v>
      </c>
      <c r="AH39" s="90">
        <f t="shared" si="240"/>
        <v>0</v>
      </c>
      <c r="AI39" s="90">
        <f t="shared" si="240"/>
        <v>0</v>
      </c>
      <c r="AJ39" s="90">
        <f t="shared" si="240"/>
        <v>0</v>
      </c>
      <c r="AK39" s="90">
        <f t="shared" si="240"/>
        <v>0</v>
      </c>
      <c r="AL39" s="90">
        <f t="shared" si="240"/>
        <v>0</v>
      </c>
      <c r="AM39" s="90">
        <f t="shared" si="240"/>
        <v>0</v>
      </c>
      <c r="AN39" s="90">
        <f>AN13-AH13</f>
        <v>0</v>
      </c>
      <c r="AO39" s="90">
        <f t="shared" si="241"/>
        <v>0</v>
      </c>
      <c r="AP39" s="90">
        <f>AP13-AN13</f>
        <v>0</v>
      </c>
      <c r="AQ39" s="90">
        <f t="shared" ref="AQ39:AQ40" si="279">AQ13-AP13</f>
        <v>0</v>
      </c>
      <c r="AR39" s="90">
        <f>AR13-AP13</f>
        <v>0</v>
      </c>
      <c r="AS39" s="90">
        <f t="shared" ref="AS39:AS40" si="280">AS13-AQ13</f>
        <v>0</v>
      </c>
      <c r="AT39" s="90">
        <f>AT13-AQ13</f>
        <v>0</v>
      </c>
      <c r="AU39" s="90">
        <f t="shared" si="271"/>
        <v>0</v>
      </c>
      <c r="AV39" s="90">
        <f>AV13-AT13</f>
        <v>0</v>
      </c>
      <c r="AW39" s="90">
        <f>AW13-AT13</f>
        <v>0</v>
      </c>
      <c r="AX39" s="90">
        <f>AX13-AT13</f>
        <v>0</v>
      </c>
      <c r="AY39" s="90">
        <f>AY13-AT13</f>
        <v>0</v>
      </c>
      <c r="AZ39" s="90">
        <f>AZ13-AU13</f>
        <v>0</v>
      </c>
      <c r="BA39" s="90">
        <f>BA13-AT13</f>
        <v>0</v>
      </c>
      <c r="BB39" s="90">
        <f>BB13-AT13</f>
        <v>0</v>
      </c>
      <c r="BC39" s="90">
        <f>BC13-AT13</f>
        <v>0</v>
      </c>
      <c r="BD39" s="90">
        <f>BD13-AT13</f>
        <v>0</v>
      </c>
      <c r="BE39" s="90">
        <f>BE13-AT13</f>
        <v>0</v>
      </c>
      <c r="BF39" s="90">
        <f>BF13-AT13</f>
        <v>0</v>
      </c>
      <c r="BG39" s="90">
        <f t="shared" si="226"/>
        <v>0</v>
      </c>
      <c r="BH39" s="90">
        <f t="shared" si="245"/>
        <v>0</v>
      </c>
      <c r="BI39" s="90">
        <f t="shared" si="246"/>
        <v>0</v>
      </c>
      <c r="BJ39" s="90">
        <f t="shared" si="247"/>
        <v>0</v>
      </c>
      <c r="BK39" s="90">
        <f>BK13-BH13</f>
        <v>0</v>
      </c>
      <c r="BL39" s="90">
        <f>BL13-BH13</f>
        <v>0</v>
      </c>
      <c r="BM39" s="90">
        <f>BM13-BH13</f>
        <v>0</v>
      </c>
      <c r="BN39" s="90">
        <f>BN13-BH13</f>
        <v>0</v>
      </c>
      <c r="BO39" s="90">
        <f>BO13-BI13</f>
        <v>0</v>
      </c>
      <c r="BP39" s="72">
        <f t="shared" si="202"/>
        <v>-0.18999999999999995</v>
      </c>
      <c r="BR39" s="159">
        <f t="shared" si="201"/>
        <v>-2.9687499999999992E-3</v>
      </c>
    </row>
    <row r="40" spans="1:70">
      <c r="A40" s="104" t="s">
        <v>127</v>
      </c>
      <c r="B40" s="104" t="s">
        <v>7</v>
      </c>
      <c r="C40" s="90"/>
      <c r="D40" s="90">
        <f>D14-C14</f>
        <v>0</v>
      </c>
      <c r="E40" s="90">
        <f t="shared" ref="E40:I40" si="281">E14-D14</f>
        <v>0</v>
      </c>
      <c r="F40" s="90">
        <f t="shared" si="281"/>
        <v>0</v>
      </c>
      <c r="G40" s="90">
        <f t="shared" si="281"/>
        <v>0</v>
      </c>
      <c r="H40" s="90">
        <f t="shared" si="281"/>
        <v>0</v>
      </c>
      <c r="I40" s="90">
        <f t="shared" si="281"/>
        <v>0</v>
      </c>
      <c r="J40" s="90">
        <f>J14-H14</f>
        <v>0</v>
      </c>
      <c r="K40" s="90">
        <f>K14-H14</f>
        <v>0</v>
      </c>
      <c r="L40" s="90">
        <f>L14-I14</f>
        <v>0</v>
      </c>
      <c r="M40" s="90">
        <f>M14-L14</f>
        <v>0</v>
      </c>
      <c r="N40" s="90">
        <f t="shared" si="235"/>
        <v>0</v>
      </c>
      <c r="O40" s="90">
        <f>O14-J14</f>
        <v>0</v>
      </c>
      <c r="P40" s="90">
        <f>P14-J14</f>
        <v>0</v>
      </c>
      <c r="Q40" s="90">
        <f>Q14-K14</f>
        <v>0</v>
      </c>
      <c r="R40" s="90">
        <f t="shared" si="237"/>
        <v>0</v>
      </c>
      <c r="S40" s="90">
        <f t="shared" si="237"/>
        <v>0</v>
      </c>
      <c r="T40" s="90">
        <f t="shared" si="277"/>
        <v>0</v>
      </c>
      <c r="U40" s="90">
        <f t="shared" si="277"/>
        <v>0</v>
      </c>
      <c r="V40" s="90">
        <f t="shared" si="277"/>
        <v>2.3004000000000024E-2</v>
      </c>
      <c r="W40" s="90">
        <f t="shared" si="277"/>
        <v>1.4599999999997948E-4</v>
      </c>
      <c r="X40" s="90">
        <f t="shared" ref="X40" si="282">X14-W14</f>
        <v>-3.7559999999999816E-3</v>
      </c>
      <c r="Y40" s="90">
        <f t="shared" si="238"/>
        <v>6.1079999999999468E-3</v>
      </c>
      <c r="Z40" s="90">
        <f t="shared" si="238"/>
        <v>-1.8311999999999939E-2</v>
      </c>
      <c r="AA40" s="90">
        <v>0</v>
      </c>
      <c r="AB40" s="90">
        <v>0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0</v>
      </c>
      <c r="AI40" s="90">
        <v>0</v>
      </c>
      <c r="AJ40" s="90">
        <v>0</v>
      </c>
      <c r="AK40" s="90">
        <v>0</v>
      </c>
      <c r="AL40" s="90">
        <v>0</v>
      </c>
      <c r="AM40" s="90">
        <v>0</v>
      </c>
      <c r="AN40" s="90">
        <v>0</v>
      </c>
      <c r="AO40" s="90">
        <v>0</v>
      </c>
      <c r="AP40" s="90">
        <v>0</v>
      </c>
      <c r="AQ40" s="90">
        <v>0</v>
      </c>
      <c r="AR40" s="90">
        <v>0</v>
      </c>
      <c r="AS40" s="90">
        <v>0</v>
      </c>
      <c r="AT40" s="90">
        <v>0</v>
      </c>
      <c r="AU40" s="90">
        <v>0</v>
      </c>
      <c r="AV40" s="90">
        <v>0</v>
      </c>
      <c r="AW40" s="90">
        <v>0</v>
      </c>
      <c r="AX40" s="90">
        <v>0</v>
      </c>
      <c r="AY40" s="90">
        <v>0</v>
      </c>
      <c r="AZ40" s="90">
        <v>0</v>
      </c>
      <c r="BA40" s="90">
        <v>0</v>
      </c>
      <c r="BB40" s="90">
        <v>0</v>
      </c>
      <c r="BC40" s="90">
        <v>0</v>
      </c>
      <c r="BD40" s="90">
        <v>0</v>
      </c>
      <c r="BE40" s="90">
        <v>0</v>
      </c>
      <c r="BF40" s="90">
        <v>0</v>
      </c>
      <c r="BG40" s="90">
        <v>0</v>
      </c>
      <c r="BH40" s="90">
        <v>0</v>
      </c>
      <c r="BI40" s="90">
        <v>0</v>
      </c>
      <c r="BJ40" s="90">
        <v>0</v>
      </c>
      <c r="BK40" s="90">
        <v>0</v>
      </c>
      <c r="BL40" s="90">
        <v>0</v>
      </c>
      <c r="BM40" s="90">
        <v>0</v>
      </c>
      <c r="BN40" s="90">
        <v>0</v>
      </c>
      <c r="BO40" s="90">
        <v>0</v>
      </c>
      <c r="BP40" s="72">
        <f t="shared" si="202"/>
        <v>7.1900000000000297E-3</v>
      </c>
      <c r="BR40" s="159">
        <f t="shared" si="201"/>
        <v>1.1234375000000046E-4</v>
      </c>
    </row>
    <row r="41" spans="1:70">
      <c r="A41" s="98" t="s">
        <v>129</v>
      </c>
      <c r="B41" s="98"/>
      <c r="C41" s="74"/>
      <c r="D41" s="84">
        <f>SUM(D30:D40)</f>
        <v>0.87387083299999668</v>
      </c>
      <c r="E41" s="84">
        <f t="shared" ref="E41:L41" si="283">SUM(E30:E40)</f>
        <v>-1.3199999999999996</v>
      </c>
      <c r="F41" s="84">
        <f t="shared" si="283"/>
        <v>2.2035016140000003</v>
      </c>
      <c r="G41" s="84">
        <f t="shared" si="283"/>
        <v>1.0073171190000003</v>
      </c>
      <c r="H41" s="84">
        <f t="shared" si="283"/>
        <v>2.142066541000001</v>
      </c>
      <c r="I41" s="84">
        <f t="shared" si="283"/>
        <v>2.6721885889999997</v>
      </c>
      <c r="J41" s="84">
        <f t="shared" ref="J41:K41" si="284">SUM(J30:J40)</f>
        <v>0.84223512800000222</v>
      </c>
      <c r="K41" s="84">
        <f t="shared" si="284"/>
        <v>2.2449106090000015</v>
      </c>
      <c r="L41" s="84">
        <f t="shared" si="283"/>
        <v>6.8118073999999948</v>
      </c>
      <c r="M41" s="84">
        <f t="shared" ref="M41:BO41" si="285">SUM(M30:M40)</f>
        <v>1.315373637000012</v>
      </c>
      <c r="N41" s="84">
        <f t="shared" ref="N41:P41" si="286">SUM(N30:N40)</f>
        <v>1.2660819899999982</v>
      </c>
      <c r="O41" s="84">
        <f t="shared" si="286"/>
        <v>2.8686472979999871</v>
      </c>
      <c r="P41" s="84">
        <f t="shared" si="286"/>
        <v>2.1644424389999992</v>
      </c>
      <c r="Q41" s="84">
        <f t="shared" ref="Q41:R41" si="287">SUM(Q30:Q40)</f>
        <v>0.53741635500000573</v>
      </c>
      <c r="R41" s="84">
        <f t="shared" si="287"/>
        <v>2.0755573879999831</v>
      </c>
      <c r="S41" s="84">
        <f t="shared" ref="S41:T41" si="288">SUM(S30:S40)</f>
        <v>1.5719273419999962</v>
      </c>
      <c r="T41" s="84">
        <f t="shared" si="288"/>
        <v>-0.67979210999999407</v>
      </c>
      <c r="U41" s="84">
        <f t="shared" ref="U41:W41" si="289">SUM(U30:U40)</f>
        <v>0.58736900000000158</v>
      </c>
      <c r="V41" s="84">
        <f t="shared" si="289"/>
        <v>1.1400828479999991</v>
      </c>
      <c r="W41" s="84">
        <f t="shared" si="289"/>
        <v>7.2698360260000001</v>
      </c>
      <c r="X41" s="84">
        <f t="shared" ref="X41:Y41" si="290">SUM(X30:X40)</f>
        <v>1.5671272799999811</v>
      </c>
      <c r="Y41" s="84">
        <f t="shared" si="290"/>
        <v>0.9498857810000374</v>
      </c>
      <c r="Z41" s="84">
        <f t="shared" ref="Z41:AA41" si="291">SUM(Z30:Z40)</f>
        <v>3.7871657810000401</v>
      </c>
      <c r="AA41" s="84">
        <f t="shared" si="291"/>
        <v>2.9045966871030027</v>
      </c>
      <c r="AB41" s="84">
        <f t="shared" ref="AB41:AD41" si="292">SUM(AB30:AB40)</f>
        <v>3.3667444409999905</v>
      </c>
      <c r="AC41" s="84">
        <f t="shared" si="292"/>
        <v>3.3667444409999905</v>
      </c>
      <c r="AD41" s="84">
        <f t="shared" si="292"/>
        <v>2.877112932000002</v>
      </c>
      <c r="AE41" s="84">
        <f t="shared" ref="AE41:AF41" si="293">SUM(AE30:AE40)</f>
        <v>1.9289180889999962</v>
      </c>
      <c r="AF41" s="84">
        <f t="shared" si="293"/>
        <v>-0.22039600900000389</v>
      </c>
      <c r="AG41" s="84">
        <f t="shared" ref="AG41:AH41" si="294">SUM(AG30:AG40)</f>
        <v>2.1868198160000056</v>
      </c>
      <c r="AH41" s="84">
        <f t="shared" si="294"/>
        <v>9.0733296129999914</v>
      </c>
      <c r="AI41" s="84">
        <f t="shared" ref="AI41:AJ41" si="295">SUM(AI30:AI40)</f>
        <v>0.41842487100000492</v>
      </c>
      <c r="AJ41" s="84">
        <f t="shared" si="295"/>
        <v>1.6184500559999981</v>
      </c>
      <c r="AK41" s="84">
        <f t="shared" ref="AK41:AL41" si="296">SUM(AK30:AK40)</f>
        <v>1.3544633179999954</v>
      </c>
      <c r="AL41" s="84">
        <f t="shared" si="296"/>
        <v>1.1354380750000077</v>
      </c>
      <c r="AM41" s="84">
        <f t="shared" ref="AM41:AP41" si="297">SUM(AM30:AM40)</f>
        <v>2.9636252649999988</v>
      </c>
      <c r="AN41" s="84">
        <f t="shared" si="297"/>
        <v>4.8534567140000053</v>
      </c>
      <c r="AO41" s="84">
        <f t="shared" si="297"/>
        <v>-1.2920315949999939</v>
      </c>
      <c r="AP41" s="84">
        <f t="shared" si="297"/>
        <v>5.707833010000007</v>
      </c>
      <c r="AQ41" s="84">
        <f t="shared" ref="AQ41:AY41" si="298">SUM(AQ30:AQ40)</f>
        <v>2.3873803450000026</v>
      </c>
      <c r="AR41" s="84">
        <f t="shared" si="298"/>
        <v>0.38244406199999936</v>
      </c>
      <c r="AS41" s="84">
        <f t="shared" si="298"/>
        <v>2.750390052999983</v>
      </c>
      <c r="AT41" s="84">
        <f t="shared" si="298"/>
        <v>7.3916483679999949</v>
      </c>
      <c r="AU41" s="84">
        <f t="shared" si="298"/>
        <v>3.1006464860000071</v>
      </c>
      <c r="AV41" s="84">
        <f t="shared" si="298"/>
        <v>3.7692391839999968</v>
      </c>
      <c r="AW41" s="84">
        <f t="shared" si="298"/>
        <v>0.39121628799999031</v>
      </c>
      <c r="AX41" s="84">
        <f t="shared" si="298"/>
        <v>1.8375799179999892</v>
      </c>
      <c r="AY41" s="84">
        <f t="shared" si="298"/>
        <v>4.226619278000034</v>
      </c>
      <c r="AZ41" s="84">
        <f t="shared" ref="AZ41:BH41" si="299">SUM(AZ30:AZ40)</f>
        <v>-0.29240220395601457</v>
      </c>
      <c r="BA41" s="84">
        <f t="shared" si="299"/>
        <v>3.3244546159560038</v>
      </c>
      <c r="BB41" s="84">
        <f t="shared" si="299"/>
        <v>5.4206839309999939</v>
      </c>
      <c r="BC41" s="84">
        <f t="shared" si="299"/>
        <v>0.5340792439999924</v>
      </c>
      <c r="BD41" s="84">
        <f t="shared" si="299"/>
        <v>1.5172127230000116</v>
      </c>
      <c r="BE41" s="84">
        <f t="shared" si="299"/>
        <v>-1.2231808450000137</v>
      </c>
      <c r="BF41" s="84">
        <f t="shared" si="299"/>
        <v>6.2846957370000185</v>
      </c>
      <c r="BG41" s="84">
        <f t="shared" si="299"/>
        <v>-2.8938203070000217</v>
      </c>
      <c r="BH41" s="84">
        <f t="shared" ref="BH41:BO41" si="300">SUM(BH30:BH40)</f>
        <v>0.24651346300000698</v>
      </c>
      <c r="BI41" s="84">
        <f t="shared" ref="BI41:BN41" si="301">SUM(BI30:BI40)</f>
        <v>3.3750741439999818</v>
      </c>
      <c r="BJ41" s="84">
        <f t="shared" si="301"/>
        <v>1.5106211729999997</v>
      </c>
      <c r="BK41" s="84">
        <f t="shared" si="301"/>
        <v>1.8249935019999921</v>
      </c>
      <c r="BL41" s="84">
        <f t="shared" si="301"/>
        <v>0.80612127500001263</v>
      </c>
      <c r="BM41" s="84">
        <f t="shared" si="301"/>
        <v>1.2757496249999889</v>
      </c>
      <c r="BN41" s="84">
        <f t="shared" si="301"/>
        <v>1.924986637999992</v>
      </c>
      <c r="BO41" s="84">
        <f t="shared" si="300"/>
        <v>0.52506121799999761</v>
      </c>
      <c r="BP41" s="72">
        <f t="shared" si="202"/>
        <v>136.54055652710298</v>
      </c>
      <c r="BR41" s="159">
        <f t="shared" si="201"/>
        <v>2.133446195735984</v>
      </c>
    </row>
    <row r="43" spans="1:70">
      <c r="A43" s="206" t="s">
        <v>14</v>
      </c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6"/>
      <c r="AX43" s="206"/>
      <c r="AY43" s="206"/>
      <c r="AZ43" s="206"/>
      <c r="BA43" s="206"/>
      <c r="BB43" s="206"/>
      <c r="BC43" s="206"/>
      <c r="BD43" s="206"/>
      <c r="BE43" s="206"/>
      <c r="BF43" s="206"/>
      <c r="BG43" s="206"/>
      <c r="BH43" s="206"/>
      <c r="BI43" s="206"/>
      <c r="BJ43" s="206"/>
      <c r="BK43" s="206"/>
      <c r="BL43" s="206"/>
      <c r="BM43" s="206"/>
      <c r="BN43" s="206"/>
      <c r="BO43" s="206"/>
    </row>
    <row r="44" spans="1:70">
      <c r="A44" s="105" t="s">
        <v>117</v>
      </c>
      <c r="B44" s="105" t="s">
        <v>6</v>
      </c>
      <c r="C44" s="91"/>
      <c r="D44" s="92">
        <f t="shared" ref="D44:J51" si="302">D4-C4-D30</f>
        <v>0.24057766700000716</v>
      </c>
      <c r="E44" s="92">
        <f t="shared" si="302"/>
        <v>0.76860350000000133</v>
      </c>
      <c r="F44" s="92">
        <f t="shared" si="302"/>
        <v>0.13675799999999749</v>
      </c>
      <c r="G44" s="92">
        <f t="shared" si="302"/>
        <v>0.5712199999999974</v>
      </c>
      <c r="H44" s="92">
        <f t="shared" si="302"/>
        <v>1.499022499999991</v>
      </c>
      <c r="I44" s="92">
        <f t="shared" si="302"/>
        <v>0.20633050000000686</v>
      </c>
      <c r="J44" s="92">
        <f t="shared" si="302"/>
        <v>0.91990000000000616</v>
      </c>
      <c r="K44" s="92">
        <f t="shared" ref="K44:O44" si="303">K4-J4-K30</f>
        <v>1.1096549999999923</v>
      </c>
      <c r="L44" s="92">
        <f t="shared" si="303"/>
        <v>0.73528470000002044</v>
      </c>
      <c r="M44" s="92">
        <f t="shared" si="303"/>
        <v>0.2273912999999772</v>
      </c>
      <c r="N44" s="92">
        <f t="shared" si="303"/>
        <v>-0.95176839999998109</v>
      </c>
      <c r="O44" s="92">
        <f t="shared" si="303"/>
        <v>-7.0097600000005533E-2</v>
      </c>
      <c r="P44" s="92">
        <f t="shared" ref="P44:V44" si="304">P4-O4-P30</f>
        <v>0.69226990000000566</v>
      </c>
      <c r="Q44" s="92">
        <f t="shared" si="304"/>
        <v>-3.6499531000000243</v>
      </c>
      <c r="R44" s="92">
        <f t="shared" si="304"/>
        <v>2.3395823000000169</v>
      </c>
      <c r="S44" s="92">
        <f t="shared" si="304"/>
        <v>-0.22544249999997801</v>
      </c>
      <c r="T44" s="92">
        <f t="shared" si="304"/>
        <v>-1.7569609000000148</v>
      </c>
      <c r="U44" s="92">
        <f t="shared" si="304"/>
        <v>-0.95170169999999832</v>
      </c>
      <c r="V44" s="92">
        <f t="shared" si="304"/>
        <v>3.8098768999999808</v>
      </c>
      <c r="W44" s="92">
        <f t="shared" ref="W44:X54" si="305">W4-V4-W30</f>
        <v>1.0053911999999956</v>
      </c>
      <c r="X44" s="92">
        <f t="shared" si="305"/>
        <v>-1.0904006999999929</v>
      </c>
      <c r="Y44" s="92">
        <f t="shared" ref="Y44:AC54" si="306">Y4-X4-Y30</f>
        <v>1.5551879999999887</v>
      </c>
      <c r="Z44" s="92">
        <f t="shared" si="306"/>
        <v>4.6357299999977286E-2</v>
      </c>
      <c r="AA44" s="92">
        <f t="shared" si="306"/>
        <v>-1.2490691999999899</v>
      </c>
      <c r="AB44" s="92">
        <f t="shared" si="306"/>
        <v>-0.19512660000000004</v>
      </c>
      <c r="AC44" s="92">
        <f t="shared" si="306"/>
        <v>-0.12177290000000163</v>
      </c>
      <c r="AD44" s="92">
        <f t="shared" ref="AD44:AO54" si="307">AD4-AC4-AD30</f>
        <v>-0.57967159999998219</v>
      </c>
      <c r="AE44" s="92">
        <f t="shared" si="307"/>
        <v>2.5645349999999896</v>
      </c>
      <c r="AF44" s="92">
        <f t="shared" si="307"/>
        <v>2.577629999999993</v>
      </c>
      <c r="AG44" s="92">
        <f t="shared" si="307"/>
        <v>1.8416880999999856</v>
      </c>
      <c r="AH44" s="92">
        <f t="shared" si="307"/>
        <v>2.1366081000000348</v>
      </c>
      <c r="AI44" s="92">
        <f t="shared" si="307"/>
        <v>0.53252879999998159</v>
      </c>
      <c r="AJ44" s="92">
        <f t="shared" si="307"/>
        <v>1.6470371000000028</v>
      </c>
      <c r="AK44" s="92">
        <f t="shared" si="307"/>
        <v>-0.1909409999999995</v>
      </c>
      <c r="AL44" s="92">
        <f t="shared" si="307"/>
        <v>4.3784173000000131</v>
      </c>
      <c r="AM44" s="92">
        <f t="shared" si="307"/>
        <v>3.0350327999999998</v>
      </c>
      <c r="AN44" s="92">
        <f t="shared" si="307"/>
        <v>2.0593748000000032</v>
      </c>
      <c r="AO44" s="92">
        <f t="shared" si="307"/>
        <v>2.4631446999999755</v>
      </c>
      <c r="AP44" s="92">
        <f>AP4-AO4-AP30</f>
        <v>0.12710259999998952</v>
      </c>
      <c r="AQ44" s="92">
        <f>AQ4-AP4-AQ30</f>
        <v>0.54969370000000328</v>
      </c>
      <c r="AR44" s="92">
        <f>AR4-AQ4-AR30</f>
        <v>0.20441650000000322</v>
      </c>
      <c r="AS44" s="92">
        <f>AS4-AR4-AS30</f>
        <v>4.2722374000000229</v>
      </c>
      <c r="AT44" s="92">
        <f>AT4-AS4-AT30</f>
        <v>5.5558333999999787</v>
      </c>
      <c r="AU44" s="92">
        <f>AU4-AT4-AU30</f>
        <v>1.1912132000000293</v>
      </c>
      <c r="AV44" s="92">
        <f t="shared" ref="AV44:AV54" si="308">AV4-AU4-AV30</f>
        <v>-0.42597660000000048</v>
      </c>
      <c r="AW44" s="92">
        <f t="shared" ref="AW44:BB54" si="309">AW4-AV4-AW30</f>
        <v>-6.0192410000000196</v>
      </c>
      <c r="AX44" s="92">
        <f t="shared" si="309"/>
        <v>-1.1238671999999861</v>
      </c>
      <c r="AY44" s="92">
        <f t="shared" si="309"/>
        <v>-1.2447926000000127</v>
      </c>
      <c r="AZ44" s="92">
        <f t="shared" si="309"/>
        <v>-3.5589693290439923</v>
      </c>
      <c r="BA44" s="92">
        <f t="shared" si="309"/>
        <v>-7.2965974709560122</v>
      </c>
      <c r="BB44" s="92">
        <f t="shared" si="309"/>
        <v>2.685537799999997</v>
      </c>
      <c r="BC44" s="92">
        <f>BC4-BB4-BC30</f>
        <v>2.7071355999999915</v>
      </c>
      <c r="BD44" s="92">
        <f>BD4-BC4-BD30</f>
        <v>2.4961052000000166</v>
      </c>
      <c r="BE44" s="92">
        <f>BE4-BD4-BE30</f>
        <v>2.4188655999999988</v>
      </c>
      <c r="BF44" s="92">
        <f>BF4-BE4-BF30</f>
        <v>-2.9797519000000237</v>
      </c>
      <c r="BG44" s="92">
        <f>BG4-BF4-BG30</f>
        <v>1.5526648999999935</v>
      </c>
      <c r="BH44" s="92">
        <f>BH4-BG4-BH30</f>
        <v>-2.6630986999999835</v>
      </c>
      <c r="BI44" s="92">
        <f>BI4-BH4-BI30</f>
        <v>2.301251999999991</v>
      </c>
      <c r="BJ44" s="92">
        <f>BJ4-BI4-BJ30</f>
        <v>0.82888260000002845</v>
      </c>
      <c r="BK44" s="92">
        <f>BK4-BJ4-BK30</f>
        <v>-0.37359940000001757</v>
      </c>
      <c r="BL44" s="92">
        <f>BL4-BK4-BL30</f>
        <v>-1.9779408999999788</v>
      </c>
      <c r="BM44" s="92">
        <f>BM4-BL4-BM30</f>
        <v>0.11412309999997877</v>
      </c>
      <c r="BN44" s="92">
        <f>BN4-BM4-BN30</f>
        <v>-6.1312098999999805</v>
      </c>
      <c r="BO44" s="92">
        <f>BO4-BN4-BO30</f>
        <v>4.5095286999999686</v>
      </c>
      <c r="BP44" s="72">
        <f>SUM(D44:BO44)</f>
        <v>25.786046566999953</v>
      </c>
      <c r="BR44" s="159">
        <f t="shared" ref="BR44:BR55" si="310">BP44/$BQ$2</f>
        <v>0.40290697760937427</v>
      </c>
    </row>
    <row r="45" spans="1:70">
      <c r="A45" s="105" t="s">
        <v>119</v>
      </c>
      <c r="B45" s="105" t="s">
        <v>6</v>
      </c>
      <c r="C45" s="91"/>
      <c r="D45" s="92">
        <f t="shared" si="302"/>
        <v>0.40692293881699371</v>
      </c>
      <c r="E45" s="92">
        <f t="shared" si="302"/>
        <v>3.0527171250000045</v>
      </c>
      <c r="F45" s="92">
        <f t="shared" si="302"/>
        <v>-0.45498323500000448</v>
      </c>
      <c r="G45" s="92">
        <f t="shared" si="302"/>
        <v>-0.21112255699999727</v>
      </c>
      <c r="H45" s="92">
        <f t="shared" si="302"/>
        <v>2.5313758519999991</v>
      </c>
      <c r="I45" s="92">
        <f t="shared" si="302"/>
        <v>1.3045393119999993</v>
      </c>
      <c r="J45" s="92">
        <f t="shared" si="302"/>
        <v>1.2760108440000024</v>
      </c>
      <c r="K45" s="92">
        <f t="shared" ref="K45:O53" si="311">K5-J5-K31</f>
        <v>2.314683590000004</v>
      </c>
      <c r="L45" s="92">
        <f t="shared" si="311"/>
        <v>0.31689139599999194</v>
      </c>
      <c r="M45" s="92">
        <f t="shared" si="311"/>
        <v>0.45415084200000666</v>
      </c>
      <c r="N45" s="92">
        <f t="shared" si="311"/>
        <v>-7.0342064999998843E-2</v>
      </c>
      <c r="O45" s="92">
        <f t="shared" si="311"/>
        <v>0.70895802199999536</v>
      </c>
      <c r="P45" s="92">
        <f t="shared" ref="P45:Q54" si="312">P5-O5-P31</f>
        <v>-0.46600785300000158</v>
      </c>
      <c r="Q45" s="92">
        <f t="shared" si="312"/>
        <v>-3.3910116909999912</v>
      </c>
      <c r="R45" s="92">
        <f t="shared" ref="R45:S54" si="313">R5-Q5-R31</f>
        <v>2.8926355569999993</v>
      </c>
      <c r="S45" s="92">
        <f t="shared" si="313"/>
        <v>-0.87348605300000559</v>
      </c>
      <c r="T45" s="92">
        <f t="shared" ref="T45:V54" si="314">T5-S5-T31</f>
        <v>-2.0449094799999981</v>
      </c>
      <c r="U45" s="92">
        <f t="shared" si="314"/>
        <v>-1.7634091170000148</v>
      </c>
      <c r="V45" s="92">
        <f t="shared" si="314"/>
        <v>3.7111645130000213</v>
      </c>
      <c r="W45" s="92">
        <f t="shared" si="305"/>
        <v>1.1780871669999851</v>
      </c>
      <c r="X45" s="92">
        <f t="shared" si="305"/>
        <v>-0.80264887999998424</v>
      </c>
      <c r="Y45" s="92">
        <f t="shared" si="306"/>
        <v>1.4815586949999839</v>
      </c>
      <c r="Z45" s="92">
        <f t="shared" si="306"/>
        <v>1.4814239299995702E-2</v>
      </c>
      <c r="AA45" s="92">
        <f t="shared" si="306"/>
        <v>-1.754572740403018</v>
      </c>
      <c r="AB45" s="92">
        <f t="shared" si="306"/>
        <v>-7.3386739999867778E-3</v>
      </c>
      <c r="AC45" s="92">
        <f t="shared" si="306"/>
        <v>-0.8175406359999946</v>
      </c>
      <c r="AD45" s="92">
        <f t="shared" si="307"/>
        <v>-0.41880425300000201</v>
      </c>
      <c r="AE45" s="92">
        <f t="shared" si="307"/>
        <v>2.2963908820000034</v>
      </c>
      <c r="AF45" s="92">
        <f t="shared" si="307"/>
        <v>3.5109949989999949</v>
      </c>
      <c r="AG45" s="92">
        <f t="shared" si="307"/>
        <v>2.5397511779999999</v>
      </c>
      <c r="AH45" s="92">
        <f t="shared" si="307"/>
        <v>2.1683013790000034</v>
      </c>
      <c r="AI45" s="92">
        <f t="shared" si="307"/>
        <v>1.6343274720000094</v>
      </c>
      <c r="AJ45" s="92">
        <f t="shared" si="307"/>
        <v>0.21987307899998643</v>
      </c>
      <c r="AK45" s="92">
        <f t="shared" si="307"/>
        <v>-8.2078680999992826E-2</v>
      </c>
      <c r="AL45" s="92">
        <f t="shared" si="307"/>
        <v>5.1687290919999738</v>
      </c>
      <c r="AM45" s="92">
        <f t="shared" si="307"/>
        <v>4.6085831290000296</v>
      </c>
      <c r="AN45" s="92">
        <f t="shared" si="307"/>
        <v>2.9315242159999846</v>
      </c>
      <c r="AO45" s="92">
        <f t="shared" si="307"/>
        <v>2.3689806900000265</v>
      </c>
      <c r="AP45" s="92">
        <f t="shared" ref="AP45:AQ54" si="315">AP5-AO5-AP31</f>
        <v>1.2670864089999654</v>
      </c>
      <c r="AQ45" s="92">
        <f t="shared" si="315"/>
        <v>2.2025774390000028</v>
      </c>
      <c r="AR45" s="92">
        <f t="shared" ref="AR45:AT50" si="316">AR5-AQ5-AR31</f>
        <v>2.1396047800000186</v>
      </c>
      <c r="AS45" s="92">
        <f t="shared" si="316"/>
        <v>7.8969855100000004</v>
      </c>
      <c r="AT45" s="92">
        <f t="shared" si="316"/>
        <v>3.9057753680000067</v>
      </c>
      <c r="AU45" s="92">
        <f t="shared" ref="AU45:AU54" si="317">AU5-AT5-AU31</f>
        <v>1.4245523450000048</v>
      </c>
      <c r="AV45" s="92">
        <f t="shared" si="308"/>
        <v>3.1534970729999925</v>
      </c>
      <c r="AW45" s="92">
        <f t="shared" si="309"/>
        <v>-5.997439704000012</v>
      </c>
      <c r="AX45" s="92">
        <f t="shared" si="309"/>
        <v>1.4249833370000453</v>
      </c>
      <c r="AY45" s="92">
        <f t="shared" si="309"/>
        <v>2.2885414849999504</v>
      </c>
      <c r="AZ45" s="92">
        <f t="shared" si="309"/>
        <v>-8.1688791730000272</v>
      </c>
      <c r="BA45" s="92">
        <f t="shared" si="309"/>
        <v>-9.1257288079999768</v>
      </c>
      <c r="BB45" s="92">
        <f t="shared" si="309"/>
        <v>4.1769868910000483</v>
      </c>
      <c r="BC45" s="92">
        <f t="shared" ref="BC45:BO51" si="318">BC5-BB5-BC31</f>
        <v>3.8406339889999508</v>
      </c>
      <c r="BD45" s="92">
        <f t="shared" si="318"/>
        <v>7.4871692830000329</v>
      </c>
      <c r="BE45" s="92">
        <f t="shared" si="318"/>
        <v>6.6334815349999987</v>
      </c>
      <c r="BF45" s="92">
        <f t="shared" si="318"/>
        <v>-2.3903970830000576</v>
      </c>
      <c r="BG45" s="92">
        <f t="shared" si="318"/>
        <v>3.4827043000081548E-2</v>
      </c>
      <c r="BH45" s="92">
        <f t="shared" si="318"/>
        <v>4.1818282869999788</v>
      </c>
      <c r="BI45" s="92">
        <f t="shared" si="318"/>
        <v>4.5088054850000212</v>
      </c>
      <c r="BJ45" s="92">
        <f t="shared" si="318"/>
        <v>-1.906437342000042</v>
      </c>
      <c r="BK45" s="92">
        <f t="shared" si="318"/>
        <v>-0.31782885500001012</v>
      </c>
      <c r="BL45" s="92">
        <f t="shared" si="318"/>
        <v>-3.4816892180000028</v>
      </c>
      <c r="BM45" s="92">
        <f t="shared" si="318"/>
        <v>-2.7728608849999499</v>
      </c>
      <c r="BN45" s="92">
        <f t="shared" si="318"/>
        <v>-12.769906137000021</v>
      </c>
      <c r="BO45" s="92">
        <f t="shared" si="318"/>
        <v>20.825759732000002</v>
      </c>
      <c r="BP45" s="72">
        <f t="shared" ref="BP45:BP55" si="319">SUM(D45:BO45)</f>
        <v>66.395639079714002</v>
      </c>
      <c r="BR45" s="159">
        <f t="shared" si="310"/>
        <v>1.0374318606205313</v>
      </c>
    </row>
    <row r="46" spans="1:70">
      <c r="A46" s="105" t="s">
        <v>8</v>
      </c>
      <c r="B46" s="105" t="s">
        <v>8</v>
      </c>
      <c r="C46" s="91"/>
      <c r="D46" s="92">
        <f t="shared" si="302"/>
        <v>-2.1135999999999988E-2</v>
      </c>
      <c r="E46" s="92">
        <f t="shared" si="302"/>
        <v>-4.7239000000000031E-2</v>
      </c>
      <c r="F46" s="92">
        <f t="shared" si="302"/>
        <v>-1.4099499999999932E-2</v>
      </c>
      <c r="G46" s="92">
        <f t="shared" si="302"/>
        <v>2.752449999999973E-2</v>
      </c>
      <c r="H46" s="92">
        <f t="shared" si="302"/>
        <v>1.9703500000000096E-2</v>
      </c>
      <c r="I46" s="92">
        <f t="shared" si="302"/>
        <v>-1.7153499999999822E-2</v>
      </c>
      <c r="J46" s="92">
        <f t="shared" si="302"/>
        <v>-4.1364999999999874E-3</v>
      </c>
      <c r="K46" s="92">
        <f t="shared" si="311"/>
        <v>-1.346550000000013E-2</v>
      </c>
      <c r="L46" s="92">
        <f t="shared" si="311"/>
        <v>-4.1479999999998185E-3</v>
      </c>
      <c r="M46" s="92">
        <f t="shared" si="311"/>
        <v>1.0250000000000092E-2</v>
      </c>
      <c r="N46" s="92">
        <f t="shared" si="311"/>
        <v>3.3999999999996255E-3</v>
      </c>
      <c r="O46" s="92">
        <f t="shared" si="311"/>
        <v>-4.9999999999998934E-3</v>
      </c>
      <c r="P46" s="92">
        <f t="shared" si="312"/>
        <v>-8.8500000000000245E-3</v>
      </c>
      <c r="Q46" s="92">
        <f t="shared" si="312"/>
        <v>3.1100000000000128E-2</v>
      </c>
      <c r="R46" s="92">
        <f t="shared" si="313"/>
        <v>0</v>
      </c>
      <c r="S46" s="92">
        <f t="shared" si="313"/>
        <v>0</v>
      </c>
      <c r="T46" s="92">
        <f t="shared" si="314"/>
        <v>0</v>
      </c>
      <c r="U46" s="92">
        <f t="shared" si="314"/>
        <v>0</v>
      </c>
      <c r="V46" s="92">
        <f t="shared" si="314"/>
        <v>0</v>
      </c>
      <c r="W46" s="92">
        <f t="shared" si="305"/>
        <v>2.7801999999999882E-2</v>
      </c>
      <c r="X46" s="92">
        <f t="shared" si="305"/>
        <v>-2.1012000000000031E-2</v>
      </c>
      <c r="Y46" s="92">
        <f t="shared" si="306"/>
        <v>9.300000000000086E-3</v>
      </c>
      <c r="Z46" s="92">
        <f t="shared" si="306"/>
        <v>1.8642000000000047E-2</v>
      </c>
      <c r="AA46" s="92">
        <f t="shared" si="306"/>
        <v>5.1994999999999791E-2</v>
      </c>
      <c r="AB46" s="92">
        <f t="shared" si="306"/>
        <v>3.6772500000000319E-2</v>
      </c>
      <c r="AC46" s="92">
        <f t="shared" si="306"/>
        <v>-1.3024500000000216E-2</v>
      </c>
      <c r="AD46" s="92">
        <f t="shared" si="307"/>
        <v>6.2532000000000032E-2</v>
      </c>
      <c r="AE46" s="92">
        <f t="shared" si="307"/>
        <v>5.5668000000000051E-2</v>
      </c>
      <c r="AF46" s="92">
        <f t="shared" si="307"/>
        <v>5.4965499999999778E-2</v>
      </c>
      <c r="AG46" s="92">
        <f t="shared" si="307"/>
        <v>-1.9456499999999988E-2</v>
      </c>
      <c r="AH46" s="92">
        <f t="shared" si="307"/>
        <v>7.2460000000000857E-3</v>
      </c>
      <c r="AI46" s="92">
        <f t="shared" si="307"/>
        <v>-8.399999999999519E-4</v>
      </c>
      <c r="AJ46" s="92">
        <f t="shared" si="307"/>
        <v>-1.1242999999999892E-2</v>
      </c>
      <c r="AK46" s="92">
        <f t="shared" si="307"/>
        <v>2.2692999999999852E-2</v>
      </c>
      <c r="AL46" s="92">
        <f t="shared" si="307"/>
        <v>4.2647499999999949E-2</v>
      </c>
      <c r="AM46" s="92">
        <f t="shared" si="307"/>
        <v>2.5676500000000102E-2</v>
      </c>
      <c r="AN46" s="92">
        <f t="shared" si="307"/>
        <v>1.7974500000000004E-2</v>
      </c>
      <c r="AO46" s="92">
        <f t="shared" si="307"/>
        <v>-1.4103999999999894E-2</v>
      </c>
      <c r="AP46" s="92">
        <f t="shared" si="315"/>
        <v>0.11309649999999993</v>
      </c>
      <c r="AQ46" s="92">
        <f t="shared" si="315"/>
        <v>9.7720000000000029E-2</v>
      </c>
      <c r="AR46" s="92">
        <f t="shared" si="316"/>
        <v>7.6724999999999932E-2</v>
      </c>
      <c r="AS46" s="92">
        <f t="shared" si="316"/>
        <v>9.9540000000000184E-3</v>
      </c>
      <c r="AT46" s="92">
        <f t="shared" si="316"/>
        <v>3.1572999999999851E-2</v>
      </c>
      <c r="AU46" s="92">
        <f t="shared" si="317"/>
        <v>9.0230000000002253E-3</v>
      </c>
      <c r="AV46" s="92">
        <f t="shared" si="308"/>
        <v>8.2101999999999897E-2</v>
      </c>
      <c r="AW46" s="92">
        <f t="shared" si="309"/>
        <v>0.10424850000000019</v>
      </c>
      <c r="AX46" s="92">
        <f t="shared" si="309"/>
        <v>-7.2045000000000137E-2</v>
      </c>
      <c r="AY46" s="92">
        <f t="shared" si="309"/>
        <v>1.8748999999999683E-2</v>
      </c>
      <c r="AZ46" s="92">
        <f t="shared" si="309"/>
        <v>3.9485500000000506E-2</v>
      </c>
      <c r="BA46" s="92">
        <f t="shared" si="309"/>
        <v>5.5213999999999874E-2</v>
      </c>
      <c r="BB46" s="92">
        <f t="shared" si="309"/>
        <v>6.0559000000000029E-2</v>
      </c>
      <c r="BC46" s="92">
        <f t="shared" si="318"/>
        <v>9.0551000000000048E-2</v>
      </c>
      <c r="BD46" s="92">
        <f t="shared" si="318"/>
        <v>8.3166999999999991E-2</v>
      </c>
      <c r="BE46" s="92">
        <f t="shared" si="318"/>
        <v>8.4136999999999684E-2</v>
      </c>
      <c r="BF46" s="92">
        <f t="shared" si="318"/>
        <v>2.4183000000000288E-2</v>
      </c>
      <c r="BG46" s="92">
        <f t="shared" si="318"/>
        <v>0.34647950000000005</v>
      </c>
      <c r="BH46" s="92">
        <f t="shared" si="318"/>
        <v>0.48934899999999981</v>
      </c>
      <c r="BI46" s="92">
        <f t="shared" si="318"/>
        <v>-7.2700000000001097E-3</v>
      </c>
      <c r="BJ46" s="92">
        <f t="shared" si="318"/>
        <v>0.23956450000000018</v>
      </c>
      <c r="BK46" s="92">
        <f t="shared" si="318"/>
        <v>0.40933400000000031</v>
      </c>
      <c r="BL46" s="92">
        <f t="shared" si="318"/>
        <v>1.0283685</v>
      </c>
      <c r="BM46" s="92">
        <f t="shared" si="318"/>
        <v>-0.46836250000000046</v>
      </c>
      <c r="BN46" s="92">
        <f t="shared" si="318"/>
        <v>-0.45495600000000014</v>
      </c>
      <c r="BO46" s="92">
        <f t="shared" si="318"/>
        <v>0.13146150000000034</v>
      </c>
      <c r="BP46" s="72">
        <f t="shared" si="319"/>
        <v>2.9333955</v>
      </c>
      <c r="BR46" s="159">
        <f t="shared" si="310"/>
        <v>4.5834304687500001E-2</v>
      </c>
    </row>
    <row r="47" spans="1:70">
      <c r="A47" s="105" t="s">
        <v>120</v>
      </c>
      <c r="B47" s="105" t="s">
        <v>6</v>
      </c>
      <c r="C47" s="91"/>
      <c r="D47" s="92">
        <f t="shared" si="302"/>
        <v>1.4400000000000004</v>
      </c>
      <c r="E47" s="92">
        <f t="shared" si="302"/>
        <v>0.41000000000000014</v>
      </c>
      <c r="F47" s="92">
        <f t="shared" si="302"/>
        <v>-0.54100000000000037</v>
      </c>
      <c r="G47" s="92">
        <f t="shared" si="302"/>
        <v>-5.8999999999999275E-2</v>
      </c>
      <c r="H47" s="92">
        <f t="shared" si="302"/>
        <v>0.48999999999999932</v>
      </c>
      <c r="I47" s="92">
        <f t="shared" si="302"/>
        <v>5.9000000000000163E-2</v>
      </c>
      <c r="J47" s="92">
        <f t="shared" si="302"/>
        <v>7.3399999999999466E-2</v>
      </c>
      <c r="K47" s="92">
        <f t="shared" si="311"/>
        <v>0.57350000000000101</v>
      </c>
      <c r="L47" s="92">
        <f t="shared" si="311"/>
        <v>6.4099999999999491E-2</v>
      </c>
      <c r="M47" s="92">
        <f t="shared" si="311"/>
        <v>7.0000000000000284E-2</v>
      </c>
      <c r="N47" s="92">
        <f t="shared" si="311"/>
        <v>-0.21000000000000085</v>
      </c>
      <c r="O47" s="92">
        <f t="shared" si="311"/>
        <v>6.5000000000000391E-2</v>
      </c>
      <c r="P47" s="92">
        <f t="shared" si="312"/>
        <v>0.10500000000000043</v>
      </c>
      <c r="Q47" s="92">
        <f t="shared" si="312"/>
        <v>-0.57000000000000028</v>
      </c>
      <c r="R47" s="92">
        <f t="shared" si="313"/>
        <v>0.26999999999999957</v>
      </c>
      <c r="S47" s="92">
        <f t="shared" si="313"/>
        <v>-0.12600000000000033</v>
      </c>
      <c r="T47" s="92">
        <f t="shared" si="314"/>
        <v>-0.22399999999999931</v>
      </c>
      <c r="U47" s="92">
        <f t="shared" si="314"/>
        <v>-0.27000000000000046</v>
      </c>
      <c r="V47" s="92">
        <f t="shared" si="314"/>
        <v>0.58999999999999986</v>
      </c>
      <c r="W47" s="92">
        <f t="shared" si="305"/>
        <v>0.23000000000000009</v>
      </c>
      <c r="X47" s="92">
        <f t="shared" si="305"/>
        <v>-0.17999999999999972</v>
      </c>
      <c r="Y47" s="92">
        <f t="shared" si="306"/>
        <v>0.39000000000000057</v>
      </c>
      <c r="Z47" s="92">
        <f t="shared" si="306"/>
        <v>0.2159999999999993</v>
      </c>
      <c r="AA47" s="92">
        <f t="shared" si="306"/>
        <v>-0.24599999999999955</v>
      </c>
      <c r="AB47" s="92">
        <f t="shared" si="306"/>
        <v>-0.17100000000000026</v>
      </c>
      <c r="AC47" s="92">
        <f t="shared" si="306"/>
        <v>3.2000000000000028E-2</v>
      </c>
      <c r="AD47" s="92">
        <f t="shared" si="307"/>
        <v>-9.0999999999999304E-2</v>
      </c>
      <c r="AE47" s="92">
        <f t="shared" si="307"/>
        <v>0.39199999999999946</v>
      </c>
      <c r="AF47" s="92">
        <f t="shared" si="307"/>
        <v>0.29299999999999926</v>
      </c>
      <c r="AG47" s="92">
        <f t="shared" si="307"/>
        <v>0.30500000000000149</v>
      </c>
      <c r="AH47" s="92">
        <f t="shared" si="307"/>
        <v>0.18499999999999872</v>
      </c>
      <c r="AI47" s="92">
        <f t="shared" si="307"/>
        <v>6.3000000000000611E-2</v>
      </c>
      <c r="AJ47" s="92">
        <f t="shared" si="307"/>
        <v>4.7000000000000597E-2</v>
      </c>
      <c r="AK47" s="92">
        <f t="shared" si="307"/>
        <v>-8.9999999999999858E-2</v>
      </c>
      <c r="AL47" s="92">
        <f t="shared" si="307"/>
        <v>0.56879999999999953</v>
      </c>
      <c r="AM47" s="92">
        <f t="shared" si="307"/>
        <v>0.7392000000000003</v>
      </c>
      <c r="AN47" s="92">
        <f t="shared" si="307"/>
        <v>0.17399999999999949</v>
      </c>
      <c r="AO47" s="92">
        <f t="shared" si="307"/>
        <v>0.38700000000000045</v>
      </c>
      <c r="AP47" s="92">
        <f t="shared" si="315"/>
        <v>-0.44900000000000162</v>
      </c>
      <c r="AQ47" s="92">
        <f t="shared" si="315"/>
        <v>0.16200000000000081</v>
      </c>
      <c r="AR47" s="92">
        <f t="shared" si="316"/>
        <v>0.12899999999999956</v>
      </c>
      <c r="AS47" s="92">
        <f t="shared" si="316"/>
        <v>0.74399999999999977</v>
      </c>
      <c r="AT47" s="92">
        <f t="shared" si="316"/>
        <v>0.51100000000000068</v>
      </c>
      <c r="AU47" s="92">
        <f t="shared" si="317"/>
        <v>0.13700000000000045</v>
      </c>
      <c r="AV47" s="92">
        <f t="shared" si="308"/>
        <v>0.24699999999999989</v>
      </c>
      <c r="AW47" s="92">
        <f t="shared" si="309"/>
        <v>-0.84700000000000131</v>
      </c>
      <c r="AX47" s="92">
        <f t="shared" si="309"/>
        <v>3.700000000000081E-2</v>
      </c>
      <c r="AY47" s="92">
        <f t="shared" si="309"/>
        <v>2.000000000000135E-2</v>
      </c>
      <c r="AZ47" s="92">
        <f t="shared" si="309"/>
        <v>-0.52000000000000135</v>
      </c>
      <c r="BA47" s="92">
        <f t="shared" si="309"/>
        <v>-0.83000000000000007</v>
      </c>
      <c r="BB47" s="92">
        <f t="shared" si="309"/>
        <v>-2.9999999999999361E-2</v>
      </c>
      <c r="BC47" s="92">
        <f t="shared" si="318"/>
        <v>0.63999999999999879</v>
      </c>
      <c r="BD47" s="92">
        <f t="shared" si="318"/>
        <v>0.30500000000000149</v>
      </c>
      <c r="BE47" s="92">
        <f t="shared" si="318"/>
        <v>0.42499999999999893</v>
      </c>
      <c r="BF47" s="92">
        <f t="shared" si="318"/>
        <v>-0.45999999999999908</v>
      </c>
      <c r="BG47" s="92">
        <f t="shared" si="318"/>
        <v>-6.0000000000000497E-2</v>
      </c>
      <c r="BH47" s="92">
        <f t="shared" si="318"/>
        <v>0.32600000000000051</v>
      </c>
      <c r="BI47" s="92">
        <f t="shared" si="318"/>
        <v>0.42653999999999853</v>
      </c>
      <c r="BJ47" s="92">
        <f t="shared" si="318"/>
        <v>0.2552500000000002</v>
      </c>
      <c r="BK47" s="92">
        <f t="shared" si="318"/>
        <v>-2.0789999999998088E-2</v>
      </c>
      <c r="BL47" s="92">
        <f t="shared" si="318"/>
        <v>-0.33100000000000129</v>
      </c>
      <c r="BM47" s="92">
        <f t="shared" si="318"/>
        <v>9.3999999999999417E-2</v>
      </c>
      <c r="BN47" s="92">
        <f t="shared" si="318"/>
        <v>-1.5399999999999991</v>
      </c>
      <c r="BO47" s="92">
        <f t="shared" si="318"/>
        <v>0.28999999999999915</v>
      </c>
      <c r="BP47" s="72">
        <f t="shared" si="319"/>
        <v>5.1149999999999993</v>
      </c>
      <c r="BR47" s="159">
        <f t="shared" si="310"/>
        <v>7.9921874999999989E-2</v>
      </c>
    </row>
    <row r="48" spans="1:70">
      <c r="A48" s="105" t="s">
        <v>121</v>
      </c>
      <c r="B48" s="105" t="s">
        <v>7</v>
      </c>
      <c r="C48" s="91"/>
      <c r="D48" s="92">
        <f t="shared" si="302"/>
        <v>9.4999999999999918E-2</v>
      </c>
      <c r="E48" s="92">
        <f t="shared" si="302"/>
        <v>-4.9999999999998934E-3</v>
      </c>
      <c r="F48" s="92">
        <f t="shared" si="302"/>
        <v>8.0000000000000071E-3</v>
      </c>
      <c r="G48" s="92">
        <f t="shared" si="302"/>
        <v>0.24479999999999991</v>
      </c>
      <c r="H48" s="92">
        <f t="shared" si="302"/>
        <v>5.2000000000000934E-3</v>
      </c>
      <c r="I48" s="92">
        <f t="shared" si="302"/>
        <v>0</v>
      </c>
      <c r="J48" s="92">
        <f t="shared" si="302"/>
        <v>5.0999999999999934E-3</v>
      </c>
      <c r="K48" s="92">
        <f t="shared" si="311"/>
        <v>8.7700000000000555E-3</v>
      </c>
      <c r="L48" s="92">
        <f t="shared" si="311"/>
        <v>-4.5870000000000105E-2</v>
      </c>
      <c r="M48" s="92">
        <f t="shared" si="311"/>
        <v>-6.0000000000000053E-3</v>
      </c>
      <c r="N48" s="92">
        <f t="shared" si="311"/>
        <v>0</v>
      </c>
      <c r="O48" s="92">
        <f t="shared" si="311"/>
        <v>1.3000000000000012E-2</v>
      </c>
      <c r="P48" s="92">
        <f t="shared" si="312"/>
        <v>0</v>
      </c>
      <c r="Q48" s="92">
        <f t="shared" si="312"/>
        <v>3.0000000000000027E-3</v>
      </c>
      <c r="R48" s="92">
        <f t="shared" si="313"/>
        <v>0</v>
      </c>
      <c r="S48" s="92">
        <f t="shared" si="313"/>
        <v>6.4999999999999947E-2</v>
      </c>
      <c r="T48" s="92">
        <f t="shared" si="314"/>
        <v>-1.6999999999999904E-2</v>
      </c>
      <c r="U48" s="92">
        <f t="shared" si="314"/>
        <v>5.0000000000000044E-3</v>
      </c>
      <c r="V48" s="92">
        <f t="shared" si="314"/>
        <v>1.0000000000000009E-2</v>
      </c>
      <c r="W48" s="92">
        <f t="shared" si="305"/>
        <v>-3.8000000000000173E-2</v>
      </c>
      <c r="X48" s="92">
        <f t="shared" si="305"/>
        <v>2.7000000000000135E-2</v>
      </c>
      <c r="Y48" s="92">
        <f t="shared" si="306"/>
        <v>-1.6000000000000014E-2</v>
      </c>
      <c r="Z48" s="92">
        <f t="shared" si="306"/>
        <v>1.2000000000000011E-2</v>
      </c>
      <c r="AA48" s="92">
        <f t="shared" si="306"/>
        <v>4.9999999999998934E-3</v>
      </c>
      <c r="AB48" s="92">
        <f t="shared" si="306"/>
        <v>6.0000000000002274E-3</v>
      </c>
      <c r="AC48" s="92">
        <f t="shared" si="306"/>
        <v>0</v>
      </c>
      <c r="AD48" s="92">
        <f t="shared" si="307"/>
        <v>-2.3000000000000131E-2</v>
      </c>
      <c r="AE48" s="92">
        <f t="shared" si="307"/>
        <v>1.4699999999999935E-2</v>
      </c>
      <c r="AF48" s="92">
        <f t="shared" si="307"/>
        <v>1.0299999999999976E-2</v>
      </c>
      <c r="AG48" s="92">
        <f t="shared" si="307"/>
        <v>3.4000000000000696E-3</v>
      </c>
      <c r="AH48" s="92">
        <f t="shared" si="307"/>
        <v>4.5999999999998264E-3</v>
      </c>
      <c r="AI48" s="92">
        <f t="shared" si="307"/>
        <v>7.0000000000001172E-3</v>
      </c>
      <c r="AJ48" s="92">
        <f t="shared" si="307"/>
        <v>4.9999999999998934E-3</v>
      </c>
      <c r="AK48" s="92">
        <f t="shared" si="307"/>
        <v>4.0000000000000036E-3</v>
      </c>
      <c r="AL48" s="92">
        <f t="shared" si="307"/>
        <v>6.7000000000001503E-3</v>
      </c>
      <c r="AM48" s="92">
        <f t="shared" si="307"/>
        <v>9.2999999999998639E-3</v>
      </c>
      <c r="AN48" s="92">
        <f t="shared" si="307"/>
        <v>1.3500000000000068E-2</v>
      </c>
      <c r="AO48" s="92">
        <f t="shared" si="307"/>
        <v>7.5000000000000622E-3</v>
      </c>
      <c r="AP48" s="92">
        <f t="shared" si="315"/>
        <v>0.25299999999999989</v>
      </c>
      <c r="AQ48" s="92">
        <f t="shared" si="315"/>
        <v>3.0000000000001137E-3</v>
      </c>
      <c r="AR48" s="92">
        <f t="shared" si="316"/>
        <v>1.3580000000000148E-2</v>
      </c>
      <c r="AS48" s="92">
        <f t="shared" si="316"/>
        <v>1.0219999999999896E-2</v>
      </c>
      <c r="AT48" s="92">
        <f t="shared" si="316"/>
        <v>1.4200000000000032E-2</v>
      </c>
      <c r="AU48" s="92">
        <f t="shared" si="317"/>
        <v>1.0999999999999899E-2</v>
      </c>
      <c r="AV48" s="92">
        <f t="shared" si="308"/>
        <v>2.100000000000013E-2</v>
      </c>
      <c r="AW48" s="92">
        <f t="shared" si="309"/>
        <v>1.2000000000000011E-2</v>
      </c>
      <c r="AX48" s="92">
        <f t="shared" si="309"/>
        <v>8.0000000000000071E-3</v>
      </c>
      <c r="AY48" s="92">
        <f t="shared" si="309"/>
        <v>1.2000000000000011E-2</v>
      </c>
      <c r="AZ48" s="92">
        <f t="shared" si="309"/>
        <v>9.9999999999997868E-3</v>
      </c>
      <c r="BA48" s="92">
        <f t="shared" si="309"/>
        <v>9.9999999999988987E-4</v>
      </c>
      <c r="BB48" s="92">
        <f t="shared" si="309"/>
        <v>0.16900000000000004</v>
      </c>
      <c r="BC48" s="92">
        <f t="shared" si="318"/>
        <v>1.780000000000026E-2</v>
      </c>
      <c r="BD48" s="92">
        <f t="shared" si="318"/>
        <v>2.2199999999999775E-2</v>
      </c>
      <c r="BE48" s="92">
        <f t="shared" si="318"/>
        <v>0</v>
      </c>
      <c r="BF48" s="92">
        <f t="shared" si="318"/>
        <v>1.6000000000000014E-2</v>
      </c>
      <c r="BG48" s="92">
        <f t="shared" si="318"/>
        <v>-5.9999999999997833E-3</v>
      </c>
      <c r="BH48" s="92">
        <f t="shared" si="318"/>
        <v>1.399999999999979E-2</v>
      </c>
      <c r="BI48" s="92">
        <f t="shared" si="318"/>
        <v>-1.4169999999999933E-2</v>
      </c>
      <c r="BJ48" s="92">
        <f t="shared" si="318"/>
        <v>1.3009999999999966E-2</v>
      </c>
      <c r="BK48" s="92">
        <f t="shared" si="318"/>
        <v>1.5600000000000058E-3</v>
      </c>
      <c r="BL48" s="92">
        <f t="shared" si="318"/>
        <v>-5.4000000000000714E-3</v>
      </c>
      <c r="BM48" s="92">
        <f t="shared" si="318"/>
        <v>1.8999999999999906E-2</v>
      </c>
      <c r="BN48" s="92">
        <f t="shared" si="318"/>
        <v>0</v>
      </c>
      <c r="BO48" s="92">
        <f t="shared" si="318"/>
        <v>9.2000000000000526E-2</v>
      </c>
      <c r="BP48" s="72">
        <f t="shared" si="319"/>
        <v>1.1560000000000001</v>
      </c>
      <c r="BR48" s="159">
        <f t="shared" si="310"/>
        <v>1.8062500000000002E-2</v>
      </c>
    </row>
    <row r="49" spans="1:70">
      <c r="A49" s="105" t="s">
        <v>122</v>
      </c>
      <c r="B49" s="105" t="s">
        <v>7</v>
      </c>
      <c r="C49" s="91"/>
      <c r="D49" s="92">
        <f t="shared" si="302"/>
        <v>0.1429999999999999</v>
      </c>
      <c r="E49" s="92">
        <f t="shared" si="302"/>
        <v>-3.2999999999999918E-2</v>
      </c>
      <c r="F49" s="92">
        <f t="shared" si="302"/>
        <v>2.0999999999999908E-2</v>
      </c>
      <c r="G49" s="92">
        <f t="shared" si="302"/>
        <v>0.38460000000000005</v>
      </c>
      <c r="H49" s="92">
        <f t="shared" si="302"/>
        <v>3.2999999999998586E-3</v>
      </c>
      <c r="I49" s="92">
        <f t="shared" si="302"/>
        <v>-4.2999999999997485E-3</v>
      </c>
      <c r="J49" s="92">
        <f t="shared" si="302"/>
        <v>1.2299999999998423E-3</v>
      </c>
      <c r="K49" s="92">
        <f t="shared" si="311"/>
        <v>2.2220000000000129E-2</v>
      </c>
      <c r="L49" s="92">
        <f t="shared" si="311"/>
        <v>2.9949999999999963E-2</v>
      </c>
      <c r="M49" s="92">
        <f t="shared" si="311"/>
        <v>-8.0000000000000071E-3</v>
      </c>
      <c r="N49" s="92">
        <f t="shared" si="311"/>
        <v>2.0000000000000018E-2</v>
      </c>
      <c r="O49" s="92">
        <f t="shared" si="311"/>
        <v>0</v>
      </c>
      <c r="P49" s="92">
        <f t="shared" si="312"/>
        <v>-2.0000000000000018E-2</v>
      </c>
      <c r="Q49" s="92">
        <f t="shared" si="312"/>
        <v>8.0000000000000071E-3</v>
      </c>
      <c r="R49" s="92">
        <f t="shared" si="313"/>
        <v>0</v>
      </c>
      <c r="S49" s="92">
        <f t="shared" si="313"/>
        <v>0.11749999999999994</v>
      </c>
      <c r="T49" s="92">
        <f t="shared" si="314"/>
        <v>-2.2999999999999909E-2</v>
      </c>
      <c r="U49" s="92">
        <f t="shared" si="314"/>
        <v>1.1999999999999789E-2</v>
      </c>
      <c r="V49" s="92">
        <f t="shared" si="314"/>
        <v>1.6000000000000014E-2</v>
      </c>
      <c r="W49" s="92">
        <f t="shared" si="305"/>
        <v>4.3000000000000191E-2</v>
      </c>
      <c r="X49" s="92">
        <f t="shared" si="305"/>
        <v>1.0999999999999899E-2</v>
      </c>
      <c r="Y49" s="92">
        <f t="shared" si="306"/>
        <v>7.0000000000001172E-3</v>
      </c>
      <c r="Z49" s="92">
        <f t="shared" si="306"/>
        <v>2.8000000000000025E-2</v>
      </c>
      <c r="AA49" s="92">
        <f t="shared" si="306"/>
        <v>-1.0000000000001119E-3</v>
      </c>
      <c r="AB49" s="92">
        <f t="shared" si="306"/>
        <v>1.4999999999999902E-2</v>
      </c>
      <c r="AC49" s="92">
        <f t="shared" si="306"/>
        <v>-9.9999999999988987E-4</v>
      </c>
      <c r="AD49" s="92">
        <f t="shared" si="307"/>
        <v>-4.5999999999999819E-2</v>
      </c>
      <c r="AE49" s="92">
        <f t="shared" si="307"/>
        <v>2.5299999999999878E-2</v>
      </c>
      <c r="AF49" s="92">
        <f t="shared" si="307"/>
        <v>2.2699999999999942E-2</v>
      </c>
      <c r="AG49" s="92">
        <f t="shared" si="307"/>
        <v>-6.0000000000000053E-3</v>
      </c>
      <c r="AH49" s="92">
        <f t="shared" si="307"/>
        <v>2.8000000000002467E-3</v>
      </c>
      <c r="AI49" s="92">
        <f t="shared" si="307"/>
        <v>1.4199999999999768E-2</v>
      </c>
      <c r="AJ49" s="92">
        <f t="shared" si="307"/>
        <v>-9.9999999999988987E-4</v>
      </c>
      <c r="AK49" s="92">
        <f t="shared" si="307"/>
        <v>0</v>
      </c>
      <c r="AL49" s="92">
        <f t="shared" si="307"/>
        <v>8.999999999999897E-3</v>
      </c>
      <c r="AM49" s="92">
        <f t="shared" si="307"/>
        <v>2.7000000000000135E-2</v>
      </c>
      <c r="AN49" s="92">
        <f t="shared" si="307"/>
        <v>4.149999999999987E-2</v>
      </c>
      <c r="AO49" s="92">
        <f t="shared" si="307"/>
        <v>1.2199999999999989E-2</v>
      </c>
      <c r="AP49" s="92">
        <f t="shared" si="315"/>
        <v>0.35230000000000028</v>
      </c>
      <c r="AQ49" s="92">
        <f t="shared" si="315"/>
        <v>-4.0000000000004476E-3</v>
      </c>
      <c r="AR49" s="92">
        <f t="shared" si="316"/>
        <v>4.2500000000000426E-2</v>
      </c>
      <c r="AS49" s="92">
        <f t="shared" si="316"/>
        <v>2.0499999999999741E-2</v>
      </c>
      <c r="AT49" s="92">
        <f t="shared" si="316"/>
        <v>-1.1999999999997846E-3</v>
      </c>
      <c r="AU49" s="92">
        <f t="shared" si="317"/>
        <v>1.4199999999999768E-2</v>
      </c>
      <c r="AV49" s="92">
        <f t="shared" si="308"/>
        <v>4.9999999999999822E-2</v>
      </c>
      <c r="AW49" s="92">
        <f t="shared" si="309"/>
        <v>-3.0000000000001137E-3</v>
      </c>
      <c r="AX49" s="92">
        <f t="shared" si="309"/>
        <v>7.9000000000002402E-3</v>
      </c>
      <c r="AY49" s="92">
        <f t="shared" si="309"/>
        <v>1.2100000000000222E-2</v>
      </c>
      <c r="AZ49" s="92">
        <f t="shared" si="309"/>
        <v>2.0000000000000018E-2</v>
      </c>
      <c r="BA49" s="92">
        <f t="shared" si="309"/>
        <v>-7.0000000000001172E-3</v>
      </c>
      <c r="BB49" s="92">
        <f t="shared" si="309"/>
        <v>0.51499999999999968</v>
      </c>
      <c r="BC49" s="92">
        <f t="shared" si="318"/>
        <v>4.4900000000000162E-2</v>
      </c>
      <c r="BD49" s="92">
        <f t="shared" si="318"/>
        <v>1.1800000000000033E-2</v>
      </c>
      <c r="BE49" s="92">
        <f t="shared" si="318"/>
        <v>-4.1699999999999626E-2</v>
      </c>
      <c r="BF49" s="92">
        <f t="shared" si="318"/>
        <v>3.9999999999995595E-3</v>
      </c>
      <c r="BG49" s="92">
        <f t="shared" si="318"/>
        <v>-6.999999999999984E-2</v>
      </c>
      <c r="BH49" s="92">
        <f t="shared" si="318"/>
        <v>5.8999999999999719E-2</v>
      </c>
      <c r="BI49" s="92">
        <f t="shared" si="318"/>
        <v>-4.6160000000000062E-2</v>
      </c>
      <c r="BJ49" s="92">
        <f t="shared" si="318"/>
        <v>1.0300000000000864E-3</v>
      </c>
      <c r="BK49" s="92">
        <f t="shared" si="318"/>
        <v>1.6340000000000465E-2</v>
      </c>
      <c r="BL49" s="92">
        <f t="shared" si="318"/>
        <v>-4.210000000000047E-3</v>
      </c>
      <c r="BM49" s="92">
        <f t="shared" si="318"/>
        <v>2.2699999999999942E-2</v>
      </c>
      <c r="BN49" s="92">
        <f t="shared" si="318"/>
        <v>-7.0700000000000429E-2</v>
      </c>
      <c r="BO49" s="92">
        <f t="shared" si="318"/>
        <v>0.64400000000000013</v>
      </c>
      <c r="BP49" s="72">
        <f t="shared" si="319"/>
        <v>2.4844999999999997</v>
      </c>
      <c r="BR49" s="159">
        <f t="shared" si="310"/>
        <v>3.8820312499999995E-2</v>
      </c>
    </row>
    <row r="50" spans="1:70">
      <c r="A50" s="105" t="s">
        <v>123</v>
      </c>
      <c r="B50" s="105" t="s">
        <v>7</v>
      </c>
      <c r="C50" s="91"/>
      <c r="D50" s="92">
        <f t="shared" si="302"/>
        <v>0</v>
      </c>
      <c r="E50" s="92">
        <f t="shared" si="302"/>
        <v>0</v>
      </c>
      <c r="F50" s="92">
        <f t="shared" si="302"/>
        <v>1.1499999999999997</v>
      </c>
      <c r="G50" s="92">
        <f t="shared" si="302"/>
        <v>0</v>
      </c>
      <c r="H50" s="92">
        <f t="shared" si="302"/>
        <v>0</v>
      </c>
      <c r="I50" s="92">
        <f t="shared" si="302"/>
        <v>0</v>
      </c>
      <c r="J50" s="92">
        <f t="shared" si="302"/>
        <v>0</v>
      </c>
      <c r="K50" s="92">
        <f t="shared" si="311"/>
        <v>0</v>
      </c>
      <c r="L50" s="92">
        <f t="shared" si="311"/>
        <v>0</v>
      </c>
      <c r="M50" s="92">
        <f t="shared" si="311"/>
        <v>0</v>
      </c>
      <c r="N50" s="92">
        <f t="shared" si="311"/>
        <v>0</v>
      </c>
      <c r="O50" s="92">
        <f t="shared" si="311"/>
        <v>0</v>
      </c>
      <c r="P50" s="92">
        <f t="shared" si="312"/>
        <v>0</v>
      </c>
      <c r="Q50" s="92">
        <f t="shared" si="312"/>
        <v>0</v>
      </c>
      <c r="R50" s="92">
        <f>R10-Q10-R36</f>
        <v>1.5199999999999996</v>
      </c>
      <c r="S50" s="92">
        <f t="shared" si="313"/>
        <v>0</v>
      </c>
      <c r="T50" s="92">
        <f t="shared" si="314"/>
        <v>0</v>
      </c>
      <c r="U50" s="92">
        <f t="shared" si="314"/>
        <v>0</v>
      </c>
      <c r="V50" s="92">
        <f t="shared" si="314"/>
        <v>0</v>
      </c>
      <c r="W50" s="92">
        <f t="shared" si="305"/>
        <v>0</v>
      </c>
      <c r="X50" s="92">
        <f t="shared" si="305"/>
        <v>0</v>
      </c>
      <c r="Y50" s="92">
        <f t="shared" si="306"/>
        <v>0</v>
      </c>
      <c r="Z50" s="92">
        <f t="shared" si="306"/>
        <v>0</v>
      </c>
      <c r="AA50" s="92">
        <f t="shared" si="306"/>
        <v>0</v>
      </c>
      <c r="AB50" s="92">
        <f t="shared" si="306"/>
        <v>0</v>
      </c>
      <c r="AC50" s="92">
        <f t="shared" si="306"/>
        <v>0</v>
      </c>
      <c r="AD50" s="92">
        <f t="shared" si="307"/>
        <v>1.5768300000000159</v>
      </c>
      <c r="AE50" s="92">
        <f t="shared" si="307"/>
        <v>0</v>
      </c>
      <c r="AF50" s="92">
        <f t="shared" si="307"/>
        <v>0</v>
      </c>
      <c r="AG50" s="92">
        <f t="shared" si="307"/>
        <v>0</v>
      </c>
      <c r="AH50" s="92">
        <f t="shared" si="307"/>
        <v>0</v>
      </c>
      <c r="AI50" s="92">
        <f t="shared" si="307"/>
        <v>0</v>
      </c>
      <c r="AJ50" s="92">
        <f t="shared" si="307"/>
        <v>0</v>
      </c>
      <c r="AK50" s="92">
        <f t="shared" si="307"/>
        <v>0</v>
      </c>
      <c r="AL50" s="92">
        <f t="shared" si="307"/>
        <v>0</v>
      </c>
      <c r="AM50" s="92">
        <f t="shared" si="307"/>
        <v>0</v>
      </c>
      <c r="AN50" s="92">
        <f t="shared" si="307"/>
        <v>0</v>
      </c>
      <c r="AO50" s="92">
        <f t="shared" si="307"/>
        <v>0</v>
      </c>
      <c r="AP50" s="92">
        <f t="shared" si="315"/>
        <v>2.3064499999999875</v>
      </c>
      <c r="AQ50" s="92">
        <f t="shared" si="315"/>
        <v>0</v>
      </c>
      <c r="AR50" s="92">
        <f t="shared" si="316"/>
        <v>0</v>
      </c>
      <c r="AS50" s="92">
        <f t="shared" si="316"/>
        <v>0</v>
      </c>
      <c r="AT50" s="92">
        <f t="shared" si="316"/>
        <v>0</v>
      </c>
      <c r="AU50" s="92">
        <f t="shared" si="317"/>
        <v>0</v>
      </c>
      <c r="AV50" s="92">
        <f t="shared" si="308"/>
        <v>0</v>
      </c>
      <c r="AW50" s="92">
        <f t="shared" si="309"/>
        <v>0</v>
      </c>
      <c r="AX50" s="92">
        <f t="shared" si="309"/>
        <v>0</v>
      </c>
      <c r="AY50" s="92">
        <f t="shared" si="309"/>
        <v>0</v>
      </c>
      <c r="AZ50" s="92">
        <f t="shared" si="309"/>
        <v>0</v>
      </c>
      <c r="BA50" s="92">
        <f t="shared" si="309"/>
        <v>0</v>
      </c>
      <c r="BB50" s="92">
        <v>2.92</v>
      </c>
      <c r="BC50" s="92">
        <f t="shared" si="318"/>
        <v>0</v>
      </c>
      <c r="BD50" s="92">
        <f t="shared" si="318"/>
        <v>0</v>
      </c>
      <c r="BE50" s="92">
        <f t="shared" si="318"/>
        <v>0</v>
      </c>
      <c r="BF50" s="92">
        <f t="shared" si="318"/>
        <v>0</v>
      </c>
      <c r="BG50" s="92">
        <f t="shared" si="318"/>
        <v>0</v>
      </c>
      <c r="BH50" s="92">
        <f t="shared" si="318"/>
        <v>0</v>
      </c>
      <c r="BI50" s="92">
        <f t="shared" si="318"/>
        <v>0</v>
      </c>
      <c r="BJ50" s="92">
        <f t="shared" si="318"/>
        <v>0</v>
      </c>
      <c r="BK50" s="92">
        <f t="shared" si="318"/>
        <v>0</v>
      </c>
      <c r="BL50" s="92">
        <f t="shared" si="318"/>
        <v>0</v>
      </c>
      <c r="BM50" s="92">
        <f t="shared" si="318"/>
        <v>0</v>
      </c>
      <c r="BN50" s="92">
        <f t="shared" si="318"/>
        <v>3</v>
      </c>
      <c r="BO50" s="92">
        <f t="shared" si="318"/>
        <v>0</v>
      </c>
      <c r="BP50" s="72">
        <f t="shared" si="319"/>
        <v>12.473280000000003</v>
      </c>
      <c r="BR50" s="159">
        <f t="shared" si="310"/>
        <v>0.19489500000000004</v>
      </c>
    </row>
    <row r="51" spans="1:70">
      <c r="A51" s="105" t="s">
        <v>124</v>
      </c>
      <c r="B51" s="105" t="s">
        <v>7</v>
      </c>
      <c r="C51" s="91"/>
      <c r="D51" s="92">
        <f t="shared" si="302"/>
        <v>0</v>
      </c>
      <c r="E51" s="92">
        <f t="shared" si="302"/>
        <v>0</v>
      </c>
      <c r="F51" s="92">
        <f t="shared" si="302"/>
        <v>1.2100000000000009</v>
      </c>
      <c r="G51" s="92">
        <f t="shared" si="302"/>
        <v>0</v>
      </c>
      <c r="H51" s="92">
        <f t="shared" si="302"/>
        <v>0</v>
      </c>
      <c r="I51" s="92">
        <f t="shared" si="302"/>
        <v>0</v>
      </c>
      <c r="J51" s="92">
        <f t="shared" si="302"/>
        <v>0</v>
      </c>
      <c r="K51" s="92">
        <f t="shared" si="311"/>
        <v>0</v>
      </c>
      <c r="L51" s="92">
        <f t="shared" si="311"/>
        <v>0</v>
      </c>
      <c r="M51" s="92">
        <f t="shared" si="311"/>
        <v>0</v>
      </c>
      <c r="N51" s="92">
        <f t="shared" si="311"/>
        <v>0</v>
      </c>
      <c r="O51" s="92">
        <f t="shared" si="311"/>
        <v>0</v>
      </c>
      <c r="P51" s="92">
        <f t="shared" si="312"/>
        <v>0</v>
      </c>
      <c r="Q51" s="92">
        <f t="shared" si="312"/>
        <v>0</v>
      </c>
      <c r="R51" s="92">
        <f>R11-Q11-R37</f>
        <v>1.3999999999999986</v>
      </c>
      <c r="S51" s="92">
        <f t="shared" si="313"/>
        <v>0</v>
      </c>
      <c r="T51" s="92">
        <f t="shared" si="314"/>
        <v>0</v>
      </c>
      <c r="U51" s="92">
        <f t="shared" si="314"/>
        <v>0</v>
      </c>
      <c r="V51" s="92">
        <f t="shared" si="314"/>
        <v>0</v>
      </c>
      <c r="W51" s="92">
        <f t="shared" si="305"/>
        <v>0</v>
      </c>
      <c r="X51" s="92">
        <f t="shared" si="305"/>
        <v>0</v>
      </c>
      <c r="Y51" s="92">
        <f t="shared" si="306"/>
        <v>0</v>
      </c>
      <c r="Z51" s="92">
        <f t="shared" si="306"/>
        <v>0</v>
      </c>
      <c r="AA51" s="92">
        <f t="shared" si="306"/>
        <v>0</v>
      </c>
      <c r="AB51" s="92">
        <f t="shared" si="306"/>
        <v>0</v>
      </c>
      <c r="AC51" s="92">
        <f t="shared" si="306"/>
        <v>0</v>
      </c>
      <c r="AD51" s="92">
        <f t="shared" si="307"/>
        <v>1.6099999999999994</v>
      </c>
      <c r="AE51" s="92">
        <f t="shared" si="307"/>
        <v>0</v>
      </c>
      <c r="AF51" s="92">
        <f t="shared" si="307"/>
        <v>0</v>
      </c>
      <c r="AG51" s="92">
        <f t="shared" si="307"/>
        <v>0</v>
      </c>
      <c r="AH51" s="92">
        <f t="shared" si="307"/>
        <v>0</v>
      </c>
      <c r="AI51" s="92">
        <f t="shared" si="307"/>
        <v>0</v>
      </c>
      <c r="AJ51" s="92">
        <f t="shared" si="307"/>
        <v>0</v>
      </c>
      <c r="AK51" s="92">
        <f t="shared" si="307"/>
        <v>0</v>
      </c>
      <c r="AL51" s="92">
        <f t="shared" si="307"/>
        <v>0</v>
      </c>
      <c r="AM51" s="92">
        <f t="shared" si="307"/>
        <v>0</v>
      </c>
      <c r="AN51" s="92">
        <f t="shared" si="307"/>
        <v>0</v>
      </c>
      <c r="AO51" s="92">
        <f t="shared" si="307"/>
        <v>0</v>
      </c>
      <c r="AP51" s="92">
        <f t="shared" si="315"/>
        <v>1.8408000000000015</v>
      </c>
      <c r="AQ51" s="92">
        <f t="shared" si="315"/>
        <v>0</v>
      </c>
      <c r="AR51" s="92">
        <f t="shared" ref="AR51:AT54" si="320">AR11-AP11-AR37</f>
        <v>0</v>
      </c>
      <c r="AS51" s="92">
        <f t="shared" si="320"/>
        <v>0</v>
      </c>
      <c r="AT51" s="92">
        <f t="shared" si="320"/>
        <v>0</v>
      </c>
      <c r="AU51" s="92">
        <f t="shared" si="317"/>
        <v>0</v>
      </c>
      <c r="AV51" s="92">
        <f t="shared" si="308"/>
        <v>0</v>
      </c>
      <c r="AW51" s="92">
        <f t="shared" si="309"/>
        <v>0</v>
      </c>
      <c r="AX51" s="92">
        <f t="shared" si="309"/>
        <v>0</v>
      </c>
      <c r="AY51" s="92">
        <f t="shared" si="309"/>
        <v>0</v>
      </c>
      <c r="AZ51" s="92">
        <f t="shared" si="309"/>
        <v>0</v>
      </c>
      <c r="BA51" s="92">
        <f t="shared" si="309"/>
        <v>0</v>
      </c>
      <c r="BB51" s="92">
        <f>BB11-BA11-BB37</f>
        <v>2.0750000000000028</v>
      </c>
      <c r="BC51" s="92">
        <f t="shared" si="318"/>
        <v>0</v>
      </c>
      <c r="BD51" s="92">
        <f t="shared" si="318"/>
        <v>0</v>
      </c>
      <c r="BE51" s="92">
        <f t="shared" si="318"/>
        <v>0</v>
      </c>
      <c r="BF51" s="92">
        <f t="shared" si="318"/>
        <v>0</v>
      </c>
      <c r="BG51" s="92">
        <f t="shared" si="318"/>
        <v>0</v>
      </c>
      <c r="BH51" s="92">
        <f t="shared" si="318"/>
        <v>0</v>
      </c>
      <c r="BI51" s="92">
        <f t="shared" si="318"/>
        <v>0</v>
      </c>
      <c r="BJ51" s="92">
        <f t="shared" si="318"/>
        <v>0</v>
      </c>
      <c r="BK51" s="92">
        <f t="shared" si="318"/>
        <v>0</v>
      </c>
      <c r="BL51" s="92">
        <f t="shared" si="318"/>
        <v>0</v>
      </c>
      <c r="BM51" s="92">
        <f t="shared" si="318"/>
        <v>0</v>
      </c>
      <c r="BN51" s="92">
        <f t="shared" si="318"/>
        <v>2.3599999999999994</v>
      </c>
      <c r="BO51" s="92">
        <f t="shared" si="318"/>
        <v>0</v>
      </c>
      <c r="BP51" s="72">
        <f t="shared" si="319"/>
        <v>10.495800000000003</v>
      </c>
      <c r="BR51" s="159">
        <f t="shared" si="310"/>
        <v>0.16399687500000004</v>
      </c>
    </row>
    <row r="52" spans="1:70">
      <c r="A52" s="105" t="s">
        <v>125</v>
      </c>
      <c r="B52" s="105" t="s">
        <v>10</v>
      </c>
      <c r="C52" s="91"/>
      <c r="D52" s="92">
        <f t="shared" ref="D52:I53" si="321">D12-C12-D38</f>
        <v>0</v>
      </c>
      <c r="E52" s="92">
        <f t="shared" si="321"/>
        <v>0</v>
      </c>
      <c r="F52" s="92">
        <f t="shared" si="321"/>
        <v>0</v>
      </c>
      <c r="G52" s="92">
        <f t="shared" si="321"/>
        <v>0</v>
      </c>
      <c r="H52" s="92">
        <f t="shared" si="321"/>
        <v>0</v>
      </c>
      <c r="I52" s="92">
        <f t="shared" si="321"/>
        <v>0</v>
      </c>
      <c r="J52" s="92">
        <v>0</v>
      </c>
      <c r="K52" s="92">
        <f t="shared" si="311"/>
        <v>0</v>
      </c>
      <c r="L52" s="92">
        <f t="shared" si="311"/>
        <v>0</v>
      </c>
      <c r="M52" s="92">
        <f t="shared" si="311"/>
        <v>0</v>
      </c>
      <c r="N52" s="92">
        <f t="shared" si="311"/>
        <v>0</v>
      </c>
      <c r="O52" s="92">
        <f t="shared" si="311"/>
        <v>0</v>
      </c>
      <c r="P52" s="92">
        <f t="shared" si="312"/>
        <v>0</v>
      </c>
      <c r="Q52" s="92">
        <f t="shared" si="312"/>
        <v>0</v>
      </c>
      <c r="R52" s="92">
        <f t="shared" si="313"/>
        <v>0</v>
      </c>
      <c r="S52" s="92">
        <f t="shared" si="313"/>
        <v>0</v>
      </c>
      <c r="T52" s="92">
        <f t="shared" si="314"/>
        <v>0</v>
      </c>
      <c r="U52" s="92">
        <f t="shared" si="314"/>
        <v>0</v>
      </c>
      <c r="V52" s="92">
        <f t="shared" si="314"/>
        <v>0</v>
      </c>
      <c r="W52" s="92">
        <f t="shared" si="305"/>
        <v>0</v>
      </c>
      <c r="X52" s="92">
        <f t="shared" si="305"/>
        <v>0</v>
      </c>
      <c r="Y52" s="92">
        <f t="shared" si="306"/>
        <v>0</v>
      </c>
      <c r="Z52" s="92">
        <f t="shared" si="306"/>
        <v>0</v>
      </c>
      <c r="AA52" s="92">
        <f t="shared" si="306"/>
        <v>0</v>
      </c>
      <c r="AB52" s="92">
        <f t="shared" si="306"/>
        <v>0</v>
      </c>
      <c r="AC52" s="92">
        <f t="shared" si="306"/>
        <v>0</v>
      </c>
      <c r="AD52" s="92">
        <f t="shared" si="307"/>
        <v>0</v>
      </c>
      <c r="AE52" s="92">
        <f t="shared" si="307"/>
        <v>0</v>
      </c>
      <c r="AF52" s="92">
        <f t="shared" si="307"/>
        <v>0</v>
      </c>
      <c r="AG52" s="92">
        <f t="shared" si="307"/>
        <v>0</v>
      </c>
      <c r="AH52" s="92">
        <f t="shared" si="307"/>
        <v>0</v>
      </c>
      <c r="AI52" s="92">
        <f t="shared" si="307"/>
        <v>0</v>
      </c>
      <c r="AJ52" s="92">
        <f t="shared" si="307"/>
        <v>0</v>
      </c>
      <c r="AK52" s="92">
        <f t="shared" si="307"/>
        <v>0</v>
      </c>
      <c r="AL52" s="92">
        <f t="shared" si="307"/>
        <v>0</v>
      </c>
      <c r="AM52" s="92">
        <f t="shared" si="307"/>
        <v>0</v>
      </c>
      <c r="AN52" s="92">
        <f t="shared" si="307"/>
        <v>0</v>
      </c>
      <c r="AO52" s="92">
        <f t="shared" si="307"/>
        <v>0</v>
      </c>
      <c r="AP52" s="92">
        <f t="shared" si="315"/>
        <v>0</v>
      </c>
      <c r="AQ52" s="92">
        <f t="shared" si="315"/>
        <v>0</v>
      </c>
      <c r="AR52" s="92">
        <f t="shared" ref="AR52" si="322">AR12-AQ12-AR38</f>
        <v>0</v>
      </c>
      <c r="AS52" s="92">
        <f t="shared" ref="AS52" si="323">AS12-AR12-AS38</f>
        <v>0</v>
      </c>
      <c r="AT52" s="92">
        <f t="shared" ref="AT52" si="324">AT12-AS12-AT38</f>
        <v>0</v>
      </c>
      <c r="AU52" s="92">
        <f t="shared" si="317"/>
        <v>0</v>
      </c>
      <c r="AV52" s="92">
        <f t="shared" si="308"/>
        <v>0</v>
      </c>
      <c r="AW52" s="92">
        <f t="shared" si="309"/>
        <v>0</v>
      </c>
      <c r="AX52" s="92">
        <f t="shared" si="309"/>
        <v>0</v>
      </c>
      <c r="AY52" s="92">
        <f t="shared" si="309"/>
        <v>0</v>
      </c>
      <c r="AZ52" s="92">
        <f t="shared" si="309"/>
        <v>0</v>
      </c>
      <c r="BA52" s="92">
        <f t="shared" si="309"/>
        <v>0</v>
      </c>
      <c r="BB52" s="92">
        <f t="shared" si="309"/>
        <v>0</v>
      </c>
      <c r="BC52" s="92">
        <v>0</v>
      </c>
      <c r="BD52" s="92">
        <v>0</v>
      </c>
      <c r="BE52" s="92">
        <v>0</v>
      </c>
      <c r="BF52" s="92">
        <v>0</v>
      </c>
      <c r="BG52" s="92">
        <v>0</v>
      </c>
      <c r="BH52" s="92">
        <v>0</v>
      </c>
      <c r="BI52" s="92">
        <v>0</v>
      </c>
      <c r="BJ52" s="92">
        <v>0</v>
      </c>
      <c r="BK52" s="92">
        <v>0</v>
      </c>
      <c r="BL52" s="92">
        <v>0</v>
      </c>
      <c r="BM52" s="92">
        <v>0</v>
      </c>
      <c r="BN52" s="92">
        <v>0</v>
      </c>
      <c r="BO52" s="92">
        <v>0</v>
      </c>
      <c r="BP52" s="72">
        <f t="shared" si="319"/>
        <v>0</v>
      </c>
      <c r="BR52" s="159">
        <f t="shared" si="310"/>
        <v>0</v>
      </c>
    </row>
    <row r="53" spans="1:70">
      <c r="A53" s="105" t="s">
        <v>126</v>
      </c>
      <c r="B53" s="105" t="s">
        <v>9</v>
      </c>
      <c r="C53" s="91"/>
      <c r="D53" s="92">
        <f t="shared" si="321"/>
        <v>0</v>
      </c>
      <c r="E53" s="92">
        <f t="shared" si="321"/>
        <v>0</v>
      </c>
      <c r="F53" s="92">
        <f t="shared" si="321"/>
        <v>0</v>
      </c>
      <c r="G53" s="92">
        <f t="shared" si="321"/>
        <v>0</v>
      </c>
      <c r="H53" s="92">
        <f t="shared" si="321"/>
        <v>0</v>
      </c>
      <c r="I53" s="92">
        <f t="shared" si="321"/>
        <v>0</v>
      </c>
      <c r="J53" s="92">
        <f>J13-I13-J39</f>
        <v>0</v>
      </c>
      <c r="K53" s="92">
        <f t="shared" si="311"/>
        <v>0</v>
      </c>
      <c r="L53" s="92">
        <f t="shared" si="311"/>
        <v>0</v>
      </c>
      <c r="M53" s="92">
        <f t="shared" si="311"/>
        <v>0.18999999999999995</v>
      </c>
      <c r="N53" s="92">
        <f t="shared" si="311"/>
        <v>0</v>
      </c>
      <c r="O53" s="92">
        <f t="shared" si="311"/>
        <v>0</v>
      </c>
      <c r="P53" s="92">
        <f t="shared" si="312"/>
        <v>0</v>
      </c>
      <c r="Q53" s="92">
        <f t="shared" si="312"/>
        <v>0</v>
      </c>
      <c r="R53" s="92">
        <f t="shared" si="313"/>
        <v>0</v>
      </c>
      <c r="S53" s="92">
        <f t="shared" si="313"/>
        <v>0</v>
      </c>
      <c r="T53" s="92">
        <f t="shared" si="314"/>
        <v>0</v>
      </c>
      <c r="U53" s="92">
        <f t="shared" si="314"/>
        <v>0</v>
      </c>
      <c r="V53" s="92">
        <f t="shared" si="314"/>
        <v>0</v>
      </c>
      <c r="W53" s="92">
        <f t="shared" si="305"/>
        <v>0</v>
      </c>
      <c r="X53" s="92">
        <f t="shared" si="305"/>
        <v>0</v>
      </c>
      <c r="Y53" s="92">
        <f t="shared" si="306"/>
        <v>0</v>
      </c>
      <c r="Z53" s="92">
        <f t="shared" si="306"/>
        <v>0</v>
      </c>
      <c r="AA53" s="92">
        <f t="shared" si="306"/>
        <v>0</v>
      </c>
      <c r="AB53" s="92">
        <f t="shared" si="306"/>
        <v>0</v>
      </c>
      <c r="AC53" s="92">
        <f t="shared" si="306"/>
        <v>0</v>
      </c>
      <c r="AD53" s="92">
        <f t="shared" si="307"/>
        <v>0</v>
      </c>
      <c r="AE53" s="92">
        <f t="shared" si="307"/>
        <v>0</v>
      </c>
      <c r="AF53" s="92">
        <f t="shared" si="307"/>
        <v>0</v>
      </c>
      <c r="AG53" s="92">
        <f t="shared" si="307"/>
        <v>0</v>
      </c>
      <c r="AH53" s="92">
        <f t="shared" si="307"/>
        <v>0</v>
      </c>
      <c r="AI53" s="92">
        <f t="shared" si="307"/>
        <v>0</v>
      </c>
      <c r="AJ53" s="92">
        <f t="shared" si="307"/>
        <v>0</v>
      </c>
      <c r="AK53" s="92">
        <f t="shared" si="307"/>
        <v>0</v>
      </c>
      <c r="AL53" s="92">
        <f t="shared" si="307"/>
        <v>0</v>
      </c>
      <c r="AM53" s="92">
        <f t="shared" si="307"/>
        <v>0</v>
      </c>
      <c r="AN53" s="92">
        <f t="shared" si="307"/>
        <v>0</v>
      </c>
      <c r="AO53" s="92">
        <f t="shared" si="307"/>
        <v>0</v>
      </c>
      <c r="AP53" s="92">
        <f t="shared" si="315"/>
        <v>0</v>
      </c>
      <c r="AQ53" s="92">
        <f t="shared" si="315"/>
        <v>0</v>
      </c>
      <c r="AR53" s="92">
        <f t="shared" si="320"/>
        <v>0</v>
      </c>
      <c r="AS53" s="92">
        <f t="shared" si="320"/>
        <v>0</v>
      </c>
      <c r="AT53" s="92">
        <f t="shared" si="320"/>
        <v>0</v>
      </c>
      <c r="AU53" s="92">
        <f t="shared" si="317"/>
        <v>0</v>
      </c>
      <c r="AV53" s="92">
        <f t="shared" si="308"/>
        <v>0</v>
      </c>
      <c r="AW53" s="92">
        <f t="shared" si="309"/>
        <v>0</v>
      </c>
      <c r="AX53" s="92">
        <f t="shared" si="309"/>
        <v>0</v>
      </c>
      <c r="AY53" s="92">
        <f t="shared" si="309"/>
        <v>0</v>
      </c>
      <c r="AZ53" s="92">
        <f t="shared" si="309"/>
        <v>0</v>
      </c>
      <c r="BA53" s="92">
        <f t="shared" si="309"/>
        <v>0</v>
      </c>
      <c r="BB53" s="92">
        <f t="shared" si="309"/>
        <v>0</v>
      </c>
      <c r="BC53" s="92">
        <f>BC13-BA13-BC39</f>
        <v>0</v>
      </c>
      <c r="BD53" s="92">
        <f>BD13-BB13-BD39</f>
        <v>0</v>
      </c>
      <c r="BE53" s="92">
        <f>BE13-BC13-BE39</f>
        <v>0</v>
      </c>
      <c r="BF53" s="92">
        <f>BF13-BD13-BF39</f>
        <v>0</v>
      </c>
      <c r="BG53" s="92">
        <f>BG13-BE13-BG39</f>
        <v>0</v>
      </c>
      <c r="BH53" s="92">
        <f>BH13-BF13-BH39</f>
        <v>0</v>
      </c>
      <c r="BI53" s="92">
        <f>BI13-BG13-BI39</f>
        <v>0</v>
      </c>
      <c r="BJ53" s="92">
        <f>BJ13-BH13-BJ39</f>
        <v>0</v>
      </c>
      <c r="BK53" s="92">
        <f>BK13-BI13-BK39</f>
        <v>0</v>
      </c>
      <c r="BL53" s="92">
        <f>BL13-BJ13-BL39</f>
        <v>0</v>
      </c>
      <c r="BM53" s="92">
        <f>BM13-BK13-BM39</f>
        <v>0</v>
      </c>
      <c r="BN53" s="92">
        <f>BN13-BL13-BN39</f>
        <v>0</v>
      </c>
      <c r="BO53" s="92">
        <f>BO13-BM13-BO39</f>
        <v>0</v>
      </c>
      <c r="BP53" s="72">
        <f t="shared" si="319"/>
        <v>0.18999999999999995</v>
      </c>
      <c r="BR53" s="159">
        <f t="shared" si="310"/>
        <v>2.9687499999999992E-3</v>
      </c>
    </row>
    <row r="54" spans="1:70">
      <c r="A54" s="105" t="s">
        <v>127</v>
      </c>
      <c r="B54" s="105" t="s">
        <v>7</v>
      </c>
      <c r="C54" s="91"/>
      <c r="D54" s="92">
        <f t="shared" ref="D54:J54" si="325">D14-C14-D40</f>
        <v>0</v>
      </c>
      <c r="E54" s="92">
        <f t="shared" si="325"/>
        <v>0</v>
      </c>
      <c r="F54" s="92">
        <f t="shared" si="325"/>
        <v>0</v>
      </c>
      <c r="G54" s="92">
        <f t="shared" si="325"/>
        <v>0</v>
      </c>
      <c r="H54" s="92">
        <f t="shared" si="325"/>
        <v>0</v>
      </c>
      <c r="I54" s="92">
        <f t="shared" si="325"/>
        <v>0</v>
      </c>
      <c r="J54" s="92">
        <f t="shared" si="325"/>
        <v>0</v>
      </c>
      <c r="K54" s="92">
        <f>K14-J14-K40</f>
        <v>0</v>
      </c>
      <c r="L54" s="92">
        <f>L14-J14-L40</f>
        <v>0</v>
      </c>
      <c r="M54" s="92">
        <f>M14-L14-M40</f>
        <v>0</v>
      </c>
      <c r="N54" s="92">
        <f>N14-M14-N40</f>
        <v>0</v>
      </c>
      <c r="O54" s="92">
        <f>O14-N14-O40</f>
        <v>0</v>
      </c>
      <c r="P54" s="92">
        <f t="shared" si="312"/>
        <v>0</v>
      </c>
      <c r="Q54" s="92">
        <f t="shared" si="312"/>
        <v>0</v>
      </c>
      <c r="R54" s="92">
        <f t="shared" si="313"/>
        <v>0</v>
      </c>
      <c r="S54" s="92">
        <f t="shared" si="313"/>
        <v>0</v>
      </c>
      <c r="T54" s="92">
        <f t="shared" si="314"/>
        <v>0</v>
      </c>
      <c r="U54" s="92">
        <f t="shared" si="314"/>
        <v>0</v>
      </c>
      <c r="V54" s="92">
        <f t="shared" si="314"/>
        <v>0</v>
      </c>
      <c r="W54" s="92">
        <f t="shared" si="305"/>
        <v>0</v>
      </c>
      <c r="X54" s="92">
        <f t="shared" si="305"/>
        <v>0</v>
      </c>
      <c r="Y54" s="92">
        <f t="shared" si="306"/>
        <v>0</v>
      </c>
      <c r="Z54" s="92">
        <f t="shared" si="306"/>
        <v>0</v>
      </c>
      <c r="AA54" s="92">
        <f t="shared" si="306"/>
        <v>2.5999999999999912E-3</v>
      </c>
      <c r="AB54" s="92">
        <f t="shared" si="306"/>
        <v>2.0099999999999563E-3</v>
      </c>
      <c r="AC54" s="92">
        <f t="shared" si="306"/>
        <v>2.7820000000000067E-3</v>
      </c>
      <c r="AD54" s="92">
        <f t="shared" si="307"/>
        <v>-4.381999999999997E-3</v>
      </c>
      <c r="AE54" s="92">
        <f t="shared" si="307"/>
        <v>-9.9799999999999889E-4</v>
      </c>
      <c r="AF54" s="92">
        <f t="shared" si="307"/>
        <v>5.9980000000000033E-3</v>
      </c>
      <c r="AG54" s="92">
        <f t="shared" si="307"/>
        <v>2.8759999999999897E-3</v>
      </c>
      <c r="AH54" s="92">
        <f t="shared" si="307"/>
        <v>2.3240000000000482E-3</v>
      </c>
      <c r="AI54" s="92">
        <f t="shared" si="307"/>
        <v>-4.0000000000001146E-4</v>
      </c>
      <c r="AJ54" s="92">
        <f t="shared" si="307"/>
        <v>2.8199999999999892E-3</v>
      </c>
      <c r="AK54" s="92">
        <f t="shared" si="307"/>
        <v>-4.2500000000000315E-3</v>
      </c>
      <c r="AL54" s="92">
        <f t="shared" si="307"/>
        <v>-1.0671999999999959E-2</v>
      </c>
      <c r="AM54" s="92">
        <f t="shared" si="307"/>
        <v>-3.1680000000000041E-3</v>
      </c>
      <c r="AN54" s="92">
        <f t="shared" si="307"/>
        <v>8.4719999999999795E-3</v>
      </c>
      <c r="AO54" s="92">
        <f t="shared" si="307"/>
        <v>1.0379999999999834E-3</v>
      </c>
      <c r="AP54" s="92">
        <f t="shared" si="315"/>
        <v>-5.7759999999999478E-3</v>
      </c>
      <c r="AQ54" s="92">
        <f t="shared" si="315"/>
        <v>1.5159999999999618E-3</v>
      </c>
      <c r="AR54" s="92">
        <f t="shared" si="320"/>
        <v>1.7900000000000138E-3</v>
      </c>
      <c r="AS54" s="92">
        <f t="shared" si="320"/>
        <v>-1.6299999999999648E-3</v>
      </c>
      <c r="AT54" s="92">
        <f t="shared" si="320"/>
        <v>6.9119999999999737E-3</v>
      </c>
      <c r="AU54" s="92">
        <f t="shared" si="317"/>
        <v>6.7039999999999877E-3</v>
      </c>
      <c r="AV54" s="92">
        <f t="shared" si="308"/>
        <v>-1.0869999999999991E-2</v>
      </c>
      <c r="AW54" s="92">
        <f t="shared" si="309"/>
        <v>1.0000000000000009E-3</v>
      </c>
      <c r="AX54" s="92">
        <f t="shared" si="309"/>
        <v>-1.3149999999999995E-2</v>
      </c>
      <c r="AY54" s="92">
        <f t="shared" si="309"/>
        <v>2.2699999999999942E-3</v>
      </c>
      <c r="AZ54" s="92">
        <f t="shared" si="309"/>
        <v>4.1999999999997595E-4</v>
      </c>
      <c r="BA54" s="92">
        <f t="shared" si="309"/>
        <v>2.1599999999999953E-3</v>
      </c>
      <c r="BB54" s="92">
        <f t="shared" si="309"/>
        <v>5.0000000000000044E-4</v>
      </c>
      <c r="BC54" s="92">
        <f>BC14-BA14-BC40</f>
        <v>3.0200000000002447E-4</v>
      </c>
      <c r="BD54" s="92">
        <f>BD14-BB14-BD40</f>
        <v>-5.4799999999999294E-4</v>
      </c>
      <c r="BE54" s="92">
        <f>BE14-BC14-BE40</f>
        <v>5.3679999999999839E-3</v>
      </c>
      <c r="BF54" s="92">
        <f>BF14-BD14-BF40</f>
        <v>9.328000000000003E-3</v>
      </c>
      <c r="BG54" s="92">
        <f>BG14-BE14-BG40</f>
        <v>6.1300000000000243E-3</v>
      </c>
      <c r="BH54" s="92">
        <f>BH14-BF14-BH40</f>
        <v>-8.727999999999958E-3</v>
      </c>
      <c r="BI54" s="92">
        <f>BI14-BG14-BI40</f>
        <v>-8.9640000000000275E-3</v>
      </c>
      <c r="BJ54" s="92">
        <f>BJ14-BH14-BJ40</f>
        <v>-1.1502000000000012E-2</v>
      </c>
      <c r="BK54" s="92">
        <f>BK14-BI14-BK40</f>
        <v>-8.525999999999978E-3</v>
      </c>
      <c r="BL54" s="92">
        <f>BL14-BJ14-BL40</f>
        <v>1.1499999999999844E-3</v>
      </c>
      <c r="BM54" s="92">
        <f>BM14-BK14-BM40</f>
        <v>3.3900000000000041E-3</v>
      </c>
      <c r="BN54" s="92">
        <f>BN14-BL14-BN40</f>
        <v>9.199999999999986E-3</v>
      </c>
      <c r="BO54" s="92">
        <f>BO14-BM14-BO40</f>
        <v>-3.4000000000000141E-3</v>
      </c>
      <c r="BP54" s="72">
        <f t="shared" si="319"/>
        <v>-7.9040000000000221E-3</v>
      </c>
      <c r="BR54" s="159">
        <f t="shared" si="310"/>
        <v>-1.2350000000000035E-4</v>
      </c>
    </row>
    <row r="55" spans="1:70">
      <c r="A55" s="98" t="s">
        <v>130</v>
      </c>
      <c r="B55" s="98"/>
      <c r="C55" s="74"/>
      <c r="D55" s="84">
        <f>SUM(D44:D54)</f>
        <v>2.3043646058170006</v>
      </c>
      <c r="E55" s="84">
        <f t="shared" ref="E55:P55" si="326">SUM(E44:E54)</f>
        <v>4.1460816250000061</v>
      </c>
      <c r="F55" s="84">
        <f t="shared" si="326"/>
        <v>1.5156752649999932</v>
      </c>
      <c r="G55" s="84">
        <f t="shared" si="326"/>
        <v>0.95802194300000054</v>
      </c>
      <c r="H55" s="84">
        <f t="shared" si="326"/>
        <v>4.5486018519999902</v>
      </c>
      <c r="I55" s="84">
        <f t="shared" si="326"/>
        <v>1.5484163120000067</v>
      </c>
      <c r="J55" s="84">
        <f t="shared" si="326"/>
        <v>2.2715043440000082</v>
      </c>
      <c r="K55" s="84">
        <f t="shared" si="326"/>
        <v>4.0153630899999975</v>
      </c>
      <c r="L55" s="84">
        <f t="shared" si="326"/>
        <v>1.096208096000012</v>
      </c>
      <c r="M55" s="84">
        <f t="shared" si="326"/>
        <v>0.93779214199998417</v>
      </c>
      <c r="N55" s="84">
        <f t="shared" si="326"/>
        <v>-1.2087104649999811</v>
      </c>
      <c r="O55" s="84">
        <f t="shared" si="326"/>
        <v>0.71186042199999033</v>
      </c>
      <c r="P55" s="84">
        <f t="shared" si="326"/>
        <v>0.30241204700000446</v>
      </c>
      <c r="Q55" s="84">
        <f t="shared" ref="Q55:R55" si="327">SUM(Q44:Q54)</f>
        <v>-7.5688647910000153</v>
      </c>
      <c r="R55" s="84">
        <f t="shared" si="327"/>
        <v>8.4222178570000139</v>
      </c>
      <c r="S55" s="84">
        <f t="shared" ref="S55:T55" si="328">SUM(S44:S54)</f>
        <v>-1.0424285529999839</v>
      </c>
      <c r="T55" s="84">
        <f t="shared" si="328"/>
        <v>-4.0658703800000122</v>
      </c>
      <c r="U55" s="84">
        <f t="shared" ref="U55:W55" si="329">SUM(U44:U54)</f>
        <v>-2.9681108170000137</v>
      </c>
      <c r="V55" s="84">
        <f t="shared" si="329"/>
        <v>8.1370414130000022</v>
      </c>
      <c r="W55" s="84">
        <f t="shared" si="329"/>
        <v>2.4462803669999804</v>
      </c>
      <c r="X55" s="84">
        <f t="shared" ref="X55:Y55" si="330">SUM(X44:X54)</f>
        <v>-2.0560615799999766</v>
      </c>
      <c r="Y55" s="84">
        <f t="shared" si="330"/>
        <v>3.4270466949999734</v>
      </c>
      <c r="Z55" s="84">
        <f t="shared" ref="Z55:AA55" si="331">SUM(Z44:Z54)</f>
        <v>0.33581353929997237</v>
      </c>
      <c r="AA55" s="84">
        <f t="shared" si="331"/>
        <v>-3.191046940403008</v>
      </c>
      <c r="AB55" s="84">
        <f t="shared" ref="AB55:AC55" si="332">SUM(AB44:AB54)</f>
        <v>-0.31368277399998667</v>
      </c>
      <c r="AC55" s="84">
        <f t="shared" si="332"/>
        <v>-0.91855603599999625</v>
      </c>
      <c r="AD55" s="84">
        <f t="shared" ref="AD55" si="333">SUM(AD44:AD54)</f>
        <v>2.0865041470000318</v>
      </c>
      <c r="AE55" s="84">
        <f t="shared" ref="AE55:AF55" si="334">SUM(AE44:AE54)</f>
        <v>5.3475958819999923</v>
      </c>
      <c r="AF55" s="84">
        <f t="shared" si="334"/>
        <v>6.4755884989999863</v>
      </c>
      <c r="AG55" s="84">
        <f t="shared" ref="AG55:BO55" si="335">SUM(AG44:AG54)</f>
        <v>4.6672587779999866</v>
      </c>
      <c r="AH55" s="84">
        <f t="shared" ref="AH55:AI55" si="336">SUM(AH44:AH54)</f>
        <v>4.5068794790000375</v>
      </c>
      <c r="AI55" s="84">
        <f t="shared" si="336"/>
        <v>2.2498162719999919</v>
      </c>
      <c r="AJ55" s="84">
        <f t="shared" ref="AJ55:AK55" si="337">SUM(AJ44:AJ54)</f>
        <v>1.9094871789999901</v>
      </c>
      <c r="AK55" s="84">
        <f t="shared" si="337"/>
        <v>-0.34057668099999233</v>
      </c>
      <c r="AL55" s="84">
        <f t="shared" ref="AL55:AP55" si="338">SUM(AL44:AL54)</f>
        <v>10.163621891999988</v>
      </c>
      <c r="AM55" s="84">
        <f t="shared" si="338"/>
        <v>8.4416244290000311</v>
      </c>
      <c r="AN55" s="84">
        <f t="shared" si="338"/>
        <v>5.2463455159999874</v>
      </c>
      <c r="AO55" s="84">
        <f t="shared" si="338"/>
        <v>5.225759390000003</v>
      </c>
      <c r="AP55" s="84">
        <f t="shared" si="338"/>
        <v>5.8050595089999426</v>
      </c>
      <c r="AQ55" s="84">
        <f t="shared" ref="AQ55:AS55" si="339">SUM(AQ44:AQ54)</f>
        <v>3.0125071390000069</v>
      </c>
      <c r="AR55" s="84">
        <f t="shared" si="339"/>
        <v>2.607616280000022</v>
      </c>
      <c r="AS55" s="84">
        <f t="shared" ref="AS55:BO55" si="340">SUM(AS44:AS54)</f>
        <v>12.952266910000024</v>
      </c>
      <c r="AT55" s="84">
        <f t="shared" ref="AT55:BO55" si="341">SUM(AT44:AT54)</f>
        <v>10.024093767999988</v>
      </c>
      <c r="AU55" s="84">
        <f t="shared" ref="AU55:AV55" si="342">SUM(AU44:AU54)</f>
        <v>2.7936925450000345</v>
      </c>
      <c r="AV55" s="84">
        <f t="shared" ref="AV55:BO55" si="343">SUM(AV44:AV54)</f>
        <v>3.1167524729999916</v>
      </c>
      <c r="AW55" s="84">
        <f t="shared" ref="AW55:AX55" si="344">SUM(AW44:AW54)</f>
        <v>-12.749432204000032</v>
      </c>
      <c r="AX55" s="84">
        <f t="shared" ref="AX55:BO55" si="345">SUM(AX44:AX54)</f>
        <v>0.26882113700006016</v>
      </c>
      <c r="AY55" s="84">
        <f t="shared" ref="AY55:BO55" si="346">SUM(AY44:AY54)</f>
        <v>1.1088678849999389</v>
      </c>
      <c r="AZ55" s="84">
        <f t="shared" ref="AZ55:BO55" si="347">SUM(AZ44:AZ54)</f>
        <v>-12.177943002044019</v>
      </c>
      <c r="BA55" s="84">
        <f t="shared" ref="BA55:BO55" si="348">SUM(BA44:BA54)</f>
        <v>-17.200952278955992</v>
      </c>
      <c r="BB55" s="84">
        <f t="shared" ref="BB55:BO55" si="349">SUM(BB44:BB54)</f>
        <v>12.57258369100005</v>
      </c>
      <c r="BC55" s="84">
        <f t="shared" ref="BC55:BD55" si="350">SUM(BC44:BC54)</f>
        <v>7.3413225889999421</v>
      </c>
      <c r="BD55" s="84">
        <f t="shared" ref="BD55:BO55" si="351">SUM(BD44:BD54)</f>
        <v>10.40489348300005</v>
      </c>
      <c r="BE55" s="84">
        <f t="shared" ref="BE55:BO55" si="352">SUM(BE44:BE54)</f>
        <v>9.525152134999999</v>
      </c>
      <c r="BF55" s="84">
        <f t="shared" ref="BF55:BO55" si="353">SUM(BF44:BF54)</f>
        <v>-5.7766379830000805</v>
      </c>
      <c r="BG55" s="84">
        <f t="shared" ref="BG55:BO55" si="354">SUM(BG44:BG54)</f>
        <v>1.8041014430000748</v>
      </c>
      <c r="BH55" s="84">
        <f t="shared" ref="BH55:BO55" si="355">SUM(BH44:BH54)</f>
        <v>2.398350586999995</v>
      </c>
      <c r="BI55" s="84">
        <f t="shared" ref="BI55:BO55" si="356">SUM(BI44:BI54)</f>
        <v>7.1600334850000102</v>
      </c>
      <c r="BJ55" s="84">
        <f t="shared" ref="BJ55:BO55" si="357">SUM(BJ44:BJ54)</f>
        <v>-0.58020224200001314</v>
      </c>
      <c r="BK55" s="84">
        <f t="shared" ref="BK55:BO55" si="358">SUM(BK44:BK54)</f>
        <v>-0.29351025500002498</v>
      </c>
      <c r="BL55" s="84">
        <f t="shared" ref="BL55:BO55" si="359">SUM(BL44:BL54)</f>
        <v>-4.7707216179999827</v>
      </c>
      <c r="BM55" s="84">
        <f t="shared" ref="BM55:BO55" si="360">SUM(BM44:BM54)</f>
        <v>-2.9880102849999721</v>
      </c>
      <c r="BN55" s="84">
        <f t="shared" ref="BN55:BO55" si="361">SUM(BN44:BN54)</f>
        <v>-15.597572036999999</v>
      </c>
      <c r="BO55" s="84">
        <f t="shared" si="361"/>
        <v>26.489349931999968</v>
      </c>
      <c r="BP55" s="72">
        <f t="shared" si="319"/>
        <v>127.02175714671399</v>
      </c>
      <c r="BR55" s="159">
        <f t="shared" si="310"/>
        <v>1.9847149554174062</v>
      </c>
    </row>
    <row r="57" spans="1:70">
      <c r="A57" s="203" t="s">
        <v>15</v>
      </c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</row>
    <row r="58" spans="1:70">
      <c r="A58" s="106" t="s">
        <v>117</v>
      </c>
      <c r="B58" s="106" t="s">
        <v>6</v>
      </c>
      <c r="C58" s="93"/>
      <c r="D58" s="94">
        <f>D30+D44</f>
        <v>1.0869485000000054</v>
      </c>
      <c r="E58" s="94">
        <f t="shared" ref="E58:BP58" si="362">E30+E44</f>
        <v>0.17860350000000125</v>
      </c>
      <c r="F58" s="94">
        <f t="shared" si="362"/>
        <v>0.93675799999999754</v>
      </c>
      <c r="G58" s="94">
        <f t="shared" si="362"/>
        <v>1.1212199999999974</v>
      </c>
      <c r="H58" s="94">
        <f t="shared" si="362"/>
        <v>2.199022499999991</v>
      </c>
      <c r="I58" s="94">
        <f t="shared" si="362"/>
        <v>1.6363305000000068</v>
      </c>
      <c r="J58" s="94">
        <f t="shared" ref="J58:K58" si="363">J30+J44</f>
        <v>1.7199000000000062</v>
      </c>
      <c r="K58" s="94">
        <f t="shared" si="363"/>
        <v>2.3096549999999922</v>
      </c>
      <c r="L58" s="94">
        <f t="shared" si="362"/>
        <v>1.9752195000000157</v>
      </c>
      <c r="M58" s="94">
        <f t="shared" ref="M58:BO58" si="364">M30+M44</f>
        <v>1.2547709999999839</v>
      </c>
      <c r="N58" s="94">
        <f t="shared" ref="N58:P58" si="365">N30+N44</f>
        <v>0.56724400000001651</v>
      </c>
      <c r="O58" s="94">
        <f t="shared" si="365"/>
        <v>1.2233129999999903</v>
      </c>
      <c r="P58" s="94">
        <f t="shared" si="365"/>
        <v>1.8839533000000088</v>
      </c>
      <c r="Q58" s="94">
        <f t="shared" ref="Q58:R58" si="366">Q30+Q44</f>
        <v>-2.9827356000000194</v>
      </c>
      <c r="R58" s="94">
        <f t="shared" si="366"/>
        <v>3.3490802000000031</v>
      </c>
      <c r="S58" s="94">
        <f t="shared" ref="S58:T58" si="367">S30+S44</f>
        <v>0.62485450000001919</v>
      </c>
      <c r="T58" s="94">
        <f t="shared" si="367"/>
        <v>-1.3488854000000075</v>
      </c>
      <c r="U58" s="94">
        <f t="shared" ref="U58:W58" si="368">U30+U44</f>
        <v>-1.1549762000000001</v>
      </c>
      <c r="V58" s="94">
        <f t="shared" si="368"/>
        <v>3.8532865999999828</v>
      </c>
      <c r="W58" s="94">
        <f t="shared" si="368"/>
        <v>1.3885261000000071</v>
      </c>
      <c r="X58" s="94">
        <f t="shared" ref="X58:Y58" si="369">X30+X44</f>
        <v>-0.29471700000000578</v>
      </c>
      <c r="Y58" s="94">
        <f t="shared" si="369"/>
        <v>2.3237862000000149</v>
      </c>
      <c r="Z58" s="94">
        <f t="shared" ref="Z58:AA58" si="370">Z30+Z44</f>
        <v>0.8149555000000035</v>
      </c>
      <c r="AA58" s="94">
        <f t="shared" si="370"/>
        <v>-0.5628561999999917</v>
      </c>
      <c r="AB58" s="94">
        <f t="shared" ref="AB58:AD58" si="371">AB30+AB44</f>
        <v>0.45323739999999901</v>
      </c>
      <c r="AC58" s="94">
        <f t="shared" si="371"/>
        <v>0.52659109999999743</v>
      </c>
      <c r="AD58" s="94">
        <f t="shared" si="371"/>
        <v>3.1995300000012605E-2</v>
      </c>
      <c r="AE58" s="94">
        <f t="shared" ref="AE58:AF58" si="372">AE30+AE44</f>
        <v>3.1750530999999853</v>
      </c>
      <c r="AF58" s="94">
        <f t="shared" si="372"/>
        <v>1.0388346999999951</v>
      </c>
      <c r="AG58" s="94">
        <f t="shared" ref="AG58:AH58" si="373">AG30+AG44</f>
        <v>2.705108399999979</v>
      </c>
      <c r="AH58" s="94">
        <f t="shared" si="373"/>
        <v>3.2915672000000313</v>
      </c>
      <c r="AI58" s="94">
        <f t="shared" ref="AI58:AJ58" si="374">AI30+AI44</f>
        <v>1.1325287999999816</v>
      </c>
      <c r="AJ58" s="94">
        <f t="shared" si="374"/>
        <v>1.9470371000000029</v>
      </c>
      <c r="AK58" s="94">
        <f t="shared" ref="AK58:AL58" si="375">AK30+AK44</f>
        <v>-0.18800780000000117</v>
      </c>
      <c r="AL58" s="94">
        <f t="shared" si="375"/>
        <v>4.6623004000000137</v>
      </c>
      <c r="AM58" s="94">
        <f t="shared" ref="AM58:AP58" si="376">AM30+AM44</f>
        <v>3.2470981000000023</v>
      </c>
      <c r="AN58" s="94">
        <f t="shared" si="376"/>
        <v>2.061376800000005</v>
      </c>
      <c r="AO58" s="94">
        <f t="shared" si="376"/>
        <v>2.9196276999999782</v>
      </c>
      <c r="AP58" s="94">
        <f t="shared" si="376"/>
        <v>1.4835625999999849</v>
      </c>
      <c r="AQ58" s="94">
        <f t="shared" ref="AQ58:AY58" si="377">AQ30+AQ44</f>
        <v>0.98557370000000333</v>
      </c>
      <c r="AR58" s="94">
        <f t="shared" si="377"/>
        <v>0.6352553000000114</v>
      </c>
      <c r="AS58" s="94">
        <f t="shared" si="377"/>
        <v>5.4711088000000103</v>
      </c>
      <c r="AT58" s="94">
        <f t="shared" si="377"/>
        <v>6.3961025999999777</v>
      </c>
      <c r="AU58" s="94">
        <f t="shared" si="377"/>
        <v>1.4404045000000281</v>
      </c>
      <c r="AV58" s="94">
        <f t="shared" si="377"/>
        <v>1.1907726999999966</v>
      </c>
      <c r="AW58" s="94">
        <f t="shared" si="377"/>
        <v>-5.7567410000000194</v>
      </c>
      <c r="AX58" s="94">
        <f t="shared" si="377"/>
        <v>-0.88181719999998609</v>
      </c>
      <c r="AY58" s="94">
        <f t="shared" si="377"/>
        <v>0.18760269999999934</v>
      </c>
      <c r="AZ58" s="94">
        <f t="shared" ref="AZ58:BN58" si="378">AZ30+AZ44</f>
        <v>-5.4574917999999997</v>
      </c>
      <c r="BA58" s="94">
        <f t="shared" si="378"/>
        <v>-5.978243599999999</v>
      </c>
      <c r="BB58" s="94">
        <f t="shared" si="378"/>
        <v>-6.1497905000000088</v>
      </c>
      <c r="BC58" s="94">
        <f t="shared" si="378"/>
        <v>2.6250802999999934</v>
      </c>
      <c r="BD58" s="94">
        <f t="shared" si="378"/>
        <v>2.4961052000000166</v>
      </c>
      <c r="BE58" s="94">
        <f t="shared" si="378"/>
        <v>2.500920899999997</v>
      </c>
      <c r="BF58" s="94">
        <f t="shared" si="378"/>
        <v>-3.0011443000000213</v>
      </c>
      <c r="BG58" s="94">
        <f t="shared" si="378"/>
        <v>1.3526648999999935</v>
      </c>
      <c r="BH58" s="94">
        <f t="shared" si="378"/>
        <v>-3.8174259999999833</v>
      </c>
      <c r="BI58" s="94">
        <f t="shared" si="378"/>
        <v>2.301251999999991</v>
      </c>
      <c r="BJ58" s="94">
        <f t="shared" si="378"/>
        <v>0.82888260000002845</v>
      </c>
      <c r="BK58" s="94">
        <f t="shared" si="378"/>
        <v>-0.37359940000001757</v>
      </c>
      <c r="BL58" s="94">
        <f t="shared" si="378"/>
        <v>-1.9779408999999788</v>
      </c>
      <c r="BM58" s="94">
        <f t="shared" si="378"/>
        <v>0.59677839999997673</v>
      </c>
      <c r="BN58" s="94">
        <f t="shared" si="378"/>
        <v>-6.1312098999999805</v>
      </c>
      <c r="BO58" s="94">
        <f t="shared" si="364"/>
        <v>4.5095286999999686</v>
      </c>
      <c r="BP58" s="71">
        <f t="shared" si="362"/>
        <v>46.583797099999984</v>
      </c>
      <c r="BR58" s="159">
        <f t="shared" ref="BR58:BR69" si="379">BP58/$BQ$2</f>
        <v>0.72787182968749975</v>
      </c>
    </row>
    <row r="59" spans="1:70">
      <c r="A59" s="106" t="s">
        <v>119</v>
      </c>
      <c r="B59" s="106" t="s">
        <v>6</v>
      </c>
      <c r="C59" s="93"/>
      <c r="D59" s="94">
        <f t="shared" ref="D59:BP59" si="380">D31+D45</f>
        <v>1.4069229388169937</v>
      </c>
      <c r="E59" s="94">
        <f t="shared" si="380"/>
        <v>4.0527171250000045</v>
      </c>
      <c r="F59" s="94">
        <f t="shared" si="380"/>
        <v>0.74501676499999547</v>
      </c>
      <c r="G59" s="94">
        <f t="shared" si="380"/>
        <v>-2.4911225569999971</v>
      </c>
      <c r="H59" s="94">
        <f t="shared" si="380"/>
        <v>3.7313758519999993</v>
      </c>
      <c r="I59" s="94">
        <f t="shared" si="380"/>
        <v>2.3045393119999993</v>
      </c>
      <c r="J59" s="94">
        <f t="shared" ref="J59:K59" si="381">J31+J45</f>
        <v>2.0760108440000025</v>
      </c>
      <c r="K59" s="94">
        <f t="shared" si="381"/>
        <v>3.5146835900000042</v>
      </c>
      <c r="L59" s="94">
        <f t="shared" si="380"/>
        <v>0.91735615599998965</v>
      </c>
      <c r="M59" s="94">
        <f t="shared" ref="M59:BO59" si="382">M31+M45</f>
        <v>1.4646956930000101</v>
      </c>
      <c r="N59" s="94">
        <f t="shared" ref="N59:P59" si="383">N31+N45</f>
        <v>1.131303661000004</v>
      </c>
      <c r="O59" s="94">
        <f t="shared" si="383"/>
        <v>1.5023894089999885</v>
      </c>
      <c r="P59" s="94">
        <f t="shared" si="383"/>
        <v>0.73153855599999673</v>
      </c>
      <c r="Q59" s="94">
        <f t="shared" ref="Q59:R59" si="384">Q31+Q45</f>
        <v>-2.7826043819999882</v>
      </c>
      <c r="R59" s="94">
        <f t="shared" si="384"/>
        <v>3.6887039189999982</v>
      </c>
      <c r="S59" s="94">
        <f t="shared" ref="S59:T59" si="385">S31+S45</f>
        <v>-0.47728249700000447</v>
      </c>
      <c r="T59" s="94">
        <f t="shared" si="385"/>
        <v>-2.0211714969999974</v>
      </c>
      <c r="U59" s="94">
        <f t="shared" ref="U59:W59" si="386">U31+U45</f>
        <v>-1.2634334210000091</v>
      </c>
      <c r="V59" s="94">
        <f t="shared" si="386"/>
        <v>4.5111236610000205</v>
      </c>
      <c r="W59" s="94">
        <f t="shared" si="386"/>
        <v>1.7893422929999758</v>
      </c>
      <c r="X59" s="94">
        <f t="shared" ref="X59:Y59" si="387">X31+X45</f>
        <v>1.1972507000000121</v>
      </c>
      <c r="Y59" s="94">
        <f t="shared" si="387"/>
        <v>3.8814382759999972</v>
      </c>
      <c r="Z59" s="94">
        <f t="shared" ref="Z59:AA59" si="388">Z31+Z45</f>
        <v>2.414693820300009</v>
      </c>
      <c r="AA59" s="94">
        <f t="shared" si="388"/>
        <v>-1.3546890533000138</v>
      </c>
      <c r="AB59" s="94">
        <f t="shared" ref="AB59:AD59" si="389">AB31+AB45</f>
        <v>2.3925417670000044</v>
      </c>
      <c r="AC59" s="94">
        <f t="shared" si="389"/>
        <v>1.5823398049999966</v>
      </c>
      <c r="AD59" s="94">
        <f t="shared" si="389"/>
        <v>4.6641779000005101E-2</v>
      </c>
      <c r="AE59" s="94">
        <f t="shared" ref="AE59:AF59" si="390">AE31+AE45</f>
        <v>4.2962908710000036</v>
      </c>
      <c r="AF59" s="94">
        <f t="shared" si="390"/>
        <v>5.5108942899999889</v>
      </c>
      <c r="AG59" s="94">
        <f t="shared" ref="AG59:AH59" si="391">AG31+AG45</f>
        <v>4.544650694000012</v>
      </c>
      <c r="AH59" s="94">
        <f t="shared" si="391"/>
        <v>4.768171891999998</v>
      </c>
      <c r="AI59" s="94">
        <f t="shared" ref="AI59:AJ59" si="392">AI31+AI45</f>
        <v>3.1342523430000142</v>
      </c>
      <c r="AJ59" s="94">
        <f t="shared" si="392"/>
        <v>1.2198231349999844</v>
      </c>
      <c r="AK59" s="94">
        <f t="shared" ref="AK59:AL59" si="393">AK31+AK45</f>
        <v>0.91787143700000229</v>
      </c>
      <c r="AL59" s="94">
        <f t="shared" si="393"/>
        <v>5.6687040669999789</v>
      </c>
      <c r="AM59" s="94">
        <f t="shared" ref="AM59:AP59" si="394">AM31+AM45</f>
        <v>5.0085630940000243</v>
      </c>
      <c r="AN59" s="94">
        <f t="shared" si="394"/>
        <v>5.4313989299999861</v>
      </c>
      <c r="AO59" s="94">
        <f t="shared" si="394"/>
        <v>4.2688860950000276</v>
      </c>
      <c r="AP59" s="94">
        <f t="shared" si="394"/>
        <v>3.2534159729999743</v>
      </c>
      <c r="AQ59" s="94">
        <f t="shared" ref="AQ59:AY59" si="395">AQ31+AQ45</f>
        <v>3.7912586580000038</v>
      </c>
      <c r="AR59" s="94">
        <f t="shared" si="395"/>
        <v>3.7643326140000113</v>
      </c>
      <c r="AS59" s="94">
        <f t="shared" si="395"/>
        <v>9.0969241629999971</v>
      </c>
      <c r="AT59" s="94">
        <f t="shared" si="395"/>
        <v>5.1006015140000045</v>
      </c>
      <c r="AU59" s="94">
        <f t="shared" si="395"/>
        <v>3.9072769980000146</v>
      </c>
      <c r="AV59" s="94">
        <f t="shared" si="395"/>
        <v>4.9358194609999941</v>
      </c>
      <c r="AW59" s="94">
        <f t="shared" si="395"/>
        <v>-4.2764145210000208</v>
      </c>
      <c r="AX59" s="94">
        <f t="shared" si="395"/>
        <v>3.1318688510000356</v>
      </c>
      <c r="AY59" s="94">
        <f t="shared" si="395"/>
        <v>5.2012720229999729</v>
      </c>
      <c r="AZ59" s="94">
        <f t="shared" ref="AZ59:BN59" si="396">AZ31+AZ45</f>
        <v>-6.9689389060000337</v>
      </c>
      <c r="BA59" s="94">
        <f t="shared" si="396"/>
        <v>-7.5258080629999853</v>
      </c>
      <c r="BB59" s="94">
        <f t="shared" si="396"/>
        <v>7.5268191220000489</v>
      </c>
      <c r="BC59" s="94">
        <f t="shared" si="396"/>
        <v>7.0504741029999423</v>
      </c>
      <c r="BD59" s="94">
        <f t="shared" si="396"/>
        <v>10.187034416000046</v>
      </c>
      <c r="BE59" s="94">
        <f t="shared" si="396"/>
        <v>9.3333474099999876</v>
      </c>
      <c r="BF59" s="94">
        <f t="shared" si="396"/>
        <v>-1.4904421710000408</v>
      </c>
      <c r="BG59" s="94">
        <f t="shared" si="396"/>
        <v>0.93477996100006067</v>
      </c>
      <c r="BH59" s="94">
        <f t="shared" si="396"/>
        <v>5.1764890499999865</v>
      </c>
      <c r="BI59" s="94">
        <f t="shared" si="396"/>
        <v>6.7088196290000042</v>
      </c>
      <c r="BJ59" s="94">
        <f t="shared" si="396"/>
        <v>-0.8708761690000415</v>
      </c>
      <c r="BK59" s="94">
        <f t="shared" si="396"/>
        <v>1.0321046469999828</v>
      </c>
      <c r="BL59" s="94">
        <f t="shared" si="396"/>
        <v>-3.1506279429999893</v>
      </c>
      <c r="BM59" s="94">
        <f t="shared" si="396"/>
        <v>-2.4548265599999581</v>
      </c>
      <c r="BN59" s="94">
        <f t="shared" si="396"/>
        <v>-11.319979499000027</v>
      </c>
      <c r="BO59" s="94">
        <f t="shared" si="382"/>
        <v>20.87576095</v>
      </c>
      <c r="BP59" s="71">
        <f t="shared" si="380"/>
        <v>152.41231507381696</v>
      </c>
      <c r="BR59" s="159">
        <f t="shared" si="379"/>
        <v>2.3814424230283899</v>
      </c>
    </row>
    <row r="60" spans="1:70">
      <c r="A60" s="106" t="s">
        <v>8</v>
      </c>
      <c r="B60" s="106" t="s">
        <v>8</v>
      </c>
      <c r="C60" s="93"/>
      <c r="D60" s="94">
        <f t="shared" ref="D60:BP60" si="397">D32+D46</f>
        <v>0.22636400000000001</v>
      </c>
      <c r="E60" s="94">
        <f t="shared" si="397"/>
        <v>-4.7239000000000031E-2</v>
      </c>
      <c r="F60" s="94">
        <f t="shared" si="397"/>
        <v>-1.4099499999999932E-2</v>
      </c>
      <c r="G60" s="94">
        <f t="shared" si="397"/>
        <v>2.752449999999973E-2</v>
      </c>
      <c r="H60" s="94">
        <f t="shared" si="397"/>
        <v>1.9703500000000096E-2</v>
      </c>
      <c r="I60" s="94">
        <f t="shared" si="397"/>
        <v>-1.7153499999999822E-2</v>
      </c>
      <c r="J60" s="94">
        <f t="shared" ref="J60:K60" si="398">J32+J46</f>
        <v>-4.1364999999999874E-3</v>
      </c>
      <c r="K60" s="94">
        <f t="shared" si="398"/>
        <v>-1.346550000000013E-2</v>
      </c>
      <c r="L60" s="94">
        <f t="shared" si="397"/>
        <v>-4.1479999999998185E-3</v>
      </c>
      <c r="M60" s="94">
        <f t="shared" ref="M60:BO60" si="399">M32+M46</f>
        <v>1.0250000000000092E-2</v>
      </c>
      <c r="N60" s="94">
        <f t="shared" ref="N60:P60" si="400">N32+N46</f>
        <v>3.3999999999996255E-3</v>
      </c>
      <c r="O60" s="94">
        <f t="shared" si="400"/>
        <v>-4.9999999999998934E-3</v>
      </c>
      <c r="P60" s="94">
        <f t="shared" si="400"/>
        <v>-8.8500000000000245E-3</v>
      </c>
      <c r="Q60" s="94">
        <f t="shared" ref="Q60:R60" si="401">Q32+Q46</f>
        <v>3.1100000000000128E-2</v>
      </c>
      <c r="R60" s="94">
        <f t="shared" si="401"/>
        <v>-1.9700000000000051E-2</v>
      </c>
      <c r="S60" s="94">
        <f t="shared" ref="S60:T60" si="402">S32+S46</f>
        <v>4.6350000000000113E-2</v>
      </c>
      <c r="T60" s="94">
        <f t="shared" si="402"/>
        <v>-3.5300000000000109E-2</v>
      </c>
      <c r="U60" s="94">
        <f t="shared" ref="U60:W60" si="403">U32+U46</f>
        <v>1.540000000000008E-2</v>
      </c>
      <c r="V60" s="94">
        <f t="shared" si="403"/>
        <v>-1.5899999999999803E-3</v>
      </c>
      <c r="W60" s="94">
        <f t="shared" si="403"/>
        <v>2.7801999999999882E-2</v>
      </c>
      <c r="X60" s="94">
        <f t="shared" ref="X60:Y60" si="404">X32+X46</f>
        <v>-2.1012000000000031E-2</v>
      </c>
      <c r="Y60" s="94">
        <f t="shared" si="404"/>
        <v>9.300000000000086E-3</v>
      </c>
      <c r="Z60" s="94">
        <f t="shared" ref="Z60:AA60" si="405">Z32+Z46</f>
        <v>1.8642000000000047E-2</v>
      </c>
      <c r="AA60" s="94">
        <f t="shared" si="405"/>
        <v>5.1994999999999791E-2</v>
      </c>
      <c r="AB60" s="94">
        <f t="shared" ref="AB60:AD60" si="406">AB32+AB46</f>
        <v>3.6772500000000319E-2</v>
      </c>
      <c r="AC60" s="94">
        <f t="shared" si="406"/>
        <v>-1.3024500000000216E-2</v>
      </c>
      <c r="AD60" s="94">
        <f t="shared" si="406"/>
        <v>6.2532000000000032E-2</v>
      </c>
      <c r="AE60" s="94">
        <f t="shared" ref="AE60:AF60" si="407">AE32+AE46</f>
        <v>5.5668000000000051E-2</v>
      </c>
      <c r="AF60" s="94">
        <f t="shared" si="407"/>
        <v>5.4965499999999778E-2</v>
      </c>
      <c r="AG60" s="94">
        <f t="shared" ref="AG60:AH60" si="408">AG32+AG46</f>
        <v>-1.9456499999999988E-2</v>
      </c>
      <c r="AH60" s="94">
        <f t="shared" si="408"/>
        <v>7.2460000000000857E-3</v>
      </c>
      <c r="AI60" s="94">
        <f t="shared" ref="AI60:AJ60" si="409">AI32+AI46</f>
        <v>-8.399999999999519E-4</v>
      </c>
      <c r="AJ60" s="94">
        <f t="shared" si="409"/>
        <v>-1.1242999999999892E-2</v>
      </c>
      <c r="AK60" s="94">
        <f t="shared" ref="AK60:AL60" si="410">AK32+AK46</f>
        <v>2.2692999999999852E-2</v>
      </c>
      <c r="AL60" s="94">
        <f t="shared" si="410"/>
        <v>4.2647499999999949E-2</v>
      </c>
      <c r="AM60" s="94">
        <f t="shared" ref="AM60:AP60" si="411">AM32+AM46</f>
        <v>2.5676500000000102E-2</v>
      </c>
      <c r="AN60" s="94">
        <f t="shared" si="411"/>
        <v>1.7974500000000004E-2</v>
      </c>
      <c r="AO60" s="94">
        <f t="shared" si="411"/>
        <v>-1.4103999999999894E-2</v>
      </c>
      <c r="AP60" s="94">
        <f t="shared" si="411"/>
        <v>0.11309649999999993</v>
      </c>
      <c r="AQ60" s="94">
        <f t="shared" ref="AQ60:AY60" si="412">AQ32+AQ46</f>
        <v>9.7720000000000029E-2</v>
      </c>
      <c r="AR60" s="94">
        <f t="shared" si="412"/>
        <v>7.6724999999999932E-2</v>
      </c>
      <c r="AS60" s="94">
        <f t="shared" si="412"/>
        <v>9.9540000000000184E-3</v>
      </c>
      <c r="AT60" s="94">
        <f t="shared" si="412"/>
        <v>3.1572999999999851E-2</v>
      </c>
      <c r="AU60" s="94">
        <f t="shared" si="412"/>
        <v>9.0230000000002253E-3</v>
      </c>
      <c r="AV60" s="94">
        <f t="shared" si="412"/>
        <v>8.2101999999999897E-2</v>
      </c>
      <c r="AW60" s="94">
        <f t="shared" si="412"/>
        <v>0.10424850000000019</v>
      </c>
      <c r="AX60" s="94">
        <f t="shared" si="412"/>
        <v>-7.2045000000000137E-2</v>
      </c>
      <c r="AY60" s="94">
        <f t="shared" si="412"/>
        <v>1.8748999999999683E-2</v>
      </c>
      <c r="AZ60" s="94">
        <f t="shared" ref="AZ60:BN60" si="413">AZ32+AZ46</f>
        <v>3.9485500000000506E-2</v>
      </c>
      <c r="BA60" s="94">
        <f t="shared" si="413"/>
        <v>5.5213999999999874E-2</v>
      </c>
      <c r="BB60" s="94">
        <f t="shared" si="413"/>
        <v>6.0559000000000029E-2</v>
      </c>
      <c r="BC60" s="94">
        <f t="shared" si="413"/>
        <v>9.0551000000000048E-2</v>
      </c>
      <c r="BD60" s="94">
        <f t="shared" si="413"/>
        <v>8.3166999999999991E-2</v>
      </c>
      <c r="BE60" s="94">
        <f t="shared" si="413"/>
        <v>8.4136999999999684E-2</v>
      </c>
      <c r="BF60" s="94">
        <f t="shared" si="413"/>
        <v>1.0241830000000003</v>
      </c>
      <c r="BG60" s="94">
        <f t="shared" si="413"/>
        <v>0.34647950000000005</v>
      </c>
      <c r="BH60" s="94">
        <f t="shared" si="413"/>
        <v>0.48934899999999981</v>
      </c>
      <c r="BI60" s="94">
        <f t="shared" si="413"/>
        <v>-7.2700000000001097E-3</v>
      </c>
      <c r="BJ60" s="94">
        <f t="shared" si="413"/>
        <v>0.23956450000000018</v>
      </c>
      <c r="BK60" s="94">
        <f t="shared" si="413"/>
        <v>0.40933400000000031</v>
      </c>
      <c r="BL60" s="94">
        <f t="shared" si="413"/>
        <v>1.0283685</v>
      </c>
      <c r="BM60" s="94">
        <f t="shared" si="413"/>
        <v>-0.46836250000000046</v>
      </c>
      <c r="BN60" s="94">
        <f t="shared" si="413"/>
        <v>-0.45495600000000014</v>
      </c>
      <c r="BO60" s="94">
        <f t="shared" si="399"/>
        <v>0.13146150000000034</v>
      </c>
      <c r="BP60" s="71">
        <f t="shared" si="397"/>
        <v>4.1860555000000002</v>
      </c>
      <c r="BR60" s="159">
        <f t="shared" si="379"/>
        <v>6.5407117187500002E-2</v>
      </c>
    </row>
    <row r="61" spans="1:70">
      <c r="A61" s="106" t="s">
        <v>120</v>
      </c>
      <c r="B61" s="106" t="s">
        <v>6</v>
      </c>
      <c r="C61" s="93"/>
      <c r="D61" s="94">
        <f t="shared" ref="D61:BP61" si="414">D33+D47</f>
        <v>1.4400000000000004</v>
      </c>
      <c r="E61" s="94">
        <f t="shared" si="414"/>
        <v>0.41000000000000014</v>
      </c>
      <c r="F61" s="94">
        <f t="shared" si="414"/>
        <v>-0.54100000000000037</v>
      </c>
      <c r="G61" s="94">
        <f t="shared" si="414"/>
        <v>-5.8999999999999275E-2</v>
      </c>
      <c r="H61" s="94">
        <f t="shared" si="414"/>
        <v>0.48999999999999932</v>
      </c>
      <c r="I61" s="94">
        <f t="shared" si="414"/>
        <v>5.9000000000000163E-2</v>
      </c>
      <c r="J61" s="94">
        <f t="shared" ref="J61:K61" si="415">J33+J47</f>
        <v>7.3399999999999466E-2</v>
      </c>
      <c r="K61" s="94">
        <f t="shared" si="415"/>
        <v>0.57350000000000101</v>
      </c>
      <c r="L61" s="94">
        <f t="shared" si="414"/>
        <v>0.41409999999999947</v>
      </c>
      <c r="M61" s="94">
        <f t="shared" ref="M61:BO61" si="416">M33+M47</f>
        <v>7.0000000000000284E-2</v>
      </c>
      <c r="N61" s="94">
        <f t="shared" ref="N61:P61" si="417">N33+N47</f>
        <v>-0.21000000000000085</v>
      </c>
      <c r="O61" s="94">
        <f t="shared" si="417"/>
        <v>6.5000000000000391E-2</v>
      </c>
      <c r="P61" s="94">
        <f t="shared" si="417"/>
        <v>0.10500000000000043</v>
      </c>
      <c r="Q61" s="94">
        <f t="shared" ref="Q61:R61" si="418">Q33+Q47</f>
        <v>-0.57000000000000028</v>
      </c>
      <c r="R61" s="94">
        <f t="shared" si="418"/>
        <v>0.26999999999999957</v>
      </c>
      <c r="S61" s="94">
        <f t="shared" ref="S61:T61" si="419">S33+S47</f>
        <v>-0.12600000000000033</v>
      </c>
      <c r="T61" s="94">
        <f t="shared" si="419"/>
        <v>-0.22399999999999931</v>
      </c>
      <c r="U61" s="94">
        <f t="shared" ref="U61:W61" si="420">U33+U47</f>
        <v>-0.27000000000000046</v>
      </c>
      <c r="V61" s="94">
        <f t="shared" si="420"/>
        <v>0.58999999999999986</v>
      </c>
      <c r="W61" s="94">
        <f t="shared" si="420"/>
        <v>0.58000000000000007</v>
      </c>
      <c r="X61" s="94">
        <f t="shared" ref="X61:Y61" si="421">X33+X47</f>
        <v>-0.17999999999999972</v>
      </c>
      <c r="Y61" s="94">
        <f t="shared" si="421"/>
        <v>0.39000000000000057</v>
      </c>
      <c r="Z61" s="94">
        <f t="shared" ref="Z61:AA61" si="422">Z33+Z47</f>
        <v>0.2159999999999993</v>
      </c>
      <c r="AA61" s="94">
        <f t="shared" si="422"/>
        <v>-0.24599999999999955</v>
      </c>
      <c r="AB61" s="94">
        <f t="shared" ref="AB61:AD61" si="423">AB33+AB47</f>
        <v>-0.17100000000000026</v>
      </c>
      <c r="AC61" s="94">
        <f t="shared" si="423"/>
        <v>3.2000000000000028E-2</v>
      </c>
      <c r="AD61" s="94">
        <f t="shared" si="423"/>
        <v>-9.0999999999999304E-2</v>
      </c>
      <c r="AE61" s="94">
        <f t="shared" ref="AE61:AF61" si="424">AE33+AE47</f>
        <v>0.39199999999999946</v>
      </c>
      <c r="AF61" s="94">
        <f t="shared" si="424"/>
        <v>0.29299999999999926</v>
      </c>
      <c r="AG61" s="94">
        <f t="shared" ref="AG61:AH61" si="425">AG33+AG47</f>
        <v>0.30500000000000149</v>
      </c>
      <c r="AH61" s="94">
        <f t="shared" si="425"/>
        <v>1.3099999999999987</v>
      </c>
      <c r="AI61" s="94">
        <f t="shared" ref="AI61:AJ61" si="426">AI33+AI47</f>
        <v>6.3000000000000611E-2</v>
      </c>
      <c r="AJ61" s="94">
        <f t="shared" si="426"/>
        <v>4.7000000000000597E-2</v>
      </c>
      <c r="AK61" s="94">
        <f t="shared" ref="AK61:AL61" si="427">AK33+AK47</f>
        <v>-8.9999999999999858E-2</v>
      </c>
      <c r="AL61" s="94">
        <f t="shared" si="427"/>
        <v>0.56879999999999953</v>
      </c>
      <c r="AM61" s="94">
        <f t="shared" ref="AM61:AP61" si="428">AM33+AM47</f>
        <v>0.7392000000000003</v>
      </c>
      <c r="AN61" s="94">
        <f t="shared" si="428"/>
        <v>0.17399999999999949</v>
      </c>
      <c r="AO61" s="94">
        <f t="shared" si="428"/>
        <v>0.38700000000000045</v>
      </c>
      <c r="AP61" s="94">
        <f t="shared" si="428"/>
        <v>-0.44900000000000162</v>
      </c>
      <c r="AQ61" s="94">
        <f t="shared" ref="AQ61:AY61" si="429">AQ33+AQ47</f>
        <v>0.16200000000000081</v>
      </c>
      <c r="AR61" s="94">
        <f t="shared" si="429"/>
        <v>0.12899999999999956</v>
      </c>
      <c r="AS61" s="94">
        <f t="shared" si="429"/>
        <v>0.74399999999999977</v>
      </c>
      <c r="AT61" s="94">
        <f t="shared" si="429"/>
        <v>0.86100000000000065</v>
      </c>
      <c r="AU61" s="94">
        <f t="shared" si="429"/>
        <v>0.13700000000000045</v>
      </c>
      <c r="AV61" s="94">
        <f t="shared" si="429"/>
        <v>0.24699999999999989</v>
      </c>
      <c r="AW61" s="94">
        <f t="shared" si="429"/>
        <v>-0.84700000000000131</v>
      </c>
      <c r="AX61" s="94">
        <f t="shared" si="429"/>
        <v>3.700000000000081E-2</v>
      </c>
      <c r="AY61" s="94">
        <f t="shared" si="429"/>
        <v>2.000000000000135E-2</v>
      </c>
      <c r="AZ61" s="94">
        <f t="shared" ref="AZ61:BN61" si="430">AZ33+AZ47</f>
        <v>-0.52000000000000135</v>
      </c>
      <c r="BA61" s="94">
        <f t="shared" si="430"/>
        <v>-0.83000000000000007</v>
      </c>
      <c r="BB61" s="94">
        <f t="shared" si="430"/>
        <v>-2.9999999999999361E-2</v>
      </c>
      <c r="BC61" s="94">
        <f t="shared" si="430"/>
        <v>0.63999999999999879</v>
      </c>
      <c r="BD61" s="94">
        <f t="shared" si="430"/>
        <v>0.30500000000000149</v>
      </c>
      <c r="BE61" s="94">
        <f t="shared" si="430"/>
        <v>0.42499999999999893</v>
      </c>
      <c r="BF61" s="94">
        <f t="shared" si="430"/>
        <v>-0.45999999999999908</v>
      </c>
      <c r="BG61" s="94">
        <f t="shared" si="430"/>
        <v>-6.0000000000000497E-2</v>
      </c>
      <c r="BH61" s="94">
        <f t="shared" si="430"/>
        <v>0.32600000000000051</v>
      </c>
      <c r="BI61" s="94">
        <f t="shared" si="430"/>
        <v>0.87653999999999854</v>
      </c>
      <c r="BJ61" s="94">
        <f t="shared" si="430"/>
        <v>0.2552500000000002</v>
      </c>
      <c r="BK61" s="94">
        <f t="shared" si="430"/>
        <v>-2.0789999999998088E-2</v>
      </c>
      <c r="BL61" s="94">
        <f t="shared" si="430"/>
        <v>-0.33100000000000129</v>
      </c>
      <c r="BM61" s="94">
        <f t="shared" si="430"/>
        <v>9.3999999999999417E-2</v>
      </c>
      <c r="BN61" s="94">
        <f t="shared" si="430"/>
        <v>-1.5399999999999991</v>
      </c>
      <c r="BO61" s="94">
        <f t="shared" si="416"/>
        <v>0.28999999999999915</v>
      </c>
      <c r="BP61" s="71">
        <f t="shared" si="414"/>
        <v>7.7399999999999993</v>
      </c>
      <c r="BR61" s="159">
        <f t="shared" si="379"/>
        <v>0.12093749999999999</v>
      </c>
    </row>
    <row r="62" spans="1:70">
      <c r="A62" s="106" t="s">
        <v>121</v>
      </c>
      <c r="B62" s="106" t="s">
        <v>7</v>
      </c>
      <c r="C62" s="93"/>
      <c r="D62" s="94">
        <f t="shared" ref="D62:BP62" si="431">D34+D48</f>
        <v>9.4999999999999918E-2</v>
      </c>
      <c r="E62" s="94">
        <f t="shared" si="431"/>
        <v>-4.9999999999998934E-3</v>
      </c>
      <c r="F62" s="94">
        <f t="shared" si="431"/>
        <v>8.0000000000000071E-3</v>
      </c>
      <c r="G62" s="94">
        <f t="shared" si="431"/>
        <v>0.24479999999999991</v>
      </c>
      <c r="H62" s="94">
        <f t="shared" si="431"/>
        <v>5.2000000000000934E-3</v>
      </c>
      <c r="I62" s="94">
        <f t="shared" si="431"/>
        <v>0</v>
      </c>
      <c r="J62" s="94">
        <f t="shared" ref="J62:K62" si="432">J34+J48</f>
        <v>5.0999999999999934E-3</v>
      </c>
      <c r="K62" s="94">
        <f t="shared" si="432"/>
        <v>8.7700000000000555E-3</v>
      </c>
      <c r="L62" s="94">
        <f t="shared" si="431"/>
        <v>5.41299999999999E-2</v>
      </c>
      <c r="M62" s="94">
        <f t="shared" ref="M62:BO62" si="433">M34+M48</f>
        <v>-6.0000000000000053E-3</v>
      </c>
      <c r="N62" s="94">
        <f t="shared" ref="N62:P62" si="434">N34+N48</f>
        <v>0</v>
      </c>
      <c r="O62" s="94">
        <f t="shared" si="434"/>
        <v>1.3000000000000012E-2</v>
      </c>
      <c r="P62" s="94">
        <f t="shared" si="434"/>
        <v>0</v>
      </c>
      <c r="Q62" s="94">
        <f t="shared" ref="Q62:R62" si="435">Q34+Q48</f>
        <v>3.0000000000000027E-3</v>
      </c>
      <c r="R62" s="94">
        <f t="shared" si="435"/>
        <v>4.0000000000000036E-3</v>
      </c>
      <c r="S62" s="94">
        <f t="shared" ref="S62:T62" si="436">S34+S48</f>
        <v>6.4999999999999947E-2</v>
      </c>
      <c r="T62" s="94">
        <f t="shared" si="436"/>
        <v>-1.6999999999999904E-2</v>
      </c>
      <c r="U62" s="94">
        <f t="shared" ref="U62:W62" si="437">U34+U48</f>
        <v>5.0000000000000044E-3</v>
      </c>
      <c r="V62" s="94">
        <f t="shared" si="437"/>
        <v>1.0000000000000009E-2</v>
      </c>
      <c r="W62" s="94">
        <f t="shared" si="437"/>
        <v>6.1999999999999833E-2</v>
      </c>
      <c r="X62" s="94">
        <f t="shared" ref="X62:Y62" si="438">X34+X48</f>
        <v>2.7000000000000135E-2</v>
      </c>
      <c r="Y62" s="94">
        <f t="shared" si="438"/>
        <v>-1.6000000000000014E-2</v>
      </c>
      <c r="Z62" s="94">
        <f t="shared" ref="Z62:AA62" si="439">Z34+Z48</f>
        <v>1.2000000000000011E-2</v>
      </c>
      <c r="AA62" s="94">
        <f t="shared" si="439"/>
        <v>4.9999999999998934E-3</v>
      </c>
      <c r="AB62" s="94">
        <f t="shared" ref="AB62:AD62" si="440">AB34+AB48</f>
        <v>6.0000000000002274E-3</v>
      </c>
      <c r="AC62" s="94">
        <f t="shared" si="440"/>
        <v>0</v>
      </c>
      <c r="AD62" s="94">
        <f t="shared" si="440"/>
        <v>-2.3000000000000131E-2</v>
      </c>
      <c r="AE62" s="94">
        <f t="shared" ref="AE62:AF62" si="441">AE34+AE48</f>
        <v>1.4699999999999935E-2</v>
      </c>
      <c r="AF62" s="94">
        <f t="shared" si="441"/>
        <v>1.0299999999999976E-2</v>
      </c>
      <c r="AG62" s="94">
        <f t="shared" ref="AG62:AH62" si="442">AG34+AG48</f>
        <v>3.4000000000000696E-3</v>
      </c>
      <c r="AH62" s="94">
        <f t="shared" si="442"/>
        <v>0.15459999999999985</v>
      </c>
      <c r="AI62" s="94">
        <f t="shared" ref="AI62:AJ62" si="443">AI34+AI48</f>
        <v>7.0000000000001172E-3</v>
      </c>
      <c r="AJ62" s="94">
        <f t="shared" si="443"/>
        <v>4.9999999999998934E-3</v>
      </c>
      <c r="AK62" s="94">
        <f t="shared" ref="AK62:AL62" si="444">AK34+AK48</f>
        <v>4.0000000000000036E-3</v>
      </c>
      <c r="AL62" s="94">
        <f t="shared" si="444"/>
        <v>6.7000000000001503E-3</v>
      </c>
      <c r="AM62" s="94">
        <f t="shared" ref="AM62:AP62" si="445">AM34+AM48</f>
        <v>9.2999999999998639E-3</v>
      </c>
      <c r="AN62" s="94">
        <f t="shared" si="445"/>
        <v>1.3500000000000068E-2</v>
      </c>
      <c r="AO62" s="94">
        <f t="shared" si="445"/>
        <v>7.5000000000000622E-3</v>
      </c>
      <c r="AP62" s="94">
        <f t="shared" si="445"/>
        <v>0.25299999999999989</v>
      </c>
      <c r="AQ62" s="94">
        <f t="shared" ref="AQ62:AY62" si="446">AQ34+AQ48</f>
        <v>3.0000000000001137E-3</v>
      </c>
      <c r="AR62" s="94">
        <f t="shared" si="446"/>
        <v>1.3580000000000148E-2</v>
      </c>
      <c r="AS62" s="94">
        <f t="shared" si="446"/>
        <v>1.0219999999999896E-2</v>
      </c>
      <c r="AT62" s="94">
        <f t="shared" si="446"/>
        <v>6.4200000000000035E-2</v>
      </c>
      <c r="AU62" s="94">
        <f t="shared" si="446"/>
        <v>1.0999999999999899E-2</v>
      </c>
      <c r="AV62" s="94">
        <f t="shared" si="446"/>
        <v>2.100000000000013E-2</v>
      </c>
      <c r="AW62" s="94">
        <f t="shared" si="446"/>
        <v>1.2000000000000011E-2</v>
      </c>
      <c r="AX62" s="94">
        <f t="shared" si="446"/>
        <v>8.0000000000000071E-3</v>
      </c>
      <c r="AY62" s="94">
        <f t="shared" si="446"/>
        <v>1.2000000000000011E-2</v>
      </c>
      <c r="AZ62" s="94">
        <f t="shared" ref="AZ62:BN62" si="447">AZ34+AZ48</f>
        <v>9.9999999999997868E-3</v>
      </c>
      <c r="BA62" s="94">
        <f t="shared" si="447"/>
        <v>9.9999999999988987E-4</v>
      </c>
      <c r="BB62" s="94">
        <f t="shared" si="447"/>
        <v>0.16900000000000004</v>
      </c>
      <c r="BC62" s="94">
        <f t="shared" si="447"/>
        <v>1.780000000000026E-2</v>
      </c>
      <c r="BD62" s="94">
        <f t="shared" si="447"/>
        <v>2.2199999999999775E-2</v>
      </c>
      <c r="BE62" s="94">
        <f t="shared" si="447"/>
        <v>0</v>
      </c>
      <c r="BF62" s="94">
        <f t="shared" si="447"/>
        <v>1.6000000000000014E-2</v>
      </c>
      <c r="BG62" s="94">
        <f t="shared" si="447"/>
        <v>-5.9999999999997833E-3</v>
      </c>
      <c r="BH62" s="94">
        <f t="shared" si="447"/>
        <v>1.399999999999979E-2</v>
      </c>
      <c r="BI62" s="94">
        <f t="shared" si="447"/>
        <v>8.5830000000000073E-2</v>
      </c>
      <c r="BJ62" s="94">
        <f t="shared" si="447"/>
        <v>1.3009999999999966E-2</v>
      </c>
      <c r="BK62" s="94">
        <f t="shared" si="447"/>
        <v>1.5600000000000058E-3</v>
      </c>
      <c r="BL62" s="94">
        <f t="shared" si="447"/>
        <v>-5.4000000000000714E-3</v>
      </c>
      <c r="BM62" s="94">
        <f t="shared" si="447"/>
        <v>1.8999999999999906E-2</v>
      </c>
      <c r="BN62" s="94">
        <f t="shared" si="447"/>
        <v>0</v>
      </c>
      <c r="BO62" s="94">
        <f t="shared" si="433"/>
        <v>9.2000000000000526E-2</v>
      </c>
      <c r="BP62" s="71">
        <f t="shared" si="431"/>
        <v>1.6600000000000001</v>
      </c>
      <c r="BR62" s="159">
        <f t="shared" si="379"/>
        <v>2.5937500000000002E-2</v>
      </c>
    </row>
    <row r="63" spans="1:70">
      <c r="A63" s="106" t="s">
        <v>122</v>
      </c>
      <c r="B63" s="106" t="s">
        <v>7</v>
      </c>
      <c r="C63" s="93"/>
      <c r="D63" s="94">
        <f t="shared" ref="D63:BP63" si="448">D35+D49</f>
        <v>0.1429999999999999</v>
      </c>
      <c r="E63" s="94">
        <f t="shared" si="448"/>
        <v>-3.2999999999999918E-2</v>
      </c>
      <c r="F63" s="94">
        <f t="shared" si="448"/>
        <v>2.0999999999999908E-2</v>
      </c>
      <c r="G63" s="94">
        <f t="shared" si="448"/>
        <v>0.38460000000000005</v>
      </c>
      <c r="H63" s="94">
        <f t="shared" si="448"/>
        <v>3.2999999999998586E-3</v>
      </c>
      <c r="I63" s="94">
        <f t="shared" si="448"/>
        <v>-4.2999999999997485E-3</v>
      </c>
      <c r="J63" s="94">
        <f t="shared" ref="J63:K63" si="449">J35+J49</f>
        <v>1.2299999999998423E-3</v>
      </c>
      <c r="K63" s="94">
        <f t="shared" si="449"/>
        <v>2.2220000000000129E-2</v>
      </c>
      <c r="L63" s="94">
        <f t="shared" si="448"/>
        <v>7.9949999999999966E-2</v>
      </c>
      <c r="M63" s="94">
        <f t="shared" ref="M63:BO63" si="450">M35+M49</f>
        <v>-8.0000000000000071E-3</v>
      </c>
      <c r="N63" s="94">
        <f t="shared" ref="N63:P63" si="451">N35+N49</f>
        <v>2.0000000000000018E-2</v>
      </c>
      <c r="O63" s="94">
        <f t="shared" si="451"/>
        <v>0</v>
      </c>
      <c r="P63" s="94">
        <f t="shared" si="451"/>
        <v>-2.0000000000000018E-2</v>
      </c>
      <c r="Q63" s="94">
        <f t="shared" ref="Q63:R63" si="452">Q35+Q49</f>
        <v>8.0000000000000071E-3</v>
      </c>
      <c r="R63" s="94">
        <f t="shared" si="452"/>
        <v>6.4999999999999503E-3</v>
      </c>
      <c r="S63" s="94">
        <f t="shared" ref="S63:T63" si="453">S35+S49</f>
        <v>0.11749999999999994</v>
      </c>
      <c r="T63" s="94">
        <f t="shared" si="453"/>
        <v>-2.2999999999999909E-2</v>
      </c>
      <c r="U63" s="94">
        <f t="shared" ref="U63:W63" si="454">U35+U49</f>
        <v>1.1999999999999789E-2</v>
      </c>
      <c r="V63" s="94">
        <f t="shared" si="454"/>
        <v>1.6000000000000014E-2</v>
      </c>
      <c r="W63" s="94">
        <f t="shared" si="454"/>
        <v>9.3000000000000194E-2</v>
      </c>
      <c r="X63" s="94">
        <f t="shared" ref="X63:Y63" si="455">X35+X49</f>
        <v>1.0999999999999899E-2</v>
      </c>
      <c r="Y63" s="94">
        <f t="shared" si="455"/>
        <v>7.0000000000001172E-3</v>
      </c>
      <c r="Z63" s="94">
        <f t="shared" ref="Z63:AA63" si="456">Z35+Z49</f>
        <v>2.8000000000000025E-2</v>
      </c>
      <c r="AA63" s="94">
        <f t="shared" si="456"/>
        <v>-1.0000000000001119E-3</v>
      </c>
      <c r="AB63" s="94">
        <f t="shared" ref="AB63:AD63" si="457">AB35+AB49</f>
        <v>1.4999999999999902E-2</v>
      </c>
      <c r="AC63" s="94">
        <f t="shared" si="457"/>
        <v>-9.9999999999988987E-4</v>
      </c>
      <c r="AD63" s="94">
        <f t="shared" si="457"/>
        <v>-4.5999999999999819E-2</v>
      </c>
      <c r="AE63" s="94">
        <f t="shared" ref="AE63:AF63" si="458">AE35+AE49</f>
        <v>2.5299999999999878E-2</v>
      </c>
      <c r="AF63" s="94">
        <f t="shared" si="458"/>
        <v>2.2699999999999942E-2</v>
      </c>
      <c r="AG63" s="94">
        <f t="shared" ref="AG63:AH63" si="459">AG35+AG49</f>
        <v>-6.0000000000000053E-3</v>
      </c>
      <c r="AH63" s="94">
        <f t="shared" si="459"/>
        <v>0.22780000000000022</v>
      </c>
      <c r="AI63" s="94">
        <f t="shared" ref="AI63:AJ63" si="460">AI35+AI49</f>
        <v>1.4199999999999768E-2</v>
      </c>
      <c r="AJ63" s="94">
        <f t="shared" si="460"/>
        <v>-9.9999999999988987E-4</v>
      </c>
      <c r="AK63" s="94">
        <f t="shared" ref="AK63:AL63" si="461">AK35+AK49</f>
        <v>0</v>
      </c>
      <c r="AL63" s="94">
        <f t="shared" si="461"/>
        <v>8.999999999999897E-3</v>
      </c>
      <c r="AM63" s="94">
        <f t="shared" ref="AM63:AP63" si="462">AM35+AM49</f>
        <v>2.7000000000000135E-2</v>
      </c>
      <c r="AN63" s="94">
        <f t="shared" si="462"/>
        <v>4.149999999999987E-2</v>
      </c>
      <c r="AO63" s="94">
        <f t="shared" si="462"/>
        <v>1.2199999999999989E-2</v>
      </c>
      <c r="AP63" s="94">
        <f t="shared" si="462"/>
        <v>0.35230000000000028</v>
      </c>
      <c r="AQ63" s="94">
        <f t="shared" ref="AQ63:AY63" si="463">AQ35+AQ49</f>
        <v>-4.0000000000004476E-3</v>
      </c>
      <c r="AR63" s="94">
        <f t="shared" si="463"/>
        <v>4.2500000000000426E-2</v>
      </c>
      <c r="AS63" s="94">
        <f t="shared" si="463"/>
        <v>2.0499999999999741E-2</v>
      </c>
      <c r="AT63" s="94">
        <f t="shared" si="463"/>
        <v>9.8800000000000221E-2</v>
      </c>
      <c r="AU63" s="94">
        <f t="shared" si="463"/>
        <v>1.4199999999999768E-2</v>
      </c>
      <c r="AV63" s="94">
        <f t="shared" si="463"/>
        <v>4.9999999999999822E-2</v>
      </c>
      <c r="AW63" s="94">
        <f t="shared" si="463"/>
        <v>-3.0000000000001137E-3</v>
      </c>
      <c r="AX63" s="94">
        <f t="shared" si="463"/>
        <v>7.9000000000002402E-3</v>
      </c>
      <c r="AY63" s="94">
        <f t="shared" si="463"/>
        <v>1.2100000000000222E-2</v>
      </c>
      <c r="AZ63" s="94">
        <f t="shared" ref="AZ63:BN63" si="464">AZ35+AZ49</f>
        <v>2.0000000000000018E-2</v>
      </c>
      <c r="BA63" s="94">
        <f t="shared" si="464"/>
        <v>-7.0000000000001172E-3</v>
      </c>
      <c r="BB63" s="94">
        <f t="shared" si="464"/>
        <v>0.51499999999999968</v>
      </c>
      <c r="BC63" s="94">
        <f t="shared" si="464"/>
        <v>4.4900000000000162E-2</v>
      </c>
      <c r="BD63" s="94">
        <f t="shared" si="464"/>
        <v>1.1800000000000033E-2</v>
      </c>
      <c r="BE63" s="94">
        <f t="shared" si="464"/>
        <v>-4.1699999999999626E-2</v>
      </c>
      <c r="BF63" s="94">
        <f t="shared" si="464"/>
        <v>3.9999999999995595E-3</v>
      </c>
      <c r="BG63" s="94">
        <f t="shared" si="464"/>
        <v>-6.999999999999984E-2</v>
      </c>
      <c r="BH63" s="94">
        <f t="shared" si="464"/>
        <v>5.8999999999999719E-2</v>
      </c>
      <c r="BI63" s="94">
        <f t="shared" si="464"/>
        <v>0.10383999999999993</v>
      </c>
      <c r="BJ63" s="94">
        <f t="shared" si="464"/>
        <v>1.0300000000000864E-3</v>
      </c>
      <c r="BK63" s="94">
        <f t="shared" si="464"/>
        <v>1.6340000000000465E-2</v>
      </c>
      <c r="BL63" s="94">
        <f t="shared" si="464"/>
        <v>-4.210000000000047E-3</v>
      </c>
      <c r="BM63" s="94">
        <f t="shared" si="464"/>
        <v>2.2699999999999942E-2</v>
      </c>
      <c r="BN63" s="94">
        <f t="shared" si="464"/>
        <v>-7.0700000000000429E-2</v>
      </c>
      <c r="BO63" s="94">
        <f t="shared" si="450"/>
        <v>0.64400000000000013</v>
      </c>
      <c r="BP63" s="71">
        <f t="shared" si="448"/>
        <v>3.0659999999999998</v>
      </c>
      <c r="BR63" s="159">
        <f t="shared" si="379"/>
        <v>4.7906249999999997E-2</v>
      </c>
    </row>
    <row r="64" spans="1:70">
      <c r="A64" s="106" t="s">
        <v>123</v>
      </c>
      <c r="B64" s="106" t="s">
        <v>7</v>
      </c>
      <c r="C64" s="93"/>
      <c r="D64" s="94">
        <f t="shared" ref="D64:BP64" si="465">D36+D50</f>
        <v>0.22999999999999865</v>
      </c>
      <c r="E64" s="94">
        <f t="shared" si="465"/>
        <v>0.47000000000000064</v>
      </c>
      <c r="F64" s="94">
        <f t="shared" si="465"/>
        <v>1.3499999999999996</v>
      </c>
      <c r="G64" s="94">
        <f t="shared" si="465"/>
        <v>0.23000000000000043</v>
      </c>
      <c r="H64" s="94">
        <f t="shared" si="465"/>
        <v>0.23300000000000054</v>
      </c>
      <c r="I64" s="94">
        <f t="shared" si="465"/>
        <v>0.23296000000000028</v>
      </c>
      <c r="J64" s="94">
        <f t="shared" ref="J64:K64" si="466">J36+J50</f>
        <v>0.23296000000000205</v>
      </c>
      <c r="K64" s="94">
        <f t="shared" si="466"/>
        <v>0.23296000000000205</v>
      </c>
      <c r="L64" s="94">
        <f t="shared" si="465"/>
        <v>0.23296000000000205</v>
      </c>
      <c r="M64" s="94">
        <f t="shared" ref="M64:BO64" si="467">M36+M50</f>
        <v>0.27530000000000143</v>
      </c>
      <c r="N64" s="94">
        <f t="shared" ref="N64:P64" si="468">N36+N50</f>
        <v>0.27529999999999788</v>
      </c>
      <c r="O64" s="94">
        <f t="shared" si="468"/>
        <v>0.27529999999999788</v>
      </c>
      <c r="P64" s="94">
        <f t="shared" si="468"/>
        <v>0.27529999999999788</v>
      </c>
      <c r="Q64" s="94">
        <f t="shared" ref="Q64:R64" si="469">Q36+Q50</f>
        <v>0.27529999999999788</v>
      </c>
      <c r="R64" s="94">
        <f t="shared" si="469"/>
        <v>1.7952999999999975</v>
      </c>
      <c r="S64" s="94">
        <f t="shared" ref="S64:T64" si="470">S36+S50</f>
        <v>0.27529999999999788</v>
      </c>
      <c r="T64" s="94">
        <f t="shared" si="470"/>
        <v>0.27529999999999788</v>
      </c>
      <c r="U64" s="94">
        <f t="shared" ref="U64:W64" si="471">U36+U50</f>
        <v>0.27529999999999788</v>
      </c>
      <c r="V64" s="94">
        <f t="shared" si="471"/>
        <v>0.27529999999999788</v>
      </c>
      <c r="W64" s="94">
        <f t="shared" si="471"/>
        <v>0.27529999999999788</v>
      </c>
      <c r="X64" s="94">
        <f t="shared" ref="X64:Y64" si="472">X36+X50</f>
        <v>0.27529999999999788</v>
      </c>
      <c r="Y64" s="94">
        <f t="shared" si="472"/>
        <v>0.27529999999999788</v>
      </c>
      <c r="Z64" s="94">
        <f t="shared" ref="Z64:AA64" si="473">Z36+Z50</f>
        <v>0.63700000000000045</v>
      </c>
      <c r="AA64" s="94">
        <f t="shared" si="473"/>
        <v>0.31850000000000023</v>
      </c>
      <c r="AB64" s="94">
        <f t="shared" ref="AB64:AD64" si="474">AB36+AB50</f>
        <v>0.31850000000000023</v>
      </c>
      <c r="AC64" s="94">
        <f t="shared" si="474"/>
        <v>0.31850000000000023</v>
      </c>
      <c r="AD64" s="94">
        <f t="shared" si="474"/>
        <v>1.876830000000016</v>
      </c>
      <c r="AE64" s="94">
        <f t="shared" ref="AE64:AF64" si="475">AE36+AE50</f>
        <v>0.31850000000000023</v>
      </c>
      <c r="AF64" s="94">
        <f t="shared" si="475"/>
        <v>0.31850000000000023</v>
      </c>
      <c r="AG64" s="94">
        <f t="shared" ref="AG64:AH64" si="476">AG36+AG50</f>
        <v>0.31850000000000023</v>
      </c>
      <c r="AH64" s="94">
        <f t="shared" si="476"/>
        <v>0.31850000000000023</v>
      </c>
      <c r="AI64" s="94">
        <f t="shared" ref="AI64:AJ64" si="477">AI36+AI50</f>
        <v>0.31850000000000023</v>
      </c>
      <c r="AJ64" s="94">
        <f t="shared" si="477"/>
        <v>0.31850000000000023</v>
      </c>
      <c r="AK64" s="94">
        <f t="shared" ref="AK64:AL64" si="478">AK36+AK50</f>
        <v>0.351580000000002</v>
      </c>
      <c r="AL64" s="94">
        <f t="shared" si="478"/>
        <v>0.351580000000002</v>
      </c>
      <c r="AM64" s="94">
        <f t="shared" ref="AM64:AP64" si="479">AM36+AM50</f>
        <v>0.351580000000002</v>
      </c>
      <c r="AN64" s="94">
        <f t="shared" si="479"/>
        <v>0.351580000000002</v>
      </c>
      <c r="AO64" s="94">
        <f t="shared" si="479"/>
        <v>0.351580000000002</v>
      </c>
      <c r="AP64" s="94">
        <f t="shared" si="479"/>
        <v>2.6580299999999895</v>
      </c>
      <c r="AQ64" s="94">
        <f t="shared" ref="AQ64:AY64" si="480">AQ36+AQ50</f>
        <v>0.351580000000002</v>
      </c>
      <c r="AR64" s="94">
        <f t="shared" si="480"/>
        <v>0.35157999999999845</v>
      </c>
      <c r="AS64" s="94">
        <f t="shared" si="480"/>
        <v>0.35157999999999845</v>
      </c>
      <c r="AT64" s="94">
        <f t="shared" si="480"/>
        <v>0.35157999999999845</v>
      </c>
      <c r="AU64" s="94">
        <f t="shared" si="480"/>
        <v>0.35157999999999845</v>
      </c>
      <c r="AV64" s="94">
        <f t="shared" si="480"/>
        <v>0.35157999999999845</v>
      </c>
      <c r="AW64" s="94">
        <f t="shared" si="480"/>
        <v>0.4061799999999991</v>
      </c>
      <c r="AX64" s="94">
        <f t="shared" si="480"/>
        <v>0.4061799999999991</v>
      </c>
      <c r="AY64" s="94">
        <f t="shared" si="480"/>
        <v>0.4061799999999991</v>
      </c>
      <c r="AZ64" s="94">
        <f t="shared" ref="AZ64:BN64" si="481">AZ36+AZ50</f>
        <v>0.4061799999999991</v>
      </c>
      <c r="BA64" s="94">
        <f t="shared" si="481"/>
        <v>0.4061799999999991</v>
      </c>
      <c r="BB64" s="94">
        <f t="shared" si="481"/>
        <v>3.326179999999999</v>
      </c>
      <c r="BC64" s="94">
        <f t="shared" si="481"/>
        <v>0.4061799999999991</v>
      </c>
      <c r="BD64" s="94">
        <f t="shared" si="481"/>
        <v>0.4061799999999991</v>
      </c>
      <c r="BE64" s="94">
        <f t="shared" si="481"/>
        <v>0.4061799999999991</v>
      </c>
      <c r="BF64" s="94">
        <f t="shared" si="481"/>
        <v>0.4061799999999991</v>
      </c>
      <c r="BG64" s="94">
        <f t="shared" si="481"/>
        <v>0.4061799999999991</v>
      </c>
      <c r="BH64" s="94">
        <f t="shared" si="481"/>
        <v>0.4061799999999991</v>
      </c>
      <c r="BI64" s="94">
        <f t="shared" si="481"/>
        <v>0.47505999999999915</v>
      </c>
      <c r="BJ64" s="94">
        <f t="shared" si="481"/>
        <v>0.47505999999999915</v>
      </c>
      <c r="BK64" s="94">
        <f t="shared" si="481"/>
        <v>0.47505999999999915</v>
      </c>
      <c r="BL64" s="94">
        <f t="shared" si="481"/>
        <v>0.47505999999999915</v>
      </c>
      <c r="BM64" s="94">
        <f t="shared" si="481"/>
        <v>0.47505999999999915</v>
      </c>
      <c r="BN64" s="94">
        <f t="shared" si="481"/>
        <v>3.4750599999999991</v>
      </c>
      <c r="BO64" s="94">
        <f t="shared" si="467"/>
        <v>0.47505999999999915</v>
      </c>
      <c r="BP64" s="71">
        <f t="shared" si="465"/>
        <v>34.569059999999979</v>
      </c>
      <c r="BR64" s="159">
        <f t="shared" si="379"/>
        <v>0.54014156249999967</v>
      </c>
    </row>
    <row r="65" spans="1:70">
      <c r="A65" s="106" t="s">
        <v>124</v>
      </c>
      <c r="B65" s="106" t="s">
        <v>7</v>
      </c>
      <c r="C65" s="93"/>
      <c r="D65" s="94">
        <f t="shared" ref="D65:BP65" si="482">D37+D51</f>
        <v>0</v>
      </c>
      <c r="E65" s="94">
        <f t="shared" si="482"/>
        <v>0</v>
      </c>
      <c r="F65" s="94">
        <f t="shared" si="482"/>
        <v>1.2100000000000009</v>
      </c>
      <c r="G65" s="94">
        <f t="shared" si="482"/>
        <v>0</v>
      </c>
      <c r="H65" s="94">
        <f t="shared" si="482"/>
        <v>0</v>
      </c>
      <c r="I65" s="94">
        <f t="shared" si="482"/>
        <v>0</v>
      </c>
      <c r="J65" s="94">
        <f t="shared" ref="J65:K65" si="483">J37+J51</f>
        <v>0</v>
      </c>
      <c r="K65" s="94">
        <f t="shared" si="483"/>
        <v>0</v>
      </c>
      <c r="L65" s="94">
        <f t="shared" si="482"/>
        <v>1.5</v>
      </c>
      <c r="M65" s="94">
        <f t="shared" ref="M65:BO65" si="484">M37+M51</f>
        <v>0</v>
      </c>
      <c r="N65" s="94">
        <f t="shared" ref="N65:P65" si="485">N37+N51</f>
        <v>0</v>
      </c>
      <c r="O65" s="94">
        <f t="shared" si="485"/>
        <v>0</v>
      </c>
      <c r="P65" s="94">
        <f t="shared" si="485"/>
        <v>0</v>
      </c>
      <c r="Q65" s="94">
        <f t="shared" ref="Q65:R65" si="486">Q37+Q51</f>
        <v>0</v>
      </c>
      <c r="R65" s="94">
        <f t="shared" si="486"/>
        <v>1.3999999999999986</v>
      </c>
      <c r="S65" s="94">
        <f t="shared" ref="S65:T65" si="487">S37+S51</f>
        <v>0</v>
      </c>
      <c r="T65" s="94">
        <f t="shared" si="487"/>
        <v>0</v>
      </c>
      <c r="U65" s="94">
        <f t="shared" ref="U65:W65" si="488">U37+U51</f>
        <v>0</v>
      </c>
      <c r="V65" s="94">
        <f t="shared" si="488"/>
        <v>0</v>
      </c>
      <c r="W65" s="94">
        <f t="shared" si="488"/>
        <v>1.5</v>
      </c>
      <c r="X65" s="94">
        <f t="shared" ref="X65:Y65" si="489">X37+X51</f>
        <v>0</v>
      </c>
      <c r="Y65" s="94">
        <f t="shared" si="489"/>
        <v>0</v>
      </c>
      <c r="Z65" s="94">
        <f t="shared" ref="Z65:AA65" si="490">Z37+Z51</f>
        <v>0</v>
      </c>
      <c r="AA65" s="94">
        <f t="shared" si="490"/>
        <v>0</v>
      </c>
      <c r="AB65" s="94">
        <f t="shared" ref="AB65:AD65" si="491">AB37+AB51</f>
        <v>0</v>
      </c>
      <c r="AC65" s="94">
        <f t="shared" si="491"/>
        <v>0</v>
      </c>
      <c r="AD65" s="94">
        <f t="shared" si="491"/>
        <v>1.6099999999999994</v>
      </c>
      <c r="AE65" s="94">
        <f t="shared" ref="AE65:AF65" si="492">AE37+AE51</f>
        <v>0</v>
      </c>
      <c r="AF65" s="94">
        <f t="shared" si="492"/>
        <v>0</v>
      </c>
      <c r="AG65" s="94">
        <f t="shared" ref="AG65:AH65" si="493">AG37+AG51</f>
        <v>0</v>
      </c>
      <c r="AH65" s="94">
        <f t="shared" si="493"/>
        <v>1.5</v>
      </c>
      <c r="AI65" s="94">
        <f t="shared" ref="AI65:AJ65" si="494">AI37+AI51</f>
        <v>0</v>
      </c>
      <c r="AJ65" s="94">
        <f t="shared" si="494"/>
        <v>0</v>
      </c>
      <c r="AK65" s="94">
        <f t="shared" ref="AK65:AL65" si="495">AK37+AK51</f>
        <v>0</v>
      </c>
      <c r="AL65" s="94">
        <f t="shared" si="495"/>
        <v>0</v>
      </c>
      <c r="AM65" s="94">
        <f t="shared" ref="AM65:AP65" si="496">AM37+AM51</f>
        <v>0</v>
      </c>
      <c r="AN65" s="94">
        <f t="shared" si="496"/>
        <v>0</v>
      </c>
      <c r="AO65" s="94">
        <f t="shared" si="496"/>
        <v>0</v>
      </c>
      <c r="AP65" s="94">
        <f t="shared" si="496"/>
        <v>1.8408000000000015</v>
      </c>
      <c r="AQ65" s="94">
        <f t="shared" ref="AQ65:AY65" si="497">AQ37+AQ51</f>
        <v>0</v>
      </c>
      <c r="AR65" s="94">
        <f t="shared" si="497"/>
        <v>0</v>
      </c>
      <c r="AS65" s="94">
        <f t="shared" si="497"/>
        <v>0</v>
      </c>
      <c r="AT65" s="94">
        <f t="shared" si="497"/>
        <v>1.5</v>
      </c>
      <c r="AU65" s="94">
        <f t="shared" si="497"/>
        <v>0</v>
      </c>
      <c r="AV65" s="94">
        <f t="shared" si="497"/>
        <v>0</v>
      </c>
      <c r="AW65" s="94">
        <f t="shared" si="497"/>
        <v>0</v>
      </c>
      <c r="AX65" s="94">
        <f t="shared" si="497"/>
        <v>0</v>
      </c>
      <c r="AY65" s="94">
        <f t="shared" si="497"/>
        <v>0</v>
      </c>
      <c r="AZ65" s="94">
        <f t="shared" ref="AZ65:BN65" si="498">AZ37+AZ51</f>
        <v>0</v>
      </c>
      <c r="BA65" s="94">
        <f t="shared" si="498"/>
        <v>0</v>
      </c>
      <c r="BB65" s="94">
        <f t="shared" si="498"/>
        <v>3.5750000000000028</v>
      </c>
      <c r="BC65" s="94">
        <f t="shared" si="498"/>
        <v>0</v>
      </c>
      <c r="BD65" s="94">
        <f t="shared" si="498"/>
        <v>0</v>
      </c>
      <c r="BE65" s="94">
        <f t="shared" si="498"/>
        <v>0</v>
      </c>
      <c r="BF65" s="94">
        <f t="shared" si="498"/>
        <v>0</v>
      </c>
      <c r="BG65" s="94">
        <f t="shared" si="498"/>
        <v>0</v>
      </c>
      <c r="BH65" s="94">
        <f t="shared" si="498"/>
        <v>0</v>
      </c>
      <c r="BI65" s="94">
        <f t="shared" si="498"/>
        <v>0</v>
      </c>
      <c r="BJ65" s="94">
        <f t="shared" si="498"/>
        <v>0</v>
      </c>
      <c r="BK65" s="94">
        <f t="shared" si="498"/>
        <v>0</v>
      </c>
      <c r="BL65" s="94">
        <f t="shared" si="498"/>
        <v>0</v>
      </c>
      <c r="BM65" s="94">
        <f t="shared" si="498"/>
        <v>0</v>
      </c>
      <c r="BN65" s="94">
        <f t="shared" si="498"/>
        <v>2.3599999999999994</v>
      </c>
      <c r="BO65" s="94">
        <f t="shared" si="484"/>
        <v>0</v>
      </c>
      <c r="BP65" s="71">
        <f t="shared" si="482"/>
        <v>17.995800000000003</v>
      </c>
      <c r="BR65" s="159">
        <f t="shared" si="379"/>
        <v>0.28118437500000004</v>
      </c>
    </row>
    <row r="66" spans="1:70">
      <c r="A66" s="106" t="s">
        <v>125</v>
      </c>
      <c r="B66" s="106" t="s">
        <v>10</v>
      </c>
      <c r="C66" s="93"/>
      <c r="D66" s="94">
        <f t="shared" ref="D66:BP67" si="499">D38+D52</f>
        <v>-1.4500000000000002</v>
      </c>
      <c r="E66" s="94">
        <f t="shared" si="499"/>
        <v>-2.2000000000000002</v>
      </c>
      <c r="F66" s="94">
        <f t="shared" si="499"/>
        <v>3.5016139999999307E-3</v>
      </c>
      <c r="G66" s="94">
        <f t="shared" si="499"/>
        <v>2.5073171189999996</v>
      </c>
      <c r="H66" s="94">
        <f t="shared" si="499"/>
        <v>9.0665410000005942E-3</v>
      </c>
      <c r="I66" s="94">
        <f t="shared" si="499"/>
        <v>9.2285889999996762E-3</v>
      </c>
      <c r="J66" s="94">
        <f t="shared" ref="J66:K67" si="500">J38+J52</f>
        <v>-0.99072487199999992</v>
      </c>
      <c r="K66" s="94">
        <f t="shared" si="500"/>
        <v>-0.49289939100000035</v>
      </c>
      <c r="L66" s="94">
        <f t="shared" si="499"/>
        <v>2.3032978399999999</v>
      </c>
      <c r="M66" s="94">
        <f t="shared" ref="M66:BO66" si="501">M38+M52</f>
        <v>-0.99785091399999981</v>
      </c>
      <c r="N66" s="94">
        <f t="shared" ref="N66:P66" si="502">N38+N52</f>
        <v>-0.99987613600000014</v>
      </c>
      <c r="O66" s="94">
        <f t="shared" si="502"/>
        <v>0.50650531100000018</v>
      </c>
      <c r="P66" s="94">
        <f t="shared" si="502"/>
        <v>-0.50008737000000014</v>
      </c>
      <c r="Q66" s="94">
        <f t="shared" ref="Q66:R66" si="503">Q38+Q52</f>
        <v>-1.0135084539999999</v>
      </c>
      <c r="R66" s="94">
        <f t="shared" si="503"/>
        <v>3.891126000000078E-3</v>
      </c>
      <c r="S66" s="94">
        <f t="shared" ref="S66:T66" si="504">S38+S52</f>
        <v>3.7767859999999764E-3</v>
      </c>
      <c r="T66" s="94">
        <f t="shared" si="504"/>
        <v>-1.3516055929999999</v>
      </c>
      <c r="U66" s="94">
        <f t="shared" ref="U66:W66" si="505">U38+U52</f>
        <v>-3.2195999999999995E-5</v>
      </c>
      <c r="V66" s="94">
        <f t="shared" si="505"/>
        <v>0</v>
      </c>
      <c r="W66" s="94">
        <f t="shared" si="505"/>
        <v>4</v>
      </c>
      <c r="X66" s="94">
        <f t="shared" ref="X66:Y66" si="506">X38+X52</f>
        <v>-1.5</v>
      </c>
      <c r="Y66" s="94">
        <f t="shared" si="506"/>
        <v>-2.5</v>
      </c>
      <c r="Z66" s="94">
        <f t="shared" ref="Z66:AA66" si="507">Z38+Z52</f>
        <v>0</v>
      </c>
      <c r="AA66" s="94">
        <f t="shared" si="507"/>
        <v>1.5</v>
      </c>
      <c r="AB66" s="94">
        <f t="shared" ref="AB66:AD66" si="508">AB38+AB52</f>
        <v>0</v>
      </c>
      <c r="AC66" s="94">
        <f t="shared" si="508"/>
        <v>0</v>
      </c>
      <c r="AD66" s="94">
        <f t="shared" si="508"/>
        <v>1.5</v>
      </c>
      <c r="AE66" s="94">
        <f t="shared" ref="AE66:AF66" si="509">AE38+AE52</f>
        <v>-1</v>
      </c>
      <c r="AF66" s="94">
        <f t="shared" si="509"/>
        <v>-1</v>
      </c>
      <c r="AG66" s="94">
        <f t="shared" ref="AG66:AH66" si="510">AG38+AG52</f>
        <v>-1</v>
      </c>
      <c r="AH66" s="94">
        <f t="shared" si="510"/>
        <v>2</v>
      </c>
      <c r="AI66" s="94">
        <f t="shared" ref="AI66:AJ66" si="511">AI38+AI52</f>
        <v>-2</v>
      </c>
      <c r="AJ66" s="94">
        <f t="shared" si="511"/>
        <v>0</v>
      </c>
      <c r="AK66" s="94">
        <f t="shared" ref="AK66:AL66" si="512">AK38+AK52</f>
        <v>0</v>
      </c>
      <c r="AL66" s="94">
        <f t="shared" si="512"/>
        <v>0</v>
      </c>
      <c r="AM66" s="94">
        <f t="shared" ref="AM66:AP66" si="513">AM38+AM52</f>
        <v>2</v>
      </c>
      <c r="AN66" s="94">
        <f t="shared" si="513"/>
        <v>2</v>
      </c>
      <c r="AO66" s="94">
        <f t="shared" si="513"/>
        <v>-4</v>
      </c>
      <c r="AP66" s="94">
        <f t="shared" si="513"/>
        <v>2.0134634460000003</v>
      </c>
      <c r="AQ66" s="94">
        <f t="shared" ref="AQ66:AY66" si="514">AQ38+AQ52</f>
        <v>1.1239125999999544E-2</v>
      </c>
      <c r="AR66" s="94">
        <f t="shared" si="514"/>
        <v>-2.0247025719999998</v>
      </c>
      <c r="AS66" s="94">
        <f t="shared" si="514"/>
        <v>0</v>
      </c>
      <c r="AT66" s="94">
        <f t="shared" si="514"/>
        <v>3.0049730219999997</v>
      </c>
      <c r="AU66" s="94">
        <f t="shared" si="514"/>
        <v>1.7150533000000134E-2</v>
      </c>
      <c r="AV66" s="94">
        <f t="shared" si="514"/>
        <v>1.858749599999987E-2</v>
      </c>
      <c r="AW66" s="94">
        <f t="shared" si="514"/>
        <v>-1.9984888949999997</v>
      </c>
      <c r="AX66" s="94">
        <f t="shared" si="514"/>
        <v>-0.51753559599999999</v>
      </c>
      <c r="AY66" s="94">
        <f t="shared" si="514"/>
        <v>-0.52468656000000002</v>
      </c>
      <c r="AZ66" s="94">
        <f t="shared" ref="AZ66:BN66" si="515">AZ38+AZ52</f>
        <v>0</v>
      </c>
      <c r="BA66" s="94">
        <f t="shared" si="515"/>
        <v>0</v>
      </c>
      <c r="BB66" s="94">
        <f t="shared" si="515"/>
        <v>9</v>
      </c>
      <c r="BC66" s="94">
        <f t="shared" si="515"/>
        <v>-2.99988557</v>
      </c>
      <c r="BD66" s="94">
        <f t="shared" si="515"/>
        <v>-1.5888324100000002</v>
      </c>
      <c r="BE66" s="94">
        <f t="shared" si="515"/>
        <v>-4.4112820199999998</v>
      </c>
      <c r="BF66" s="94">
        <f t="shared" si="515"/>
        <v>3.9999532250000001</v>
      </c>
      <c r="BG66" s="94">
        <f t="shared" si="515"/>
        <v>-3.9999532250000001</v>
      </c>
      <c r="BH66" s="94">
        <f t="shared" si="515"/>
        <v>0</v>
      </c>
      <c r="BI66" s="94">
        <f t="shared" si="515"/>
        <v>0</v>
      </c>
      <c r="BJ66" s="94">
        <f t="shared" si="515"/>
        <v>0</v>
      </c>
      <c r="BK66" s="94">
        <f t="shared" si="515"/>
        <v>0</v>
      </c>
      <c r="BL66" s="94">
        <f t="shared" si="515"/>
        <v>0</v>
      </c>
      <c r="BM66" s="94">
        <f t="shared" si="515"/>
        <v>0</v>
      </c>
      <c r="BN66" s="94">
        <f t="shared" si="515"/>
        <v>0</v>
      </c>
      <c r="BO66" s="94">
        <f t="shared" si="501"/>
        <v>0</v>
      </c>
      <c r="BP66" s="71">
        <f t="shared" si="499"/>
        <v>-4.6500000000000004</v>
      </c>
      <c r="BR66" s="159">
        <f t="shared" si="379"/>
        <v>-7.2656250000000006E-2</v>
      </c>
    </row>
    <row r="67" spans="1:70">
      <c r="A67" s="106" t="s">
        <v>126</v>
      </c>
      <c r="B67" s="106" t="s">
        <v>9</v>
      </c>
      <c r="C67" s="93"/>
      <c r="D67" s="94">
        <f t="shared" si="499"/>
        <v>0</v>
      </c>
      <c r="E67" s="94">
        <f t="shared" si="499"/>
        <v>0</v>
      </c>
      <c r="F67" s="94">
        <f t="shared" si="499"/>
        <v>0</v>
      </c>
      <c r="G67" s="94">
        <f t="shared" si="499"/>
        <v>0</v>
      </c>
      <c r="H67" s="94">
        <f t="shared" si="499"/>
        <v>0</v>
      </c>
      <c r="I67" s="94">
        <f t="shared" si="499"/>
        <v>0</v>
      </c>
      <c r="J67" s="94">
        <f t="shared" si="500"/>
        <v>0</v>
      </c>
      <c r="K67" s="94">
        <f t="shared" si="500"/>
        <v>0.10485</v>
      </c>
      <c r="L67" s="94">
        <f t="shared" si="499"/>
        <v>0.43515000000000004</v>
      </c>
      <c r="M67" s="94">
        <f t="shared" ref="M67:BO67" si="516">M39+M53</f>
        <v>0.18999999999999995</v>
      </c>
      <c r="N67" s="94">
        <f t="shared" ref="N67:P67" si="517">N39+N53</f>
        <v>-0.73</v>
      </c>
      <c r="O67" s="94">
        <f t="shared" si="517"/>
        <v>0</v>
      </c>
      <c r="P67" s="94">
        <f t="shared" si="517"/>
        <v>0</v>
      </c>
      <c r="Q67" s="94">
        <f t="shared" ref="Q67:R67" si="518">Q39+Q53</f>
        <v>0</v>
      </c>
      <c r="R67" s="94">
        <f t="shared" si="518"/>
        <v>0</v>
      </c>
      <c r="S67" s="94">
        <f t="shared" ref="S67:T67" si="519">S39+S53</f>
        <v>0</v>
      </c>
      <c r="T67" s="94">
        <f t="shared" si="519"/>
        <v>0</v>
      </c>
      <c r="U67" s="94">
        <f t="shared" ref="U67:W67" si="520">U39+U53</f>
        <v>0</v>
      </c>
      <c r="V67" s="94">
        <f t="shared" si="520"/>
        <v>0</v>
      </c>
      <c r="W67" s="94">
        <f t="shared" si="520"/>
        <v>0</v>
      </c>
      <c r="X67" s="94">
        <f t="shared" ref="X67:Y67" si="521">X39+X53</f>
        <v>0</v>
      </c>
      <c r="Y67" s="94">
        <f t="shared" si="521"/>
        <v>0</v>
      </c>
      <c r="Z67" s="94">
        <f t="shared" ref="Z67:AA67" si="522">Z39+Z53</f>
        <v>0</v>
      </c>
      <c r="AA67" s="94">
        <f t="shared" si="522"/>
        <v>0</v>
      </c>
      <c r="AB67" s="94">
        <f t="shared" ref="AB67:AD67" si="523">AB39+AB53</f>
        <v>0</v>
      </c>
      <c r="AC67" s="94">
        <f t="shared" si="523"/>
        <v>0</v>
      </c>
      <c r="AD67" s="94">
        <f t="shared" si="523"/>
        <v>0</v>
      </c>
      <c r="AE67" s="94">
        <f t="shared" ref="AE67:AF67" si="524">AE39+AE53</f>
        <v>0</v>
      </c>
      <c r="AF67" s="94">
        <f t="shared" si="524"/>
        <v>0</v>
      </c>
      <c r="AG67" s="94">
        <f t="shared" ref="AG67:AH67" si="525">AG39+AG53</f>
        <v>0</v>
      </c>
      <c r="AH67" s="94">
        <f t="shared" si="525"/>
        <v>0</v>
      </c>
      <c r="AI67" s="94">
        <f t="shared" ref="AI67:AJ67" si="526">AI39+AI53</f>
        <v>0</v>
      </c>
      <c r="AJ67" s="94">
        <f t="shared" si="526"/>
        <v>0</v>
      </c>
      <c r="AK67" s="94">
        <f t="shared" ref="AK67:AL67" si="527">AK39+AK53</f>
        <v>0</v>
      </c>
      <c r="AL67" s="94">
        <f t="shared" si="527"/>
        <v>0</v>
      </c>
      <c r="AM67" s="94">
        <f t="shared" ref="AM67:AP67" si="528">AM39+AM53</f>
        <v>0</v>
      </c>
      <c r="AN67" s="94">
        <f t="shared" si="528"/>
        <v>0</v>
      </c>
      <c r="AO67" s="94">
        <f t="shared" si="528"/>
        <v>0</v>
      </c>
      <c r="AP67" s="94">
        <f t="shared" si="528"/>
        <v>0</v>
      </c>
      <c r="AQ67" s="94">
        <f t="shared" ref="AQ67:AY67" si="529">AQ39+AQ53</f>
        <v>0</v>
      </c>
      <c r="AR67" s="94">
        <f t="shared" si="529"/>
        <v>0</v>
      </c>
      <c r="AS67" s="94">
        <f t="shared" si="529"/>
        <v>0</v>
      </c>
      <c r="AT67" s="94">
        <f t="shared" si="529"/>
        <v>0</v>
      </c>
      <c r="AU67" s="94">
        <f t="shared" si="529"/>
        <v>0</v>
      </c>
      <c r="AV67" s="94">
        <f t="shared" si="529"/>
        <v>0</v>
      </c>
      <c r="AW67" s="94">
        <f t="shared" si="529"/>
        <v>0</v>
      </c>
      <c r="AX67" s="94">
        <f t="shared" si="529"/>
        <v>0</v>
      </c>
      <c r="AY67" s="94">
        <f t="shared" si="529"/>
        <v>0</v>
      </c>
      <c r="AZ67" s="94">
        <f t="shared" ref="AZ67:BN67" si="530">AZ39+AZ53</f>
        <v>0</v>
      </c>
      <c r="BA67" s="94">
        <f t="shared" si="530"/>
        <v>0</v>
      </c>
      <c r="BB67" s="94">
        <f t="shared" si="530"/>
        <v>0</v>
      </c>
      <c r="BC67" s="94">
        <f t="shared" si="530"/>
        <v>0</v>
      </c>
      <c r="BD67" s="94">
        <f t="shared" si="530"/>
        <v>0</v>
      </c>
      <c r="BE67" s="94">
        <f t="shared" si="530"/>
        <v>0</v>
      </c>
      <c r="BF67" s="94">
        <f t="shared" si="530"/>
        <v>0</v>
      </c>
      <c r="BG67" s="94">
        <f t="shared" si="530"/>
        <v>0</v>
      </c>
      <c r="BH67" s="94">
        <f t="shared" si="530"/>
        <v>0</v>
      </c>
      <c r="BI67" s="94">
        <f t="shared" si="530"/>
        <v>0</v>
      </c>
      <c r="BJ67" s="94">
        <f t="shared" si="530"/>
        <v>0</v>
      </c>
      <c r="BK67" s="94">
        <f t="shared" si="530"/>
        <v>0</v>
      </c>
      <c r="BL67" s="94">
        <f t="shared" si="530"/>
        <v>0</v>
      </c>
      <c r="BM67" s="94">
        <f t="shared" si="530"/>
        <v>0</v>
      </c>
      <c r="BN67" s="94">
        <f t="shared" si="530"/>
        <v>0</v>
      </c>
      <c r="BO67" s="94">
        <f t="shared" si="516"/>
        <v>0</v>
      </c>
      <c r="BP67" s="71">
        <f t="shared" si="499"/>
        <v>0</v>
      </c>
      <c r="BR67" s="159">
        <f t="shared" si="379"/>
        <v>0</v>
      </c>
    </row>
    <row r="68" spans="1:70">
      <c r="A68" s="106" t="s">
        <v>127</v>
      </c>
      <c r="B68" s="106" t="s">
        <v>7</v>
      </c>
      <c r="C68" s="93"/>
      <c r="D68" s="94">
        <f t="shared" ref="D68:BP68" si="531">D40+D54</f>
        <v>0</v>
      </c>
      <c r="E68" s="94">
        <f t="shared" si="531"/>
        <v>0</v>
      </c>
      <c r="F68" s="94">
        <f t="shared" si="531"/>
        <v>0</v>
      </c>
      <c r="G68" s="94">
        <f t="shared" si="531"/>
        <v>0</v>
      </c>
      <c r="H68" s="94">
        <f t="shared" si="531"/>
        <v>0</v>
      </c>
      <c r="I68" s="94">
        <f t="shared" si="531"/>
        <v>0</v>
      </c>
      <c r="J68" s="94">
        <f t="shared" ref="J68:K68" si="532">J40+J54</f>
        <v>0</v>
      </c>
      <c r="K68" s="94">
        <f t="shared" si="532"/>
        <v>0</v>
      </c>
      <c r="L68" s="94">
        <f t="shared" si="531"/>
        <v>0</v>
      </c>
      <c r="M68" s="94">
        <f t="shared" ref="M68:BO68" si="533">M40+M54</f>
        <v>0</v>
      </c>
      <c r="N68" s="94">
        <f t="shared" ref="N68:P68" si="534">N40+N54</f>
        <v>0</v>
      </c>
      <c r="O68" s="94">
        <f t="shared" si="534"/>
        <v>0</v>
      </c>
      <c r="P68" s="94">
        <f t="shared" si="534"/>
        <v>0</v>
      </c>
      <c r="Q68" s="94">
        <f t="shared" ref="Q68:R68" si="535">Q40+Q54</f>
        <v>0</v>
      </c>
      <c r="R68" s="94">
        <f t="shared" si="535"/>
        <v>0</v>
      </c>
      <c r="S68" s="94">
        <f t="shared" ref="S68:T68" si="536">S40+S54</f>
        <v>0</v>
      </c>
      <c r="T68" s="94">
        <f t="shared" si="536"/>
        <v>0</v>
      </c>
      <c r="U68" s="94">
        <f t="shared" ref="U68:W68" si="537">U40+U54</f>
        <v>0</v>
      </c>
      <c r="V68" s="94">
        <f t="shared" si="537"/>
        <v>2.3004000000000024E-2</v>
      </c>
      <c r="W68" s="94">
        <f t="shared" si="537"/>
        <v>1.4599999999997948E-4</v>
      </c>
      <c r="X68" s="94">
        <f t="shared" ref="X68:Y68" si="538">X40+X54</f>
        <v>-3.7559999999999816E-3</v>
      </c>
      <c r="Y68" s="94">
        <f t="shared" si="538"/>
        <v>6.1079999999999468E-3</v>
      </c>
      <c r="Z68" s="94">
        <f t="shared" ref="Z68:AA68" si="539">Z40+Z54</f>
        <v>-1.8311999999999939E-2</v>
      </c>
      <c r="AA68" s="94">
        <f t="shared" si="539"/>
        <v>2.5999999999999912E-3</v>
      </c>
      <c r="AB68" s="94">
        <f t="shared" ref="AB68:AD68" si="540">AB40+AB54</f>
        <v>2.0099999999999563E-3</v>
      </c>
      <c r="AC68" s="94">
        <f t="shared" si="540"/>
        <v>2.7820000000000067E-3</v>
      </c>
      <c r="AD68" s="94">
        <f t="shared" si="540"/>
        <v>-4.381999999999997E-3</v>
      </c>
      <c r="AE68" s="94">
        <f t="shared" ref="AE68:AF68" si="541">AE40+AE54</f>
        <v>-9.9799999999999889E-4</v>
      </c>
      <c r="AF68" s="94">
        <f t="shared" si="541"/>
        <v>5.9980000000000033E-3</v>
      </c>
      <c r="AG68" s="94">
        <f t="shared" ref="AG68:AH68" si="542">AG40+AG54</f>
        <v>2.8759999999999897E-3</v>
      </c>
      <c r="AH68" s="94">
        <f t="shared" si="542"/>
        <v>2.3240000000000482E-3</v>
      </c>
      <c r="AI68" s="94">
        <f t="shared" ref="AI68:AJ68" si="543">AI40+AI54</f>
        <v>-4.0000000000001146E-4</v>
      </c>
      <c r="AJ68" s="94">
        <f t="shared" si="543"/>
        <v>2.8199999999999892E-3</v>
      </c>
      <c r="AK68" s="94">
        <f t="shared" ref="AK68:AL68" si="544">AK40+AK54</f>
        <v>-4.2500000000000315E-3</v>
      </c>
      <c r="AL68" s="94">
        <f t="shared" si="544"/>
        <v>-1.0671999999999959E-2</v>
      </c>
      <c r="AM68" s="94">
        <f t="shared" ref="AM68:AP68" si="545">AM40+AM54</f>
        <v>-3.1680000000000041E-3</v>
      </c>
      <c r="AN68" s="94">
        <f t="shared" si="545"/>
        <v>8.4719999999999795E-3</v>
      </c>
      <c r="AO68" s="94">
        <f t="shared" si="545"/>
        <v>1.0379999999999834E-3</v>
      </c>
      <c r="AP68" s="94">
        <f t="shared" si="545"/>
        <v>-5.7759999999999478E-3</v>
      </c>
      <c r="AQ68" s="94">
        <f t="shared" ref="AQ68:AY68" si="546">AQ40+AQ54</f>
        <v>1.5159999999999618E-3</v>
      </c>
      <c r="AR68" s="94">
        <f t="shared" si="546"/>
        <v>1.7900000000000138E-3</v>
      </c>
      <c r="AS68" s="94">
        <f t="shared" si="546"/>
        <v>-1.6299999999999648E-3</v>
      </c>
      <c r="AT68" s="94">
        <f t="shared" si="546"/>
        <v>6.9119999999999737E-3</v>
      </c>
      <c r="AU68" s="94">
        <f t="shared" si="546"/>
        <v>6.7039999999999877E-3</v>
      </c>
      <c r="AV68" s="94">
        <f t="shared" si="546"/>
        <v>-1.0869999999999991E-2</v>
      </c>
      <c r="AW68" s="94">
        <f t="shared" si="546"/>
        <v>1.0000000000000009E-3</v>
      </c>
      <c r="AX68" s="94">
        <f t="shared" si="546"/>
        <v>-1.3149999999999995E-2</v>
      </c>
      <c r="AY68" s="94">
        <f t="shared" si="546"/>
        <v>2.2699999999999942E-3</v>
      </c>
      <c r="AZ68" s="94">
        <f t="shared" ref="AZ68:BN68" si="547">AZ40+AZ54</f>
        <v>4.1999999999997595E-4</v>
      </c>
      <c r="BA68" s="94">
        <f t="shared" si="547"/>
        <v>2.1599999999999953E-3</v>
      </c>
      <c r="BB68" s="94">
        <f t="shared" si="547"/>
        <v>5.0000000000000044E-4</v>
      </c>
      <c r="BC68" s="94">
        <f t="shared" si="547"/>
        <v>3.0200000000002447E-4</v>
      </c>
      <c r="BD68" s="94">
        <f t="shared" si="547"/>
        <v>-5.4799999999999294E-4</v>
      </c>
      <c r="BE68" s="94">
        <f t="shared" si="547"/>
        <v>5.3679999999999839E-3</v>
      </c>
      <c r="BF68" s="94">
        <f t="shared" si="547"/>
        <v>9.328000000000003E-3</v>
      </c>
      <c r="BG68" s="94">
        <f t="shared" si="547"/>
        <v>6.1300000000000243E-3</v>
      </c>
      <c r="BH68" s="94">
        <f t="shared" si="547"/>
        <v>-8.727999999999958E-3</v>
      </c>
      <c r="BI68" s="94">
        <f t="shared" si="547"/>
        <v>-8.9640000000000275E-3</v>
      </c>
      <c r="BJ68" s="94">
        <f t="shared" si="547"/>
        <v>-1.1502000000000012E-2</v>
      </c>
      <c r="BK68" s="94">
        <f t="shared" si="547"/>
        <v>-8.525999999999978E-3</v>
      </c>
      <c r="BL68" s="94">
        <f t="shared" si="547"/>
        <v>1.1499999999999844E-3</v>
      </c>
      <c r="BM68" s="94">
        <f t="shared" si="547"/>
        <v>3.3900000000000041E-3</v>
      </c>
      <c r="BN68" s="94">
        <f t="shared" si="547"/>
        <v>9.199999999999986E-3</v>
      </c>
      <c r="BO68" s="94">
        <f t="shared" si="533"/>
        <v>-3.4000000000000141E-3</v>
      </c>
      <c r="BP68" s="71">
        <f t="shared" si="531"/>
        <v>-7.1399999999999242E-4</v>
      </c>
      <c r="BR68" s="159">
        <f t="shared" si="379"/>
        <v>-1.1156249999999882E-5</v>
      </c>
    </row>
    <row r="69" spans="1:70">
      <c r="A69" s="98" t="s">
        <v>131</v>
      </c>
      <c r="B69" s="98"/>
      <c r="C69" s="74"/>
      <c r="D69" s="84">
        <f t="shared" ref="D69:BP69" si="548">D41+D55</f>
        <v>3.1782354388169973</v>
      </c>
      <c r="E69" s="84">
        <f t="shared" si="548"/>
        <v>2.8260816250000067</v>
      </c>
      <c r="F69" s="84">
        <f t="shared" si="548"/>
        <v>3.7191768789999937</v>
      </c>
      <c r="G69" s="84">
        <f t="shared" si="548"/>
        <v>1.9653390620000009</v>
      </c>
      <c r="H69" s="84">
        <f t="shared" si="548"/>
        <v>6.6906683929999913</v>
      </c>
      <c r="I69" s="84">
        <f t="shared" si="548"/>
        <v>4.2206049010000068</v>
      </c>
      <c r="J69" s="84">
        <f t="shared" ref="J69:K69" si="549">J41+J55</f>
        <v>3.1137394720000104</v>
      </c>
      <c r="K69" s="84">
        <f t="shared" si="549"/>
        <v>6.260273698999999</v>
      </c>
      <c r="L69" s="84">
        <f t="shared" si="548"/>
        <v>7.9080154960000071</v>
      </c>
      <c r="M69" s="84">
        <f t="shared" ref="M69:BO69" si="550">M41+M55</f>
        <v>2.2531657789999961</v>
      </c>
      <c r="N69" s="84">
        <f t="shared" ref="N69:P69" si="551">N41+N55</f>
        <v>5.7371525000017076E-2</v>
      </c>
      <c r="O69" s="84">
        <f t="shared" si="551"/>
        <v>3.5805077199999773</v>
      </c>
      <c r="P69" s="84">
        <f t="shared" si="551"/>
        <v>2.4668544860000035</v>
      </c>
      <c r="Q69" s="84">
        <f t="shared" ref="Q69:R69" si="552">Q41+Q55</f>
        <v>-7.0314484360000096</v>
      </c>
      <c r="R69" s="84">
        <f t="shared" si="552"/>
        <v>10.497775244999996</v>
      </c>
      <c r="S69" s="84">
        <f t="shared" ref="S69:T69" si="553">S41+S55</f>
        <v>0.52949878900001224</v>
      </c>
      <c r="T69" s="84">
        <f t="shared" si="553"/>
        <v>-4.7456624900000062</v>
      </c>
      <c r="U69" s="84">
        <f t="shared" ref="U69:W69" si="554">U41+U55</f>
        <v>-2.3807418170000121</v>
      </c>
      <c r="V69" s="84">
        <f t="shared" si="554"/>
        <v>9.2771242610000009</v>
      </c>
      <c r="W69" s="84">
        <f t="shared" si="554"/>
        <v>9.7161163929999805</v>
      </c>
      <c r="X69" s="84">
        <f t="shared" ref="X69:Y69" si="555">X41+X55</f>
        <v>-0.48893429999999549</v>
      </c>
      <c r="Y69" s="84">
        <f t="shared" si="555"/>
        <v>4.376932476000011</v>
      </c>
      <c r="Z69" s="84">
        <f t="shared" ref="Z69:AA69" si="556">Z41+Z55</f>
        <v>4.1229793203000122</v>
      </c>
      <c r="AA69" s="84">
        <f t="shared" si="556"/>
        <v>-0.28645025330000529</v>
      </c>
      <c r="AB69" s="84">
        <f t="shared" ref="AB69:AD69" si="557">AB41+AB55</f>
        <v>3.0530616670000037</v>
      </c>
      <c r="AC69" s="84">
        <f t="shared" si="557"/>
        <v>2.4481884049999945</v>
      </c>
      <c r="AD69" s="84">
        <f t="shared" si="557"/>
        <v>4.9636170790000342</v>
      </c>
      <c r="AE69" s="84">
        <f t="shared" ref="AE69:AF69" si="558">AE41+AE55</f>
        <v>7.2765139709999884</v>
      </c>
      <c r="AF69" s="84">
        <f t="shared" si="558"/>
        <v>6.2551924899999829</v>
      </c>
      <c r="AG69" s="84">
        <f t="shared" ref="AG69:AH69" si="559">AG41+AG55</f>
        <v>6.8540785939999918</v>
      </c>
      <c r="AH69" s="84">
        <f t="shared" si="559"/>
        <v>13.580209092000029</v>
      </c>
      <c r="AI69" s="84">
        <f t="shared" ref="AI69:AJ69" si="560">AI41+AI55</f>
        <v>2.6682411429999968</v>
      </c>
      <c r="AJ69" s="84">
        <f t="shared" si="560"/>
        <v>3.527937234999988</v>
      </c>
      <c r="AK69" s="84">
        <f t="shared" ref="AK69:AL69" si="561">AK41+AK55</f>
        <v>1.013886637000003</v>
      </c>
      <c r="AL69" s="84">
        <f t="shared" si="561"/>
        <v>11.299059966999994</v>
      </c>
      <c r="AM69" s="84">
        <f t="shared" ref="AM69:AP69" si="562">AM41+AM55</f>
        <v>11.40524969400003</v>
      </c>
      <c r="AN69" s="84">
        <f t="shared" si="562"/>
        <v>10.099802229999993</v>
      </c>
      <c r="AO69" s="84">
        <f t="shared" si="562"/>
        <v>3.9337277950000091</v>
      </c>
      <c r="AP69" s="84">
        <f t="shared" si="562"/>
        <v>11.51289251899995</v>
      </c>
      <c r="AQ69" s="84">
        <f t="shared" ref="AQ69:AY69" si="563">AQ41+AQ55</f>
        <v>5.3998874840000095</v>
      </c>
      <c r="AR69" s="84">
        <f t="shared" si="563"/>
        <v>2.9900603420000214</v>
      </c>
      <c r="AS69" s="84">
        <f t="shared" si="563"/>
        <v>15.702656963000006</v>
      </c>
      <c r="AT69" s="84">
        <f t="shared" si="563"/>
        <v>17.415742135999984</v>
      </c>
      <c r="AU69" s="84">
        <f t="shared" si="563"/>
        <v>5.8943390310000421</v>
      </c>
      <c r="AV69" s="84">
        <f t="shared" si="563"/>
        <v>6.8859916569999884</v>
      </c>
      <c r="AW69" s="84">
        <f t="shared" si="563"/>
        <v>-12.358215916000042</v>
      </c>
      <c r="AX69" s="84">
        <f t="shared" si="563"/>
        <v>2.1064010550000494</v>
      </c>
      <c r="AY69" s="84">
        <f t="shared" si="563"/>
        <v>5.3354871629999732</v>
      </c>
      <c r="AZ69" s="84">
        <f t="shared" ref="AZ69:BN69" si="564">AZ41+AZ55</f>
        <v>-12.470345206000033</v>
      </c>
      <c r="BA69" s="84">
        <f t="shared" si="564"/>
        <v>-13.876497662999988</v>
      </c>
      <c r="BB69" s="84">
        <f t="shared" si="564"/>
        <v>17.993267622000044</v>
      </c>
      <c r="BC69" s="84">
        <f t="shared" si="564"/>
        <v>7.875401832999934</v>
      </c>
      <c r="BD69" s="84">
        <f t="shared" si="564"/>
        <v>11.922106206000063</v>
      </c>
      <c r="BE69" s="84">
        <f t="shared" si="564"/>
        <v>8.3019712899999849</v>
      </c>
      <c r="BF69" s="84">
        <f t="shared" si="564"/>
        <v>0.50805775399993802</v>
      </c>
      <c r="BG69" s="84">
        <f t="shared" si="564"/>
        <v>-1.0897188639999469</v>
      </c>
      <c r="BH69" s="84">
        <f t="shared" si="564"/>
        <v>2.644864050000002</v>
      </c>
      <c r="BI69" s="84">
        <f t="shared" si="564"/>
        <v>10.535107628999992</v>
      </c>
      <c r="BJ69" s="84">
        <f t="shared" si="564"/>
        <v>0.93041893099998652</v>
      </c>
      <c r="BK69" s="84">
        <f t="shared" si="564"/>
        <v>1.5314832469999671</v>
      </c>
      <c r="BL69" s="84">
        <f t="shared" si="564"/>
        <v>-3.9646003429999701</v>
      </c>
      <c r="BM69" s="84">
        <f t="shared" si="564"/>
        <v>-1.7122606599999832</v>
      </c>
      <c r="BN69" s="84">
        <f t="shared" si="564"/>
        <v>-13.672585399000006</v>
      </c>
      <c r="BO69" s="84">
        <f t="shared" si="550"/>
        <v>27.014411149999965</v>
      </c>
      <c r="BP69" s="71">
        <f t="shared" si="548"/>
        <v>263.56231367381696</v>
      </c>
      <c r="BR69" s="159">
        <f t="shared" si="379"/>
        <v>4.11816115115339</v>
      </c>
    </row>
    <row r="70" spans="1:70">
      <c r="A70" s="99"/>
      <c r="B70" s="99"/>
      <c r="C70" s="69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/>
      <c r="BD70" s="195"/>
      <c r="BE70" s="195"/>
      <c r="BF70" s="195"/>
      <c r="BG70" s="195"/>
      <c r="BH70" s="195"/>
      <c r="BI70" s="195"/>
      <c r="BJ70" s="195"/>
      <c r="BK70" s="195"/>
      <c r="BL70" s="195"/>
      <c r="BM70" s="195"/>
      <c r="BN70" s="195"/>
      <c r="BO70" s="195"/>
      <c r="BP70" s="71"/>
      <c r="BR70" s="159"/>
    </row>
    <row r="71" spans="1:70">
      <c r="A71" s="203" t="s">
        <v>132</v>
      </c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3"/>
      <c r="BL71" s="203"/>
      <c r="BM71" s="203"/>
      <c r="BN71" s="203"/>
      <c r="BO71" s="203"/>
    </row>
    <row r="72" spans="1:70">
      <c r="A72" s="106" t="s">
        <v>117</v>
      </c>
      <c r="B72" s="106" t="s">
        <v>6</v>
      </c>
      <c r="C72" s="197">
        <f>C4*-1</f>
        <v>-18.841826499999996</v>
      </c>
      <c r="D72" s="94">
        <f>-1*D30</f>
        <v>-0.84637083299999827</v>
      </c>
      <c r="E72" s="94">
        <f t="shared" ref="E72:BO79" si="565">-1*E30</f>
        <v>0.59000000000000008</v>
      </c>
      <c r="F72" s="94">
        <f t="shared" si="565"/>
        <v>-0.8</v>
      </c>
      <c r="G72" s="94">
        <f t="shared" si="565"/>
        <v>-0.55000000000000004</v>
      </c>
      <c r="H72" s="94">
        <f t="shared" si="565"/>
        <v>-0.7</v>
      </c>
      <c r="I72" s="94">
        <f t="shared" si="565"/>
        <v>-1.43</v>
      </c>
      <c r="J72" s="94">
        <f t="shared" si="565"/>
        <v>-0.8</v>
      </c>
      <c r="K72" s="94">
        <f t="shared" si="565"/>
        <v>-1.2</v>
      </c>
      <c r="L72" s="94">
        <f t="shared" si="565"/>
        <v>-1.2399347999999952</v>
      </c>
      <c r="M72" s="94">
        <f t="shared" si="565"/>
        <v>-1.0273797000000067</v>
      </c>
      <c r="N72" s="94">
        <f t="shared" si="565"/>
        <v>-1.5190123999999976</v>
      </c>
      <c r="O72" s="94">
        <f t="shared" si="565"/>
        <v>-1.2934105999999959</v>
      </c>
      <c r="P72" s="94">
        <f t="shared" si="565"/>
        <v>-1.1916834000000032</v>
      </c>
      <c r="Q72" s="94">
        <f t="shared" si="565"/>
        <v>-0.66721750000000468</v>
      </c>
      <c r="R72" s="94">
        <f t="shared" si="565"/>
        <v>-1.0094978999999864</v>
      </c>
      <c r="S72" s="94">
        <f t="shared" si="565"/>
        <v>-0.85029699999999719</v>
      </c>
      <c r="T72" s="94">
        <f t="shared" si="565"/>
        <v>-0.40807550000000747</v>
      </c>
      <c r="U72" s="94">
        <f t="shared" si="565"/>
        <v>0.20327450000000186</v>
      </c>
      <c r="V72" s="94">
        <f t="shared" si="565"/>
        <v>-4.3409700000002049E-2</v>
      </c>
      <c r="W72" s="94">
        <f t="shared" si="565"/>
        <v>-0.38313490000001155</v>
      </c>
      <c r="X72" s="94">
        <f t="shared" si="565"/>
        <v>-0.79568369999998712</v>
      </c>
      <c r="Y72" s="94">
        <f t="shared" si="565"/>
        <v>-0.76859820000002621</v>
      </c>
      <c r="Z72" s="94">
        <f t="shared" si="565"/>
        <v>-0.76859820000002621</v>
      </c>
      <c r="AA72" s="94">
        <f t="shared" si="565"/>
        <v>-0.68621299999999819</v>
      </c>
      <c r="AB72" s="94">
        <f t="shared" si="565"/>
        <v>-0.64836399999999905</v>
      </c>
      <c r="AC72" s="94">
        <f t="shared" si="565"/>
        <v>-0.64836399999999905</v>
      </c>
      <c r="AD72" s="94">
        <f t="shared" si="565"/>
        <v>-0.6116668999999948</v>
      </c>
      <c r="AE72" s="94">
        <f t="shared" si="565"/>
        <v>-0.61051809999999596</v>
      </c>
      <c r="AF72" s="94">
        <f t="shared" si="565"/>
        <v>1.5387952999999979</v>
      </c>
      <c r="AG72" s="94">
        <f t="shared" si="565"/>
        <v>-0.86342029999999326</v>
      </c>
      <c r="AH72" s="94">
        <f t="shared" si="565"/>
        <v>-1.1549590999999968</v>
      </c>
      <c r="AI72" s="94">
        <f t="shared" si="565"/>
        <v>-0.6</v>
      </c>
      <c r="AJ72" s="94">
        <f t="shared" si="565"/>
        <v>-0.3</v>
      </c>
      <c r="AK72" s="94">
        <f t="shared" si="565"/>
        <v>-2.9331999999983238E-3</v>
      </c>
      <c r="AL72" s="94">
        <f t="shared" si="565"/>
        <v>-0.28388310000000055</v>
      </c>
      <c r="AM72" s="94">
        <f t="shared" si="565"/>
        <v>-0.21206530000000262</v>
      </c>
      <c r="AN72" s="94">
        <f t="shared" ref="AN72:AP78" si="566">-1*AN30</f>
        <v>-2.0020000000018625E-3</v>
      </c>
      <c r="AO72" s="94">
        <f t="shared" si="566"/>
        <v>-0.4564830000000028</v>
      </c>
      <c r="AP72" s="94">
        <f t="shared" si="566"/>
        <v>-1.3564599999999953</v>
      </c>
      <c r="AQ72" s="94">
        <f t="shared" ref="AQ72:AY78" si="567">-1*AQ30</f>
        <v>-0.43587999999999999</v>
      </c>
      <c r="AR72" s="94">
        <f t="shared" si="567"/>
        <v>-0.43083880000000818</v>
      </c>
      <c r="AS72" s="94">
        <f t="shared" si="567"/>
        <v>-1.1988713999999874</v>
      </c>
      <c r="AT72" s="94">
        <f t="shared" si="567"/>
        <v>-0.84026919999999927</v>
      </c>
      <c r="AU72" s="94">
        <f t="shared" si="567"/>
        <v>-0.24919129999999889</v>
      </c>
      <c r="AV72" s="94">
        <f t="shared" si="567"/>
        <v>-1.6167492999999971</v>
      </c>
      <c r="AW72" s="94">
        <f t="shared" si="567"/>
        <v>-0.26250000000000001</v>
      </c>
      <c r="AX72" s="94">
        <f t="shared" si="567"/>
        <v>-0.24204999999999999</v>
      </c>
      <c r="AY72" s="94">
        <f t="shared" si="567"/>
        <v>-1.432395300000012</v>
      </c>
      <c r="AZ72" s="94">
        <f t="shared" ref="AZ72:BN78" si="568">-1*AZ30</f>
        <v>1.8985224709560071</v>
      </c>
      <c r="BA72" s="94">
        <f t="shared" si="568"/>
        <v>-1.318353870956013</v>
      </c>
      <c r="BB72" s="94">
        <f t="shared" si="568"/>
        <v>8.8353283000000058</v>
      </c>
      <c r="BC72" s="94">
        <f t="shared" si="568"/>
        <v>8.2055299999997958E-2</v>
      </c>
      <c r="BD72" s="94">
        <f t="shared" si="568"/>
        <v>0</v>
      </c>
      <c r="BE72" s="94">
        <f t="shared" si="568"/>
        <v>-8.2055299999997958E-2</v>
      </c>
      <c r="BF72" s="94">
        <f t="shared" si="568"/>
        <v>2.1392399999997536E-2</v>
      </c>
      <c r="BG72" s="94">
        <f t="shared" si="568"/>
        <v>0.2</v>
      </c>
      <c r="BH72" s="94">
        <f t="shared" si="568"/>
        <v>1.1543272999999998</v>
      </c>
      <c r="BI72" s="94">
        <f t="shared" si="568"/>
        <v>0</v>
      </c>
      <c r="BJ72" s="94">
        <f t="shared" si="568"/>
        <v>0</v>
      </c>
      <c r="BK72" s="94">
        <f t="shared" si="568"/>
        <v>0</v>
      </c>
      <c r="BL72" s="94">
        <f t="shared" si="568"/>
        <v>0</v>
      </c>
      <c r="BM72" s="94">
        <f t="shared" si="568"/>
        <v>-0.48265529999999796</v>
      </c>
      <c r="BN72" s="94">
        <f t="shared" si="568"/>
        <v>0</v>
      </c>
      <c r="BO72" s="94">
        <f t="shared" si="565"/>
        <v>0</v>
      </c>
      <c r="BP72" s="71">
        <f>SUM(C72:BO72)</f>
        <v>-39.639577033000037</v>
      </c>
      <c r="BR72" s="159"/>
    </row>
    <row r="73" spans="1:70">
      <c r="A73" s="106" t="s">
        <v>119</v>
      </c>
      <c r="B73" s="106" t="s">
        <v>6</v>
      </c>
      <c r="C73" s="197">
        <f t="shared" ref="C73:C82" si="569">C5*-1</f>
        <v>-22.528768281183002</v>
      </c>
      <c r="D73" s="94">
        <f t="shared" ref="D73:S82" si="570">-1*D31</f>
        <v>-1</v>
      </c>
      <c r="E73" s="94">
        <f t="shared" si="570"/>
        <v>-1</v>
      </c>
      <c r="F73" s="94">
        <f t="shared" si="570"/>
        <v>-1.2</v>
      </c>
      <c r="G73" s="94">
        <f t="shared" si="570"/>
        <v>2.2799999999999998</v>
      </c>
      <c r="H73" s="94">
        <f t="shared" si="570"/>
        <v>-1.2</v>
      </c>
      <c r="I73" s="94">
        <f t="shared" si="570"/>
        <v>-1</v>
      </c>
      <c r="J73" s="94">
        <f t="shared" si="570"/>
        <v>-0.8</v>
      </c>
      <c r="K73" s="94">
        <f t="shared" si="570"/>
        <v>-1.2</v>
      </c>
      <c r="L73" s="94">
        <f t="shared" si="570"/>
        <v>-0.60046475999999771</v>
      </c>
      <c r="M73" s="94">
        <f t="shared" si="570"/>
        <v>-1.0105448510000035</v>
      </c>
      <c r="N73" s="94">
        <f t="shared" si="570"/>
        <v>-1.2016457260000029</v>
      </c>
      <c r="O73" s="94">
        <f t="shared" si="570"/>
        <v>-0.79343138699999316</v>
      </c>
      <c r="P73" s="94">
        <f t="shared" si="570"/>
        <v>-1.1975464089999983</v>
      </c>
      <c r="Q73" s="94">
        <f t="shared" si="570"/>
        <v>-0.60840730900000306</v>
      </c>
      <c r="R73" s="94">
        <f t="shared" si="570"/>
        <v>-0.79606836199999886</v>
      </c>
      <c r="S73" s="94">
        <f t="shared" si="570"/>
        <v>-0.39620355600000112</v>
      </c>
      <c r="T73" s="94">
        <f t="shared" si="565"/>
        <v>-2.3737983000000629E-2</v>
      </c>
      <c r="U73" s="94">
        <f t="shared" si="565"/>
        <v>-0.49997569600000558</v>
      </c>
      <c r="V73" s="94">
        <f t="shared" si="565"/>
        <v>-0.79995914799999912</v>
      </c>
      <c r="W73" s="94">
        <f t="shared" si="565"/>
        <v>-0.61125512599999088</v>
      </c>
      <c r="X73" s="94">
        <f t="shared" si="565"/>
        <v>-1.9998995799999963</v>
      </c>
      <c r="Y73" s="94">
        <f t="shared" si="565"/>
        <v>-2.3998795810000133</v>
      </c>
      <c r="Z73" s="94">
        <f t="shared" si="565"/>
        <v>-2.3998795810000133</v>
      </c>
      <c r="AA73" s="94">
        <f t="shared" si="565"/>
        <v>-0.3998836871030042</v>
      </c>
      <c r="AB73" s="94">
        <f t="shared" si="565"/>
        <v>-2.3998804409999912</v>
      </c>
      <c r="AC73" s="94">
        <f t="shared" si="565"/>
        <v>-2.3998804409999912</v>
      </c>
      <c r="AD73" s="94">
        <f t="shared" si="565"/>
        <v>-0.46544603200000711</v>
      </c>
      <c r="AE73" s="94">
        <f t="shared" si="565"/>
        <v>-1.999899989</v>
      </c>
      <c r="AF73" s="94">
        <f t="shared" si="565"/>
        <v>-1.9998992909999938</v>
      </c>
      <c r="AG73" s="94">
        <f t="shared" si="565"/>
        <v>-2.004899516000012</v>
      </c>
      <c r="AH73" s="94">
        <f t="shared" si="565"/>
        <v>-2.5998705129999946</v>
      </c>
      <c r="AI73" s="94">
        <f t="shared" si="565"/>
        <v>-1.4999248710000048</v>
      </c>
      <c r="AJ73" s="94">
        <f t="shared" si="565"/>
        <v>-0.99995005599999798</v>
      </c>
      <c r="AK73" s="94">
        <f t="shared" si="565"/>
        <v>-0.99995011799999511</v>
      </c>
      <c r="AL73" s="94">
        <f t="shared" si="565"/>
        <v>-0.49997497500000521</v>
      </c>
      <c r="AM73" s="94">
        <f t="shared" si="565"/>
        <v>-0.39997996499999428</v>
      </c>
      <c r="AN73" s="94">
        <f t="shared" si="566"/>
        <v>-2.4998747140000015</v>
      </c>
      <c r="AO73" s="94">
        <f t="shared" si="566"/>
        <v>-1.8999054050000013</v>
      </c>
      <c r="AP73" s="94">
        <f t="shared" si="566"/>
        <v>-1.9863295640000089</v>
      </c>
      <c r="AQ73" s="94">
        <f t="shared" ref="AQ73" si="571">-1*AQ31</f>
        <v>-1.588681219000001</v>
      </c>
      <c r="AR73" s="94">
        <f t="shared" si="567"/>
        <v>-1.6247278339999924</v>
      </c>
      <c r="AS73" s="94">
        <f t="shared" si="567"/>
        <v>-1.1999386529999971</v>
      </c>
      <c r="AT73" s="94">
        <f t="shared" si="567"/>
        <v>-1.1948261459999978</v>
      </c>
      <c r="AU73" s="94">
        <f t="shared" si="567"/>
        <v>-2.4827246530000098</v>
      </c>
      <c r="AV73" s="94">
        <f t="shared" si="567"/>
        <v>-1.7823223880000016</v>
      </c>
      <c r="AW73" s="94">
        <f t="shared" si="567"/>
        <v>-1.721025182999991</v>
      </c>
      <c r="AX73" s="94">
        <f t="shared" si="567"/>
        <v>-1.7068855139999903</v>
      </c>
      <c r="AY73" s="94">
        <f t="shared" si="567"/>
        <v>-2.9127305380000226</v>
      </c>
      <c r="AZ73" s="94">
        <f t="shared" ref="AZ73" si="572">-1*AZ31</f>
        <v>-1.1999402669999935</v>
      </c>
      <c r="BA73" s="94">
        <f t="shared" si="568"/>
        <v>-1.5999207449999917</v>
      </c>
      <c r="BB73" s="94">
        <f t="shared" si="568"/>
        <v>-3.3498322310000006</v>
      </c>
      <c r="BC73" s="94">
        <f t="shared" si="568"/>
        <v>-3.2098401139999915</v>
      </c>
      <c r="BD73" s="94">
        <f t="shared" si="568"/>
        <v>-2.6998651330000127</v>
      </c>
      <c r="BE73" s="94">
        <f t="shared" si="568"/>
        <v>-2.6998658749999889</v>
      </c>
      <c r="BF73" s="94">
        <f t="shared" si="568"/>
        <v>-0.89995491200001676</v>
      </c>
      <c r="BG73" s="94">
        <f t="shared" si="568"/>
        <v>-0.89995291799997912</v>
      </c>
      <c r="BH73" s="94">
        <f t="shared" si="568"/>
        <v>-0.99466076300000772</v>
      </c>
      <c r="BI73" s="94">
        <f t="shared" si="568"/>
        <v>-2.2000141439999825</v>
      </c>
      <c r="BJ73" s="94">
        <f t="shared" si="568"/>
        <v>-1.0355611730000005</v>
      </c>
      <c r="BK73" s="94">
        <f t="shared" si="568"/>
        <v>-1.349933501999993</v>
      </c>
      <c r="BL73" s="94">
        <f t="shared" si="568"/>
        <v>-0.33106127500001342</v>
      </c>
      <c r="BM73" s="94">
        <f t="shared" si="568"/>
        <v>-0.31803432499999179</v>
      </c>
      <c r="BN73" s="94">
        <f t="shared" si="568"/>
        <v>-1.4499266379999929</v>
      </c>
      <c r="BO73" s="94">
        <f t="shared" si="565"/>
        <v>-5.000121799999848E-2</v>
      </c>
      <c r="BP73" s="71">
        <f t="shared" ref="BP73:BP82" si="573">SUM(C73:BO73)</f>
        <v>-108.545444275286</v>
      </c>
      <c r="BR73" s="159"/>
    </row>
    <row r="74" spans="1:70">
      <c r="A74" s="106" t="s">
        <v>8</v>
      </c>
      <c r="B74" s="106" t="s">
        <v>8</v>
      </c>
      <c r="C74" s="197">
        <f t="shared" si="569"/>
        <v>-1</v>
      </c>
      <c r="D74" s="94">
        <f t="shared" si="570"/>
        <v>-0.2475</v>
      </c>
      <c r="E74" s="94">
        <f t="shared" si="565"/>
        <v>0</v>
      </c>
      <c r="F74" s="94">
        <f t="shared" si="565"/>
        <v>0</v>
      </c>
      <c r="G74" s="94">
        <f t="shared" si="565"/>
        <v>0</v>
      </c>
      <c r="H74" s="94">
        <f t="shared" si="565"/>
        <v>0</v>
      </c>
      <c r="I74" s="94">
        <f t="shared" si="565"/>
        <v>0</v>
      </c>
      <c r="J74" s="94">
        <f t="shared" si="565"/>
        <v>0</v>
      </c>
      <c r="K74" s="94">
        <f t="shared" si="565"/>
        <v>0</v>
      </c>
      <c r="L74" s="94">
        <f t="shared" si="565"/>
        <v>0</v>
      </c>
      <c r="M74" s="94">
        <f t="shared" si="565"/>
        <v>0</v>
      </c>
      <c r="N74" s="94">
        <f t="shared" si="565"/>
        <v>0</v>
      </c>
      <c r="O74" s="94">
        <f t="shared" si="565"/>
        <v>0</v>
      </c>
      <c r="P74" s="94">
        <f t="shared" si="565"/>
        <v>0</v>
      </c>
      <c r="Q74" s="94">
        <f t="shared" si="565"/>
        <v>0</v>
      </c>
      <c r="R74" s="94">
        <f t="shared" si="565"/>
        <v>1.9700000000000051E-2</v>
      </c>
      <c r="S74" s="94">
        <f t="shared" si="565"/>
        <v>-4.6350000000000113E-2</v>
      </c>
      <c r="T74" s="94">
        <f t="shared" si="565"/>
        <v>3.5300000000000109E-2</v>
      </c>
      <c r="U74" s="94">
        <f t="shared" si="565"/>
        <v>-1.540000000000008E-2</v>
      </c>
      <c r="V74" s="94">
        <f t="shared" si="565"/>
        <v>1.5899999999999803E-3</v>
      </c>
      <c r="W74" s="94">
        <f t="shared" si="565"/>
        <v>0</v>
      </c>
      <c r="X74" s="94">
        <f t="shared" si="565"/>
        <v>0</v>
      </c>
      <c r="Y74" s="94">
        <f t="shared" si="565"/>
        <v>0</v>
      </c>
      <c r="Z74" s="94">
        <f t="shared" si="565"/>
        <v>0</v>
      </c>
      <c r="AA74" s="94">
        <f t="shared" si="565"/>
        <v>0</v>
      </c>
      <c r="AB74" s="94">
        <f t="shared" si="565"/>
        <v>0</v>
      </c>
      <c r="AC74" s="94">
        <f t="shared" si="565"/>
        <v>0</v>
      </c>
      <c r="AD74" s="94">
        <f t="shared" si="565"/>
        <v>0</v>
      </c>
      <c r="AE74" s="94">
        <f t="shared" si="565"/>
        <v>0</v>
      </c>
      <c r="AF74" s="94">
        <f t="shared" si="565"/>
        <v>0</v>
      </c>
      <c r="AG74" s="94">
        <f t="shared" si="565"/>
        <v>0</v>
      </c>
      <c r="AH74" s="94">
        <f t="shared" si="565"/>
        <v>0</v>
      </c>
      <c r="AI74" s="94">
        <f t="shared" si="565"/>
        <v>0</v>
      </c>
      <c r="AJ74" s="94">
        <f t="shared" si="565"/>
        <v>0</v>
      </c>
      <c r="AK74" s="94">
        <f t="shared" si="565"/>
        <v>0</v>
      </c>
      <c r="AL74" s="94">
        <f t="shared" si="565"/>
        <v>0</v>
      </c>
      <c r="AM74" s="94">
        <f t="shared" si="565"/>
        <v>0</v>
      </c>
      <c r="AN74" s="94">
        <f t="shared" si="566"/>
        <v>0</v>
      </c>
      <c r="AO74" s="94">
        <f t="shared" si="566"/>
        <v>0</v>
      </c>
      <c r="AP74" s="94">
        <f t="shared" si="566"/>
        <v>0</v>
      </c>
      <c r="AQ74" s="94">
        <f t="shared" ref="AQ74" si="574">-1*AQ32</f>
        <v>0</v>
      </c>
      <c r="AR74" s="94">
        <f t="shared" si="567"/>
        <v>0</v>
      </c>
      <c r="AS74" s="94">
        <f t="shared" si="567"/>
        <v>0</v>
      </c>
      <c r="AT74" s="94">
        <f t="shared" si="567"/>
        <v>0</v>
      </c>
      <c r="AU74" s="94">
        <f t="shared" si="567"/>
        <v>0</v>
      </c>
      <c r="AV74" s="94">
        <f t="shared" si="567"/>
        <v>0</v>
      </c>
      <c r="AW74" s="94">
        <f t="shared" si="567"/>
        <v>0</v>
      </c>
      <c r="AX74" s="94">
        <f t="shared" si="567"/>
        <v>0</v>
      </c>
      <c r="AY74" s="94">
        <f t="shared" si="567"/>
        <v>0</v>
      </c>
      <c r="AZ74" s="94">
        <f t="shared" ref="AZ74" si="575">-1*AZ32</f>
        <v>0</v>
      </c>
      <c r="BA74" s="94">
        <f t="shared" si="568"/>
        <v>0</v>
      </c>
      <c r="BB74" s="94">
        <f t="shared" si="568"/>
        <v>0</v>
      </c>
      <c r="BC74" s="94">
        <f t="shared" si="568"/>
        <v>0</v>
      </c>
      <c r="BD74" s="94">
        <f t="shared" si="568"/>
        <v>0</v>
      </c>
      <c r="BE74" s="94">
        <f t="shared" si="568"/>
        <v>0</v>
      </c>
      <c r="BF74" s="94">
        <f t="shared" si="568"/>
        <v>-1</v>
      </c>
      <c r="BG74" s="94">
        <f t="shared" si="568"/>
        <v>0</v>
      </c>
      <c r="BH74" s="94">
        <f t="shared" si="568"/>
        <v>0</v>
      </c>
      <c r="BI74" s="94">
        <f t="shared" si="568"/>
        <v>0</v>
      </c>
      <c r="BJ74" s="94">
        <f t="shared" si="568"/>
        <v>0</v>
      </c>
      <c r="BK74" s="94">
        <f t="shared" si="568"/>
        <v>0</v>
      </c>
      <c r="BL74" s="94">
        <f t="shared" si="568"/>
        <v>0</v>
      </c>
      <c r="BM74" s="94">
        <f t="shared" si="568"/>
        <v>0</v>
      </c>
      <c r="BN74" s="94">
        <f t="shared" si="568"/>
        <v>0</v>
      </c>
      <c r="BO74" s="94">
        <f t="shared" si="565"/>
        <v>0</v>
      </c>
      <c r="BP74" s="71">
        <f t="shared" si="573"/>
        <v>-2.2526600000000001</v>
      </c>
      <c r="BR74" s="159"/>
    </row>
    <row r="75" spans="1:70">
      <c r="A75" s="106" t="s">
        <v>120</v>
      </c>
      <c r="B75" s="106" t="s">
        <v>6</v>
      </c>
      <c r="C75" s="197">
        <f t="shared" si="569"/>
        <v>-4.55</v>
      </c>
      <c r="D75" s="94">
        <f t="shared" si="570"/>
        <v>0</v>
      </c>
      <c r="E75" s="94">
        <f t="shared" si="565"/>
        <v>0</v>
      </c>
      <c r="F75" s="94">
        <f t="shared" si="565"/>
        <v>0</v>
      </c>
      <c r="G75" s="94">
        <f t="shared" si="565"/>
        <v>0</v>
      </c>
      <c r="H75" s="94">
        <f t="shared" si="565"/>
        <v>0</v>
      </c>
      <c r="I75" s="94">
        <f t="shared" si="565"/>
        <v>0</v>
      </c>
      <c r="J75" s="94">
        <f t="shared" si="565"/>
        <v>0</v>
      </c>
      <c r="K75" s="94">
        <f t="shared" si="565"/>
        <v>0</v>
      </c>
      <c r="L75" s="94">
        <f t="shared" si="565"/>
        <v>-0.35</v>
      </c>
      <c r="M75" s="94">
        <f t="shared" si="565"/>
        <v>0</v>
      </c>
      <c r="N75" s="94">
        <f t="shared" si="565"/>
        <v>0</v>
      </c>
      <c r="O75" s="94">
        <f t="shared" si="565"/>
        <v>0</v>
      </c>
      <c r="P75" s="94">
        <f t="shared" si="565"/>
        <v>0</v>
      </c>
      <c r="Q75" s="94">
        <f t="shared" si="565"/>
        <v>0</v>
      </c>
      <c r="R75" s="94">
        <f t="shared" si="565"/>
        <v>0</v>
      </c>
      <c r="S75" s="94">
        <f t="shared" si="565"/>
        <v>0</v>
      </c>
      <c r="T75" s="94">
        <f t="shared" si="565"/>
        <v>0</v>
      </c>
      <c r="U75" s="94">
        <f t="shared" si="565"/>
        <v>0</v>
      </c>
      <c r="V75" s="94">
        <f t="shared" si="565"/>
        <v>0</v>
      </c>
      <c r="W75" s="94">
        <f t="shared" si="565"/>
        <v>-0.35</v>
      </c>
      <c r="X75" s="94">
        <f t="shared" si="565"/>
        <v>0</v>
      </c>
      <c r="Y75" s="94">
        <f t="shared" si="565"/>
        <v>0</v>
      </c>
      <c r="Z75" s="94">
        <f t="shared" si="565"/>
        <v>0</v>
      </c>
      <c r="AA75" s="94">
        <f t="shared" si="565"/>
        <v>0</v>
      </c>
      <c r="AB75" s="94">
        <f t="shared" si="565"/>
        <v>0</v>
      </c>
      <c r="AC75" s="94">
        <f t="shared" si="565"/>
        <v>0</v>
      </c>
      <c r="AD75" s="94">
        <f t="shared" si="565"/>
        <v>0</v>
      </c>
      <c r="AE75" s="94">
        <f t="shared" si="565"/>
        <v>0</v>
      </c>
      <c r="AF75" s="94">
        <f t="shared" si="565"/>
        <v>0</v>
      </c>
      <c r="AG75" s="94">
        <f t="shared" si="565"/>
        <v>0</v>
      </c>
      <c r="AH75" s="94">
        <f t="shared" si="565"/>
        <v>-1.125</v>
      </c>
      <c r="AI75" s="94">
        <f t="shared" si="565"/>
        <v>0</v>
      </c>
      <c r="AJ75" s="94">
        <f t="shared" si="565"/>
        <v>0</v>
      </c>
      <c r="AK75" s="94">
        <f t="shared" si="565"/>
        <v>0</v>
      </c>
      <c r="AL75" s="94">
        <f t="shared" si="565"/>
        <v>0</v>
      </c>
      <c r="AM75" s="94">
        <f t="shared" si="565"/>
        <v>0</v>
      </c>
      <c r="AN75" s="94">
        <f t="shared" si="566"/>
        <v>0</v>
      </c>
      <c r="AO75" s="94">
        <f t="shared" si="566"/>
        <v>0</v>
      </c>
      <c r="AP75" s="94">
        <f t="shared" si="566"/>
        <v>0</v>
      </c>
      <c r="AQ75" s="94">
        <f t="shared" ref="AQ75" si="576">-1*AQ33</f>
        <v>0</v>
      </c>
      <c r="AR75" s="94">
        <f t="shared" si="567"/>
        <v>0</v>
      </c>
      <c r="AS75" s="94">
        <f t="shared" si="567"/>
        <v>0</v>
      </c>
      <c r="AT75" s="94">
        <f t="shared" si="567"/>
        <v>-0.35</v>
      </c>
      <c r="AU75" s="94">
        <f t="shared" si="567"/>
        <v>0</v>
      </c>
      <c r="AV75" s="94">
        <f t="shared" si="567"/>
        <v>0</v>
      </c>
      <c r="AW75" s="94">
        <f t="shared" si="567"/>
        <v>0</v>
      </c>
      <c r="AX75" s="94">
        <f t="shared" si="567"/>
        <v>0</v>
      </c>
      <c r="AY75" s="94">
        <f t="shared" si="567"/>
        <v>0</v>
      </c>
      <c r="AZ75" s="94">
        <f t="shared" ref="AZ75" si="577">-1*AZ33</f>
        <v>0</v>
      </c>
      <c r="BA75" s="94">
        <f t="shared" si="568"/>
        <v>0</v>
      </c>
      <c r="BB75" s="94">
        <f t="shared" si="568"/>
        <v>0</v>
      </c>
      <c r="BC75" s="94">
        <f t="shared" si="568"/>
        <v>0</v>
      </c>
      <c r="BD75" s="94">
        <f t="shared" si="568"/>
        <v>0</v>
      </c>
      <c r="BE75" s="94">
        <f t="shared" si="568"/>
        <v>0</v>
      </c>
      <c r="BF75" s="94">
        <f t="shared" si="568"/>
        <v>0</v>
      </c>
      <c r="BG75" s="94">
        <f t="shared" si="568"/>
        <v>0</v>
      </c>
      <c r="BH75" s="94">
        <f t="shared" si="568"/>
        <v>0</v>
      </c>
      <c r="BI75" s="94">
        <f t="shared" si="568"/>
        <v>-0.45</v>
      </c>
      <c r="BJ75" s="94">
        <f t="shared" si="568"/>
        <v>0</v>
      </c>
      <c r="BK75" s="94">
        <f t="shared" si="568"/>
        <v>0</v>
      </c>
      <c r="BL75" s="94">
        <f t="shared" si="568"/>
        <v>0</v>
      </c>
      <c r="BM75" s="94">
        <f t="shared" si="568"/>
        <v>0</v>
      </c>
      <c r="BN75" s="94">
        <f t="shared" si="568"/>
        <v>0</v>
      </c>
      <c r="BO75" s="94">
        <f t="shared" si="565"/>
        <v>0</v>
      </c>
      <c r="BP75" s="71">
        <f t="shared" si="573"/>
        <v>-7.1749999999999989</v>
      </c>
      <c r="BR75" s="159"/>
    </row>
    <row r="76" spans="1:70">
      <c r="A76" s="106" t="s">
        <v>121</v>
      </c>
      <c r="B76" s="106" t="s">
        <v>7</v>
      </c>
      <c r="C76" s="197">
        <f t="shared" si="569"/>
        <v>-0.45</v>
      </c>
      <c r="D76" s="94">
        <f t="shared" si="570"/>
        <v>0</v>
      </c>
      <c r="E76" s="94">
        <f t="shared" si="565"/>
        <v>0</v>
      </c>
      <c r="F76" s="94">
        <f t="shared" si="565"/>
        <v>0</v>
      </c>
      <c r="G76" s="94">
        <f t="shared" si="565"/>
        <v>0</v>
      </c>
      <c r="H76" s="94">
        <f t="shared" si="565"/>
        <v>0</v>
      </c>
      <c r="I76" s="94">
        <f t="shared" si="565"/>
        <v>0</v>
      </c>
      <c r="J76" s="94">
        <f t="shared" si="565"/>
        <v>0</v>
      </c>
      <c r="K76" s="94">
        <f t="shared" si="565"/>
        <v>0</v>
      </c>
      <c r="L76" s="94">
        <f t="shared" si="565"/>
        <v>-0.1</v>
      </c>
      <c r="M76" s="94">
        <f t="shared" si="565"/>
        <v>0</v>
      </c>
      <c r="N76" s="94">
        <f t="shared" si="565"/>
        <v>0</v>
      </c>
      <c r="O76" s="94">
        <f t="shared" si="565"/>
        <v>0</v>
      </c>
      <c r="P76" s="94">
        <f t="shared" si="565"/>
        <v>0</v>
      </c>
      <c r="Q76" s="94">
        <f t="shared" si="565"/>
        <v>0</v>
      </c>
      <c r="R76" s="94">
        <f t="shared" si="565"/>
        <v>-4.0000000000000036E-3</v>
      </c>
      <c r="S76" s="94">
        <f t="shared" si="565"/>
        <v>0</v>
      </c>
      <c r="T76" s="94">
        <f t="shared" si="565"/>
        <v>0</v>
      </c>
      <c r="U76" s="94">
        <f t="shared" si="565"/>
        <v>0</v>
      </c>
      <c r="V76" s="94">
        <f t="shared" si="565"/>
        <v>0</v>
      </c>
      <c r="W76" s="94">
        <f t="shared" si="565"/>
        <v>-0.1</v>
      </c>
      <c r="X76" s="94">
        <f t="shared" si="565"/>
        <v>0</v>
      </c>
      <c r="Y76" s="94">
        <f t="shared" si="565"/>
        <v>0</v>
      </c>
      <c r="Z76" s="94">
        <f t="shared" si="565"/>
        <v>0</v>
      </c>
      <c r="AA76" s="94">
        <f t="shared" si="565"/>
        <v>0</v>
      </c>
      <c r="AB76" s="94">
        <f t="shared" si="565"/>
        <v>0</v>
      </c>
      <c r="AC76" s="94">
        <f t="shared" si="565"/>
        <v>0</v>
      </c>
      <c r="AD76" s="94">
        <f t="shared" si="565"/>
        <v>0</v>
      </c>
      <c r="AE76" s="94">
        <f t="shared" si="565"/>
        <v>0</v>
      </c>
      <c r="AF76" s="94">
        <f t="shared" si="565"/>
        <v>0</v>
      </c>
      <c r="AG76" s="94">
        <f t="shared" si="565"/>
        <v>0</v>
      </c>
      <c r="AH76" s="94">
        <f t="shared" si="565"/>
        <v>-0.15000000000000002</v>
      </c>
      <c r="AI76" s="94">
        <f t="shared" si="565"/>
        <v>0</v>
      </c>
      <c r="AJ76" s="94">
        <f t="shared" si="565"/>
        <v>0</v>
      </c>
      <c r="AK76" s="94">
        <f t="shared" si="565"/>
        <v>0</v>
      </c>
      <c r="AL76" s="94">
        <f t="shared" si="565"/>
        <v>0</v>
      </c>
      <c r="AM76" s="94">
        <f t="shared" si="565"/>
        <v>0</v>
      </c>
      <c r="AN76" s="94">
        <f t="shared" si="566"/>
        <v>0</v>
      </c>
      <c r="AO76" s="94">
        <f t="shared" si="566"/>
        <v>0</v>
      </c>
      <c r="AP76" s="94">
        <f t="shared" si="566"/>
        <v>0</v>
      </c>
      <c r="AQ76" s="94">
        <f t="shared" ref="AQ76" si="578">-1*AQ34</f>
        <v>0</v>
      </c>
      <c r="AR76" s="94">
        <f t="shared" si="567"/>
        <v>0</v>
      </c>
      <c r="AS76" s="94">
        <f t="shared" si="567"/>
        <v>0</v>
      </c>
      <c r="AT76" s="94">
        <f t="shared" si="567"/>
        <v>-0.05</v>
      </c>
      <c r="AU76" s="94">
        <f t="shared" si="567"/>
        <v>0</v>
      </c>
      <c r="AV76" s="94">
        <f t="shared" si="567"/>
        <v>0</v>
      </c>
      <c r="AW76" s="94">
        <f t="shared" si="567"/>
        <v>0</v>
      </c>
      <c r="AX76" s="94">
        <f t="shared" si="567"/>
        <v>0</v>
      </c>
      <c r="AY76" s="94">
        <f t="shared" si="567"/>
        <v>0</v>
      </c>
      <c r="AZ76" s="94">
        <f t="shared" ref="AZ76" si="579">-1*AZ34</f>
        <v>0</v>
      </c>
      <c r="BA76" s="94">
        <f t="shared" si="568"/>
        <v>0</v>
      </c>
      <c r="BB76" s="94">
        <f t="shared" si="568"/>
        <v>0</v>
      </c>
      <c r="BC76" s="94">
        <f t="shared" si="568"/>
        <v>0</v>
      </c>
      <c r="BD76" s="94">
        <f t="shared" si="568"/>
        <v>0</v>
      </c>
      <c r="BE76" s="94">
        <f t="shared" si="568"/>
        <v>0</v>
      </c>
      <c r="BF76" s="94">
        <f t="shared" si="568"/>
        <v>0</v>
      </c>
      <c r="BG76" s="94">
        <f t="shared" si="568"/>
        <v>0</v>
      </c>
      <c r="BH76" s="94">
        <f t="shared" si="568"/>
        <v>0</v>
      </c>
      <c r="BI76" s="94">
        <f t="shared" si="568"/>
        <v>-0.1</v>
      </c>
      <c r="BJ76" s="94">
        <f t="shared" si="568"/>
        <v>0</v>
      </c>
      <c r="BK76" s="94">
        <f t="shared" si="568"/>
        <v>0</v>
      </c>
      <c r="BL76" s="94">
        <f t="shared" si="568"/>
        <v>0</v>
      </c>
      <c r="BM76" s="94">
        <f t="shared" si="568"/>
        <v>0</v>
      </c>
      <c r="BN76" s="94">
        <f t="shared" si="568"/>
        <v>0</v>
      </c>
      <c r="BO76" s="94">
        <f t="shared" si="565"/>
        <v>0</v>
      </c>
      <c r="BP76" s="71">
        <f t="shared" si="573"/>
        <v>-0.95400000000000007</v>
      </c>
      <c r="BR76" s="159"/>
    </row>
    <row r="77" spans="1:70">
      <c r="A77" s="106" t="s">
        <v>122</v>
      </c>
      <c r="B77" s="106" t="s">
        <v>7</v>
      </c>
      <c r="C77" s="197">
        <f t="shared" si="569"/>
        <v>-0.67</v>
      </c>
      <c r="D77" s="94">
        <f t="shared" si="570"/>
        <v>0</v>
      </c>
      <c r="E77" s="94">
        <f t="shared" si="565"/>
        <v>0</v>
      </c>
      <c r="F77" s="94">
        <f t="shared" si="565"/>
        <v>0</v>
      </c>
      <c r="G77" s="94">
        <f t="shared" si="565"/>
        <v>0</v>
      </c>
      <c r="H77" s="94">
        <f t="shared" si="565"/>
        <v>0</v>
      </c>
      <c r="I77" s="94">
        <f t="shared" si="565"/>
        <v>0</v>
      </c>
      <c r="J77" s="94">
        <f t="shared" si="565"/>
        <v>0</v>
      </c>
      <c r="K77" s="94">
        <f t="shared" si="565"/>
        <v>0</v>
      </c>
      <c r="L77" s="94">
        <f t="shared" si="565"/>
        <v>-0.05</v>
      </c>
      <c r="M77" s="94">
        <f t="shared" si="565"/>
        <v>0</v>
      </c>
      <c r="N77" s="94">
        <f t="shared" si="565"/>
        <v>0</v>
      </c>
      <c r="O77" s="94">
        <f t="shared" si="565"/>
        <v>0</v>
      </c>
      <c r="P77" s="94">
        <f t="shared" si="565"/>
        <v>0</v>
      </c>
      <c r="Q77" s="94">
        <f t="shared" si="565"/>
        <v>0</v>
      </c>
      <c r="R77" s="94">
        <f t="shared" si="565"/>
        <v>-6.4999999999999503E-3</v>
      </c>
      <c r="S77" s="94">
        <f t="shared" si="565"/>
        <v>0</v>
      </c>
      <c r="T77" s="94">
        <f t="shared" si="565"/>
        <v>0</v>
      </c>
      <c r="U77" s="94">
        <f t="shared" si="565"/>
        <v>0</v>
      </c>
      <c r="V77" s="94">
        <f t="shared" si="565"/>
        <v>0</v>
      </c>
      <c r="W77" s="94">
        <f t="shared" si="565"/>
        <v>-0.05</v>
      </c>
      <c r="X77" s="94">
        <f t="shared" si="565"/>
        <v>0</v>
      </c>
      <c r="Y77" s="94">
        <f t="shared" si="565"/>
        <v>0</v>
      </c>
      <c r="Z77" s="94">
        <f t="shared" si="565"/>
        <v>0</v>
      </c>
      <c r="AA77" s="94">
        <f t="shared" si="565"/>
        <v>0</v>
      </c>
      <c r="AB77" s="94">
        <f t="shared" si="565"/>
        <v>0</v>
      </c>
      <c r="AC77" s="94">
        <f t="shared" si="565"/>
        <v>0</v>
      </c>
      <c r="AD77" s="94">
        <f t="shared" si="565"/>
        <v>0</v>
      </c>
      <c r="AE77" s="94">
        <f t="shared" si="565"/>
        <v>0</v>
      </c>
      <c r="AF77" s="94">
        <f t="shared" si="565"/>
        <v>0</v>
      </c>
      <c r="AG77" s="94">
        <f t="shared" si="565"/>
        <v>0</v>
      </c>
      <c r="AH77" s="94">
        <f t="shared" si="565"/>
        <v>-0.22499999999999998</v>
      </c>
      <c r="AI77" s="94">
        <f t="shared" si="565"/>
        <v>0</v>
      </c>
      <c r="AJ77" s="94">
        <f t="shared" si="565"/>
        <v>0</v>
      </c>
      <c r="AK77" s="94">
        <f t="shared" si="565"/>
        <v>0</v>
      </c>
      <c r="AL77" s="94">
        <f t="shared" si="565"/>
        <v>0</v>
      </c>
      <c r="AM77" s="94">
        <f t="shared" si="565"/>
        <v>0</v>
      </c>
      <c r="AN77" s="94">
        <f t="shared" si="566"/>
        <v>0</v>
      </c>
      <c r="AO77" s="94">
        <f t="shared" si="566"/>
        <v>0</v>
      </c>
      <c r="AP77" s="94">
        <f t="shared" si="566"/>
        <v>0</v>
      </c>
      <c r="AQ77" s="94">
        <f t="shared" ref="AQ77" si="580">-1*AQ35</f>
        <v>0</v>
      </c>
      <c r="AR77" s="94">
        <f t="shared" si="567"/>
        <v>0</v>
      </c>
      <c r="AS77" s="94">
        <f t="shared" si="567"/>
        <v>0</v>
      </c>
      <c r="AT77" s="94">
        <f t="shared" si="567"/>
        <v>-0.1</v>
      </c>
      <c r="AU77" s="94">
        <f t="shared" si="567"/>
        <v>0</v>
      </c>
      <c r="AV77" s="94">
        <f t="shared" si="567"/>
        <v>0</v>
      </c>
      <c r="AW77" s="94">
        <f t="shared" si="567"/>
        <v>0</v>
      </c>
      <c r="AX77" s="94">
        <f t="shared" si="567"/>
        <v>0</v>
      </c>
      <c r="AY77" s="94">
        <f t="shared" si="567"/>
        <v>0</v>
      </c>
      <c r="AZ77" s="94">
        <f t="shared" ref="AZ77" si="581">-1*AZ35</f>
        <v>0</v>
      </c>
      <c r="BA77" s="94">
        <f t="shared" si="568"/>
        <v>0</v>
      </c>
      <c r="BB77" s="94">
        <f t="shared" si="568"/>
        <v>0</v>
      </c>
      <c r="BC77" s="94">
        <f t="shared" si="568"/>
        <v>0</v>
      </c>
      <c r="BD77" s="94">
        <f t="shared" si="568"/>
        <v>0</v>
      </c>
      <c r="BE77" s="94">
        <f t="shared" si="568"/>
        <v>0</v>
      </c>
      <c r="BF77" s="94">
        <f t="shared" si="568"/>
        <v>0</v>
      </c>
      <c r="BG77" s="94">
        <f t="shared" si="568"/>
        <v>0</v>
      </c>
      <c r="BH77" s="94">
        <f t="shared" si="568"/>
        <v>0</v>
      </c>
      <c r="BI77" s="94">
        <f t="shared" si="568"/>
        <v>-0.15</v>
      </c>
      <c r="BJ77" s="94">
        <f t="shared" si="568"/>
        <v>0</v>
      </c>
      <c r="BK77" s="94">
        <f t="shared" si="568"/>
        <v>0</v>
      </c>
      <c r="BL77" s="94">
        <f t="shared" si="568"/>
        <v>0</v>
      </c>
      <c r="BM77" s="94">
        <f t="shared" si="568"/>
        <v>0</v>
      </c>
      <c r="BN77" s="94">
        <f t="shared" si="568"/>
        <v>0</v>
      </c>
      <c r="BO77" s="94">
        <f t="shared" si="565"/>
        <v>0</v>
      </c>
      <c r="BP77" s="71">
        <f t="shared" si="573"/>
        <v>-1.2515000000000001</v>
      </c>
      <c r="BR77" s="159"/>
    </row>
    <row r="78" spans="1:70">
      <c r="A78" s="106" t="s">
        <v>123</v>
      </c>
      <c r="B78" s="106" t="s">
        <v>7</v>
      </c>
      <c r="C78" s="197">
        <f t="shared" si="569"/>
        <v>-13.39</v>
      </c>
      <c r="D78" s="94">
        <f t="shared" si="570"/>
        <v>-0.22999999999999865</v>
      </c>
      <c r="E78" s="94">
        <f t="shared" si="565"/>
        <v>-0.47000000000000064</v>
      </c>
      <c r="F78" s="94">
        <f t="shared" si="565"/>
        <v>-0.2</v>
      </c>
      <c r="G78" s="94">
        <f t="shared" si="565"/>
        <v>-0.23000000000000043</v>
      </c>
      <c r="H78" s="94">
        <f t="shared" si="565"/>
        <v>-0.23300000000000054</v>
      </c>
      <c r="I78" s="94">
        <f t="shared" si="565"/>
        <v>-0.23296000000000028</v>
      </c>
      <c r="J78" s="94">
        <f t="shared" si="565"/>
        <v>-0.23296000000000205</v>
      </c>
      <c r="K78" s="94">
        <f t="shared" si="565"/>
        <v>-0.23296000000000205</v>
      </c>
      <c r="L78" s="94">
        <f t="shared" si="565"/>
        <v>-0.23296000000000205</v>
      </c>
      <c r="M78" s="94">
        <f t="shared" si="565"/>
        <v>-0.27530000000000143</v>
      </c>
      <c r="N78" s="94">
        <f t="shared" si="565"/>
        <v>-0.27529999999999788</v>
      </c>
      <c r="O78" s="94">
        <f t="shared" si="565"/>
        <v>-0.27529999999999788</v>
      </c>
      <c r="P78" s="94">
        <f t="shared" si="565"/>
        <v>-0.27529999999999788</v>
      </c>
      <c r="Q78" s="94">
        <f t="shared" si="565"/>
        <v>-0.27529999999999788</v>
      </c>
      <c r="R78" s="94">
        <f t="shared" si="565"/>
        <v>-0.27529999999999788</v>
      </c>
      <c r="S78" s="94">
        <f t="shared" si="565"/>
        <v>-0.27529999999999788</v>
      </c>
      <c r="T78" s="94">
        <f t="shared" si="565"/>
        <v>-0.27529999999999788</v>
      </c>
      <c r="U78" s="94">
        <f t="shared" si="565"/>
        <v>-0.27529999999999788</v>
      </c>
      <c r="V78" s="94">
        <f t="shared" si="565"/>
        <v>-0.27529999999999788</v>
      </c>
      <c r="W78" s="94">
        <f t="shared" si="565"/>
        <v>-0.27529999999999788</v>
      </c>
      <c r="X78" s="94">
        <f t="shared" si="565"/>
        <v>-0.27529999999999788</v>
      </c>
      <c r="Y78" s="94">
        <f t="shared" si="565"/>
        <v>-0.27529999999999788</v>
      </c>
      <c r="Z78" s="94">
        <f t="shared" si="565"/>
        <v>-0.63700000000000045</v>
      </c>
      <c r="AA78" s="94">
        <f t="shared" si="565"/>
        <v>-0.31850000000000023</v>
      </c>
      <c r="AB78" s="94">
        <f t="shared" si="565"/>
        <v>-0.31850000000000023</v>
      </c>
      <c r="AC78" s="94">
        <f t="shared" si="565"/>
        <v>-0.31850000000000023</v>
      </c>
      <c r="AD78" s="94">
        <f t="shared" si="565"/>
        <v>-0.3</v>
      </c>
      <c r="AE78" s="94">
        <f t="shared" si="565"/>
        <v>-0.31850000000000023</v>
      </c>
      <c r="AF78" s="94">
        <f t="shared" si="565"/>
        <v>-0.31850000000000023</v>
      </c>
      <c r="AG78" s="94">
        <f t="shared" si="565"/>
        <v>-0.31850000000000023</v>
      </c>
      <c r="AH78" s="94">
        <f t="shared" si="565"/>
        <v>-0.31850000000000023</v>
      </c>
      <c r="AI78" s="94">
        <f t="shared" si="565"/>
        <v>-0.31850000000000023</v>
      </c>
      <c r="AJ78" s="94">
        <f t="shared" si="565"/>
        <v>-0.31850000000000023</v>
      </c>
      <c r="AK78" s="94">
        <f t="shared" si="565"/>
        <v>-0.351580000000002</v>
      </c>
      <c r="AL78" s="94">
        <f t="shared" si="565"/>
        <v>-0.351580000000002</v>
      </c>
      <c r="AM78" s="94">
        <f t="shared" si="565"/>
        <v>-0.351580000000002</v>
      </c>
      <c r="AN78" s="94">
        <f t="shared" si="566"/>
        <v>-0.351580000000002</v>
      </c>
      <c r="AO78" s="94">
        <f t="shared" si="566"/>
        <v>-0.351580000000002</v>
      </c>
      <c r="AP78" s="94">
        <f t="shared" si="566"/>
        <v>-0.351580000000002</v>
      </c>
      <c r="AQ78" s="94">
        <f t="shared" ref="AQ78" si="582">-1*AQ36</f>
        <v>-0.351580000000002</v>
      </c>
      <c r="AR78" s="94">
        <f t="shared" si="567"/>
        <v>-0.35157999999999845</v>
      </c>
      <c r="AS78" s="94">
        <f t="shared" si="567"/>
        <v>-0.35157999999999845</v>
      </c>
      <c r="AT78" s="94">
        <f t="shared" si="567"/>
        <v>-0.35157999999999845</v>
      </c>
      <c r="AU78" s="94">
        <f t="shared" si="567"/>
        <v>-0.35157999999999845</v>
      </c>
      <c r="AV78" s="94">
        <f t="shared" si="567"/>
        <v>-0.35157999999999845</v>
      </c>
      <c r="AW78" s="94">
        <f t="shared" si="567"/>
        <v>-0.4061799999999991</v>
      </c>
      <c r="AX78" s="94">
        <f t="shared" si="567"/>
        <v>-0.4061799999999991</v>
      </c>
      <c r="AY78" s="94">
        <f t="shared" si="567"/>
        <v>-0.4061799999999991</v>
      </c>
      <c r="AZ78" s="94">
        <f t="shared" ref="AZ78" si="583">-1*AZ36</f>
        <v>-0.4061799999999991</v>
      </c>
      <c r="BA78" s="94">
        <f t="shared" si="568"/>
        <v>-0.4061799999999991</v>
      </c>
      <c r="BB78" s="94">
        <f t="shared" si="568"/>
        <v>-0.4061799999999991</v>
      </c>
      <c r="BC78" s="94">
        <f t="shared" si="568"/>
        <v>-0.4061799999999991</v>
      </c>
      <c r="BD78" s="94">
        <f t="shared" si="568"/>
        <v>-0.4061799999999991</v>
      </c>
      <c r="BE78" s="94">
        <f t="shared" si="568"/>
        <v>-0.4061799999999991</v>
      </c>
      <c r="BF78" s="94">
        <f t="shared" si="568"/>
        <v>-0.4061799999999991</v>
      </c>
      <c r="BG78" s="94">
        <f t="shared" si="568"/>
        <v>-0.4061799999999991</v>
      </c>
      <c r="BH78" s="94">
        <f t="shared" si="568"/>
        <v>-0.4061799999999991</v>
      </c>
      <c r="BI78" s="94">
        <f t="shared" si="568"/>
        <v>-0.47505999999999915</v>
      </c>
      <c r="BJ78" s="94">
        <f t="shared" si="568"/>
        <v>-0.47505999999999915</v>
      </c>
      <c r="BK78" s="94">
        <f t="shared" si="568"/>
        <v>-0.47505999999999915</v>
      </c>
      <c r="BL78" s="94">
        <f t="shared" si="568"/>
        <v>-0.47505999999999915</v>
      </c>
      <c r="BM78" s="94">
        <f t="shared" si="568"/>
        <v>-0.47505999999999915</v>
      </c>
      <c r="BN78" s="94">
        <f t="shared" si="568"/>
        <v>-0.47505999999999915</v>
      </c>
      <c r="BO78" s="94">
        <f t="shared" si="565"/>
        <v>-0.47505999999999915</v>
      </c>
      <c r="BP78" s="71">
        <f t="shared" si="573"/>
        <v>-35.485779999999977</v>
      </c>
      <c r="BR78" s="159"/>
    </row>
    <row r="79" spans="1:70">
      <c r="A79" s="106" t="s">
        <v>124</v>
      </c>
      <c r="B79" s="106" t="s">
        <v>7</v>
      </c>
      <c r="C79" s="197">
        <f t="shared" si="569"/>
        <v>-17.71</v>
      </c>
      <c r="D79" s="94">
        <f t="shared" si="570"/>
        <v>0</v>
      </c>
      <c r="E79" s="94">
        <f t="shared" si="565"/>
        <v>0</v>
      </c>
      <c r="F79" s="94">
        <f t="shared" si="565"/>
        <v>0</v>
      </c>
      <c r="G79" s="94">
        <f t="shared" si="565"/>
        <v>0</v>
      </c>
      <c r="H79" s="94">
        <f t="shared" si="565"/>
        <v>0</v>
      </c>
      <c r="I79" s="94">
        <f t="shared" si="565"/>
        <v>0</v>
      </c>
      <c r="J79" s="94">
        <f t="shared" si="565"/>
        <v>0</v>
      </c>
      <c r="K79" s="94">
        <f t="shared" si="565"/>
        <v>0</v>
      </c>
      <c r="L79" s="94">
        <f t="shared" si="565"/>
        <v>-1.5</v>
      </c>
      <c r="M79" s="94">
        <f t="shared" si="565"/>
        <v>0</v>
      </c>
      <c r="N79" s="94">
        <f t="shared" si="565"/>
        <v>0</v>
      </c>
      <c r="O79" s="94">
        <f t="shared" si="565"/>
        <v>0</v>
      </c>
      <c r="P79" s="94">
        <f t="shared" si="565"/>
        <v>0</v>
      </c>
      <c r="Q79" s="94">
        <f t="shared" si="565"/>
        <v>0</v>
      </c>
      <c r="R79" s="94">
        <f t="shared" si="565"/>
        <v>0</v>
      </c>
      <c r="S79" s="94">
        <f t="shared" si="565"/>
        <v>0</v>
      </c>
      <c r="T79" s="94">
        <f t="shared" si="565"/>
        <v>0</v>
      </c>
      <c r="U79" s="94">
        <f t="shared" si="565"/>
        <v>0</v>
      </c>
      <c r="V79" s="94">
        <f t="shared" si="565"/>
        <v>0</v>
      </c>
      <c r="W79" s="94">
        <f t="shared" ref="E79:BO82" si="584">-1*W37</f>
        <v>-1.5</v>
      </c>
      <c r="X79" s="94">
        <f t="shared" si="584"/>
        <v>0</v>
      </c>
      <c r="Y79" s="94">
        <f t="shared" si="584"/>
        <v>0</v>
      </c>
      <c r="Z79" s="94">
        <f t="shared" si="584"/>
        <v>0</v>
      </c>
      <c r="AA79" s="94">
        <f t="shared" si="584"/>
        <v>0</v>
      </c>
      <c r="AB79" s="94">
        <f t="shared" si="584"/>
        <v>0</v>
      </c>
      <c r="AC79" s="94">
        <f t="shared" si="584"/>
        <v>0</v>
      </c>
      <c r="AD79" s="94">
        <f t="shared" si="584"/>
        <v>0</v>
      </c>
      <c r="AE79" s="94">
        <f t="shared" si="584"/>
        <v>0</v>
      </c>
      <c r="AF79" s="94">
        <f t="shared" si="584"/>
        <v>0</v>
      </c>
      <c r="AG79" s="94">
        <f t="shared" si="584"/>
        <v>0</v>
      </c>
      <c r="AH79" s="94">
        <f t="shared" si="584"/>
        <v>-1.5</v>
      </c>
      <c r="AI79" s="94">
        <f t="shared" si="584"/>
        <v>0</v>
      </c>
      <c r="AJ79" s="94">
        <f t="shared" si="584"/>
        <v>0</v>
      </c>
      <c r="AK79" s="94">
        <f t="shared" si="584"/>
        <v>0</v>
      </c>
      <c r="AL79" s="94">
        <f t="shared" si="584"/>
        <v>0</v>
      </c>
      <c r="AM79" s="94">
        <f t="shared" si="584"/>
        <v>0</v>
      </c>
      <c r="AN79" s="94">
        <f t="shared" ref="AN79:AP79" si="585">-1*AN37</f>
        <v>0</v>
      </c>
      <c r="AO79" s="94">
        <f t="shared" si="585"/>
        <v>0</v>
      </c>
      <c r="AP79" s="94">
        <f t="shared" si="585"/>
        <v>0</v>
      </c>
      <c r="AQ79" s="94">
        <f t="shared" ref="AQ79:AY79" si="586">-1*AQ37</f>
        <v>0</v>
      </c>
      <c r="AR79" s="94">
        <f t="shared" si="586"/>
        <v>0</v>
      </c>
      <c r="AS79" s="94">
        <f t="shared" si="586"/>
        <v>0</v>
      </c>
      <c r="AT79" s="94">
        <f t="shared" si="586"/>
        <v>-1.5</v>
      </c>
      <c r="AU79" s="94">
        <f t="shared" si="586"/>
        <v>0</v>
      </c>
      <c r="AV79" s="94">
        <f t="shared" si="586"/>
        <v>0</v>
      </c>
      <c r="AW79" s="94">
        <f t="shared" si="586"/>
        <v>0</v>
      </c>
      <c r="AX79" s="94">
        <f t="shared" si="586"/>
        <v>0</v>
      </c>
      <c r="AY79" s="94">
        <f t="shared" si="586"/>
        <v>0</v>
      </c>
      <c r="AZ79" s="94">
        <f t="shared" ref="AZ79:BN79" si="587">-1*AZ37</f>
        <v>0</v>
      </c>
      <c r="BA79" s="94">
        <f t="shared" si="587"/>
        <v>0</v>
      </c>
      <c r="BB79" s="94">
        <f t="shared" si="587"/>
        <v>-1.5</v>
      </c>
      <c r="BC79" s="94">
        <f t="shared" si="587"/>
        <v>0</v>
      </c>
      <c r="BD79" s="94">
        <f t="shared" si="587"/>
        <v>0</v>
      </c>
      <c r="BE79" s="94">
        <f t="shared" si="587"/>
        <v>0</v>
      </c>
      <c r="BF79" s="94">
        <f t="shared" si="587"/>
        <v>0</v>
      </c>
      <c r="BG79" s="94">
        <f t="shared" si="587"/>
        <v>0</v>
      </c>
      <c r="BH79" s="94">
        <f t="shared" si="587"/>
        <v>0</v>
      </c>
      <c r="BI79" s="94">
        <f t="shared" si="587"/>
        <v>0</v>
      </c>
      <c r="BJ79" s="94">
        <f t="shared" si="587"/>
        <v>0</v>
      </c>
      <c r="BK79" s="94">
        <f t="shared" si="587"/>
        <v>0</v>
      </c>
      <c r="BL79" s="94">
        <f t="shared" si="587"/>
        <v>0</v>
      </c>
      <c r="BM79" s="94">
        <f t="shared" si="587"/>
        <v>0</v>
      </c>
      <c r="BN79" s="94">
        <f t="shared" si="587"/>
        <v>0</v>
      </c>
      <c r="BO79" s="94">
        <f t="shared" si="584"/>
        <v>0</v>
      </c>
      <c r="BP79" s="71">
        <f t="shared" si="573"/>
        <v>-25.21</v>
      </c>
      <c r="BR79" s="159"/>
    </row>
    <row r="80" spans="1:70">
      <c r="A80" s="106" t="s">
        <v>125</v>
      </c>
      <c r="B80" s="106" t="s">
        <v>10</v>
      </c>
      <c r="C80" s="196">
        <f t="shared" si="569"/>
        <v>-4.6500000000000004</v>
      </c>
      <c r="D80" s="94">
        <f t="shared" si="570"/>
        <v>1.4500000000000002</v>
      </c>
      <c r="E80" s="94">
        <f t="shared" si="584"/>
        <v>2.2000000000000002</v>
      </c>
      <c r="F80" s="94">
        <f t="shared" si="584"/>
        <v>-3.5016139999999307E-3</v>
      </c>
      <c r="G80" s="94">
        <f t="shared" si="584"/>
        <v>-2.5073171189999996</v>
      </c>
      <c r="H80" s="94">
        <f t="shared" si="584"/>
        <v>-9.0665410000005942E-3</v>
      </c>
      <c r="I80" s="94">
        <f t="shared" si="584"/>
        <v>-9.2285889999996762E-3</v>
      </c>
      <c r="J80" s="94">
        <f t="shared" si="584"/>
        <v>0.99072487199999992</v>
      </c>
      <c r="K80" s="94">
        <f t="shared" si="584"/>
        <v>0.49289939100000035</v>
      </c>
      <c r="L80" s="94">
        <f t="shared" si="584"/>
        <v>-2.3032978399999999</v>
      </c>
      <c r="M80" s="94">
        <f t="shared" si="584"/>
        <v>0.99785091399999981</v>
      </c>
      <c r="N80" s="94">
        <f t="shared" si="584"/>
        <v>0.99987613600000014</v>
      </c>
      <c r="O80" s="94">
        <f t="shared" si="584"/>
        <v>-0.50650531100000018</v>
      </c>
      <c r="P80" s="94">
        <f t="shared" si="584"/>
        <v>0.50008737000000014</v>
      </c>
      <c r="Q80" s="94">
        <f t="shared" si="584"/>
        <v>1.0135084539999999</v>
      </c>
      <c r="R80" s="94">
        <f t="shared" si="584"/>
        <v>-3.891126000000078E-3</v>
      </c>
      <c r="S80" s="94">
        <f t="shared" si="584"/>
        <v>-3.7767859999999764E-3</v>
      </c>
      <c r="T80" s="94">
        <f t="shared" si="584"/>
        <v>1.3516055929999999</v>
      </c>
      <c r="U80" s="94">
        <f t="shared" si="584"/>
        <v>3.2195999999999995E-5</v>
      </c>
      <c r="V80" s="94">
        <f t="shared" si="584"/>
        <v>0</v>
      </c>
      <c r="W80" s="94">
        <f t="shared" si="584"/>
        <v>-4</v>
      </c>
      <c r="X80" s="94">
        <f t="shared" si="584"/>
        <v>1.5</v>
      </c>
      <c r="Y80" s="94">
        <f t="shared" si="584"/>
        <v>2.5</v>
      </c>
      <c r="Z80" s="94">
        <f t="shared" si="584"/>
        <v>0</v>
      </c>
      <c r="AA80" s="94">
        <f t="shared" si="584"/>
        <v>-1.5</v>
      </c>
      <c r="AB80" s="94">
        <f t="shared" si="584"/>
        <v>0</v>
      </c>
      <c r="AC80" s="94">
        <f t="shared" si="584"/>
        <v>0</v>
      </c>
      <c r="AD80" s="94">
        <f t="shared" si="584"/>
        <v>-1.5</v>
      </c>
      <c r="AE80" s="94">
        <f t="shared" si="584"/>
        <v>1</v>
      </c>
      <c r="AF80" s="94">
        <f t="shared" si="584"/>
        <v>1</v>
      </c>
      <c r="AG80" s="94">
        <f t="shared" si="584"/>
        <v>1</v>
      </c>
      <c r="AH80" s="94">
        <f t="shared" si="584"/>
        <v>-2</v>
      </c>
      <c r="AI80" s="94">
        <f t="shared" si="584"/>
        <v>2</v>
      </c>
      <c r="AJ80" s="94">
        <f t="shared" si="584"/>
        <v>0</v>
      </c>
      <c r="AK80" s="94">
        <f t="shared" si="584"/>
        <v>0</v>
      </c>
      <c r="AL80" s="94">
        <f t="shared" si="584"/>
        <v>0</v>
      </c>
      <c r="AM80" s="94">
        <f t="shared" si="584"/>
        <v>-2</v>
      </c>
      <c r="AN80" s="94">
        <f t="shared" ref="AN80:AP80" si="588">-1*AN38</f>
        <v>-2</v>
      </c>
      <c r="AO80" s="94">
        <f t="shared" si="588"/>
        <v>4</v>
      </c>
      <c r="AP80" s="94">
        <f t="shared" si="588"/>
        <v>-2.0134634460000003</v>
      </c>
      <c r="AQ80" s="94">
        <f t="shared" ref="AQ80:AY80" si="589">-1*AQ38</f>
        <v>-1.1239125999999544E-2</v>
      </c>
      <c r="AR80" s="94">
        <f t="shared" si="589"/>
        <v>2.0247025719999998</v>
      </c>
      <c r="AS80" s="94">
        <f t="shared" si="589"/>
        <v>0</v>
      </c>
      <c r="AT80" s="94">
        <f t="shared" si="589"/>
        <v>-3.0049730219999997</v>
      </c>
      <c r="AU80" s="94">
        <f t="shared" si="589"/>
        <v>-1.7150533000000134E-2</v>
      </c>
      <c r="AV80" s="94">
        <f t="shared" si="589"/>
        <v>-1.858749599999987E-2</v>
      </c>
      <c r="AW80" s="94">
        <f t="shared" si="589"/>
        <v>1.9984888949999997</v>
      </c>
      <c r="AX80" s="94">
        <f t="shared" si="589"/>
        <v>0.51753559599999999</v>
      </c>
      <c r="AY80" s="94">
        <f t="shared" si="589"/>
        <v>0.52468656000000002</v>
      </c>
      <c r="AZ80" s="94">
        <f t="shared" ref="AZ80:BN80" si="590">-1*AZ38</f>
        <v>0</v>
      </c>
      <c r="BA80" s="94">
        <f t="shared" si="590"/>
        <v>0</v>
      </c>
      <c r="BB80" s="94">
        <f t="shared" si="590"/>
        <v>-9</v>
      </c>
      <c r="BC80" s="94">
        <f t="shared" si="590"/>
        <v>2.99988557</v>
      </c>
      <c r="BD80" s="94">
        <f t="shared" si="590"/>
        <v>1.5888324100000002</v>
      </c>
      <c r="BE80" s="94">
        <f t="shared" si="590"/>
        <v>4.4112820199999998</v>
      </c>
      <c r="BF80" s="94">
        <f t="shared" si="590"/>
        <v>-3.9999532250000001</v>
      </c>
      <c r="BG80" s="94">
        <f t="shared" si="590"/>
        <v>3.9999532250000001</v>
      </c>
      <c r="BH80" s="94">
        <f t="shared" si="590"/>
        <v>0</v>
      </c>
      <c r="BI80" s="94">
        <f t="shared" si="590"/>
        <v>0</v>
      </c>
      <c r="BJ80" s="94">
        <f t="shared" si="590"/>
        <v>0</v>
      </c>
      <c r="BK80" s="94">
        <f t="shared" si="590"/>
        <v>0</v>
      </c>
      <c r="BL80" s="94">
        <f t="shared" si="590"/>
        <v>0</v>
      </c>
      <c r="BM80" s="94">
        <f t="shared" si="590"/>
        <v>0</v>
      </c>
      <c r="BN80" s="94">
        <f t="shared" si="590"/>
        <v>0</v>
      </c>
      <c r="BO80" s="94">
        <f t="shared" si="584"/>
        <v>0</v>
      </c>
      <c r="BP80" s="71">
        <f t="shared" si="573"/>
        <v>0</v>
      </c>
      <c r="BR80" s="159"/>
    </row>
    <row r="81" spans="1:70">
      <c r="A81" s="106" t="s">
        <v>126</v>
      </c>
      <c r="B81" s="106" t="s">
        <v>9</v>
      </c>
      <c r="C81" s="197">
        <f t="shared" si="569"/>
        <v>0</v>
      </c>
      <c r="D81" s="94">
        <f t="shared" si="570"/>
        <v>0</v>
      </c>
      <c r="E81" s="94">
        <f t="shared" si="584"/>
        <v>0</v>
      </c>
      <c r="F81" s="94">
        <f t="shared" si="584"/>
        <v>0</v>
      </c>
      <c r="G81" s="94">
        <f t="shared" si="584"/>
        <v>0</v>
      </c>
      <c r="H81" s="94">
        <f t="shared" si="584"/>
        <v>0</v>
      </c>
      <c r="I81" s="94">
        <f t="shared" si="584"/>
        <v>0</v>
      </c>
      <c r="J81" s="94">
        <f t="shared" si="584"/>
        <v>0</v>
      </c>
      <c r="K81" s="94">
        <f t="shared" si="584"/>
        <v>-0.10485</v>
      </c>
      <c r="L81" s="94">
        <f t="shared" si="584"/>
        <v>-0.43515000000000004</v>
      </c>
      <c r="M81" s="94">
        <f t="shared" si="584"/>
        <v>0</v>
      </c>
      <c r="N81" s="94">
        <f t="shared" si="584"/>
        <v>0.73</v>
      </c>
      <c r="O81" s="94">
        <f t="shared" si="584"/>
        <v>0</v>
      </c>
      <c r="P81" s="94">
        <f t="shared" si="584"/>
        <v>0</v>
      </c>
      <c r="Q81" s="94">
        <f t="shared" si="584"/>
        <v>0</v>
      </c>
      <c r="R81" s="94">
        <f t="shared" si="584"/>
        <v>0</v>
      </c>
      <c r="S81" s="94">
        <f t="shared" si="584"/>
        <v>0</v>
      </c>
      <c r="T81" s="94">
        <f t="shared" si="584"/>
        <v>0</v>
      </c>
      <c r="U81" s="94">
        <f t="shared" si="584"/>
        <v>0</v>
      </c>
      <c r="V81" s="94">
        <f t="shared" si="584"/>
        <v>0</v>
      </c>
      <c r="W81" s="94">
        <f t="shared" si="584"/>
        <v>0</v>
      </c>
      <c r="X81" s="94">
        <f t="shared" si="584"/>
        <v>0</v>
      </c>
      <c r="Y81" s="94">
        <f t="shared" si="584"/>
        <v>0</v>
      </c>
      <c r="Z81" s="94">
        <f t="shared" si="584"/>
        <v>0</v>
      </c>
      <c r="AA81" s="94">
        <f t="shared" si="584"/>
        <v>0</v>
      </c>
      <c r="AB81" s="94">
        <f t="shared" si="584"/>
        <v>0</v>
      </c>
      <c r="AC81" s="94">
        <f t="shared" si="584"/>
        <v>0</v>
      </c>
      <c r="AD81" s="94">
        <f t="shared" si="584"/>
        <v>0</v>
      </c>
      <c r="AE81" s="94">
        <f t="shared" si="584"/>
        <v>0</v>
      </c>
      <c r="AF81" s="94">
        <f t="shared" si="584"/>
        <v>0</v>
      </c>
      <c r="AG81" s="94">
        <f t="shared" si="584"/>
        <v>0</v>
      </c>
      <c r="AH81" s="94">
        <f t="shared" si="584"/>
        <v>0</v>
      </c>
      <c r="AI81" s="94">
        <f t="shared" si="584"/>
        <v>0</v>
      </c>
      <c r="AJ81" s="94">
        <f t="shared" si="584"/>
        <v>0</v>
      </c>
      <c r="AK81" s="94">
        <f t="shared" si="584"/>
        <v>0</v>
      </c>
      <c r="AL81" s="94">
        <f t="shared" si="584"/>
        <v>0</v>
      </c>
      <c r="AM81" s="94">
        <f t="shared" si="584"/>
        <v>0</v>
      </c>
      <c r="AN81" s="94">
        <f t="shared" ref="AN81:AP81" si="591">-1*AN39</f>
        <v>0</v>
      </c>
      <c r="AO81" s="94">
        <f t="shared" si="591"/>
        <v>0</v>
      </c>
      <c r="AP81" s="94">
        <f t="shared" si="591"/>
        <v>0</v>
      </c>
      <c r="AQ81" s="94">
        <f t="shared" ref="AQ81:AY81" si="592">-1*AQ39</f>
        <v>0</v>
      </c>
      <c r="AR81" s="94">
        <f t="shared" si="592"/>
        <v>0</v>
      </c>
      <c r="AS81" s="94">
        <f t="shared" si="592"/>
        <v>0</v>
      </c>
      <c r="AT81" s="94">
        <f t="shared" si="592"/>
        <v>0</v>
      </c>
      <c r="AU81" s="94">
        <f t="shared" si="592"/>
        <v>0</v>
      </c>
      <c r="AV81" s="94">
        <f t="shared" si="592"/>
        <v>0</v>
      </c>
      <c r="AW81" s="94">
        <f t="shared" si="592"/>
        <v>0</v>
      </c>
      <c r="AX81" s="94">
        <f t="shared" si="592"/>
        <v>0</v>
      </c>
      <c r="AY81" s="94">
        <f t="shared" si="592"/>
        <v>0</v>
      </c>
      <c r="AZ81" s="94">
        <f t="shared" ref="AZ81:BN81" si="593">-1*AZ39</f>
        <v>0</v>
      </c>
      <c r="BA81" s="94">
        <f t="shared" si="593"/>
        <v>0</v>
      </c>
      <c r="BB81" s="94">
        <f t="shared" si="593"/>
        <v>0</v>
      </c>
      <c r="BC81" s="94">
        <f t="shared" si="593"/>
        <v>0</v>
      </c>
      <c r="BD81" s="94">
        <f t="shared" si="593"/>
        <v>0</v>
      </c>
      <c r="BE81" s="94">
        <f t="shared" si="593"/>
        <v>0</v>
      </c>
      <c r="BF81" s="94">
        <f t="shared" si="593"/>
        <v>0</v>
      </c>
      <c r="BG81" s="94">
        <f t="shared" si="593"/>
        <v>0</v>
      </c>
      <c r="BH81" s="94">
        <f t="shared" si="593"/>
        <v>0</v>
      </c>
      <c r="BI81" s="94">
        <f t="shared" si="593"/>
        <v>0</v>
      </c>
      <c r="BJ81" s="94">
        <f t="shared" si="593"/>
        <v>0</v>
      </c>
      <c r="BK81" s="94">
        <f t="shared" si="593"/>
        <v>0</v>
      </c>
      <c r="BL81" s="94">
        <f t="shared" si="593"/>
        <v>0</v>
      </c>
      <c r="BM81" s="94">
        <f t="shared" si="593"/>
        <v>0</v>
      </c>
      <c r="BN81" s="94">
        <f t="shared" si="593"/>
        <v>0</v>
      </c>
      <c r="BO81" s="94">
        <f t="shared" si="584"/>
        <v>0</v>
      </c>
      <c r="BP81" s="71">
        <f t="shared" si="573"/>
        <v>0.18999999999999995</v>
      </c>
      <c r="BR81" s="159"/>
    </row>
    <row r="82" spans="1:70">
      <c r="A82" s="106" t="s">
        <v>127</v>
      </c>
      <c r="B82" s="106" t="s">
        <v>7</v>
      </c>
      <c r="C82" s="197">
        <f t="shared" si="569"/>
        <v>-0.31</v>
      </c>
      <c r="D82" s="94">
        <f t="shared" si="570"/>
        <v>0</v>
      </c>
      <c r="E82" s="94">
        <f t="shared" si="584"/>
        <v>0</v>
      </c>
      <c r="F82" s="94">
        <f t="shared" si="584"/>
        <v>0</v>
      </c>
      <c r="G82" s="94">
        <f t="shared" si="584"/>
        <v>0</v>
      </c>
      <c r="H82" s="94">
        <f t="shared" si="584"/>
        <v>0</v>
      </c>
      <c r="I82" s="94">
        <f t="shared" si="584"/>
        <v>0</v>
      </c>
      <c r="J82" s="94">
        <f t="shared" si="584"/>
        <v>0</v>
      </c>
      <c r="K82" s="94">
        <f t="shared" si="584"/>
        <v>0</v>
      </c>
      <c r="L82" s="94">
        <f t="shared" si="584"/>
        <v>0</v>
      </c>
      <c r="M82" s="94">
        <f t="shared" si="584"/>
        <v>0</v>
      </c>
      <c r="N82" s="94">
        <f t="shared" si="584"/>
        <v>0</v>
      </c>
      <c r="O82" s="94">
        <f t="shared" si="584"/>
        <v>0</v>
      </c>
      <c r="P82" s="94">
        <f t="shared" si="584"/>
        <v>0</v>
      </c>
      <c r="Q82" s="94">
        <f t="shared" si="584"/>
        <v>0</v>
      </c>
      <c r="R82" s="94">
        <f t="shared" si="584"/>
        <v>0</v>
      </c>
      <c r="S82" s="94">
        <f t="shared" si="584"/>
        <v>0</v>
      </c>
      <c r="T82" s="94">
        <f t="shared" si="584"/>
        <v>0</v>
      </c>
      <c r="U82" s="94">
        <f t="shared" si="584"/>
        <v>0</v>
      </c>
      <c r="V82" s="94">
        <f t="shared" si="584"/>
        <v>-2.3004000000000024E-2</v>
      </c>
      <c r="W82" s="94">
        <f t="shared" si="584"/>
        <v>-1.4599999999997948E-4</v>
      </c>
      <c r="X82" s="94">
        <f t="shared" si="584"/>
        <v>3.7559999999999816E-3</v>
      </c>
      <c r="Y82" s="94">
        <f t="shared" si="584"/>
        <v>-6.1079999999999468E-3</v>
      </c>
      <c r="Z82" s="94">
        <f t="shared" si="584"/>
        <v>1.8311999999999939E-2</v>
      </c>
      <c r="AA82" s="94">
        <f t="shared" si="584"/>
        <v>0</v>
      </c>
      <c r="AB82" s="94">
        <f t="shared" si="584"/>
        <v>0</v>
      </c>
      <c r="AC82" s="94">
        <f t="shared" si="584"/>
        <v>0</v>
      </c>
      <c r="AD82" s="94">
        <f t="shared" si="584"/>
        <v>0</v>
      </c>
      <c r="AE82" s="94">
        <f t="shared" si="584"/>
        <v>0</v>
      </c>
      <c r="AF82" s="94">
        <f t="shared" si="584"/>
        <v>0</v>
      </c>
      <c r="AG82" s="94">
        <f t="shared" si="584"/>
        <v>0</v>
      </c>
      <c r="AH82" s="94">
        <f t="shared" si="584"/>
        <v>0</v>
      </c>
      <c r="AI82" s="94">
        <f t="shared" si="584"/>
        <v>0</v>
      </c>
      <c r="AJ82" s="94">
        <f t="shared" si="584"/>
        <v>0</v>
      </c>
      <c r="AK82" s="94">
        <f t="shared" si="584"/>
        <v>0</v>
      </c>
      <c r="AL82" s="94">
        <f t="shared" si="584"/>
        <v>0</v>
      </c>
      <c r="AM82" s="94">
        <f t="shared" si="584"/>
        <v>0</v>
      </c>
      <c r="AN82" s="94">
        <f t="shared" ref="AN82:AP82" si="594">-1*AN40</f>
        <v>0</v>
      </c>
      <c r="AO82" s="94">
        <f t="shared" si="594"/>
        <v>0</v>
      </c>
      <c r="AP82" s="94">
        <f t="shared" si="594"/>
        <v>0</v>
      </c>
      <c r="AQ82" s="94">
        <f t="shared" ref="AQ82:AY82" si="595">-1*AQ40</f>
        <v>0</v>
      </c>
      <c r="AR82" s="94">
        <f t="shared" si="595"/>
        <v>0</v>
      </c>
      <c r="AS82" s="94">
        <f t="shared" si="595"/>
        <v>0</v>
      </c>
      <c r="AT82" s="94">
        <f t="shared" si="595"/>
        <v>0</v>
      </c>
      <c r="AU82" s="94">
        <f t="shared" si="595"/>
        <v>0</v>
      </c>
      <c r="AV82" s="94">
        <f t="shared" si="595"/>
        <v>0</v>
      </c>
      <c r="AW82" s="94">
        <f t="shared" si="595"/>
        <v>0</v>
      </c>
      <c r="AX82" s="94">
        <f t="shared" si="595"/>
        <v>0</v>
      </c>
      <c r="AY82" s="94">
        <f t="shared" si="595"/>
        <v>0</v>
      </c>
      <c r="AZ82" s="94">
        <f t="shared" ref="AZ82:BN82" si="596">-1*AZ40</f>
        <v>0</v>
      </c>
      <c r="BA82" s="94">
        <f t="shared" si="596"/>
        <v>0</v>
      </c>
      <c r="BB82" s="94">
        <f t="shared" si="596"/>
        <v>0</v>
      </c>
      <c r="BC82" s="94">
        <f t="shared" si="596"/>
        <v>0</v>
      </c>
      <c r="BD82" s="94">
        <f t="shared" si="596"/>
        <v>0</v>
      </c>
      <c r="BE82" s="94">
        <f t="shared" si="596"/>
        <v>0</v>
      </c>
      <c r="BF82" s="94">
        <f t="shared" si="596"/>
        <v>0</v>
      </c>
      <c r="BG82" s="94">
        <f t="shared" si="596"/>
        <v>0</v>
      </c>
      <c r="BH82" s="94">
        <f t="shared" si="596"/>
        <v>0</v>
      </c>
      <c r="BI82" s="94">
        <f t="shared" si="596"/>
        <v>0</v>
      </c>
      <c r="BJ82" s="94">
        <f t="shared" si="596"/>
        <v>0</v>
      </c>
      <c r="BK82" s="94">
        <f t="shared" si="596"/>
        <v>0</v>
      </c>
      <c r="BL82" s="94">
        <f t="shared" si="596"/>
        <v>0</v>
      </c>
      <c r="BM82" s="94">
        <f t="shared" si="596"/>
        <v>0</v>
      </c>
      <c r="BN82" s="94">
        <f t="shared" si="596"/>
        <v>0</v>
      </c>
      <c r="BO82" s="94">
        <f t="shared" si="584"/>
        <v>0</v>
      </c>
      <c r="BP82" s="71">
        <f t="shared" si="573"/>
        <v>-0.31719000000000003</v>
      </c>
      <c r="BR82" s="159"/>
    </row>
    <row r="83" spans="1:70">
      <c r="A83" s="98" t="s">
        <v>131</v>
      </c>
      <c r="B83" s="98"/>
      <c r="C83" s="84">
        <f>SUM(C72:C82)</f>
        <v>-84.10059478118302</v>
      </c>
      <c r="D83" s="84">
        <f>SUM(D72:D82)</f>
        <v>-0.87387083299999668</v>
      </c>
      <c r="E83" s="84">
        <f t="shared" ref="E83:BO83" si="597">SUM(E72:E82)</f>
        <v>1.3199999999999996</v>
      </c>
      <c r="F83" s="84">
        <f t="shared" si="597"/>
        <v>-2.2035016140000003</v>
      </c>
      <c r="G83" s="84">
        <f t="shared" si="597"/>
        <v>-1.0073171190000003</v>
      </c>
      <c r="H83" s="84">
        <f t="shared" si="597"/>
        <v>-2.142066541000001</v>
      </c>
      <c r="I83" s="84">
        <f t="shared" si="597"/>
        <v>-2.6721885889999997</v>
      </c>
      <c r="J83" s="84">
        <f t="shared" si="597"/>
        <v>-0.84223512800000222</v>
      </c>
      <c r="K83" s="84">
        <f t="shared" si="597"/>
        <v>-2.2449106090000015</v>
      </c>
      <c r="L83" s="84">
        <f t="shared" si="597"/>
        <v>-6.8118073999999948</v>
      </c>
      <c r="M83" s="84">
        <f t="shared" si="597"/>
        <v>-1.315373637000012</v>
      </c>
      <c r="N83" s="84">
        <f t="shared" si="597"/>
        <v>-1.2660819899999982</v>
      </c>
      <c r="O83" s="84">
        <f t="shared" si="597"/>
        <v>-2.8686472979999871</v>
      </c>
      <c r="P83" s="84">
        <f t="shared" si="597"/>
        <v>-2.1644424389999992</v>
      </c>
      <c r="Q83" s="84">
        <f t="shared" si="597"/>
        <v>-0.53741635500000573</v>
      </c>
      <c r="R83" s="84">
        <f t="shared" si="597"/>
        <v>-2.0755573879999831</v>
      </c>
      <c r="S83" s="84">
        <f t="shared" si="597"/>
        <v>-1.5719273419999962</v>
      </c>
      <c r="T83" s="84">
        <f t="shared" si="597"/>
        <v>0.67979210999999407</v>
      </c>
      <c r="U83" s="84">
        <f t="shared" si="597"/>
        <v>-0.58736900000000158</v>
      </c>
      <c r="V83" s="84">
        <f t="shared" si="597"/>
        <v>-1.1400828479999991</v>
      </c>
      <c r="W83" s="84">
        <f t="shared" si="597"/>
        <v>-7.2698360260000001</v>
      </c>
      <c r="X83" s="84">
        <f t="shared" si="597"/>
        <v>-1.5671272799999811</v>
      </c>
      <c r="Y83" s="84">
        <f t="shared" si="597"/>
        <v>-0.9498857810000374</v>
      </c>
      <c r="Z83" s="84">
        <f t="shared" si="597"/>
        <v>-3.7871657810000401</v>
      </c>
      <c r="AA83" s="84">
        <f t="shared" si="597"/>
        <v>-2.9045966871030027</v>
      </c>
      <c r="AB83" s="84">
        <f t="shared" si="597"/>
        <v>-3.3667444409999905</v>
      </c>
      <c r="AC83" s="84">
        <f t="shared" si="597"/>
        <v>-3.3667444409999905</v>
      </c>
      <c r="AD83" s="84">
        <f t="shared" si="597"/>
        <v>-2.877112932000002</v>
      </c>
      <c r="AE83" s="84">
        <f t="shared" si="597"/>
        <v>-1.9289180889999962</v>
      </c>
      <c r="AF83" s="84">
        <f t="shared" si="597"/>
        <v>0.22039600900000389</v>
      </c>
      <c r="AG83" s="84">
        <f t="shared" si="597"/>
        <v>-2.1868198160000056</v>
      </c>
      <c r="AH83" s="84">
        <f t="shared" si="597"/>
        <v>-9.0733296129999914</v>
      </c>
      <c r="AI83" s="84">
        <f t="shared" si="597"/>
        <v>-0.41842487100000492</v>
      </c>
      <c r="AJ83" s="84">
        <f t="shared" si="597"/>
        <v>-1.6184500559999981</v>
      </c>
      <c r="AK83" s="84">
        <f t="shared" si="597"/>
        <v>-1.3544633179999954</v>
      </c>
      <c r="AL83" s="84">
        <f t="shared" si="597"/>
        <v>-1.1354380750000077</v>
      </c>
      <c r="AM83" s="84">
        <f t="shared" si="597"/>
        <v>-2.9636252649999988</v>
      </c>
      <c r="AN83" s="84">
        <f t="shared" ref="AN83:AP83" si="598">SUM(AN72:AN82)</f>
        <v>-4.8534567140000053</v>
      </c>
      <c r="AO83" s="84">
        <f t="shared" si="598"/>
        <v>1.2920315949999939</v>
      </c>
      <c r="AP83" s="84">
        <f t="shared" si="598"/>
        <v>-5.707833010000007</v>
      </c>
      <c r="AQ83" s="84">
        <f t="shared" ref="AQ83:AY83" si="599">SUM(AQ72:AQ82)</f>
        <v>-2.3873803450000026</v>
      </c>
      <c r="AR83" s="84">
        <f t="shared" si="599"/>
        <v>-0.38244406199999936</v>
      </c>
      <c r="AS83" s="84">
        <f t="shared" si="599"/>
        <v>-2.750390052999983</v>
      </c>
      <c r="AT83" s="84">
        <f t="shared" si="599"/>
        <v>-7.3916483679999949</v>
      </c>
      <c r="AU83" s="84">
        <f t="shared" si="599"/>
        <v>-3.1006464860000071</v>
      </c>
      <c r="AV83" s="84">
        <f t="shared" si="599"/>
        <v>-3.7692391839999968</v>
      </c>
      <c r="AW83" s="84">
        <f t="shared" si="599"/>
        <v>-0.39121628799999031</v>
      </c>
      <c r="AX83" s="84">
        <f t="shared" si="599"/>
        <v>-1.8375799179999892</v>
      </c>
      <c r="AY83" s="84">
        <f t="shared" si="599"/>
        <v>-4.226619278000034</v>
      </c>
      <c r="AZ83" s="84">
        <f t="shared" ref="AZ83:BN83" si="600">SUM(AZ72:AZ82)</f>
        <v>0.29240220395601457</v>
      </c>
      <c r="BA83" s="84">
        <f t="shared" si="600"/>
        <v>-3.3244546159560038</v>
      </c>
      <c r="BB83" s="84">
        <f t="shared" si="600"/>
        <v>-5.4206839309999939</v>
      </c>
      <c r="BC83" s="84">
        <f t="shared" si="600"/>
        <v>-0.5340792439999924</v>
      </c>
      <c r="BD83" s="84">
        <f t="shared" si="600"/>
        <v>-1.5172127230000116</v>
      </c>
      <c r="BE83" s="84">
        <f t="shared" si="600"/>
        <v>1.2231808450000137</v>
      </c>
      <c r="BF83" s="84">
        <f t="shared" si="600"/>
        <v>-6.2846957370000185</v>
      </c>
      <c r="BG83" s="84">
        <f t="shared" si="600"/>
        <v>2.8938203070000217</v>
      </c>
      <c r="BH83" s="84">
        <f t="shared" si="600"/>
        <v>-0.24651346300000698</v>
      </c>
      <c r="BI83" s="84">
        <f t="shared" si="600"/>
        <v>-3.3750741439999818</v>
      </c>
      <c r="BJ83" s="84">
        <f t="shared" si="600"/>
        <v>-1.5106211729999997</v>
      </c>
      <c r="BK83" s="84">
        <f t="shared" si="600"/>
        <v>-1.8249935019999921</v>
      </c>
      <c r="BL83" s="84">
        <f t="shared" si="600"/>
        <v>-0.80612127500001263</v>
      </c>
      <c r="BM83" s="84">
        <f t="shared" si="600"/>
        <v>-1.2757496249999889</v>
      </c>
      <c r="BN83" s="84">
        <f t="shared" si="600"/>
        <v>-1.924986637999992</v>
      </c>
      <c r="BO83" s="84">
        <f t="shared" si="597"/>
        <v>-0.52506121799999761</v>
      </c>
      <c r="BP83" s="71">
        <f>SUM(BP72:BP82)</f>
        <v>-220.64115130828603</v>
      </c>
      <c r="BR83" s="159"/>
    </row>
    <row r="84" spans="1:70">
      <c r="A84" s="99"/>
      <c r="B84" s="99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83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195"/>
      <c r="AY84" s="195"/>
      <c r="AZ84" s="195"/>
      <c r="BA84" s="195"/>
      <c r="BB84" s="195"/>
      <c r="BC84" s="195"/>
      <c r="BD84" s="195"/>
      <c r="BE84" s="195"/>
      <c r="BF84" s="195"/>
      <c r="BG84" s="195"/>
      <c r="BH84" s="195"/>
      <c r="BI84" s="195"/>
      <c r="BJ84" s="195"/>
      <c r="BK84" s="195"/>
      <c r="BL84" s="195"/>
      <c r="BM84" s="195"/>
      <c r="BN84" s="195"/>
      <c r="BO84" s="195"/>
      <c r="BP84" s="71"/>
      <c r="BR84" s="159"/>
    </row>
    <row r="85" spans="1:70">
      <c r="A85" s="203" t="s">
        <v>133</v>
      </c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3"/>
      <c r="BJ85" s="203"/>
      <c r="BK85" s="203"/>
      <c r="BL85" s="203"/>
      <c r="BM85" s="203"/>
      <c r="BN85" s="203"/>
      <c r="BO85" s="203"/>
      <c r="BP85" s="71"/>
      <c r="BR85" s="159"/>
    </row>
    <row r="86" spans="1:70">
      <c r="A86" s="106" t="s">
        <v>117</v>
      </c>
      <c r="B86" s="106" t="s">
        <v>6</v>
      </c>
      <c r="C86" s="93"/>
      <c r="D86" s="198" cm="1">
        <f t="array" ref="D86">XIRR(INDEX(IF(COLUMN($C72:D72)&lt;COLUMN(D72),$C72:C72,D4),),$C$1:D$1)</f>
        <v>0.93549093008041395</v>
      </c>
      <c r="E86" s="198" cm="1">
        <f t="array" ref="E86">XIRR(INDEX(IF(COLUMN($C72:E72)&lt;COLUMN(E72),$C72:D72,E4),),$C$1:E$1)</f>
        <v>0.14262483716011048</v>
      </c>
      <c r="F86" s="198" cm="1">
        <f t="array" ref="F86">XIRR(INDEX(IF(COLUMN($C72:F72)&lt;COLUMN(F72),$C72:E72,F4),),$C$1:F$1)</f>
        <v>0.46098863482475283</v>
      </c>
      <c r="G86" s="198" cm="1">
        <f t="array" ref="G86">XIRR(INDEX(IF(COLUMN($C72:G72)&lt;COLUMN(G72),$C72:F72,G4),),$C$1:G$1)</f>
        <v>0.38541067242622373</v>
      </c>
      <c r="H86" s="198" cm="1">
        <f t="array" ref="H86">XIRR(INDEX(IF(COLUMN($C72:H72)&lt;COLUMN(H72),$C72:G72,H4),),$C$1:H$1)</f>
        <v>0.53693334460258502</v>
      </c>
      <c r="I86" s="198" cm="1">
        <f t="array" ref="I86">XIRR(INDEX(IF(COLUMN($C72:I72)&lt;COLUMN(I72),$C72:H72,I4),),$C$1:I$1)</f>
        <v>0.54510665535926817</v>
      </c>
      <c r="J86" s="198" cm="1">
        <f t="array" ref="J86">XIRR(INDEX(IF(COLUMN($C72:J72)&lt;COLUMN(J72),$C72:I72,J4),),$C$1:J$1)</f>
        <v>0.4796500384807586</v>
      </c>
      <c r="K86" s="198" cm="1">
        <f t="array" ref="K86">XIRR(INDEX(IF(COLUMN($C72:K72)&lt;COLUMN(K72),$C72:J72,K4),),$C$1:K$1)</f>
        <v>0.50848430991172788</v>
      </c>
      <c r="L86" s="198" cm="1">
        <f t="array" ref="L86">XIRR(INDEX(IF(COLUMN($C72:L72)&lt;COLUMN(L72),$C72:K72,L4),),$C$1:L$1)</f>
        <v>0.50018666386604305</v>
      </c>
      <c r="M86" s="198" cm="1">
        <f t="array" ref="M86">XIRR(INDEX(IF(COLUMN($C72:M72)&lt;COLUMN(M72),$C72:L72,M4),),$C$1:M$1)</f>
        <v>0.43281936049461367</v>
      </c>
      <c r="N86" s="198" cm="1">
        <f t="array" ref="N86">XIRR(INDEX(IF(COLUMN($C72:N72)&lt;COLUMN(N72),$C72:M72,N4),),$C$1:N$1)</f>
        <v>0.35087812542915353</v>
      </c>
      <c r="O86" s="198" cm="1">
        <f t="array" ref="O86">XIRR(INDEX(IF(COLUMN($C72:O72)&lt;COLUMN(O72),$C72:N72,O4),),$C$1:O$1)</f>
        <v>0.29893568158149719</v>
      </c>
      <c r="P86" s="198" cm="1">
        <f t="array" ref="P86">XIRR(INDEX(IF(COLUMN($C72:P72)&lt;COLUMN(P72),$C72:O72,P4),),$C$1:P$1)</f>
        <v>0.28994063735008235</v>
      </c>
      <c r="Q86" s="198" cm="1">
        <f t="array" ref="Q86">XIRR(INDEX(IF(COLUMN($C72:Q72)&lt;COLUMN(Q72),$C72:P72,Q4),),$C$1:Q$1)</f>
        <v>0.11151949763298036</v>
      </c>
      <c r="R86" s="198" cm="1">
        <f t="array" ref="R86">XIRR(INDEX(IF(COLUMN($C72:R72)&lt;COLUMN(R72),$C72:Q72,R4),),$C$1:R$1)</f>
        <v>0.18971520066261291</v>
      </c>
      <c r="S86" s="198" cm="1">
        <f t="array" ref="S86">XIRR(INDEX(IF(COLUMN($C72:S72)&lt;COLUMN(S72),$C72:R72,S4),),$C$1:S$1)</f>
        <v>0.16256261467933661</v>
      </c>
      <c r="T86" s="198" cm="1">
        <f t="array" ref="T86">XIRR(INDEX(IF(COLUMN($C72:T72)&lt;COLUMN(T72),$C72:S72,T4),),$C$1:T$1)</f>
        <v>8.8066163659095767E-2</v>
      </c>
      <c r="U86" s="198" cm="1">
        <f t="array" ref="U86">XIRR(INDEX(IF(COLUMN($C72:U72)&lt;COLUMN(U72),$C72:T72,U4),),$C$1:U$1)</f>
        <v>4.2321786284446716E-2</v>
      </c>
      <c r="V86" s="198" cm="1">
        <f t="array" ref="V86">XIRR(INDEX(IF(COLUMN($C72:V72)&lt;COLUMN(V72),$C72:U72,V4),),$C$1:V$1)</f>
        <v>0.13470609784126289</v>
      </c>
      <c r="W86" s="198" cm="1">
        <f t="array" ref="W86">XIRR(INDEX(IF(COLUMN($C72:W72)&lt;COLUMN(W72),$C72:V72,W4),),$C$1:W$1)</f>
        <v>0.15363282561302188</v>
      </c>
      <c r="X86" s="198" cm="1">
        <f t="array" ref="X86">XIRR(INDEX(IF(COLUMN($C72:X72)&lt;COLUMN(X72),$C72:W72,X4),),$C$1:X$1)</f>
        <v>0.13120320439338687</v>
      </c>
      <c r="Y86" s="198" cm="1">
        <f t="array" ref="Y86">XIRR(INDEX(IF(COLUMN($C72:Y72)&lt;COLUMN(Y72),$C72:X72,Y4),),$C$1:Y$1)</f>
        <v>0.15084596276283266</v>
      </c>
      <c r="Z86" s="198" cm="1">
        <f t="array" ref="Z86">XIRR(INDEX(IF(COLUMN($C72:Z72)&lt;COLUMN(Z72),$C72:Y72,Z4),),$C$1:Z$1)</f>
        <v>0.14297394156455992</v>
      </c>
      <c r="AA86" s="198" cm="1">
        <f t="array" ref="AA86">XIRR(INDEX(IF(COLUMN($C72:AA72)&lt;COLUMN(AA72),$C72:Z72,AA4),),$C$1:AA$1)</f>
        <v>0.11349753737449644</v>
      </c>
      <c r="AB86" s="198" cm="1">
        <f t="array" ref="AB86">XIRR(INDEX(IF(COLUMN($C72:AB72)&lt;COLUMN(AB72),$C72:AA72,AB4),),$C$1:AB$1)</f>
        <v>0.10327822566032413</v>
      </c>
      <c r="AC86" s="198" cm="1">
        <f t="array" ref="AC86">XIRR(INDEX(IF(COLUMN($C72:AC72)&lt;COLUMN(AC72),$C72:AB72,AC4),),$C$1:AC$1)</f>
        <v>9.6548289060592651E-2</v>
      </c>
      <c r="AD86" s="198" cm="1">
        <f t="array" ref="AD86">XIRR(INDEX(IF(COLUMN($C72:AD72)&lt;COLUMN(AD72),$C72:AC72,AD4),),$C$1:AD$1)</f>
        <v>8.3071455359458937E-2</v>
      </c>
      <c r="AE86" s="198" cm="1">
        <f t="array" ref="AE86">XIRR(INDEX(IF(COLUMN($C72:AE72)&lt;COLUMN(AE72),$C72:AD72,AE4),),$C$1:AE$1)</f>
        <v>0.11335520148277281</v>
      </c>
      <c r="AF86" s="198" cm="1">
        <f t="array" ref="AF86">XIRR(INDEX(IF(COLUMN($C72:AF72)&lt;COLUMN(AF72),$C72:AE72,AF4),),$C$1:AF$1)</f>
        <v>0.11289319396018979</v>
      </c>
      <c r="AG86" s="198" cm="1">
        <f t="array" ref="AG86">XIRR(INDEX(IF(COLUMN($C72:AG72)&lt;COLUMN(AG72),$C72:AF72,AG4),),$C$1:AG$1)</f>
        <v>0.15727954506874084</v>
      </c>
      <c r="AH86" s="198" cm="1">
        <f t="array" ref="AH86">XIRR(INDEX(IF(COLUMN($C72:AH72)&lt;COLUMN(AH72),$C72:AG72,AH4),),$C$1:AH$1)</f>
        <v>0.17505158782005312</v>
      </c>
      <c r="AI86" s="198" cm="1">
        <f t="array" ref="AI86">XIRR(INDEX(IF(COLUMN($C72:AI72)&lt;COLUMN(AI72),$C72:AH72,AI4),),$C$1:AI$1)</f>
        <v>0.16800591349601746</v>
      </c>
      <c r="AJ86" s="198" cm="1">
        <f t="array" ref="AJ86">XIRR(INDEX(IF(COLUMN($C72:AJ72)&lt;COLUMN(AJ72),$C72:AI72,AJ4),),$C$1:AJ$1)</f>
        <v>0.17392819523811345</v>
      </c>
      <c r="AK86" s="198" cm="1">
        <f t="array" ref="AK86">XIRR(INDEX(IF(COLUMN($C72:AK72)&lt;COLUMN(AK72),$C72:AJ72,AK4),),$C$1:AK$1)</f>
        <v>0.16204364895820622</v>
      </c>
      <c r="AL86" s="198" cm="1">
        <f t="array" ref="AL86">XIRR(INDEX(IF(COLUMN($C72:AL72)&lt;COLUMN(AL72),$C72:AK72,AL4),),$C$1:AL$1)</f>
        <v>0.19572830796241761</v>
      </c>
      <c r="AM86" s="198" cm="1">
        <f t="array" ref="AM86">XIRR(INDEX(IF(COLUMN($C72:AM72)&lt;COLUMN(AM72),$C72:AL72,AM4),),$C$1:AM$1)</f>
        <v>0.21159245371818544</v>
      </c>
      <c r="AN86" s="198" cm="1">
        <f t="array" ref="AN86">XIRR(INDEX(IF(COLUMN($C72:AN72)&lt;COLUMN(AN72),$C72:AM72,AN4),),$C$1:AN$1)</f>
        <v>0.21672171950340272</v>
      </c>
      <c r="AO86" s="198" cm="1">
        <f t="array" ref="AO86">XIRR(INDEX(IF(COLUMN($C72:AO72)&lt;COLUMN(AO72),$C72:AN72,AO4),),$C$1:AO$1)</f>
        <v>0.22943914532661439</v>
      </c>
      <c r="AP86" s="198" cm="1">
        <f t="array" ref="AP86">XIRR(INDEX(IF(COLUMN($C72:AP72)&lt;COLUMN(AP72),$C72:AO72,AP4),),$C$1:AP$1)</f>
        <v>0.22803029417991638</v>
      </c>
      <c r="AQ86" s="198" cm="1">
        <f t="array" ref="AQ86">XIRR(INDEX(IF(COLUMN($C72:AQ72)&lt;COLUMN(AQ72),$C72:AP72,AQ4),),$C$1:AQ$1)</f>
        <v>0.21855226159095761</v>
      </c>
      <c r="AR86" s="198" cm="1">
        <f t="array" ref="AR86">XIRR(INDEX(IF(COLUMN($C72:AR72)&lt;COLUMN(AR72),$C72:AQ72,AR4),),$C$1:AR$1)</f>
        <v>0.2118924796581268</v>
      </c>
      <c r="AS86" s="198" cm="1">
        <f t="array" ref="AS86">XIRR(INDEX(IF(COLUMN($C72:AS72)&lt;COLUMN(AS72),$C72:AR72,AS4),),$C$1:AS$1)</f>
        <v>0.23420450091362</v>
      </c>
      <c r="AT86" s="198" cm="1">
        <f t="array" ref="AT86">XIRR(INDEX(IF(COLUMN($C72:AT72)&lt;COLUMN(AT72),$C72:AS72,AT4),),$C$1:AT$1)</f>
        <v>0.25345833897590642</v>
      </c>
      <c r="AU86" s="198" cm="1">
        <f t="array" ref="AU86">XIRR(INDEX(IF(COLUMN($C72:AU72)&lt;COLUMN(AU72),$C72:AT72,AU4),),$C$1:AU$1)</f>
        <v>0.24853653311729432</v>
      </c>
      <c r="AV86" s="198" cm="1">
        <f t="array" ref="AV86">XIRR(INDEX(IF(COLUMN($C72:AV72)&lt;COLUMN(AV72),$C72:AU72,AV4),),$C$1:AV$1)</f>
        <v>0.24521732926368714</v>
      </c>
      <c r="AW86" s="198" cm="1">
        <f t="array" ref="AW86">XIRR(INDEX(IF(COLUMN($C72:AW72)&lt;COLUMN(AW72),$C72:AV72,AW4),),$C$1:AW$1)</f>
        <v>0.20281044840812679</v>
      </c>
      <c r="AX86" s="198" cm="1">
        <f t="array" ref="AX86">XIRR(INDEX(IF(COLUMN($C72:AX72)&lt;COLUMN(AX72),$C72:AW72,AX4),),$C$1:AX$1)</f>
        <v>0.19161899685859682</v>
      </c>
      <c r="AY86" s="198" cm="1">
        <f t="array" ref="AY86">XIRR(INDEX(IF(COLUMN($C72:AY72)&lt;COLUMN(AY72),$C72:AX72,AY4),),$C$1:AY$1)</f>
        <v>0.18519753813743595</v>
      </c>
      <c r="AZ86" s="198" cm="1">
        <f t="array" ref="AZ86">XIRR(INDEX(IF(COLUMN($C72:AZ72)&lt;COLUMN(AZ72),$C72:AY72,AZ4),),$C$1:AZ$1)</f>
        <v>0.14799302220344546</v>
      </c>
      <c r="BA86" s="198" cm="1">
        <f t="array" ref="BA86">XIRR(INDEX(IF(COLUMN($C72:BA72)&lt;COLUMN(BA72),$C72:AZ72,BA4),),$C$1:BA$1)</f>
        <v>0.12436849474906922</v>
      </c>
      <c r="BB86" s="198" cm="1">
        <f t="array" ref="BB86">XIRR(INDEX(IF(COLUMN($C72:BB72)&lt;COLUMN(BB72),$C72:BA72,BB4),),$C$1:BB$1)</f>
        <v>8.2976856827735937E-2</v>
      </c>
      <c r="BC86" s="198" cm="1">
        <f t="array" ref="BC86">XIRR(INDEX(IF(COLUMN($C72:BC72)&lt;COLUMN(BC72),$C72:BB72,BC4),),$C$1:BC$1)</f>
        <v>0.13654405474662784</v>
      </c>
      <c r="BD86" s="198" cm="1">
        <f t="array" ref="BD86">XIRR(INDEX(IF(COLUMN($C72:BD72)&lt;COLUMN(BD72),$C72:BC72,BD4),),$C$1:BD$1)</f>
        <v>0.14454529881477354</v>
      </c>
      <c r="BE86" s="198" cm="1">
        <f t="array" ref="BE86">XIRR(INDEX(IF(COLUMN($C72:BE72)&lt;COLUMN(BE72),$C72:BD72,BE4),),$C$1:BE$1)</f>
        <v>0.15109389424324038</v>
      </c>
      <c r="BF86" s="198" cm="1">
        <f t="array" ref="BF86">XIRR(INDEX(IF(COLUMN($C72:BF72)&lt;COLUMN(BF72),$C72:BE72,BF4),),$C$1:BF$1)</f>
        <v>0.13584541678428649</v>
      </c>
      <c r="BG86" s="198" cm="1">
        <f t="array" ref="BG86">XIRR(INDEX(IF(COLUMN($C72:BG72)&lt;COLUMN(BG72),$C72:BF72,BG4),),$C$1:BG$1)</f>
        <v>0.13844686150550842</v>
      </c>
      <c r="BH86" s="198" cm="1">
        <f t="array" ref="BH86">XIRR(INDEX(IF(COLUMN($C72:BH72)&lt;COLUMN(BH72),$C72:BG72,BH4),),$C$1:BH$1)</f>
        <v>0.12110387682914733</v>
      </c>
      <c r="BI86" s="198" cm="1">
        <f t="array" ref="BI86">XIRR(INDEX(IF(COLUMN($C72:BI72)&lt;COLUMN(BI72),$C72:BH72,BI4),),$C$1:BI$1)</f>
        <v>0.13219800591468808</v>
      </c>
      <c r="BJ86" s="198" cm="1">
        <f t="array" ref="BJ86">XIRR(INDEX(IF(COLUMN($C72:BJ72)&lt;COLUMN(BJ72),$C72:BI72,BJ4),),$C$1:BJ$1)</f>
        <v>0.13268131613731385</v>
      </c>
      <c r="BK86" s="198" cm="1">
        <f t="array" ref="BK86">XIRR(INDEX(IF(COLUMN($C72:BK72)&lt;COLUMN(BK72),$C72:BJ72,BK4),),$C$1:BK$1)</f>
        <v>0.12871933579444886</v>
      </c>
      <c r="BL86" s="198" cm="1">
        <f t="array" ref="BL86">XIRR(INDEX(IF(COLUMN($C72:BL72)&lt;COLUMN(BL72),$C72:BK72,BL4),),$C$1:BL$1)</f>
        <v>0.11916674971580507</v>
      </c>
      <c r="BM86" s="198" cm="1">
        <f t="array" ref="BM86">XIRR(INDEX(IF(COLUMN($C72:BM72)&lt;COLUMN(BM72),$C72:BL72,BM4),),$C$1:BM$1)</f>
        <v>0.11923854947090148</v>
      </c>
      <c r="BN86" s="198" cm="1">
        <f t="array" ref="BN86">XIRR(INDEX(IF(COLUMN($C72:BN72)&lt;COLUMN(BN72),$C72:BM72,BN4),),$C$1:BN$1)</f>
        <v>9.3191233277320873E-2</v>
      </c>
      <c r="BO86" s="198" cm="1">
        <f t="array" ref="BO86">XIRR(INDEX(IF(COLUMN($C72:BO72)&lt;COLUMN(BO72),$C72:BN72,BO4),),$C$1:BO$1)</f>
        <v>0.10770593285560609</v>
      </c>
      <c r="BP86" s="71"/>
      <c r="BR86" s="159"/>
    </row>
    <row r="87" spans="1:70">
      <c r="A87" s="106" t="s">
        <v>119</v>
      </c>
      <c r="B87" s="106" t="s">
        <v>6</v>
      </c>
      <c r="C87" s="197"/>
      <c r="D87" s="198" cm="1">
        <f t="array" ref="D87">XIRR(INDEX(IF(COLUMN($C73:D73)&lt;COLUMN(D73),$C73:C73,D5),),$C$1:D$1)</f>
        <v>1.0406178116798399</v>
      </c>
      <c r="E87" s="198" cm="1">
        <f t="array" ref="E87">XIRR(INDEX(IF(COLUMN($C73:E73)&lt;COLUMN(E73),$C73:D73,E5),),$C$1:E$1)</f>
        <v>1.9957613706588746</v>
      </c>
      <c r="F87" s="198" cm="1">
        <f t="array" ref="F87">XIRR(INDEX(IF(COLUMN($C73:F73)&lt;COLUMN(F73),$C73:E73,F5),),$C$1:F$1)</f>
        <v>0.90677162408828726</v>
      </c>
      <c r="G87" s="198" cm="1">
        <f t="array" ref="G87">XIRR(INDEX(IF(COLUMN($C73:G73)&lt;COLUMN(G73),$C73:F73,G5),),$C$1:G$1)</f>
        <v>6.4040926098823545E-2</v>
      </c>
      <c r="H87" s="198" cm="1">
        <f t="array" ref="H87">XIRR(INDEX(IF(COLUMN($C73:H73)&lt;COLUMN(H73),$C73:G73,H5),),$C$1:H$1)</f>
        <v>0.76427308320999132</v>
      </c>
      <c r="I87" s="198" cm="1">
        <f t="array" ref="I87">XIRR(INDEX(IF(COLUMN($C73:I73)&lt;COLUMN(I73),$C73:H73,I5),),$C$1:I$1)</f>
        <v>0.72788275480270404</v>
      </c>
      <c r="J87" s="198" cm="1">
        <f t="array" ref="J87">XIRR(INDEX(IF(COLUMN($C73:J73)&lt;COLUMN(J73),$C73:I73,J5),),$C$1:J$1)</f>
        <v>0.69665189981460562</v>
      </c>
      <c r="K87" s="198" cm="1">
        <f t="array" ref="K87">XIRR(INDEX(IF(COLUMN($C73:K73)&lt;COLUMN(K73),$C73:J73,K5),),$C$1:K$1)</f>
        <v>0.75230132341384914</v>
      </c>
      <c r="L87" s="198" cm="1">
        <f t="array" ref="L87">XIRR(INDEX(IF(COLUMN($C73:L73)&lt;COLUMN(L73),$C73:K73,L5),),$C$1:L$1)</f>
        <v>0.64042506814002997</v>
      </c>
      <c r="M87" s="198" cm="1">
        <f t="array" ref="M87">XIRR(INDEX(IF(COLUMN($C73:M73)&lt;COLUMN(M73),$C73:L73,M5),),$C$1:M$1)</f>
        <v>0.60011327862739561</v>
      </c>
      <c r="N87" s="198" cm="1">
        <f t="array" ref="N87">XIRR(INDEX(IF(COLUMN($C73:N73)&lt;COLUMN(N73),$C73:M73,N5),),$C$1:N$1)</f>
        <v>0.52585127949714683</v>
      </c>
      <c r="O87" s="198" cm="1">
        <f t="array" ref="O87">XIRR(INDEX(IF(COLUMN($C73:O73)&lt;COLUMN(O73),$C73:N73,O5),),$C$1:O$1)</f>
        <v>0.48086182475090034</v>
      </c>
      <c r="P87" s="198" cm="1">
        <f t="array" ref="P87">XIRR(INDEX(IF(COLUMN($C73:P73)&lt;COLUMN(P73),$C73:O73,P5),),$C$1:P$1)</f>
        <v>0.42781316637992872</v>
      </c>
      <c r="Q87" s="198" cm="1">
        <f t="array" ref="Q87">XIRR(INDEX(IF(COLUMN($C73:Q73)&lt;COLUMN(Q73),$C73:P73,Q5),),$C$1:Q$1)</f>
        <v>0.26292381882667548</v>
      </c>
      <c r="R87" s="198" cm="1">
        <f t="array" ref="R87">XIRR(INDEX(IF(COLUMN($C73:R73)&lt;COLUMN(R73),$C73:Q73,R5),),$C$1:R$1)</f>
        <v>0.32847818732261669</v>
      </c>
      <c r="S87" s="198" cm="1">
        <f t="array" ref="S87">XIRR(INDEX(IF(COLUMN($C73:S73)&lt;COLUMN(S73),$C73:R73,S5),),$C$1:S$1)</f>
        <v>0.26944857239723208</v>
      </c>
      <c r="T87" s="198" cm="1">
        <f t="array" ref="T87">XIRR(INDEX(IF(COLUMN($C73:T73)&lt;COLUMN(T73),$C73:S73,T5),),$C$1:T$1)</f>
        <v>0.18883727192878719</v>
      </c>
      <c r="U87" s="198" cm="1">
        <f t="array" ref="U87">XIRR(INDEX(IF(COLUMN($C73:U73)&lt;COLUMN(U73),$C73:T73,U5),),$C$1:U$1)</f>
        <v>0.14835236668586732</v>
      </c>
      <c r="V87" s="198" cm="1">
        <f t="array" ref="V87">XIRR(INDEX(IF(COLUMN($C73:V73)&lt;COLUMN(V73),$C73:U73,V5),),$C$1:V$1)</f>
        <v>0.22049384713172918</v>
      </c>
      <c r="W87" s="198" cm="1">
        <f t="array" ref="W87">XIRR(INDEX(IF(COLUMN($C73:W73)&lt;COLUMN(W73),$C73:V73,W5),),$C$1:W$1)</f>
        <v>0.2232977330684662</v>
      </c>
      <c r="X87" s="198" cm="1">
        <f t="array" ref="X87">XIRR(INDEX(IF(COLUMN($C73:X73)&lt;COLUMN(X73),$C73:W73,X5),),$C$1:X$1)</f>
        <v>0.22059627175331117</v>
      </c>
      <c r="Y87" s="198" cm="1">
        <f t="array" ref="Y87">XIRR(INDEX(IF(COLUMN($C73:Y73)&lt;COLUMN(Y73),$C73:X73,Y5),),$C$1:Y$1)</f>
        <v>0.23592347502708433</v>
      </c>
      <c r="Z87" s="198" cm="1">
        <f t="array" ref="Z87">XIRR(INDEX(IF(COLUMN($C73:Z73)&lt;COLUMN(Z73),$C73:Y73,Z5),),$C$1:Z$1)</f>
        <v>0.22203754782676691</v>
      </c>
      <c r="AA87" s="198" cm="1">
        <f t="array" ref="AA87">XIRR(INDEX(IF(COLUMN($C73:AA73)&lt;COLUMN(AA73),$C73:Z73,AA5),),$C$1:AA$1)</f>
        <v>0.15613393187522889</v>
      </c>
      <c r="AB87" s="198" cm="1">
        <f t="array" ref="AB87">XIRR(INDEX(IF(COLUMN($C73:AB73)&lt;COLUMN(AB73),$C73:AA73,AB5),),$C$1:AB$1)</f>
        <v>0.17329303622245792</v>
      </c>
      <c r="AC87" s="198" cm="1">
        <f t="array" ref="AC87">XIRR(INDEX(IF(COLUMN($C73:AC73)&lt;COLUMN(AC73),$C73:AB73,AC5),),$C$1:AC$1)</f>
        <v>0.15401613116264345</v>
      </c>
      <c r="AD87" s="198" cm="1">
        <f t="array" ref="AD87">XIRR(INDEX(IF(COLUMN($C73:AD73)&lt;COLUMN(AD73),$C73:AC73,AD5),),$C$1:AD$1)</f>
        <v>0.11705788969993591</v>
      </c>
      <c r="AE87" s="198" cm="1">
        <f t="array" ref="AE87">XIRR(INDEX(IF(COLUMN($C73:AE73)&lt;COLUMN(AE73),$C73:AD73,AE5),),$C$1:AE$1)</f>
        <v>0.15487489104270938</v>
      </c>
      <c r="AF87" s="198" cm="1">
        <f t="array" ref="AF87">XIRR(INDEX(IF(COLUMN($C73:AF73)&lt;COLUMN(AF73),$C73:AE73,AF5),),$C$1:AF$1)</f>
        <v>0.18251908421516419</v>
      </c>
      <c r="AG87" s="198" cm="1">
        <f t="array" ref="AG87">XIRR(INDEX(IF(COLUMN($C73:AG73)&lt;COLUMN(AG73),$C73:AF73,AG5),),$C$1:AG$1)</f>
        <v>0.19826820492744449</v>
      </c>
      <c r="AH87" s="198" cm="1">
        <f t="array" ref="AH87">XIRR(INDEX(IF(COLUMN($C73:AH73)&lt;COLUMN(AH73),$C73:AG73,AH5),),$C$1:AH$1)</f>
        <v>0.21118076443672187</v>
      </c>
      <c r="AI87" s="198" cm="1">
        <f t="array" ref="AI87">XIRR(INDEX(IF(COLUMN($C73:AI73)&lt;COLUMN(AI73),$C73:AH73,AI5),),$C$1:AI$1)</f>
        <v>0.20595973134040832</v>
      </c>
      <c r="AJ87" s="198" cm="1">
        <f t="array" ref="AJ87">XIRR(INDEX(IF(COLUMN($C73:AJ73)&lt;COLUMN(AJ73),$C73:AI73,AJ5),),$C$1:AJ$1)</f>
        <v>0.19393593668937686</v>
      </c>
      <c r="AK87" s="198" cm="1">
        <f t="array" ref="AK87">XIRR(INDEX(IF(COLUMN($C73:AK73)&lt;COLUMN(AK73),$C73:AJ73,AK5),),$C$1:AK$1)</f>
        <v>0.18350160717964176</v>
      </c>
      <c r="AL87" s="198" cm="1">
        <f t="array" ref="AL87">XIRR(INDEX(IF(COLUMN($C73:AL73)&lt;COLUMN(AL73),$C73:AK73,AL5),),$C$1:AL$1)</f>
        <v>0.20864940285682684</v>
      </c>
      <c r="AM87" s="198" cm="1">
        <f t="array" ref="AM87">XIRR(INDEX(IF(COLUMN($C73:AM73)&lt;COLUMN(AM73),$C73:AL73,AM5),),$C$1:AM$1)</f>
        <v>0.22877373099327089</v>
      </c>
      <c r="AN87" s="198" cm="1">
        <f t="array" ref="AN87">XIRR(INDEX(IF(COLUMN($C73:AN73)&lt;COLUMN(AN73),$C73:AM73,AN5),),$C$1:AN$1)</f>
        <v>0.24815242886543273</v>
      </c>
      <c r="AO87" s="198" cm="1">
        <f t="array" ref="AO87">XIRR(INDEX(IF(COLUMN($C73:AO73)&lt;COLUMN(AO73),$C73:AN73,AO5),),$C$1:AO$1)</f>
        <v>0.2480879843235016</v>
      </c>
      <c r="AP87" s="198" cm="1">
        <f t="array" ref="AP87">XIRR(INDEX(IF(COLUMN($C73:AP73)&lt;COLUMN(AP73),$C73:AO73,AP5),),$C$1:AP$1)</f>
        <v>0.24485084414482114</v>
      </c>
      <c r="AQ87" s="198" cm="1">
        <f t="array" ref="AQ87">XIRR(INDEX(IF(COLUMN($C73:AQ73)&lt;COLUMN(AQ73),$C73:AP73,AQ5),),$C$1:AQ$1)</f>
        <v>0.24479174017906188</v>
      </c>
      <c r="AR87" s="198" cm="1">
        <f t="array" ref="AR87">XIRR(INDEX(IF(COLUMN($C73:AR73)&lt;COLUMN(AR73),$C73:AQ73,AR5),),$C$1:AR$1)</f>
        <v>0.24462203383445738</v>
      </c>
      <c r="AS87" s="198" cm="1">
        <f t="array" ref="AS87">XIRR(INDEX(IF(COLUMN($C73:AS73)&lt;COLUMN(AS73),$C73:AR73,AS5),),$C$1:AS$1)</f>
        <v>0.26885239481925982</v>
      </c>
      <c r="AT87" s="198" cm="1">
        <f t="array" ref="AT87">XIRR(INDEX(IF(COLUMN($C73:AT73)&lt;COLUMN(AT73),$C73:AS73,AT5),),$C$1:AT$1)</f>
        <v>0.27412165999412541</v>
      </c>
      <c r="AU87" s="198" cm="1">
        <f t="array" ref="AU87">XIRR(INDEX(IF(COLUMN($C73:AU73)&lt;COLUMN(AU73),$C73:AT73,AU5),),$C$1:AU$1)</f>
        <v>0.27463440299034114</v>
      </c>
      <c r="AV87" s="198" cm="1">
        <f t="array" ref="AV87">XIRR(INDEX(IF(COLUMN($C73:AV73)&lt;COLUMN(AV73),$C73:AU73,AV5),),$C$1:AV$1)</f>
        <v>0.27346063256263731</v>
      </c>
      <c r="AW87" s="198" cm="1">
        <f t="array" ref="AW87">XIRR(INDEX(IF(COLUMN($C73:AW73)&lt;COLUMN(AW73),$C73:AV73,AW5),),$C$1:AW$1)</f>
        <v>0.24199367165565491</v>
      </c>
      <c r="AX87" s="198" cm="1">
        <f t="array" ref="AX87">XIRR(INDEX(IF(COLUMN($C73:AX73)&lt;COLUMN(AX73),$C73:AW73,AX5),),$C$1:AX$1)</f>
        <v>0.23885490298271175</v>
      </c>
      <c r="AY87" s="198" cm="1">
        <f t="array" ref="AY87">XIRR(INDEX(IF(COLUMN($C73:AY73)&lt;COLUMN(AY73),$C73:AX73,AY5),),$C$1:AY$1)</f>
        <v>0.24130635857582092</v>
      </c>
      <c r="AZ87" s="198" cm="1">
        <f t="array" ref="AZ87">XIRR(INDEX(IF(COLUMN($C73:AZ73)&lt;COLUMN(AZ73),$C73:AY73,AZ5),),$C$1:AZ$1)</f>
        <v>0.20131019949913023</v>
      </c>
      <c r="BA87" s="198" cm="1">
        <f t="array" ref="BA87">XIRR(INDEX(IF(COLUMN($C73:BA73)&lt;COLUMN(BA73),$C73:AZ73,BA5),),$C$1:BA$1)</f>
        <v>0.16531830430030825</v>
      </c>
      <c r="BB87" s="198" cm="1">
        <f t="array" ref="BB87">XIRR(INDEX(IF(COLUMN($C73:BB73)&lt;COLUMN(BB73),$C73:BA73,BB5),),$C$1:BB$1)</f>
        <v>0.17877246737480168</v>
      </c>
      <c r="BC87" s="198" cm="1">
        <f t="array" ref="BC87">XIRR(INDEX(IF(COLUMN($C73:BC73)&lt;COLUMN(BC73),$C73:BB73,BC5),),$C$1:BC$1)</f>
        <v>0.18504533171653748</v>
      </c>
      <c r="BD87" s="198" cm="1">
        <f t="array" ref="BD87">XIRR(INDEX(IF(COLUMN($C73:BD73)&lt;COLUMN(BD73),$C73:BC73,BD5),),$C$1:BD$1)</f>
        <v>0.19917201399803161</v>
      </c>
      <c r="BE87" s="198" cm="1">
        <f t="array" ref="BE87">XIRR(INDEX(IF(COLUMN($C73:BE73)&lt;COLUMN(BE73),$C73:BD73,BE5),),$C$1:BE$1)</f>
        <v>0.20969702601432805</v>
      </c>
      <c r="BF87" s="198" cm="1">
        <f t="array" ref="BF87">XIRR(INDEX(IF(COLUMN($C73:BF73)&lt;COLUMN(BF73),$C73:BE73,BF5),),$C$1:BF$1)</f>
        <v>0.19314865469932554</v>
      </c>
      <c r="BG87" s="198" cm="1">
        <f t="array" ref="BG87">XIRR(INDEX(IF(COLUMN($C73:BG73)&lt;COLUMN(BG73),$C73:BF73,BG5),),$C$1:BG$1)</f>
        <v>0.18733673691749575</v>
      </c>
      <c r="BH87" s="198" cm="1">
        <f t="array" ref="BH87">XIRR(INDEX(IF(COLUMN($C73:BH73)&lt;COLUMN(BH73),$C73:BG73,BH5),),$C$1:BH$1)</f>
        <v>0.19164972901344302</v>
      </c>
      <c r="BI87" s="198" cm="1">
        <f t="array" ref="BI87">XIRR(INDEX(IF(COLUMN($C73:BI73)&lt;COLUMN(BI73),$C73:BH73,BI5),),$C$1:BI$1)</f>
        <v>0.19965646862983705</v>
      </c>
      <c r="BJ87" s="198" cm="1">
        <f t="array" ref="BJ87">XIRR(INDEX(IF(COLUMN($C73:BJ73)&lt;COLUMN(BJ73),$C73:BI73,BJ5),),$C$1:BJ$1)</f>
        <v>0.18704219460487367</v>
      </c>
      <c r="BK87" s="198" cm="1">
        <f t="array" ref="BK87">XIRR(INDEX(IF(COLUMN($C73:BK73)&lt;COLUMN(BK73),$C73:BJ73,BK5),),$C$1:BK$1)</f>
        <v>0.18156879544258123</v>
      </c>
      <c r="BL87" s="198" cm="1">
        <f t="array" ref="BL87">XIRR(INDEX(IF(COLUMN($C73:BL73)&lt;COLUMN(BL73),$C73:BK73,BL5),),$C$1:BL$1)</f>
        <v>0.16662266850471502</v>
      </c>
      <c r="BM87" s="198" cm="1">
        <f t="array" ref="BM87">XIRR(INDEX(IF(COLUMN($C73:BM73)&lt;COLUMN(BM73),$C73:BL73,BM5),),$C$1:BM$1)</f>
        <v>0.1563717901706696</v>
      </c>
      <c r="BN87" s="198" cm="1">
        <f t="array" ref="BN87">XIRR(INDEX(IF(COLUMN($C73:BN73)&lt;COLUMN(BN73),$C73:BM73,BN5),),$C$1:BN$1)</f>
        <v>0.12645753026008605</v>
      </c>
      <c r="BO87" s="198" cm="1">
        <f t="array" ref="BO87">XIRR(INDEX(IF(COLUMN($C73:BO73)&lt;COLUMN(BO73),$C73:BN73,BO5),),$C$1:BO$1)</f>
        <v>0.16374499201774598</v>
      </c>
      <c r="BP87" s="71"/>
      <c r="BR87" s="159"/>
    </row>
    <row r="88" spans="1:70">
      <c r="A88" s="106" t="s">
        <v>8</v>
      </c>
      <c r="B88" s="106" t="s">
        <v>8</v>
      </c>
      <c r="C88" s="197"/>
      <c r="D88" s="198" cm="1">
        <f t="array" ref="D88">XIRR(INDEX(IF(COLUMN($C74:D74)&lt;COLUMN(D74),$C74:C74,D6),),$C$1:D$1)</f>
        <v>10.051516819000243</v>
      </c>
      <c r="E88" s="198" cm="1">
        <f t="array" ref="E88">XIRR(INDEX(IF(COLUMN($C74:E74)&lt;COLUMN(E74),$C74:D74,E6),),$C$1:E$1)</f>
        <v>-0.32288304641842852</v>
      </c>
      <c r="F88" s="198" cm="1">
        <f t="array" ref="F88">XIRR(INDEX(IF(COLUMN($C74:F74)&lt;COLUMN(F74),$C74:E74,F6),),$C$1:F$1)</f>
        <v>-0.24998088702559479</v>
      </c>
      <c r="G88" s="198" cm="1">
        <f t="array" ref="G88">XIRR(INDEX(IF(COLUMN($C74:G74)&lt;COLUMN(G74),$C74:F74,G6),),$C$1:G$1)</f>
        <v>-0.13025462366640567</v>
      </c>
      <c r="H88" s="198" cm="1">
        <f t="array" ref="H88">XIRR(INDEX(IF(COLUMN($C74:H74)&lt;COLUMN(H74),$C74:G74,H6),),$C$1:H$1)</f>
        <v>-6.7873290181159965E-2</v>
      </c>
      <c r="I88" s="198" cm="1">
        <f t="array" ref="I88">XIRR(INDEX(IF(COLUMN($C74:I74)&lt;COLUMN(I74),$C74:H74,I6),),$C$1:I$1)</f>
        <v>-8.430924117565157E-2</v>
      </c>
      <c r="J88" s="198" cm="1">
        <f t="array" ref="J88">XIRR(INDEX(IF(COLUMN($C74:J74)&lt;COLUMN(J74),$C74:I74,J6),),$C$1:J$1)</f>
        <v>-7.895198166370393E-2</v>
      </c>
      <c r="K88" s="198" cm="1">
        <f t="array" ref="K88">XIRR(INDEX(IF(COLUMN($C74:K74)&lt;COLUMN(K74),$C74:J74,K6),),$C$1:K$1)</f>
        <v>-8.3142820000648515E-2</v>
      </c>
      <c r="L88" s="198" cm="1">
        <f t="array" ref="L88">XIRR(INDEX(IF(COLUMN($C74:L74)&lt;COLUMN(L74),$C74:K74,L6),),$C$1:L$1)</f>
        <v>-8.0118241906166107E-2</v>
      </c>
      <c r="M88" s="198" cm="1">
        <f t="array" ref="M88">XIRR(INDEX(IF(COLUMN($C74:M74)&lt;COLUMN(M74),$C74:L74,M6),),$C$1:M$1)</f>
        <v>-6.2405952811241158E-2</v>
      </c>
      <c r="N88" s="198" cm="1">
        <f t="array" ref="N88">XIRR(INDEX(IF(COLUMN($C74:N74)&lt;COLUMN(N74),$C74:M74,N6),),$C$1:N$1)</f>
        <v>-5.3368756175041207E-2</v>
      </c>
      <c r="O88" s="198" cm="1">
        <f t="array" ref="O88">XIRR(INDEX(IF(COLUMN($C74:O74)&lt;COLUMN(O74),$C74:N74,O6),),$C$1:O$1)</f>
        <v>-5.3237769007682803E-2</v>
      </c>
      <c r="P88" s="198" cm="1">
        <f t="array" ref="P88">XIRR(INDEX(IF(COLUMN($C74:P74)&lt;COLUMN(P74),$C74:O74,P6),),$C$1:P$1)</f>
        <v>-5.5771234631538394E-2</v>
      </c>
      <c r="Q88" s="198" cm="1">
        <f t="array" ref="Q88">XIRR(INDEX(IF(COLUMN($C74:Q74)&lt;COLUMN(Q74),$C74:P74,Q6),),$C$1:Q$1)</f>
        <v>-3.0068656802177424E-2</v>
      </c>
      <c r="R88" s="198" cm="1">
        <f t="array" ref="R88">XIRR(INDEX(IF(COLUMN($C74:R74)&lt;COLUMN(R74),$C74:Q74,R6),),$C$1:R$1)</f>
        <v>-4.1142728924751293E-2</v>
      </c>
      <c r="S88" s="198" cm="1">
        <f t="array" ref="S88">XIRR(INDEX(IF(COLUMN($C74:S74)&lt;COLUMN(S74),$C74:R74,S6),),$C$1:S$1)</f>
        <v>1.8954008817672729E-3</v>
      </c>
      <c r="T88" s="198" cm="1">
        <f t="array" ref="T88">XIRR(INDEX(IF(COLUMN($C74:T74)&lt;COLUMN(T74),$C74:S74,T6),),$C$1:T$1)</f>
        <v>-4.5119783282279974E-2</v>
      </c>
      <c r="U88" s="198" cm="1">
        <f t="array" ref="U88">XIRR(INDEX(IF(COLUMN($C74:U74)&lt;COLUMN(U74),$C74:T74,U6),),$C$1:U$1)</f>
        <v>-1.51185005903244E-2</v>
      </c>
      <c r="V88" s="198" cm="1">
        <f t="array" ref="V88">XIRR(INDEX(IF(COLUMN($C74:V74)&lt;COLUMN(V74),$C74:U74,V6),),$C$1:V$1)</f>
        <v>-2.3123064637184144E-2</v>
      </c>
      <c r="W88" s="198" cm="1">
        <f t="array" ref="W88">XIRR(INDEX(IF(COLUMN($C74:W74)&lt;COLUMN(W74),$C74:V74,W6),),$C$1:W$1)</f>
        <v>-7.4984997510910024E-3</v>
      </c>
      <c r="X88" s="198" cm="1">
        <f t="array" ref="X88">XIRR(INDEX(IF(COLUMN($C74:X74)&lt;COLUMN(X74),$C74:W74,X6),),$C$1:X$1)</f>
        <v>-1.697482168674469E-2</v>
      </c>
      <c r="Y88" s="198" cm="1">
        <f t="array" ref="Y88">XIRR(INDEX(IF(COLUMN($C74:Y74)&lt;COLUMN(Y74),$C74:X74,Y6),),$C$1:Y$1)</f>
        <v>-1.1999890208244324E-2</v>
      </c>
      <c r="Z88" s="198" cm="1">
        <f t="array" ref="Z88">XIRR(INDEX(IF(COLUMN($C74:Z74)&lt;COLUMN(Z74),$C74:Y74,Z6),),$C$1:Z$1)</f>
        <v>-3.5885363817214971E-3</v>
      </c>
      <c r="AA88" s="198" cm="1">
        <f t="array" ref="AA88">XIRR(INDEX(IF(COLUMN($C74:AA74)&lt;COLUMN(AA74),$C74:Z74,AA6),),$C$1:AA$1)</f>
        <v>1.7403253912925722E-2</v>
      </c>
      <c r="AB88" s="198" cm="1">
        <f t="array" ref="AB88">XIRR(INDEX(IF(COLUMN($C74:AB74)&lt;COLUMN(AB74),$C74:AA74,AB6),),$C$1:AB$1)</f>
        <v>3.048225939273834E-2</v>
      </c>
      <c r="AC88" s="198" cm="1">
        <f t="array" ref="AC88">XIRR(INDEX(IF(COLUMN($C74:AC74)&lt;COLUMN(AC74),$C74:AB74,AC6),),$C$1:AC$1)</f>
        <v>2.4674114584922795E-2</v>
      </c>
      <c r="AD88" s="198" cm="1">
        <f t="array" ref="AD88">XIRR(INDEX(IF(COLUMN($C74:AD74)&lt;COLUMN(AD74),$C74:AC74,AD6),),$C$1:AD$1)</f>
        <v>4.5253977179527283E-2</v>
      </c>
      <c r="AE88" s="198" cm="1">
        <f t="array" ref="AE88">XIRR(INDEX(IF(COLUMN($C74:AE74)&lt;COLUMN(AE74),$C74:AD74,AE6),),$C$1:AE$1)</f>
        <v>6.1677983403205877E-2</v>
      </c>
      <c r="AF88" s="198" cm="1">
        <f t="array" ref="AF88">XIRR(INDEX(IF(COLUMN($C74:AF74)&lt;COLUMN(AF74),$C74:AE74,AF6),),$C$1:AF$1)</f>
        <v>7.5989261269569425E-2</v>
      </c>
      <c r="AG88" s="198" cm="1">
        <f t="array" ref="AG88">XIRR(INDEX(IF(COLUMN($C74:AG74)&lt;COLUMN(AG74),$C74:AF74,AG6),),$C$1:AG$1)</f>
        <v>6.7871353030204765E-2</v>
      </c>
      <c r="AH88" s="198" cm="1">
        <f t="array" ref="AH88">XIRR(INDEX(IF(COLUMN($C74:AH74)&lt;COLUMN(AH74),$C74:AG74,AH6),),$C$1:AH$1)</f>
        <v>6.7293193936347959E-2</v>
      </c>
      <c r="AI88" s="198" cm="1">
        <f t="array" ref="AI88">XIRR(INDEX(IF(COLUMN($C74:AI74)&lt;COLUMN(AI74),$C74:AH74,AI6),),$C$1:AI$1)</f>
        <v>6.5051916241645844E-2</v>
      </c>
      <c r="AJ88" s="198" cm="1">
        <f t="array" ref="AJ88">XIRR(INDEX(IF(COLUMN($C74:AJ74)&lt;COLUMN(AJ74),$C74:AI74,AJ6),),$C$1:AJ$1)</f>
        <v>6.0065284371376038E-2</v>
      </c>
      <c r="AK88" s="198" cm="1">
        <f t="array" ref="AK88">XIRR(INDEX(IF(COLUMN($C74:AK74)&lt;COLUMN(AK74),$C74:AJ74,AK6),),$C$1:AK$1)</f>
        <v>6.3854452967643721E-2</v>
      </c>
      <c r="AL88" s="198" cm="1">
        <f t="array" ref="AL88">XIRR(INDEX(IF(COLUMN($C74:AL74)&lt;COLUMN(AL74),$C74:AK74,AL6),),$C$1:AL$1)</f>
        <v>7.2502610087394712E-2</v>
      </c>
      <c r="AM88" s="198" cm="1">
        <f t="array" ref="AM88">XIRR(INDEX(IF(COLUMN($C74:AM74)&lt;COLUMN(AM74),$C74:AL74,AM6),),$C$1:AM$1)</f>
        <v>7.6415655016899106E-2</v>
      </c>
      <c r="AN88" s="198" cm="1">
        <f t="array" ref="AN88">XIRR(INDEX(IF(COLUMN($C74:AN74)&lt;COLUMN(AN74),$C74:AM74,AN6),),$C$1:AN$1)</f>
        <v>7.8100922703742998E-2</v>
      </c>
      <c r="AO88" s="198" cm="1">
        <f t="array" ref="AO88">XIRR(INDEX(IF(COLUMN($C74:AO74)&lt;COLUMN(AO74),$C74:AN74,AO6),),$C$1:AO$1)</f>
        <v>7.2991475462913513E-2</v>
      </c>
      <c r="AP88" s="198" cm="1">
        <f t="array" ref="AP88">XIRR(INDEX(IF(COLUMN($C74:AP74)&lt;COLUMN(AP74),$C74:AO74,AP6),),$C$1:AP$1)</f>
        <v>9.4393458962440474E-2</v>
      </c>
      <c r="AQ88" s="198" cm="1">
        <f t="array" ref="AQ88">XIRR(INDEX(IF(COLUMN($C74:AQ74)&lt;COLUMN(AQ74),$C74:AP74,AQ6),),$C$1:AQ$1)</f>
        <v>0.11095953583717347</v>
      </c>
      <c r="AR88" s="198" cm="1">
        <f t="array" ref="AR88">XIRR(INDEX(IF(COLUMN($C74:AR74)&lt;COLUMN(AR74),$C74:AQ74,AR6),),$C$1:AR$1)</f>
        <v>0.12173343300819395</v>
      </c>
      <c r="AS88" s="198" cm="1">
        <f t="array" ref="AS88">XIRR(INDEX(IF(COLUMN($C74:AS74)&lt;COLUMN(AS74),$C74:AR74,AS6),),$C$1:AS$1)</f>
        <v>0.12062107920646667</v>
      </c>
      <c r="AT88" s="198" cm="1">
        <f t="array" ref="AT88">XIRR(INDEX(IF(COLUMN($C74:AT74)&lt;COLUMN(AT74),$C74:AS74,AT6),),$C$1:AT$1)</f>
        <v>0.12277271151542662</v>
      </c>
      <c r="AU88" s="198" cm="1">
        <f t="array" ref="AU88">XIRR(INDEX(IF(COLUMN($C74:AU74)&lt;COLUMN(AU74),$C74:AT74,AU6),),$C$1:AU$1)</f>
        <v>0.12130758166313171</v>
      </c>
      <c r="AV88" s="198" cm="1">
        <f t="array" ref="AV88">XIRR(INDEX(IF(COLUMN($C74:AV74)&lt;COLUMN(AV74),$C74:AU74,AV6),),$C$1:AV$1)</f>
        <v>0.13112820982933043</v>
      </c>
      <c r="AW88" s="198" cm="1">
        <f t="array" ref="AW88">XIRR(INDEX(IF(COLUMN($C74:AW74)&lt;COLUMN(AW74),$C74:AV74,AW6),),$C$1:AW$1)</f>
        <v>0.14326916337013249</v>
      </c>
      <c r="AX88" s="198" cm="1">
        <f t="array" ref="AX88">XIRR(INDEX(IF(COLUMN($C74:AX74)&lt;COLUMN(AX74),$C74:AW74,AX6),),$C$1:AX$1)</f>
        <v>0.12992346882820133</v>
      </c>
      <c r="AY88" s="198" cm="1">
        <f t="array" ref="AY88">XIRR(INDEX(IF(COLUMN($C74:AY74)&lt;COLUMN(AY74),$C74:AX74,AY6),),$C$1:AY$1)</f>
        <v>0.12932278513908388</v>
      </c>
      <c r="AZ88" s="198" cm="1">
        <f t="array" ref="AZ88">XIRR(INDEX(IF(COLUMN($C74:AZ74)&lt;COLUMN(AZ74),$C74:AY74,AZ6),),$C$1:AZ$1)</f>
        <v>0.13207288384437563</v>
      </c>
      <c r="BA88" s="198" cm="1">
        <f t="array" ref="BA88">XIRR(INDEX(IF(COLUMN($C74:BA74)&lt;COLUMN(BA74),$C74:AZ74,BA6),),$C$1:BA$1)</f>
        <v>0.13656415343284609</v>
      </c>
      <c r="BB88" s="198" cm="1">
        <f t="array" ref="BB88">XIRR(INDEX(IF(COLUMN($C74:BB74)&lt;COLUMN(BB74),$C74:BA74,BB6),),$C$1:BB$1)</f>
        <v>0.14089395403861998</v>
      </c>
      <c r="BC88" s="198" cm="1">
        <f t="array" ref="BC88">XIRR(INDEX(IF(COLUMN($C74:BC74)&lt;COLUMN(BC74),$C74:BB74,BC6),),$C$1:BC$1)</f>
        <v>0.14906130433082587</v>
      </c>
      <c r="BD88" s="198" cm="1">
        <f t="array" ref="BD88">XIRR(INDEX(IF(COLUMN($C74:BD74)&lt;COLUMN(BD74),$C74:BC74,BD6),),$C$1:BD$1)</f>
        <v>0.15535373091697699</v>
      </c>
      <c r="BE88" s="198" cm="1">
        <f t="array" ref="BE88">XIRR(INDEX(IF(COLUMN($C74:BE74)&lt;COLUMN(BE74),$C74:BD74,BE6),),$C$1:BE$1)</f>
        <v>0.16079873442649845</v>
      </c>
      <c r="BF88" s="198" cm="1">
        <f t="array" ref="BF88">XIRR(INDEX(IF(COLUMN($C74:BF74)&lt;COLUMN(BF74),$C74:BE74,BF6),),$C$1:BF$1)</f>
        <v>0.25025048851966858</v>
      </c>
      <c r="BG88" s="198" cm="1">
        <f t="array" ref="BG88">XIRR(INDEX(IF(COLUMN($C74:BG74)&lt;COLUMN(BG74),$C74:BF74,BG6),),$C$1:BG$1)</f>
        <v>0.18937341570854188</v>
      </c>
      <c r="BH88" s="198" cm="1">
        <f t="array" ref="BH88">XIRR(INDEX(IF(COLUMN($C74:BH74)&lt;COLUMN(BH74),$C74:BG74,BH6),),$C$1:BH$1)</f>
        <v>0.22470545172691345</v>
      </c>
      <c r="BI88" s="198" cm="1">
        <f t="array" ref="BI88">XIRR(INDEX(IF(COLUMN($C74:BI74)&lt;COLUMN(BI74),$C74:BH74,BI6),),$C$1:BI$1)</f>
        <v>0.21902539134025573</v>
      </c>
      <c r="BJ88" s="198" cm="1">
        <f t="array" ref="BJ88">XIRR(INDEX(IF(COLUMN($C74:BJ74)&lt;COLUMN(BJ74),$C74:BI74,BJ6),),$C$1:BJ$1)</f>
        <v>0.23125208020210269</v>
      </c>
      <c r="BK88" s="198" cm="1">
        <f t="array" ref="BK88">XIRR(INDEX(IF(COLUMN($C74:BK74)&lt;COLUMN(BK74),$C74:BJ74,BK6),),$C$1:BK$1)</f>
        <v>0.25291195511817932</v>
      </c>
      <c r="BL88" s="198" cm="1">
        <f t="array" ref="BL88">XIRR(INDEX(IF(COLUMN($C74:BL74)&lt;COLUMN(BL74),$C74:BK74,BL6),),$C$1:BL$1)</f>
        <v>0.30550512671470642</v>
      </c>
      <c r="BM88" s="198" cm="1">
        <f t="array" ref="BM88">XIRR(INDEX(IF(COLUMN($C74:BM74)&lt;COLUMN(BM74),$C74:BL74,BM6),),$C$1:BM$1)</f>
        <v>0.27439715266227727</v>
      </c>
      <c r="BN88" s="198" cm="1">
        <f t="array" ref="BN88">XIRR(INDEX(IF(COLUMN($C74:BN74)&lt;COLUMN(BN74),$C74:BM74,BN6),),$C$1:BN$1)</f>
        <v>0.24245899319648742</v>
      </c>
      <c r="BO88" s="198" cm="1">
        <f t="array" ref="BO88">XIRR(INDEX(IF(COLUMN($C74:BO74)&lt;COLUMN(BO74),$C74:BN74,BO6),),$C$1:BO$1)</f>
        <v>0.24491322636604307</v>
      </c>
      <c r="BP88" s="71"/>
      <c r="BR88" s="159"/>
    </row>
    <row r="89" spans="1:70">
      <c r="A89" s="106" t="s">
        <v>120</v>
      </c>
      <c r="B89" s="106" t="s">
        <v>6</v>
      </c>
      <c r="C89" s="197"/>
      <c r="D89" s="198" cm="1">
        <f t="array" ref="D89">XIRR(INDEX(IF(COLUMN($C75:D75)&lt;COLUMN(D75),$C75:C75,D7),),$C$1:D$1)</f>
        <v>24.469495201110842</v>
      </c>
      <c r="E89" s="198" cm="1">
        <f t="array" ref="E89">XIRR(INDEX(IF(COLUMN($C75:E75)&lt;COLUMN(E75),$C75:D75,E7),),$C$1:E$1)</f>
        <v>7.2534612178802496</v>
      </c>
      <c r="F89" s="198" cm="1">
        <f t="array" ref="F89">XIRR(INDEX(IF(COLUMN($C75:F75)&lt;COLUMN(F75),$C75:E75,F7),),$C$1:F$1)</f>
        <v>1.6976337075233459</v>
      </c>
      <c r="G89" s="198" cm="1">
        <f t="array" ref="G89">XIRR(INDEX(IF(COLUMN($C75:G75)&lt;COLUMN(G75),$C75:F75,G7),),$C$1:G$1)</f>
        <v>1.0431434273719788</v>
      </c>
      <c r="H89" s="198" cm="1">
        <f t="array" ref="H89">XIRR(INDEX(IF(COLUMN($C75:H75)&lt;COLUMN(H75),$C75:G75,H7),),$C$1:H$1)</f>
        <v>1.1437924981117249</v>
      </c>
      <c r="I89" s="198" cm="1">
        <f t="array" ref="I89">XIRR(INDEX(IF(COLUMN($C75:I75)&lt;COLUMN(I75),$C75:H75,I7),),$C$1:I$1)</f>
        <v>0.93655003309249873</v>
      </c>
      <c r="J89" s="198" cm="1">
        <f t="array" ref="J89">XIRR(INDEX(IF(COLUMN($C75:J75)&lt;COLUMN(J75),$C75:I75,J7),),$C$1:J$1)</f>
        <v>0.81014775037765485</v>
      </c>
      <c r="K89" s="198" cm="1">
        <f t="array" ref="K89">XIRR(INDEX(IF(COLUMN($C75:K75)&lt;COLUMN(K75),$C75:J75,K7),),$C$1:K$1)</f>
        <v>0.87875646352767944</v>
      </c>
      <c r="L89" s="198" cm="1">
        <f t="array" ref="L89">XIRR(INDEX(IF(COLUMN($C75:L75)&lt;COLUMN(L75),$C75:K75,L7),),$C$1:L$1)</f>
        <v>0.91492341756820705</v>
      </c>
      <c r="M89" s="198" cm="1">
        <f t="array" ref="M89">XIRR(INDEX(IF(COLUMN($C75:M75)&lt;COLUMN(M75),$C75:L75,M7),),$C$1:M$1)</f>
        <v>0.710277259349823</v>
      </c>
      <c r="N89" s="198" cm="1">
        <f t="array" ref="N89">XIRR(INDEX(IF(COLUMN($C75:N75)&lt;COLUMN(N75),$C75:M75,N7),),$C$1:N$1)</f>
        <v>0.56783419251441958</v>
      </c>
      <c r="O89" s="198" cm="1">
        <f t="array" ref="O89">XIRR(INDEX(IF(COLUMN($C75:O75)&lt;COLUMN(O75),$C75:N75,O7),),$C$1:O$1)</f>
        <v>0.52477183938026439</v>
      </c>
      <c r="P89" s="198" cm="1">
        <f t="array" ref="P89">XIRR(INDEX(IF(COLUMN($C75:P75)&lt;COLUMN(P75),$C75:O75,P7),),$C$1:P$1)</f>
        <v>0.49363270401954662</v>
      </c>
      <c r="Q89" s="198" cm="1">
        <f t="array" ref="Q89">XIRR(INDEX(IF(COLUMN($C75:Q75)&lt;COLUMN(Q75),$C75:P75,Q7),),$C$1:Q$1)</f>
        <v>0.35064352154731748</v>
      </c>
      <c r="R89" s="198" cm="1">
        <f t="array" ref="R89">XIRR(INDEX(IF(COLUMN($C75:R75)&lt;COLUMN(R75),$C75:Q75,R7),),$C$1:R$1)</f>
        <v>0.3681022703647614</v>
      </c>
      <c r="S89" s="198" cm="1">
        <f t="array" ref="S89">XIRR(INDEX(IF(COLUMN($C75:S75)&lt;COLUMN(S75),$C75:R75,S7),),$C$1:S$1)</f>
        <v>0.32338882088661203</v>
      </c>
      <c r="T89" s="198" cm="1">
        <f t="array" ref="T89">XIRR(INDEX(IF(COLUMN($C75:T75)&lt;COLUMN(T75),$C75:S75,T7),),$C$1:T$1)</f>
        <v>0.26770021319389348</v>
      </c>
      <c r="U89" s="198" cm="1">
        <f t="array" ref="U89">XIRR(INDEX(IF(COLUMN($C75:U75)&lt;COLUMN(U75),$C75:T75,U7),),$C$1:U$1)</f>
        <v>0.21797623038291927</v>
      </c>
      <c r="V89" s="198" cm="1">
        <f t="array" ref="V89">XIRR(INDEX(IF(COLUMN($C75:V75)&lt;COLUMN(V75),$C75:U75,V7),),$C$1:V$1)</f>
        <v>0.27515931725502007</v>
      </c>
      <c r="W89" s="198" cm="1">
        <f t="array" ref="W89">XIRR(INDEX(IF(COLUMN($C75:W75)&lt;COLUMN(W75),$C75:V75,W7),),$C$1:W$1)</f>
        <v>0.32018432021141063</v>
      </c>
      <c r="X89" s="198" cm="1">
        <f t="array" ref="X89">XIRR(INDEX(IF(COLUMN($C75:X75)&lt;COLUMN(X75),$C75:W75,X7),),$C$1:X$1)</f>
        <v>0.24960837960243223</v>
      </c>
      <c r="Y89" s="198" cm="1">
        <f t="array" ref="Y89">XIRR(INDEX(IF(COLUMN($C75:Y75)&lt;COLUMN(Y75),$C75:X75,Y7),),$C$1:Y$1)</f>
        <v>0.27199329733848565</v>
      </c>
      <c r="Z89" s="198" cm="1">
        <f t="array" ref="Z89">XIRR(INDEX(IF(COLUMN($C75:Z75)&lt;COLUMN(Z75),$C75:Y75,Z7),),$C$1:Z$1)</f>
        <v>0.27709025740623472</v>
      </c>
      <c r="AA89" s="198" cm="1">
        <f t="array" ref="AA89">XIRR(INDEX(IF(COLUMN($C75:AA75)&lt;COLUMN(AA75),$C75:Z75,AA7),),$C$1:AA$1)</f>
        <v>0.24340290427207947</v>
      </c>
      <c r="AB89" s="198" cm="1">
        <f t="array" ref="AB89">XIRR(INDEX(IF(COLUMN($C75:AB75)&lt;COLUMN(AB75),$C75:AA75,AB7),),$C$1:AB$1)</f>
        <v>0.21731825470924379</v>
      </c>
      <c r="AC89" s="198" cm="1">
        <f t="array" ref="AC89">XIRR(INDEX(IF(COLUMN($C75:AC75)&lt;COLUMN(AC75),$C75:AB75,AC7),),$C$1:AC$1)</f>
        <v>0.21080823540687563</v>
      </c>
      <c r="AD89" s="198" cm="1">
        <f t="array" ref="AD89">XIRR(INDEX(IF(COLUMN($C75:AD75)&lt;COLUMN(AD75),$C75:AC75,AD7),),$C$1:AD$1)</f>
        <v>0.19517193436622624</v>
      </c>
      <c r="AE89" s="198" cm="1">
        <f t="array" ref="AE89">XIRR(INDEX(IF(COLUMN($C75:AE75)&lt;COLUMN(AE75),$C75:AD75,AE7),),$C$1:AE$1)</f>
        <v>0.21481634974479677</v>
      </c>
      <c r="AF89" s="198" cm="1">
        <f t="array" ref="AF89">XIRR(INDEX(IF(COLUMN($C75:AF75)&lt;COLUMN(AF75),$C75:AE75,AF7),),$C$1:AF$1)</f>
        <v>0.2245181381702423</v>
      </c>
      <c r="AG89" s="198" cm="1">
        <f t="array" ref="AG89">XIRR(INDEX(IF(COLUMN($C75:AG75)&lt;COLUMN(AG75),$C75:AF75,AG7),),$C$1:AG$1)</f>
        <v>0.23512403368949891</v>
      </c>
      <c r="AH89" s="198" cm="1">
        <f t="array" ref="AH89">XIRR(INDEX(IF(COLUMN($C75:AH75)&lt;COLUMN(AH75),$C75:AG75,AH7),),$C$1:AH$1)</f>
        <v>0.29715570807456981</v>
      </c>
      <c r="AI89" s="198" cm="1">
        <f t="array" ref="AI89">XIRR(INDEX(IF(COLUMN($C75:AI75)&lt;COLUMN(AI75),$C75:AH75,AI7),),$C$1:AI$1)</f>
        <v>0.23020547032356262</v>
      </c>
      <c r="AJ89" s="198" cm="1">
        <f t="array" ref="AJ89">XIRR(INDEX(IF(COLUMN($C75:AJ75)&lt;COLUMN(AJ75),$C75:AI75,AJ7),),$C$1:AJ$1)</f>
        <v>0.22373884320259096</v>
      </c>
      <c r="AK89" s="198" cm="1">
        <f t="array" ref="AK89">XIRR(INDEX(IF(COLUMN($C75:AK75)&lt;COLUMN(AK75),$C75:AJ75,AK7),),$C$1:AK$1)</f>
        <v>0.21006820797920234</v>
      </c>
      <c r="AL89" s="198" cm="1">
        <f t="array" ref="AL89">XIRR(INDEX(IF(COLUMN($C75:AL75)&lt;COLUMN(AL75),$C75:AK75,AL7),),$C$1:AL$1)</f>
        <v>0.22999768853187566</v>
      </c>
      <c r="AM89" s="198" cm="1">
        <f t="array" ref="AM89">XIRR(INDEX(IF(COLUMN($C75:AM75)&lt;COLUMN(AM75),$C75:AL75,AM7),),$C$1:AM$1)</f>
        <v>0.25428441166877747</v>
      </c>
      <c r="AN89" s="198" cm="1">
        <f t="array" ref="AN89">XIRR(INDEX(IF(COLUMN($C75:AN75)&lt;COLUMN(AN75),$C75:AM75,AN7),),$C$1:AN$1)</f>
        <v>0.25188686251640324</v>
      </c>
      <c r="AO89" s="198" cm="1">
        <f t="array" ref="AO89">XIRR(INDEX(IF(COLUMN($C75:AO75)&lt;COLUMN(AO75),$C75:AN75,AO7),),$C$1:AO$1)</f>
        <v>0.25885329842567451</v>
      </c>
      <c r="AP89" s="198" cm="1">
        <f t="array" ref="AP89">XIRR(INDEX(IF(COLUMN($C75:AP75)&lt;COLUMN(AP75),$C75:AO75,AP7),),$C$1:AP$1)</f>
        <v>0.23344941735267641</v>
      </c>
      <c r="AQ89" s="198" cm="1">
        <f t="array" ref="AQ89">XIRR(INDEX(IF(COLUMN($C75:AQ75)&lt;COLUMN(AQ75),$C75:AP75,AQ7),),$C$1:AQ$1)</f>
        <v>0.23262338042259215</v>
      </c>
      <c r="AR89" s="198" cm="1">
        <f t="array" ref="AR89">XIRR(INDEX(IF(COLUMN($C75:AR75)&lt;COLUMN(AR75),$C75:AQ75,AR7),),$C$1:AR$1)</f>
        <v>0.22944121956825256</v>
      </c>
      <c r="AS89" s="198" cm="1">
        <f t="array" ref="AS89">XIRR(INDEX(IF(COLUMN($C75:AS75)&lt;COLUMN(AS75),$C75:AR75,AS7),),$C$1:AS$1)</f>
        <v>0.2478220045566559</v>
      </c>
      <c r="AT89" s="198" cm="1">
        <f t="array" ref="AT89">XIRR(INDEX(IF(COLUMN($C75:AT75)&lt;COLUMN(AT75),$C75:AS75,AT7),),$C$1:AT$1)</f>
        <v>0.26656735539436338</v>
      </c>
      <c r="AU89" s="198" cm="1">
        <f t="array" ref="AU89">XIRR(INDEX(IF(COLUMN($C75:AU75)&lt;COLUMN(AU75),$C75:AT75,AU7),),$C$1:AU$1)</f>
        <v>0.25269947648048396</v>
      </c>
      <c r="AV89" s="198" cm="1">
        <f t="array" ref="AV89">XIRR(INDEX(IF(COLUMN($C75:AV75)&lt;COLUMN(AV75),$C75:AU75,AV7),),$C$1:AV$1)</f>
        <v>0.25235995650291443</v>
      </c>
      <c r="AW89" s="198" cm="1">
        <f t="array" ref="AW89">XIRR(INDEX(IF(COLUMN($C75:AW75)&lt;COLUMN(AW75),$C75:AV75,AW7),),$C$1:AW$1)</f>
        <v>0.22164234519004819</v>
      </c>
      <c r="AX89" s="198" cm="1">
        <f t="array" ref="AX89">XIRR(INDEX(IF(COLUMN($C75:AX75)&lt;COLUMN(AX75),$C75:AW75,AX7),),$C$1:AX$1)</f>
        <v>0.21698898673057551</v>
      </c>
      <c r="AY89" s="198" cm="1">
        <f t="array" ref="AY89">XIRR(INDEX(IF(COLUMN($C75:AY75)&lt;COLUMN(AY75),$C75:AX75,AY7),),$C$1:AY$1)</f>
        <v>0.21118465065956124</v>
      </c>
      <c r="AZ89" s="198" cm="1">
        <f t="array" ref="AZ89">XIRR(INDEX(IF(COLUMN($C75:AZ75)&lt;COLUMN(AZ75),$C75:AY75,AZ7),),$C$1:AZ$1)</f>
        <v>0.19233818650245665</v>
      </c>
      <c r="BA89" s="198" cm="1">
        <f t="array" ref="BA89">XIRR(INDEX(IF(COLUMN($C75:BA75)&lt;COLUMN(BA75),$C75:AZ75,BA7),),$C$1:BA$1)</f>
        <v>0.16517763733863836</v>
      </c>
      <c r="BB89" s="198" cm="1">
        <f t="array" ref="BB89">XIRR(INDEX(IF(COLUMN($C75:BB75)&lt;COLUMN(BB75),$C75:BA75,BB7),),$C$1:BB$1)</f>
        <v>0.15988956093788151</v>
      </c>
      <c r="BC89" s="198" cm="1">
        <f t="array" ref="BC89">XIRR(INDEX(IF(COLUMN($C75:BC75)&lt;COLUMN(BC75),$C75:BB75,BC7),),$C$1:BC$1)</f>
        <v>0.17322588562965396</v>
      </c>
      <c r="BD89" s="198" cm="1">
        <f t="array" ref="BD89">XIRR(INDEX(IF(COLUMN($C75:BD75)&lt;COLUMN(BD75),$C75:BC75,BD7),),$C$1:BD$1)</f>
        <v>0.17664201855659484</v>
      </c>
      <c r="BE89" s="198" cm="1">
        <f t="array" ref="BE89">XIRR(INDEX(IF(COLUMN($C75:BE75)&lt;COLUMN(BE75),$C75:BD75,BE7),),$C$1:BE$1)</f>
        <v>0.18198570609092715</v>
      </c>
      <c r="BF89" s="198" cm="1">
        <f t="array" ref="BF89">XIRR(INDEX(IF(COLUMN($C75:BF75)&lt;COLUMN(BF75),$C75:BE75,BF7),),$C$1:BF$1)</f>
        <v>0.16793389916419979</v>
      </c>
      <c r="BG89" s="198" cm="1">
        <f t="array" ref="BG89">XIRR(INDEX(IF(COLUMN($C75:BG75)&lt;COLUMN(BG75),$C75:BF75,BG7),),$C$1:BG$1)</f>
        <v>0.16294634938240055</v>
      </c>
      <c r="BH89" s="198" cm="1">
        <f t="array" ref="BH89">XIRR(INDEX(IF(COLUMN($C75:BH75)&lt;COLUMN(BH75),$C75:BG75,BH7),),$C$1:BH$1)</f>
        <v>0.16638870835304262</v>
      </c>
      <c r="BI89" s="198" cm="1">
        <f t="array" ref="BI89">XIRR(INDEX(IF(COLUMN($C75:BI75)&lt;COLUMN(BI75),$C75:BH75,BI7),),$C$1:BI$1)</f>
        <v>0.18146865963935854</v>
      </c>
      <c r="BJ89" s="198" cm="1">
        <f t="array" ref="BJ89">XIRR(INDEX(IF(COLUMN($C75:BJ75)&lt;COLUMN(BJ75),$C75:BI75,BJ7),),$C$1:BJ$1)</f>
        <v>0.173761135339737</v>
      </c>
      <c r="BK89" s="198" cm="1">
        <f t="array" ref="BK89">XIRR(INDEX(IF(COLUMN($C75:BK75)&lt;COLUMN(BK75),$C75:BJ75,BK7),),$C$1:BK$1)</f>
        <v>0.16965413689613343</v>
      </c>
      <c r="BL89" s="198" cm="1">
        <f t="array" ref="BL89">XIRR(INDEX(IF(COLUMN($C75:BL75)&lt;COLUMN(BL75),$C75:BK75,BL7),),$C$1:BL$1)</f>
        <v>0.15966492295265203</v>
      </c>
      <c r="BM89" s="198" cm="1">
        <f t="array" ref="BM89">XIRR(INDEX(IF(COLUMN($C75:BM75)&lt;COLUMN(BM75),$C75:BL75,BM7),),$C$1:BM$1)</f>
        <v>0.15852115750312809</v>
      </c>
      <c r="BN89" s="198" cm="1">
        <f t="array" ref="BN89">XIRR(INDEX(IF(COLUMN($C75:BN75)&lt;COLUMN(BN75),$C75:BM75,BN7),),$C$1:BN$1)</f>
        <v>0.1247466504573822</v>
      </c>
      <c r="BO89" s="198" cm="1">
        <f t="array" ref="BO89">XIRR(INDEX(IF(COLUMN($C75:BO75)&lt;COLUMN(BO75),$C75:BN75,BO7),),$C$1:BO$1)</f>
        <v>0.12832819819450375</v>
      </c>
      <c r="BP89" s="71"/>
      <c r="BR89" s="159"/>
    </row>
    <row r="90" spans="1:70">
      <c r="A90" s="106" t="s">
        <v>121</v>
      </c>
      <c r="B90" s="106" t="s">
        <v>7</v>
      </c>
      <c r="C90" s="197"/>
      <c r="D90" s="198" cm="1">
        <f t="array" ref="D90">XIRR(INDEX(IF(COLUMN($C76:D76)&lt;COLUMN(D76),$C76:C76,D8),),$C$1:D$1)</f>
        <v>8.5372766971588128</v>
      </c>
      <c r="E90" s="198" cm="1">
        <f t="array" ref="E90">XIRR(INDEX(IF(COLUMN($C76:E76)&lt;COLUMN(E76),$C76:D76,E8),),$C$1:E$1)</f>
        <v>2.0892288446426397</v>
      </c>
      <c r="F90" s="198" cm="1">
        <f t="array" ref="F90">XIRR(INDEX(IF(COLUMN($C76:F76)&lt;COLUMN(F76),$C76:E76,F8),),$C$1:F$1)</f>
        <v>1.1668635964393617</v>
      </c>
      <c r="G90" s="198" cm="1">
        <f t="array" ref="G90">XIRR(INDEX(IF(COLUMN($C76:G76)&lt;COLUMN(G76),$C76:F76,G8),),$C$1:G$1)</f>
        <v>4.2962569713592531</v>
      </c>
      <c r="H90" s="198" cm="1">
        <f t="array" ref="H90">XIRR(INDEX(IF(COLUMN($C76:H76)&lt;COLUMN(H76),$C76:G76,H8),),$C$1:H$1)</f>
        <v>2.8535518884658817</v>
      </c>
      <c r="I90" s="198" cm="1">
        <f t="array" ref="I90">XIRR(INDEX(IF(COLUMN($C76:I76)&lt;COLUMN(I76),$C76:H76,I8),),$C$1:I$1)</f>
        <v>2.1154758691787716</v>
      </c>
      <c r="J90" s="198" cm="1">
        <f t="array" ref="J90">XIRR(INDEX(IF(COLUMN($C76:J76)&lt;COLUMN(J76),$C76:I76,J8),),$C$1:J$1)</f>
        <v>1.7108494877815248</v>
      </c>
      <c r="K90" s="198" cm="1">
        <f t="array" ref="K90">XIRR(INDEX(IF(COLUMN($C76:K76)&lt;COLUMN(K76),$C76:J76,K8),),$C$1:K$1)</f>
        <v>1.3749947905540467</v>
      </c>
      <c r="L90" s="198" cm="1">
        <f t="array" ref="L90">XIRR(INDEX(IF(COLUMN($C76:L76)&lt;COLUMN(L76),$C76:K76,L8),),$C$1:L$1)</f>
        <v>1.3918171048164372</v>
      </c>
      <c r="M90" s="198" cm="1">
        <f t="array" ref="M90">XIRR(INDEX(IF(COLUMN($C76:M76)&lt;COLUMN(M76),$C76:L76,M8),),$C$1:M$1)</f>
        <v>0.86065629720687875</v>
      </c>
      <c r="N90" s="198" cm="1">
        <f t="array" ref="N90">XIRR(INDEX(IF(COLUMN($C76:N76)&lt;COLUMN(N76),$C76:M76,N8),),$C$1:N$1)</f>
        <v>0.7388768792152407</v>
      </c>
      <c r="O90" s="198" cm="1">
        <f t="array" ref="O90">XIRR(INDEX(IF(COLUMN($C76:O76)&lt;COLUMN(O76),$C76:N76,O8),),$C$1:O$1)</f>
        <v>0.68416829705238336</v>
      </c>
      <c r="P90" s="198" cm="1">
        <f t="array" ref="P90">XIRR(INDEX(IF(COLUMN($C76:P76)&lt;COLUMN(P76),$C76:O76,P8),),$C$1:P$1)</f>
        <v>0.61037827134132383</v>
      </c>
      <c r="Q90" s="198" cm="1">
        <f t="array" ref="Q90">XIRR(INDEX(IF(COLUMN($C76:Q76)&lt;COLUMN(Q76),$C76:P76,Q8),),$C$1:Q$1)</f>
        <v>0.55561560988426217</v>
      </c>
      <c r="R90" s="198" cm="1">
        <f t="array" ref="R90">XIRR(INDEX(IF(COLUMN($C76:R76)&lt;COLUMN(R76),$C76:Q76,R8),),$C$1:R$1)</f>
        <v>0.51626535058021539</v>
      </c>
      <c r="S90" s="198" cm="1">
        <f t="array" ref="S90">XIRR(INDEX(IF(COLUMN($C76:S76)&lt;COLUMN(S76),$C76:R76,S8),),$C$1:S$1)</f>
        <v>0.55869019627571115</v>
      </c>
      <c r="T90" s="198" cm="1">
        <f t="array" ref="T90">XIRR(INDEX(IF(COLUMN($C76:T76)&lt;COLUMN(T76),$C76:S76,T8),),$C$1:T$1)</f>
        <v>0.48835207819938664</v>
      </c>
      <c r="U90" s="198" cm="1">
        <f t="array" ref="U90">XIRR(INDEX(IF(COLUMN($C76:U76)&lt;COLUMN(U76),$C76:T76,U8),),$C$1:U$1)</f>
        <v>0.46276434063911431</v>
      </c>
      <c r="V90" s="198" cm="1">
        <f t="array" ref="V90">XIRR(INDEX(IF(COLUMN($C76:V76)&lt;COLUMN(V76),$C76:U76,V8),),$C$1:V$1)</f>
        <v>0.44237509369850159</v>
      </c>
      <c r="W90" s="198" cm="1">
        <f t="array" ref="W90">XIRR(INDEX(IF(COLUMN($C76:W76)&lt;COLUMN(W76),$C76:V76,W8),),$C$1:W$1)</f>
        <v>0.4709445416927337</v>
      </c>
      <c r="X90" s="198" cm="1">
        <f t="array" ref="X90">XIRR(INDEX(IF(COLUMN($C76:X76)&lt;COLUMN(X76),$C76:W76,X8),),$C$1:X$1)</f>
        <v>0.37707892060279846</v>
      </c>
      <c r="Y90" s="198" cm="1">
        <f t="array" ref="Y90">XIRR(INDEX(IF(COLUMN($C76:Y76)&lt;COLUMN(Y76),$C76:X76,Y8),),$C$1:Y$1)</f>
        <v>0.33836742043495183</v>
      </c>
      <c r="Z90" s="198" cm="1">
        <f t="array" ref="Z90">XIRR(INDEX(IF(COLUMN($C76:Z76)&lt;COLUMN(Z76),$C76:Y76,Z8),),$C$1:Z$1)</f>
        <v>0.32843443751335144</v>
      </c>
      <c r="AA90" s="198" cm="1">
        <f t="array" ref="AA90">XIRR(INDEX(IF(COLUMN($C76:AA76)&lt;COLUMN(AA76),$C76:Z76,AA8),),$C$1:AA$1)</f>
        <v>0.31479519009590151</v>
      </c>
      <c r="AB90" s="198" cm="1">
        <f t="array" ref="AB90">XIRR(INDEX(IF(COLUMN($C76:AB76)&lt;COLUMN(AB76),$C76:AA76,AB8),),$C$1:AB$1)</f>
        <v>0.30105155110359194</v>
      </c>
      <c r="AC90" s="198" cm="1">
        <f t="array" ref="AC90">XIRR(INDEX(IF(COLUMN($C76:AC76)&lt;COLUMN(AC76),$C76:AB76,AC8),),$C$1:AC$1)</f>
        <v>0.28713337779045101</v>
      </c>
      <c r="AD90" s="198" cm="1">
        <f t="array" ref="AD90">XIRR(INDEX(IF(COLUMN($C76:AD76)&lt;COLUMN(AD76),$C76:AC76,AD8),),$C$1:AD$1)</f>
        <v>0.25903660655021676</v>
      </c>
      <c r="AE90" s="198" cm="1">
        <f t="array" ref="AE90">XIRR(INDEX(IF(COLUMN($C76:AE76)&lt;COLUMN(AE76),$C76:AD76,AE8),),$C$1:AE$1)</f>
        <v>0.25659738183021541</v>
      </c>
      <c r="AF90" s="198" cm="1">
        <f t="array" ref="AF90">XIRR(INDEX(IF(COLUMN($C76:AF76)&lt;COLUMN(AF76),$C76:AE76,AF8),),$C$1:AF$1)</f>
        <v>0.25026499629020693</v>
      </c>
      <c r="AG90" s="198" cm="1">
        <f t="array" ref="AG90">XIRR(INDEX(IF(COLUMN($C76:AG76)&lt;COLUMN(AG76),$C76:AF76,AG8),),$C$1:AG$1)</f>
        <v>0.24238503575325013</v>
      </c>
      <c r="AH90" s="198" cm="1">
        <f t="array" ref="AH90">XIRR(INDEX(IF(COLUMN($C76:AH76)&lt;COLUMN(AH76),$C76:AG76,AH8),),$C$1:AH$1)</f>
        <v>0.30743785500526433</v>
      </c>
      <c r="AI90" s="198" cm="1">
        <f t="array" ref="AI90">XIRR(INDEX(IF(COLUMN($C76:AI76)&lt;COLUMN(AI76),$C76:AH76,AI8),),$C$1:AI$1)</f>
        <v>0.22740951180458072</v>
      </c>
      <c r="AJ90" s="198" cm="1">
        <f t="array" ref="AJ90">XIRR(INDEX(IF(COLUMN($C76:AJ76)&lt;COLUMN(AJ76),$C76:AI76,AJ8),),$C$1:AJ$1)</f>
        <v>0.2201880633831024</v>
      </c>
      <c r="AK90" s="198" cm="1">
        <f t="array" ref="AK90">XIRR(INDEX(IF(COLUMN($C76:AK76)&lt;COLUMN(AK76),$C76:AJ76,AK8),),$C$1:AK$1)</f>
        <v>0.21220256686210634</v>
      </c>
      <c r="AL90" s="198" cm="1">
        <f t="array" ref="AL90">XIRR(INDEX(IF(COLUMN($C76:AL76)&lt;COLUMN(AL76),$C76:AK76,AL8),),$C$1:AL$1)</f>
        <v>0.20735157132148743</v>
      </c>
      <c r="AM90" s="198" cm="1">
        <f t="array" ref="AM90">XIRR(INDEX(IF(COLUMN($C76:AM76)&lt;COLUMN(AM76),$C76:AL76,AM8),),$C$1:AM$1)</f>
        <v>0.20336394906044011</v>
      </c>
      <c r="AN90" s="198" cm="1">
        <f t="array" ref="AN90">XIRR(INDEX(IF(COLUMN($C76:AN76)&lt;COLUMN(AN76),$C76:AM76,AN8),),$C$1:AN$1)</f>
        <v>0.20053506493568421</v>
      </c>
      <c r="AO90" s="198" cm="1">
        <f t="array" ref="AO90">XIRR(INDEX(IF(COLUMN($C76:AO76)&lt;COLUMN(AO76),$C76:AN76,AO8),),$C$1:AO$1)</f>
        <v>0.1965402185916901</v>
      </c>
      <c r="AP90" s="198" cm="1">
        <f t="array" ref="AP90">XIRR(INDEX(IF(COLUMN($C76:AP76)&lt;COLUMN(AP76),$C76:AO76,AP8),),$C$1:AP$1)</f>
        <v>0.27479472756385814</v>
      </c>
      <c r="AQ90" s="198" cm="1">
        <f t="array" ref="AQ90">XIRR(INDEX(IF(COLUMN($C76:AQ76)&lt;COLUMN(AQ76),$C76:AP76,AQ8),),$C$1:AQ$1)</f>
        <v>0.26715039610862734</v>
      </c>
      <c r="AR90" s="198" cm="1">
        <f t="array" ref="AR90">XIRR(INDEX(IF(COLUMN($C76:AR76)&lt;COLUMN(AR76),$C76:AQ76,AR8),),$C$1:AR$1)</f>
        <v>0.26163386702537528</v>
      </c>
      <c r="AS90" s="198" cm="1">
        <f t="array" ref="AS90">XIRR(INDEX(IF(COLUMN($C76:AS76)&lt;COLUMN(AS76),$C76:AR76,AS8),),$C$1:AS$1)</f>
        <v>0.25684041380882272</v>
      </c>
      <c r="AT90" s="198" cm="1">
        <f t="array" ref="AT90">XIRR(INDEX(IF(COLUMN($C76:AT76)&lt;COLUMN(AT76),$C76:AS76,AT8),),$C$1:AT$1)</f>
        <v>0.26563456654548645</v>
      </c>
      <c r="AU90" s="198" cm="1">
        <f t="array" ref="AU90">XIRR(INDEX(IF(COLUMN($C76:AU76)&lt;COLUMN(AU76),$C76:AT76,AU8),),$C$1:AU$1)</f>
        <v>0.24747900366783146</v>
      </c>
      <c r="AV90" s="198" cm="1">
        <f t="array" ref="AV90">XIRR(INDEX(IF(COLUMN($C76:AV76)&lt;COLUMN(AV76),$C76:AU76,AV8),),$C$1:AV$1)</f>
        <v>0.24512990117073058</v>
      </c>
      <c r="AW90" s="198" cm="1">
        <f t="array" ref="AW90">XIRR(INDEX(IF(COLUMN($C76:AW76)&lt;COLUMN(AW76),$C76:AV76,AW8),),$C$1:AW$1)</f>
        <v>0.24069131016731257</v>
      </c>
      <c r="AX90" s="198" cm="1">
        <f t="array" ref="AX90">XIRR(INDEX(IF(COLUMN($C76:AX76)&lt;COLUMN(AX76),$C76:AW76,AX8),),$C$1:AX$1)</f>
        <v>0.23599194884300229</v>
      </c>
      <c r="AY90" s="198" cm="1">
        <f t="array" ref="AY90">XIRR(INDEX(IF(COLUMN($C76:AY76)&lt;COLUMN(AY76),$C76:AX76,AY8),),$C$1:AY$1)</f>
        <v>0.23135702013969422</v>
      </c>
      <c r="AZ90" s="198" cm="1">
        <f t="array" ref="AZ90">XIRR(INDEX(IF(COLUMN($C76:AZ76)&lt;COLUMN(AZ76),$C76:AY76,AZ8),),$C$1:AZ$1)</f>
        <v>0.22775023579597475</v>
      </c>
      <c r="BA90" s="198" cm="1">
        <f t="array" ref="BA90">XIRR(INDEX(IF(COLUMN($C76:BA76)&lt;COLUMN(BA76),$C76:AZ76,BA8),),$C$1:BA$1)</f>
        <v>0.222207123041153</v>
      </c>
      <c r="BB90" s="198" cm="1">
        <f t="array" ref="BB90">XIRR(INDEX(IF(COLUMN($C76:BB76)&lt;COLUMN(BB76),$C76:BA76,BB8),),$C$1:BB$1)</f>
        <v>0.24905981421470644</v>
      </c>
      <c r="BC90" s="198" cm="1">
        <f t="array" ref="BC90">XIRR(INDEX(IF(COLUMN($C76:BC76)&lt;COLUMN(BC76),$C76:BB76,BC8),),$C$1:BC$1)</f>
        <v>0.24673200249671942</v>
      </c>
      <c r="BD90" s="198" cm="1">
        <f t="array" ref="BD90">XIRR(INDEX(IF(COLUMN($C76:BD76)&lt;COLUMN(BD76),$C76:BC76,BD8),),$C$1:BD$1)</f>
        <v>0.24445088505744933</v>
      </c>
      <c r="BE90" s="198" cm="1">
        <f t="array" ref="BE90">XIRR(INDEX(IF(COLUMN($C76:BE76)&lt;COLUMN(BE76),$C76:BD76,BE8),),$C$1:BE$1)</f>
        <v>0.23766049742698664</v>
      </c>
      <c r="BF90" s="198" cm="1">
        <f t="array" ref="BF90">XIRR(INDEX(IF(COLUMN($C76:BF76)&lt;COLUMN(BF76),$C76:BE76,BF8),),$C$1:BF$1)</f>
        <v>0.23553170561790465</v>
      </c>
      <c r="BG90" s="198" cm="1">
        <f t="array" ref="BG90">XIRR(INDEX(IF(COLUMN($C76:BG76)&lt;COLUMN(BG76),$C76:BF76,BG8),),$C$1:BG$1)</f>
        <v>0.22916514277458194</v>
      </c>
      <c r="BH90" s="198" cm="1">
        <f t="array" ref="BH90">XIRR(INDEX(IF(COLUMN($C76:BH76)&lt;COLUMN(BH76),$C76:BG76,BH8),),$C$1:BH$1)</f>
        <v>0.22576009631156918</v>
      </c>
      <c r="BI90" s="198" cm="1">
        <f t="array" ref="BI90">XIRR(INDEX(IF(COLUMN($C76:BI76)&lt;COLUMN(BI76),$C76:BH76,BI8),),$C$1:BI$1)</f>
        <v>0.23421350121498111</v>
      </c>
      <c r="BJ90" s="198" cm="1">
        <f t="array" ref="BJ90">XIRR(INDEX(IF(COLUMN($C76:BJ76)&lt;COLUMN(BJ76),$C76:BI76,BJ8),),$C$1:BJ$1)</f>
        <v>0.2159730136394501</v>
      </c>
      <c r="BK90" s="198" cm="1">
        <f t="array" ref="BK90">XIRR(INDEX(IF(COLUMN($C76:BK76)&lt;COLUMN(BK76),$C76:BJ76,BK8),),$C$1:BK$1)</f>
        <v>0.21126962304115302</v>
      </c>
      <c r="BL90" s="198" cm="1">
        <f t="array" ref="BL90">XIRR(INDEX(IF(COLUMN($C76:BL76)&lt;COLUMN(BL76),$C76:BK76,BL8),),$C$1:BL$1)</f>
        <v>0.2057585656642914</v>
      </c>
      <c r="BM90" s="198" cm="1">
        <f t="array" ref="BM90">XIRR(INDEX(IF(COLUMN($C76:BM76)&lt;COLUMN(BM76),$C76:BL76,BM8),),$C$1:BM$1)</f>
        <v>0.20436527132987978</v>
      </c>
      <c r="BN90" s="198" cm="1">
        <f t="array" ref="BN90">XIRR(INDEX(IF(COLUMN($C76:BN76)&lt;COLUMN(BN76),$C76:BM76,BN8),),$C$1:BN$1)</f>
        <v>0.19982406497001651</v>
      </c>
      <c r="BO90" s="198" cm="1">
        <f t="array" ref="BO90">XIRR(INDEX(IF(COLUMN($C76:BO76)&lt;COLUMN(BO76),$C76:BN76,BO8),),$C$1:BO$1)</f>
        <v>0.2080659806728363</v>
      </c>
      <c r="BP90" s="71"/>
      <c r="BR90" s="159"/>
    </row>
    <row r="91" spans="1:70">
      <c r="A91" s="106" t="s">
        <v>122</v>
      </c>
      <c r="B91" s="106" t="s">
        <v>7</v>
      </c>
      <c r="C91" s="197"/>
      <c r="D91" s="198" cm="1">
        <f t="array" ref="D91">XIRR(INDEX(IF(COLUMN($C77:D77)&lt;COLUMN(D77),$C77:C77,D9),),$C$1:D$1)</f>
        <v>8.754783105850219</v>
      </c>
      <c r="E91" s="198" cm="1">
        <f t="array" ref="E91">XIRR(INDEX(IF(COLUMN($C77:E77)&lt;COLUMN(E77),$C77:D77,E9),),$C$1:E$1)</f>
        <v>1.5611061215400699</v>
      </c>
      <c r="F91" s="198" cm="1">
        <f t="array" ref="F91">XIRR(INDEX(IF(COLUMN($C77:F77)&lt;COLUMN(F77),$C77:E77,F9),),$C$1:F$1)</f>
        <v>1.0155481457710267</v>
      </c>
      <c r="G91" s="198" cm="1">
        <f t="array" ref="G91">XIRR(INDEX(IF(COLUMN($C77:G77)&lt;COLUMN(G77),$C77:F77,G9),),$C$1:G$1)</f>
        <v>4.3653477191925054</v>
      </c>
      <c r="H91" s="198" cm="1">
        <f t="array" ref="H91">XIRR(INDEX(IF(COLUMN($C77:H77)&lt;COLUMN(H77),$C77:G77,H9),),$C$1:H$1)</f>
        <v>2.8594099283218397</v>
      </c>
      <c r="I91" s="198" cm="1">
        <f t="array" ref="I91">XIRR(INDEX(IF(COLUMN($C77:I77)&lt;COLUMN(I77),$C77:H77,I9),),$C$1:I$1)</f>
        <v>2.097123885154724</v>
      </c>
      <c r="J91" s="198" cm="1">
        <f t="array" ref="J91">XIRR(INDEX(IF(COLUMN($C77:J77)&lt;COLUMN(J77),$C77:I77,J9),),$C$1:J$1)</f>
        <v>1.6723354220390318</v>
      </c>
      <c r="K91" s="198" cm="1">
        <f t="array" ref="K91">XIRR(INDEX(IF(COLUMN($C77:K77)&lt;COLUMN(K77),$C77:J77,K9),),$C$1:K$1)</f>
        <v>1.3728804469108578</v>
      </c>
      <c r="L91" s="198" cm="1">
        <f t="array" ref="L91">XIRR(INDEX(IF(COLUMN($C77:L77)&lt;COLUMN(L77),$C77:K77,L9),),$C$1:L$1)</f>
        <v>1.3884130835533146</v>
      </c>
      <c r="M91" s="198" cm="1">
        <f t="array" ref="M91">XIRR(INDEX(IF(COLUMN($C77:M77)&lt;COLUMN(M77),$C77:L77,M9),),$C$1:M$1)</f>
        <v>1.0675892710685735</v>
      </c>
      <c r="N91" s="198" cm="1">
        <f t="array" ref="N91">XIRR(INDEX(IF(COLUMN($C77:N77)&lt;COLUMN(N77),$C77:M77,N9),),$C$1:N$1)</f>
        <v>0.9544524312019349</v>
      </c>
      <c r="O91" s="198" cm="1">
        <f t="array" ref="O91">XIRR(INDEX(IF(COLUMN($C77:O77)&lt;COLUMN(O77),$C77:N77,O9),),$C$1:O$1)</f>
        <v>0.85003334283828735</v>
      </c>
      <c r="P91" s="198" cm="1">
        <f t="array" ref="P91">XIRR(INDEX(IF(COLUMN($C77:P77)&lt;COLUMN(P77),$C77:O77,P9),),$C$1:P$1)</f>
        <v>0.73476113080978389</v>
      </c>
      <c r="Q91" s="198" cm="1">
        <f t="array" ref="Q91">XIRR(INDEX(IF(COLUMN($C77:Q77)&lt;COLUMN(Q77),$C77:P77,Q9),),$C$1:Q$1)</f>
        <v>0.67396627068519599</v>
      </c>
      <c r="R91" s="198" cm="1">
        <f t="array" ref="R91">XIRR(INDEX(IF(COLUMN($C77:R77)&lt;COLUMN(R77),$C77:Q77,R9),),$C$1:R$1)</f>
        <v>0.62703195214271557</v>
      </c>
      <c r="S91" s="198" cm="1">
        <f t="array" ref="S91">XIRR(INDEX(IF(COLUMN($C77:S77)&lt;COLUMN(S77),$C77:R77,S9),),$C$1:S$1)</f>
        <v>0.68260298371314998</v>
      </c>
      <c r="T91" s="198" cm="1">
        <f t="array" ref="T91">XIRR(INDEX(IF(COLUMN($C77:T77)&lt;COLUMN(T77),$C77:S77,T9),),$C$1:T$1)</f>
        <v>0.60376330018043511</v>
      </c>
      <c r="U91" s="198" cm="1">
        <f t="array" ref="U91">XIRR(INDEX(IF(COLUMN($C77:U77)&lt;COLUMN(U77),$C77:T77,U9),),$C$1:U$1)</f>
        <v>0.5749889910221101</v>
      </c>
      <c r="V91" s="198" cm="1">
        <f t="array" ref="V91">XIRR(INDEX(IF(COLUMN($C77:V77)&lt;COLUMN(V77),$C77:U77,V9),),$C$1:V$1)</f>
        <v>0.54858072400093083</v>
      </c>
      <c r="W91" s="198" cm="1">
        <f t="array" ref="W91">XIRR(INDEX(IF(COLUMN($C77:W77)&lt;COLUMN(W77),$C77:V77,W9),),$C$1:W$1)</f>
        <v>0.57162291407585153</v>
      </c>
      <c r="X91" s="198" cm="1">
        <f t="array" ref="X91">XIRR(INDEX(IF(COLUMN($C77:X77)&lt;COLUMN(X77),$C77:W77,X9),),$C$1:X$1)</f>
        <v>0.51548170447349528</v>
      </c>
      <c r="Y91" s="198" cm="1">
        <f t="array" ref="Y91">XIRR(INDEX(IF(COLUMN($C77:Y77)&lt;COLUMN(Y77),$C77:X77,Y9),),$C$1:Y$1)</f>
        <v>0.4869588315486908</v>
      </c>
      <c r="Z91" s="198" cm="1">
        <f t="array" ref="Z91">XIRR(INDEX(IF(COLUMN($C77:Z77)&lt;COLUMN(Z77),$C77:Y77,Z9),),$C$1:Z$1)</f>
        <v>0.47518143057823181</v>
      </c>
      <c r="AA91" s="198" cm="1">
        <f t="array" ref="AA91">XIRR(INDEX(IF(COLUMN($C77:AA77)&lt;COLUMN(AA77),$C77:Z77,AA9),),$C$1:AA$1)</f>
        <v>0.4508378088474273</v>
      </c>
      <c r="AB91" s="198" cm="1">
        <f t="array" ref="AB91">XIRR(INDEX(IF(COLUMN($C77:AB77)&lt;COLUMN(AB77),$C77:AA77,AB9),),$C$1:AB$1)</f>
        <v>0.43335639834403994</v>
      </c>
      <c r="AC91" s="198" cm="1">
        <f t="array" ref="AC91">XIRR(INDEX(IF(COLUMN($C77:AC77)&lt;COLUMN(AC77),$C77:AB77,AC9),),$C$1:AC$1)</f>
        <v>0.4138175308704376</v>
      </c>
      <c r="AD91" s="198" cm="1">
        <f t="array" ref="AD91">XIRR(INDEX(IF(COLUMN($C77:AD77)&lt;COLUMN(AD77),$C77:AC77,AD9),),$C$1:AD$1)</f>
        <v>0.37583941817283628</v>
      </c>
      <c r="AE91" s="198" cm="1">
        <f t="array" ref="AE91">XIRR(INDEX(IF(COLUMN($C77:AE77)&lt;COLUMN(AE77),$C77:AD77,AE9),),$C$1:AE$1)</f>
        <v>0.37033893465995793</v>
      </c>
      <c r="AF91" s="198" cm="1">
        <f t="array" ref="AF91">XIRR(INDEX(IF(COLUMN($C77:AF77)&lt;COLUMN(AF77),$C77:AE77,AF9),),$C$1:AF$1)</f>
        <v>0.36208298802375805</v>
      </c>
      <c r="AG91" s="198" cm="1">
        <f t="array" ref="AG91">XIRR(INDEX(IF(COLUMN($C77:AG77)&lt;COLUMN(AG77),$C77:AF77,AG9),),$C$1:AG$1)</f>
        <v>0.34642139077186596</v>
      </c>
      <c r="AH91" s="198" cm="1">
        <f t="array" ref="AH91">XIRR(INDEX(IF(COLUMN($C77:AH77)&lt;COLUMN(AH77),$C77:AG77,AH9),),$C$1:AH$1)</f>
        <v>0.40602607131004331</v>
      </c>
      <c r="AI91" s="198" cm="1">
        <f t="array" ref="AI91">XIRR(INDEX(IF(COLUMN($C77:AI77)&lt;COLUMN(AI77),$C77:AH77,AI9),),$C$1:AI$1)</f>
        <v>0.32358949780464175</v>
      </c>
      <c r="AJ91" s="198" cm="1">
        <f t="array" ref="AJ91">XIRR(INDEX(IF(COLUMN($C77:AJ77)&lt;COLUMN(AJ77),$C77:AI77,AJ9),),$C$1:AJ$1)</f>
        <v>0.31015810370445263</v>
      </c>
      <c r="AK91" s="198" cm="1">
        <f t="array" ref="AK91">XIRR(INDEX(IF(COLUMN($C77:AK77)&lt;COLUMN(AK77),$C77:AJ77,AK9),),$C$1:AK$1)</f>
        <v>0.29686766266822828</v>
      </c>
      <c r="AL91" s="198" cm="1">
        <f t="array" ref="AL91">XIRR(INDEX(IF(COLUMN($C77:AL77)&lt;COLUMN(AL77),$C77:AK77,AL9),),$C$1:AL$1)</f>
        <v>0.28901682496070857</v>
      </c>
      <c r="AM91" s="198" cm="1">
        <f t="array" ref="AM91">XIRR(INDEX(IF(COLUMN($C77:AM77)&lt;COLUMN(AM77),$C77:AL77,AM9),),$C$1:AM$1)</f>
        <v>0.28592967391014101</v>
      </c>
      <c r="AN91" s="198" cm="1">
        <f t="array" ref="AN91">XIRR(INDEX(IF(COLUMN($C77:AN77)&lt;COLUMN(AN77),$C77:AM77,AN9),),$C$1:AN$1)</f>
        <v>0.28570657372474673</v>
      </c>
      <c r="AO91" s="198" cm="1">
        <f t="array" ref="AO91">XIRR(INDEX(IF(COLUMN($C77:AO77)&lt;COLUMN(AO77),$C77:AN77,AO9),),$C$1:AO$1)</f>
        <v>0.27931439280509951</v>
      </c>
      <c r="AP91" s="198" cm="1">
        <f t="array" ref="AP91">XIRR(INDEX(IF(COLUMN($C77:AP77)&lt;COLUMN(AP77),$C77:AO77,AP9),),$C$1:AP$1)</f>
        <v>0.3490969359874726</v>
      </c>
      <c r="AQ91" s="198" cm="1">
        <f t="array" ref="AQ91">XIRR(INDEX(IF(COLUMN($C77:AQ77)&lt;COLUMN(AQ77),$C77:AP77,AQ9),),$C$1:AQ$1)</f>
        <v>0.33767128586769102</v>
      </c>
      <c r="AR91" s="198" cm="1">
        <f t="array" ref="AR91">XIRR(INDEX(IF(COLUMN($C77:AR77)&lt;COLUMN(AR77),$C77:AQ77,AR9),),$C$1:AR$1)</f>
        <v>0.33430880904197702</v>
      </c>
      <c r="AS91" s="198" cm="1">
        <f t="array" ref="AS91">XIRR(INDEX(IF(COLUMN($C77:AS77)&lt;COLUMN(AS77),$C77:AR77,AS9),),$C$1:AS$1)</f>
        <v>0.32858480811119095</v>
      </c>
      <c r="AT91" s="198" cm="1">
        <f t="array" ref="AT91">XIRR(INDEX(IF(COLUMN($C77:AT77)&lt;COLUMN(AT77),$C77:AS77,AT9),),$C$1:AT$1)</f>
        <v>0.33576626181602476</v>
      </c>
      <c r="AU91" s="198" cm="1">
        <f t="array" ref="AU91">XIRR(INDEX(IF(COLUMN($C77:AU77)&lt;COLUMN(AU77),$C77:AT77,AU9),),$C$1:AU$1)</f>
        <v>0.31078297495841989</v>
      </c>
      <c r="AV91" s="198" cm="1">
        <f t="array" ref="AV91">XIRR(INDEX(IF(COLUMN($C77:AV77)&lt;COLUMN(AV77),$C77:AU77,AV9),),$C$1:AV$1)</f>
        <v>0.3097385942935944</v>
      </c>
      <c r="AW91" s="198" cm="1">
        <f t="array" ref="AW91">XIRR(INDEX(IF(COLUMN($C77:AW77)&lt;COLUMN(AW77),$C77:AV77,AW9),),$C$1:AW$1)</f>
        <v>0.30007635951042189</v>
      </c>
      <c r="AX91" s="198" cm="1">
        <f t="array" ref="AX91">XIRR(INDEX(IF(COLUMN($C77:AX77)&lt;COLUMN(AX77),$C77:AW77,AX9),),$C$1:AX$1)</f>
        <v>0.29320458769798285</v>
      </c>
      <c r="AY91" s="198" cm="1">
        <f t="array" ref="AY91">XIRR(INDEX(IF(COLUMN($C77:AY77)&lt;COLUMN(AY77),$C77:AX77,AY9),),$C$1:AY$1)</f>
        <v>0.28600693345069894</v>
      </c>
      <c r="AZ91" s="198" cm="1">
        <f t="array" ref="AZ91">XIRR(INDEX(IF(COLUMN($C77:AZ77)&lt;COLUMN(AZ77),$C77:AY77,AZ9),),$C$1:AZ$1)</f>
        <v>0.28185328841209412</v>
      </c>
      <c r="BA91" s="198" cm="1">
        <f t="array" ref="BA91">XIRR(INDEX(IF(COLUMN($C77:BA77)&lt;COLUMN(BA77),$C77:AZ77,BA9),),$C$1:BA$1)</f>
        <v>0.27377384305000296</v>
      </c>
      <c r="BB91" s="198" cm="1">
        <f t="array" ref="BB91">XIRR(INDEX(IF(COLUMN($C77:BB77)&lt;COLUMN(BB77),$C77:BA77,BB9),),$C$1:BB$1)</f>
        <v>0.3321219742298126</v>
      </c>
      <c r="BC91" s="198" cm="1">
        <f t="array" ref="BC91">XIRR(INDEX(IF(COLUMN($C77:BC77)&lt;COLUMN(BC77),$C77:BB77,BC9),),$C$1:BC$1)</f>
        <v>0.32985644936561587</v>
      </c>
      <c r="BD91" s="198" cm="1">
        <f t="array" ref="BD91">XIRR(INDEX(IF(COLUMN($C77:BD77)&lt;COLUMN(BD77),$C77:BC77,BD9),),$C$1:BD$1)</f>
        <v>0.32285788655281067</v>
      </c>
      <c r="BE91" s="198" cm="1">
        <f t="array" ref="BE91">XIRR(INDEX(IF(COLUMN($C77:BE77)&lt;COLUMN(BE77),$C77:BD77,BE9),),$C$1:BE$1)</f>
        <v>0.30935037732124337</v>
      </c>
      <c r="BF91" s="198" cm="1">
        <f t="array" ref="BF91">XIRR(INDEX(IF(COLUMN($C77:BF77)&lt;COLUMN(BF77),$C77:BE77,BF9),),$C$1:BF$1)</f>
        <v>0.30352284312248234</v>
      </c>
      <c r="BG91" s="198" cm="1">
        <f t="array" ref="BG91">XIRR(INDEX(IF(COLUMN($C77:BG77)&lt;COLUMN(BG77),$C77:BF77,BG9),),$C$1:BG$1)</f>
        <v>0.28918868899345407</v>
      </c>
      <c r="BH91" s="198" cm="1">
        <f t="array" ref="BH91">XIRR(INDEX(IF(COLUMN($C77:BH77)&lt;COLUMN(BH77),$C77:BG77,BH9),),$C$1:BH$1)</f>
        <v>0.28818128705024715</v>
      </c>
      <c r="BI91" s="198" cm="1">
        <f t="array" ref="BI91">XIRR(INDEX(IF(COLUMN($C77:BI77)&lt;COLUMN(BI77),$C77:BH77,BI9),),$C$1:BI$1)</f>
        <v>0.29254464507102973</v>
      </c>
      <c r="BJ91" s="198" cm="1">
        <f t="array" ref="BJ91">XIRR(INDEX(IF(COLUMN($C77:BJ77)&lt;COLUMN(BJ77),$C77:BI77,BJ9),),$C$1:BJ$1)</f>
        <v>0.27148708701133728</v>
      </c>
      <c r="BK91" s="198" cm="1">
        <f t="array" ref="BK91">XIRR(INDEX(IF(COLUMN($C77:BK77)&lt;COLUMN(BK77),$C77:BJ77,BK9),),$C$1:BK$1)</f>
        <v>0.26687690615654003</v>
      </c>
      <c r="BL91" s="198" cm="1">
        <f t="array" ref="BL91">XIRR(INDEX(IF(COLUMN($C77:BL77)&lt;COLUMN(BL77),$C77:BK77,BL9),),$C$1:BL$1)</f>
        <v>0.26051613688468944</v>
      </c>
      <c r="BM91" s="198" cm="1">
        <f t="array" ref="BM91">XIRR(INDEX(IF(COLUMN($C77:BM77)&lt;COLUMN(BM77),$C77:BL77,BM9),),$C$1:BM$1)</f>
        <v>0.25744419693946841</v>
      </c>
      <c r="BN91" s="198" cm="1">
        <f t="array" ref="BN91">XIRR(INDEX(IF(COLUMN($C77:BN77)&lt;COLUMN(BN77),$C77:BM77,BN9),),$C$1:BN$1)</f>
        <v>0.24530748724937437</v>
      </c>
      <c r="BO91" s="198" cm="1">
        <f t="array" ref="BO91">XIRR(INDEX(IF(COLUMN($C77:BO77)&lt;COLUMN(BO77),$C77:BN77,BO9),),$C$1:BO$1)</f>
        <v>0.29364914298057554</v>
      </c>
      <c r="BP91" s="71"/>
      <c r="BR91" s="159"/>
    </row>
    <row r="92" spans="1:70">
      <c r="A92" s="106" t="s">
        <v>123</v>
      </c>
      <c r="B92" s="106" t="s">
        <v>7</v>
      </c>
      <c r="C92" s="197"/>
      <c r="D92" s="198" cm="1">
        <f t="array" ref="D92">XIRR(INDEX(IF(COLUMN($C78:D78)&lt;COLUMN(D78),$C78:C78,D10),),$C$1:D$1)</f>
        <v>0.22204776406288143</v>
      </c>
      <c r="E92" s="198" cm="1">
        <f t="array" ref="E92">XIRR(INDEX(IF(COLUMN($C78:E78)&lt;COLUMN(E78),$C78:D78,E10),),$C$1:E$1)</f>
        <v>0.23583095669746401</v>
      </c>
      <c r="F92" s="198" cm="1">
        <f t="array" ref="F92">XIRR(INDEX(IF(COLUMN($C78:F78)&lt;COLUMN(F78),$C78:E78,F10),),$C$1:F$1)</f>
        <v>0.44579333662986753</v>
      </c>
      <c r="G92" s="198" cm="1">
        <f t="array" ref="G92">XIRR(INDEX(IF(COLUMN($C78:G78)&lt;COLUMN(G78),$C78:F78,G10),),$C$1:G$1)</f>
        <v>0.32259290814399721</v>
      </c>
      <c r="H92" s="198" cm="1">
        <f t="array" ref="H92">XIRR(INDEX(IF(COLUMN($C78:H78)&lt;COLUMN(H78),$C78:G78,H10),),$C$1:H$1)</f>
        <v>0.24874636530876162</v>
      </c>
      <c r="I92" s="198" cm="1">
        <f t="array" ref="I92">XIRR(INDEX(IF(COLUMN($C78:I78)&lt;COLUMN(I78),$C78:H78,I10),),$C$1:I$1)</f>
        <v>0.20396601557731628</v>
      </c>
      <c r="J92" s="198" cm="1">
        <f t="array" ref="J92">XIRR(INDEX(IF(COLUMN($C78:J78)&lt;COLUMN(J78),$C78:I78,J10),),$C$1:J$1)</f>
        <v>0.17335925698280338</v>
      </c>
      <c r="K92" s="198" cm="1">
        <f t="array" ref="K92">XIRR(INDEX(IF(COLUMN($C78:K78)&lt;COLUMN(K78),$C78:J78,K10),),$C$1:K$1)</f>
        <v>0.14430350661277772</v>
      </c>
      <c r="L92" s="198" cm="1">
        <f t="array" ref="L92">XIRR(INDEX(IF(COLUMN($C78:L78)&lt;COLUMN(L78),$C78:K78,L10),),$C$1:L$1)</f>
        <v>0.12942764163017273</v>
      </c>
      <c r="M92" s="198" cm="1">
        <f t="array" ref="M92">XIRR(INDEX(IF(COLUMN($C78:M78)&lt;COLUMN(M78),$C78:L78,M10),),$C$1:M$1)</f>
        <v>0.11855329871177672</v>
      </c>
      <c r="N92" s="198" cm="1">
        <f t="array" ref="N92">XIRR(INDEX(IF(COLUMN($C78:N78)&lt;COLUMN(N78),$C78:M78,N10),),$C$1:N$1)</f>
        <v>0.10539000630378725</v>
      </c>
      <c r="O92" s="198" cm="1">
        <f t="array" ref="O92">XIRR(INDEX(IF(COLUMN($C78:O78)&lt;COLUMN(O78),$C78:N78,O10),),$C$1:O$1)</f>
        <v>9.5880314707756042E-2</v>
      </c>
      <c r="P92" s="198" cm="1">
        <f t="array" ref="P92">XIRR(INDEX(IF(COLUMN($C78:P78)&lt;COLUMN(P78),$C78:O78,P10),),$C$1:P$1)</f>
        <v>8.7321290373802193E-2</v>
      </c>
      <c r="Q92" s="198" cm="1">
        <f t="array" ref="Q92">XIRR(INDEX(IF(COLUMN($C78:Q78)&lt;COLUMN(Q78),$C78:P78,Q10),),$C$1:Q$1)</f>
        <v>8.0060580372810386E-2</v>
      </c>
      <c r="R92" s="198" cm="1">
        <f t="array" ref="R92">XIRR(INDEX(IF(COLUMN($C78:R78)&lt;COLUMN(R78),$C78:Q78,R10),),$C$1:R$1)</f>
        <v>0.15259883999824522</v>
      </c>
      <c r="S92" s="198" cm="1">
        <f t="array" ref="S92">XIRR(INDEX(IF(COLUMN($C78:S78)&lt;COLUMN(S78),$C78:R78,S10),),$C$1:S$1)</f>
        <v>0.14173170924186709</v>
      </c>
      <c r="T92" s="198" cm="1">
        <f t="array" ref="T92">XIRR(INDEX(IF(COLUMN($C78:T78)&lt;COLUMN(T78),$C78:S78,T10),),$C$1:T$1)</f>
        <v>0.13036260008811951</v>
      </c>
      <c r="U92" s="198" cm="1">
        <f t="array" ref="U92">XIRR(INDEX(IF(COLUMN($C78:U78)&lt;COLUMN(U78),$C78:T78,U10),),$C$1:U$1)</f>
        <v>0.12266269326210019</v>
      </c>
      <c r="V92" s="198" cm="1">
        <f t="array" ref="V92">XIRR(INDEX(IF(COLUMN($C78:V78)&lt;COLUMN(V78),$C78:U78,V10),),$C$1:V$1)</f>
        <v>0.11500824093818668</v>
      </c>
      <c r="W92" s="198" cm="1">
        <f t="array" ref="W92">XIRR(INDEX(IF(COLUMN($C78:W78)&lt;COLUMN(W78),$C78:V78,W10),),$C$1:W$1)</f>
        <v>0.1075240075588226</v>
      </c>
      <c r="X92" s="198" cm="1">
        <f t="array" ref="X92">XIRR(INDEX(IF(COLUMN($C78:X78)&lt;COLUMN(X78),$C78:W78,X10),),$C$1:X$1)</f>
        <v>0.10182421803474428</v>
      </c>
      <c r="Y92" s="198" cm="1">
        <f t="array" ref="Y92">XIRR(INDEX(IF(COLUMN($C78:Y78)&lt;COLUMN(Y78),$C78:X78,Y10),),$C$1:Y$1)</f>
        <v>9.5760199427604678E-2</v>
      </c>
      <c r="Z92" s="198" cm="1">
        <f t="array" ref="Z92">XIRR(INDEX(IF(COLUMN($C78:Z78)&lt;COLUMN(Z78),$C78:Y78,Z10),),$C$1:Z$1)</f>
        <v>0.10150832533836365</v>
      </c>
      <c r="AA92" s="198" cm="1">
        <f t="array" ref="AA92">XIRR(INDEX(IF(COLUMN($C78:AA78)&lt;COLUMN(AA78),$C78:Z78,AA10),),$C$1:AA$1)</f>
        <v>8.7532564997673035E-2</v>
      </c>
      <c r="AB92" s="198" cm="1">
        <f t="array" ref="AB92">XIRR(INDEX(IF(COLUMN($C78:AB78)&lt;COLUMN(AB78),$C78:AA78,AB10),),$C$1:AB$1)</f>
        <v>8.2823356986045857E-2</v>
      </c>
      <c r="AC92" s="198" cm="1">
        <f t="array" ref="AC92">XIRR(INDEX(IF(COLUMN($C78:AC78)&lt;COLUMN(AC78),$C78:AB78,AC10),),$C$1:AC$1)</f>
        <v>7.9157081246376049E-2</v>
      </c>
      <c r="AD92" s="198" cm="1">
        <f t="array" ref="AD92">XIRR(INDEX(IF(COLUMN($C78:AD78)&lt;COLUMN(AD78),$C78:AC78,AD10),),$C$1:AD$1)</f>
        <v>0.11269437670707702</v>
      </c>
      <c r="AE92" s="198" cm="1">
        <f t="array" ref="AE92">XIRR(INDEX(IF(COLUMN($C78:AE78)&lt;COLUMN(AE78),$C78:AD78,AE10),),$C$1:AE$1)</f>
        <v>0.1082204878330231</v>
      </c>
      <c r="AF92" s="198" cm="1">
        <f t="array" ref="AF92">XIRR(INDEX(IF(COLUMN($C78:AF78)&lt;COLUMN(AF78),$C78:AE78,AF10),),$C$1:AF$1)</f>
        <v>0.10306405425071716</v>
      </c>
      <c r="AG92" s="198" cm="1">
        <f t="array" ref="AG92">XIRR(INDEX(IF(COLUMN($C78:AG78)&lt;COLUMN(AG78),$C78:AF78,AG10),),$C$1:AG$1)</f>
        <v>9.9007624387741078E-2</v>
      </c>
      <c r="AH92" s="198" cm="1">
        <f t="array" ref="AH92">XIRR(INDEX(IF(COLUMN($C78:AH78)&lt;COLUMN(AH78),$C78:AG78,AH10),),$C$1:AH$1)</f>
        <v>9.4306299090385418E-2</v>
      </c>
      <c r="AI92" s="198" cm="1">
        <f t="array" ref="AI92">XIRR(INDEX(IF(COLUMN($C78:AI78)&lt;COLUMN(AI78),$C78:AH78,AI10),),$C$1:AI$1)</f>
        <v>9.0811374783515933E-2</v>
      </c>
      <c r="AJ92" s="198" cm="1">
        <f t="array" ref="AJ92">XIRR(INDEX(IF(COLUMN($C78:AJ78)&lt;COLUMN(AJ78),$C78:AI78,AJ10),),$C$1:AJ$1)</f>
        <v>8.730043470859529E-2</v>
      </c>
      <c r="AK92" s="198" cm="1">
        <f t="array" ref="AK92">XIRR(INDEX(IF(COLUMN($C78:AK78)&lt;COLUMN(AK78),$C78:AJ78,AK10),),$C$1:AK$1)</f>
        <v>8.4264937043190019E-2</v>
      </c>
      <c r="AL92" s="198" cm="1">
        <f t="array" ref="AL92">XIRR(INDEX(IF(COLUMN($C78:AL78)&lt;COLUMN(AL78),$C78:AK78,AL10),),$C$1:AL$1)</f>
        <v>8.1374320387840274E-2</v>
      </c>
      <c r="AM92" s="198" cm="1">
        <f t="array" ref="AM92">XIRR(INDEX(IF(COLUMN($C78:AM78)&lt;COLUMN(AM78),$C78:AL78,AM10),),$C$1:AM$1)</f>
        <v>7.8451785445213321E-2</v>
      </c>
      <c r="AN92" s="198" cm="1">
        <f t="array" ref="AN92">XIRR(INDEX(IF(COLUMN($C78:AN78)&lt;COLUMN(AN78),$C78:AM78,AN10),),$C$1:AN$1)</f>
        <v>7.5431600213050842E-2</v>
      </c>
      <c r="AO92" s="198" cm="1">
        <f t="array" ref="AO92">XIRR(INDEX(IF(COLUMN($C78:AO78)&lt;COLUMN(AO78),$C78:AN78,AO10),),$C$1:AO$1)</f>
        <v>7.2931477427482613E-2</v>
      </c>
      <c r="AP92" s="198" cm="1">
        <f t="array" ref="AP92">XIRR(INDEX(IF(COLUMN($C78:AP78)&lt;COLUMN(AP78),$C78:AO78,AP10),),$C$1:AP$1)</f>
        <v>0.10256335139274597</v>
      </c>
      <c r="AQ92" s="198" cm="1">
        <f t="array" ref="AQ92">XIRR(INDEX(IF(COLUMN($C78:AQ78)&lt;COLUMN(AQ78),$C78:AP78,AQ10),),$C$1:AQ$1)</f>
        <v>9.940580725669862E-2</v>
      </c>
      <c r="AR92" s="198" cm="1">
        <f t="array" ref="AR92">XIRR(INDEX(IF(COLUMN($C78:AR78)&lt;COLUMN(AR78),$C78:AQ78,AR10),),$C$1:AR$1)</f>
        <v>9.5883920788764967E-2</v>
      </c>
      <c r="AS92" s="198" cm="1">
        <f t="array" ref="AS92">XIRR(INDEX(IF(COLUMN($C78:AS78)&lt;COLUMN(AS78),$C78:AR78,AS10),),$C$1:AS$1)</f>
        <v>9.3052580952644362E-2</v>
      </c>
      <c r="AT92" s="198" cm="1">
        <f t="array" ref="AT92">XIRR(INDEX(IF(COLUMN($C78:AT78)&lt;COLUMN(AT78),$C78:AS78,AT10),),$C$1:AT$1)</f>
        <v>8.9979526400566126E-2</v>
      </c>
      <c r="AU92" s="198" cm="1">
        <f t="array" ref="AU92">XIRR(INDEX(IF(COLUMN($C78:AU78)&lt;COLUMN(AU78),$C78:AT78,AU10),),$C$1:AU$1)</f>
        <v>8.7246093153953541E-2</v>
      </c>
      <c r="AV92" s="198" cm="1">
        <f t="array" ref="AV92">XIRR(INDEX(IF(COLUMN($C78:AV78)&lt;COLUMN(AV78),$C78:AU78,AV10),),$C$1:AV$1)</f>
        <v>8.4560403227806086E-2</v>
      </c>
      <c r="AW92" s="198" cm="1">
        <f t="array" ref="AW92">XIRR(INDEX(IF(COLUMN($C78:AW78)&lt;COLUMN(AW78),$C78:AV78,AW10),),$C$1:AW$1)</f>
        <v>8.2597365975379949E-2</v>
      </c>
      <c r="AX92" s="198" cm="1">
        <f t="array" ref="AX92">XIRR(INDEX(IF(COLUMN($C78:AX78)&lt;COLUMN(AX78),$C78:AW78,AX10),),$C$1:AX$1)</f>
        <v>8.0299022793769867E-2</v>
      </c>
      <c r="AY92" s="198" cm="1">
        <f t="array" ref="AY92">XIRR(INDEX(IF(COLUMN($C78:AY78)&lt;COLUMN(AY78),$C78:AX78,AY10),),$C$1:AY$1)</f>
        <v>7.7730217576026953E-2</v>
      </c>
      <c r="AZ92" s="198" cm="1">
        <f t="array" ref="AZ92">XIRR(INDEX(IF(COLUMN($C78:AZ78)&lt;COLUMN(AZ78),$C78:AY78,AZ10),),$C$1:AZ$1)</f>
        <v>7.5710031390190127E-2</v>
      </c>
      <c r="BA92" s="198" cm="1">
        <f t="array" ref="BA92">XIRR(INDEX(IF(COLUMN($C78:BA78)&lt;COLUMN(BA78),$C78:AZ78,BA10),),$C$1:BA$1)</f>
        <v>7.3701170086860709E-2</v>
      </c>
      <c r="BB92" s="198" cm="1">
        <f t="array" ref="BB92">XIRR(INDEX(IF(COLUMN($C78:BB78)&lt;COLUMN(BB78),$C78:BA78,BB10),),$C$1:BB$1)</f>
        <v>9.7871583700180065E-2</v>
      </c>
      <c r="BC92" s="198" cm="1">
        <f t="array" ref="BC92">XIRR(INDEX(IF(COLUMN($C78:BC78)&lt;COLUMN(BC78),$C78:BB78,BC10),),$C$1:BC$1)</f>
        <v>9.5533731579780581E-2</v>
      </c>
      <c r="BD92" s="198" cm="1">
        <f t="array" ref="BD92">XIRR(INDEX(IF(COLUMN($C78:BD78)&lt;COLUMN(BD78),$C78:BC78,BD10),),$C$1:BD$1)</f>
        <v>9.2954531311988831E-2</v>
      </c>
      <c r="BE92" s="198" cm="1">
        <f t="array" ref="BE92">XIRR(INDEX(IF(COLUMN($C78:BE78)&lt;COLUMN(BE78),$C78:BD78,BE10),),$C$1:BE$1)</f>
        <v>9.0173533558845526E-2</v>
      </c>
      <c r="BF92" s="198" cm="1">
        <f t="array" ref="BF92">XIRR(INDEX(IF(COLUMN($C78:BF78)&lt;COLUMN(BF78),$C78:BE78,BF10),),$C$1:BF$1)</f>
        <v>8.8190916180610687E-2</v>
      </c>
      <c r="BG92" s="198" cm="1">
        <f t="array" ref="BG92">XIRR(INDEX(IF(COLUMN($C78:BG78)&lt;COLUMN(BG78),$C78:BF78,BG10),),$C$1:BG$1)</f>
        <v>8.5984888672828691E-2</v>
      </c>
      <c r="BH92" s="198" cm="1">
        <f t="array" ref="BH92">XIRR(INDEX(IF(COLUMN($C78:BH78)&lt;COLUMN(BH78),$C78:BG78,BH10),),$C$1:BH$1)</f>
        <v>8.3656868338584905E-2</v>
      </c>
      <c r="BI92" s="198" cm="1">
        <f t="array" ref="BI92">XIRR(INDEX(IF(COLUMN($C78:BI78)&lt;COLUMN(BI78),$C78:BH78,BI10),),$C$1:BI$1)</f>
        <v>8.2262054085731506E-2</v>
      </c>
      <c r="BJ92" s="198" cm="1">
        <f t="array" ref="BJ92">XIRR(INDEX(IF(COLUMN($C78:BJ78)&lt;COLUMN(BJ78),$C78:BI78,BJ10),),$C$1:BJ$1)</f>
        <v>8.0284723639488242E-2</v>
      </c>
      <c r="BK92" s="198" cm="1">
        <f t="array" ref="BK92">XIRR(INDEX(IF(COLUMN($C78:BK78)&lt;COLUMN(BK78),$C78:BJ78,BK10),),$C$1:BK$1)</f>
        <v>7.8315022587776215E-2</v>
      </c>
      <c r="BL92" s="198" cm="1">
        <f t="array" ref="BL92">XIRR(INDEX(IF(COLUMN($C78:BL78)&lt;COLUMN(BL78),$C78:BK78,BL10),),$C$1:BL$1)</f>
        <v>7.641681730747224E-2</v>
      </c>
      <c r="BM92" s="198" cm="1">
        <f t="array" ref="BM92">XIRR(INDEX(IF(COLUMN($C78:BM78)&lt;COLUMN(BM78),$C78:BL78,BM10),),$C$1:BM$1)</f>
        <v>7.4760022759437564E-2</v>
      </c>
      <c r="BN92" s="198" cm="1">
        <f t="array" ref="BN92">XIRR(INDEX(IF(COLUMN($C78:BN78)&lt;COLUMN(BN78),$C78:BM78,BN10),),$C$1:BN$1)</f>
        <v>9.1842564940452565E-2</v>
      </c>
      <c r="BO92" s="198" cm="1">
        <f t="array" ref="BO92">XIRR(INDEX(IF(COLUMN($C78:BO78)&lt;COLUMN(BO78),$C78:BN78,BO10),),$C$1:BO$1)</f>
        <v>8.983916342258455E-2</v>
      </c>
      <c r="BP92" s="71"/>
      <c r="BR92" s="159"/>
    </row>
    <row r="93" spans="1:70">
      <c r="A93" s="106" t="s">
        <v>124</v>
      </c>
      <c r="B93" s="106" t="s">
        <v>7</v>
      </c>
      <c r="C93" s="197"/>
      <c r="D93" s="198" cm="1">
        <f t="array" ref="D93">XIRR(INDEX(IF(COLUMN($C79:D79)&lt;COLUMN(D79),$C79:C79,D11),),$C$1:D$1)</f>
        <v>2.9802322387695314E-9</v>
      </c>
      <c r="E93" s="198" cm="1">
        <f t="array" ref="E93">XIRR(INDEX(IF(COLUMN($C79:E79)&lt;COLUMN(E79),$C79:D79,E11),),$C$1:E$1)</f>
        <v>2.9802322387695314E-9</v>
      </c>
      <c r="F93" s="198" cm="1">
        <f t="array" ref="F93">XIRR(INDEX(IF(COLUMN($C79:F79)&lt;COLUMN(F79),$C79:E79,F11),),$C$1:F$1)</f>
        <v>0.2961339175701142</v>
      </c>
      <c r="G93" s="198" cm="1">
        <f t="array" ref="G93">XIRR(INDEX(IF(COLUMN($C79:G79)&lt;COLUMN(G79),$C79:F79,G11),),$C$1:G$1)</f>
        <v>0.21475139260292056</v>
      </c>
      <c r="H93" s="198" cm="1">
        <f t="array" ref="H93">XIRR(INDEX(IF(COLUMN($C79:H79)&lt;COLUMN(H79),$C79:G79,H11),),$C$1:H$1)</f>
        <v>0.16839563250541686</v>
      </c>
      <c r="I93" s="198" cm="1">
        <f t="array" ref="I93">XIRR(INDEX(IF(COLUMN($C79:I79)&lt;COLUMN(I79),$C79:H79,I11),),$C$1:I$1)</f>
        <v>0.14008482098579406</v>
      </c>
      <c r="J93" s="198" cm="1">
        <f t="array" ref="J93">XIRR(INDEX(IF(COLUMN($C79:J79)&lt;COLUMN(J79),$C79:I79,J11),),$C$1:J$1)</f>
        <v>0.12051367163658142</v>
      </c>
      <c r="K93" s="198" cm="1">
        <f t="array" ref="K93">XIRR(INDEX(IF(COLUMN($C79:K79)&lt;COLUMN(K79),$C79:J79,K11),),$C$1:K$1)</f>
        <v>0.10172714591026308</v>
      </c>
      <c r="L93" s="198" cm="1">
        <f t="array" ref="L93">XIRR(INDEX(IF(COLUMN($C79:L79)&lt;COLUMN(L79),$C79:K79,L11),),$C$1:L$1)</f>
        <v>0.20885536074638369</v>
      </c>
      <c r="M93" s="198" cm="1">
        <f t="array" ref="M93">XIRR(INDEX(IF(COLUMN($C79:M79)&lt;COLUMN(M79),$C79:L79,M11),),$C$1:M$1)</f>
        <v>8.1915912032127378E-2</v>
      </c>
      <c r="N93" s="198" cm="1">
        <f t="array" ref="N93">XIRR(INDEX(IF(COLUMN($C79:N79)&lt;COLUMN(N79),$C79:M79,N11),),$C$1:N$1)</f>
        <v>7.3075750470161446E-2</v>
      </c>
      <c r="O93" s="198" cm="1">
        <f t="array" ref="O93">XIRR(INDEX(IF(COLUMN($C79:O79)&lt;COLUMN(O79),$C79:N79,O11),),$C$1:O$1)</f>
        <v>6.6743502020835885E-2</v>
      </c>
      <c r="P93" s="198" cm="1">
        <f t="array" ref="P93">XIRR(INDEX(IF(COLUMN($C79:P79)&lt;COLUMN(P79),$C79:O79,P11),),$C$1:P$1)</f>
        <v>6.1083713173866266E-2</v>
      </c>
      <c r="Q93" s="198" cm="1">
        <f t="array" ref="Q93">XIRR(INDEX(IF(COLUMN($C79:Q79)&lt;COLUMN(Q79),$C79:P79,Q11),),$C$1:Q$1)</f>
        <v>5.6307741999626168E-2</v>
      </c>
      <c r="R93" s="198" cm="1">
        <f t="array" ref="R93">XIRR(INDEX(IF(COLUMN($C79:R79)&lt;COLUMN(R79),$C79:Q79,R11),),$C$1:R$1)</f>
        <v>0.11271467804908755</v>
      </c>
      <c r="S93" s="198" cm="1">
        <f t="array" ref="S93">XIRR(INDEX(IF(COLUMN($C79:S79)&lt;COLUMN(S79),$C79:R79,S11),),$C$1:S$1)</f>
        <v>0.10532911419868471</v>
      </c>
      <c r="T93" s="198" cm="1">
        <f t="array" ref="T93">XIRR(INDEX(IF(COLUMN($C79:T79)&lt;COLUMN(T79),$C79:S79,T11),),$C$1:T$1)</f>
        <v>9.7607713937759411E-2</v>
      </c>
      <c r="U93" s="198" cm="1">
        <f t="array" ref="U93">XIRR(INDEX(IF(COLUMN($C79:U79)&lt;COLUMN(U79),$C79:T79,U11),),$C$1:U$1)</f>
        <v>9.2382046580314639E-2</v>
      </c>
      <c r="V93" s="198" cm="1">
        <f t="array" ref="V93">XIRR(INDEX(IF(COLUMN($C79:V79)&lt;COLUMN(V79),$C79:U79,V11),),$C$1:V$1)</f>
        <v>8.7194189429283142E-2</v>
      </c>
      <c r="W93" s="198" cm="1">
        <f t="array" ref="W93">XIRR(INDEX(IF(COLUMN($C79:W79)&lt;COLUMN(W79),$C79:V79,W11),),$C$1:W$1)</f>
        <v>0.12755377888679503</v>
      </c>
      <c r="X93" s="198" cm="1">
        <f t="array" ref="X93">XIRR(INDEX(IF(COLUMN($C79:X79)&lt;COLUMN(X79),$C79:W79,X11),),$C$1:X$1)</f>
        <v>7.8003099560737602E-2</v>
      </c>
      <c r="Y93" s="198" cm="1">
        <f t="array" ref="Y93">XIRR(INDEX(IF(COLUMN($C79:Y79)&lt;COLUMN(Y79),$C79:X79,Y11),),$C$1:Y$1)</f>
        <v>7.364877164363863E-2</v>
      </c>
      <c r="Z93" s="198" cm="1">
        <f t="array" ref="Z93">XIRR(INDEX(IF(COLUMN($C79:Z79)&lt;COLUMN(Z79),$C79:Y79,Z11),),$C$1:Z$1)</f>
        <v>7.0090171694755579E-2</v>
      </c>
      <c r="AA93" s="198" cm="1">
        <f t="array" ref="AA93">XIRR(INDEX(IF(COLUMN($C79:AA79)&lt;COLUMN(AA79),$C79:Z79,AA11),),$C$1:AA$1)</f>
        <v>6.6961351037025482E-2</v>
      </c>
      <c r="AB93" s="198" cm="1">
        <f t="array" ref="AB93">XIRR(INDEX(IF(COLUMN($C79:AB79)&lt;COLUMN(AB79),$C79:AA79,AB11),),$C$1:AB$1)</f>
        <v>6.3723251223564134E-2</v>
      </c>
      <c r="AC93" s="198" cm="1">
        <f t="array" ref="AC93">XIRR(INDEX(IF(COLUMN($C79:AC79)&lt;COLUMN(AC79),$C79:AB79,AC11),),$C$1:AC$1)</f>
        <v>6.1210951209068304E-2</v>
      </c>
      <c r="AD93" s="198" cm="1">
        <f t="array" ref="AD93">XIRR(INDEX(IF(COLUMN($C79:AD79)&lt;COLUMN(AD79),$C79:AC79,AD11),),$C$1:AD$1)</f>
        <v>9.3115261197090168E-2</v>
      </c>
      <c r="AE93" s="198" cm="1">
        <f t="array" ref="AE93">XIRR(INDEX(IF(COLUMN($C79:AE79)&lt;COLUMN(AE79),$C79:AD79,AE11),),$C$1:AE$1)</f>
        <v>8.9559331536293044E-2</v>
      </c>
      <c r="AF93" s="198" cm="1">
        <f t="array" ref="AF93">XIRR(INDEX(IF(COLUMN($C79:AF79)&lt;COLUMN(AF79),$C79:AE79,AF11),),$C$1:AF$1)</f>
        <v>8.5828307271003726E-2</v>
      </c>
      <c r="AG93" s="198" cm="1">
        <f t="array" ref="AG93">XIRR(INDEX(IF(COLUMN($C79:AG79)&lt;COLUMN(AG79),$C79:AF79,AG11),),$C$1:AG$1)</f>
        <v>8.2897195219993586E-2</v>
      </c>
      <c r="AH93" s="198" cm="1">
        <f t="array" ref="AH93">XIRR(INDEX(IF(COLUMN($C79:AH79)&lt;COLUMN(AH79),$C79:AG79,AH11),),$C$1:AH$1)</f>
        <v>0.1057271182537079</v>
      </c>
      <c r="AI93" s="198" cm="1">
        <f t="array" ref="AI93">XIRR(INDEX(IF(COLUMN($C79:AI79)&lt;COLUMN(AI79),$C79:AH79,AI11),),$C$1:AI$1)</f>
        <v>7.68326371908188E-2</v>
      </c>
      <c r="AJ93" s="198" cm="1">
        <f t="array" ref="AJ93">XIRR(INDEX(IF(COLUMN($C79:AJ79)&lt;COLUMN(AJ79),$C79:AI79,AJ11),),$C$1:AJ$1)</f>
        <v>7.4162814021110551E-2</v>
      </c>
      <c r="AK93" s="198" cm="1">
        <f t="array" ref="AK93">XIRR(INDEX(IF(COLUMN($C79:AK79)&lt;COLUMN(AK79),$C79:AJ79,AK11),),$C$1:AK$1)</f>
        <v>7.1430984139442461E-2</v>
      </c>
      <c r="AL93" s="198" cm="1">
        <f t="array" ref="AL93">XIRR(INDEX(IF(COLUMN($C79:AL79)&lt;COLUMN(AL79),$C79:AK79,AL11),),$C$1:AL$1)</f>
        <v>6.9265106320381173E-2</v>
      </c>
      <c r="AM93" s="198" cm="1">
        <f t="array" ref="AM93">XIRR(INDEX(IF(COLUMN($C79:AM79)&lt;COLUMN(AM79),$C79:AL79,AM11),),$C$1:AM$1)</f>
        <v>6.7084804177284268E-2</v>
      </c>
      <c r="AN93" s="198" cm="1">
        <f t="array" ref="AN93">XIRR(INDEX(IF(COLUMN($C79:AN79)&lt;COLUMN(AN79),$C79:AM79,AN11),),$C$1:AN$1)</f>
        <v>6.4838805794715904E-2</v>
      </c>
      <c r="AO93" s="198" cm="1">
        <f t="array" ref="AO93">XIRR(INDEX(IF(COLUMN($C79:AO79)&lt;COLUMN(AO79),$C79:AN79,AO11),),$C$1:AO$1)</f>
        <v>6.298498213291169E-2</v>
      </c>
      <c r="AP93" s="198" cm="1">
        <f t="array" ref="AP93">XIRR(INDEX(IF(COLUMN($C79:AP79)&lt;COLUMN(AP79),$C79:AO79,AP11),),$C$1:AP$1)</f>
        <v>8.558023273944855E-2</v>
      </c>
      <c r="AQ93" s="198" cm="1">
        <f t="array" ref="AQ93">XIRR(INDEX(IF(COLUMN($C79:AQ79)&lt;COLUMN(AQ79),$C79:AP79,AQ11),),$C$1:AQ$1)</f>
        <v>8.3330067992210377E-2</v>
      </c>
      <c r="AR93" s="198" cm="1">
        <f t="array" ref="AR93">XIRR(INDEX(IF(COLUMN($C79:AR79)&lt;COLUMN(AR79),$C79:AQ79,AR11),),$C$1:AR$1)</f>
        <v>8.0824497342109711E-2</v>
      </c>
      <c r="AS93" s="198" cm="1">
        <f t="array" ref="AS93">XIRR(INDEX(IF(COLUMN($C79:AS79)&lt;COLUMN(AS79),$C79:AR79,AS11),),$C$1:AS$1)</f>
        <v>7.8813067078590399E-2</v>
      </c>
      <c r="AT93" s="198" cm="1">
        <f t="array" ref="AT93">XIRR(INDEX(IF(COLUMN($C79:AT79)&lt;COLUMN(AT79),$C79:AS79,AT11),),$C$1:AT$1)</f>
        <v>9.3679425120353696E-2</v>
      </c>
      <c r="AU93" s="198" cm="1">
        <f t="array" ref="AU93">XIRR(INDEX(IF(COLUMN($C79:AU79)&lt;COLUMN(AU79),$C79:AT79,AU11),),$C$1:AU$1)</f>
        <v>7.4594572186470046E-2</v>
      </c>
      <c r="AV93" s="198" cm="1">
        <f t="array" ref="AV93">XIRR(INDEX(IF(COLUMN($C79:AV79)&lt;COLUMN(AV79),$C79:AU79,AV11),),$C$1:AV$1)</f>
        <v>7.2598084807395935E-2</v>
      </c>
      <c r="AW93" s="198" cm="1">
        <f t="array" ref="AW93">XIRR(INDEX(IF(COLUMN($C79:AW79)&lt;COLUMN(AW79),$C79:AV79,AW11),),$C$1:AW$1)</f>
        <v>7.0704624056816115E-2</v>
      </c>
      <c r="AX93" s="198" cm="1">
        <f t="array" ref="AX93">XIRR(INDEX(IF(COLUMN($C79:AX79)&lt;COLUMN(AX79),$C79:AW79,AX11),),$C$1:AX$1)</f>
        <v>6.9019755721092244E-2</v>
      </c>
      <c r="AY93" s="198" cm="1">
        <f t="array" ref="AY93">XIRR(INDEX(IF(COLUMN($C79:AY79)&lt;COLUMN(AY79),$C79:AX79,AY11),),$C$1:AY$1)</f>
        <v>6.7142954468727145E-2</v>
      </c>
      <c r="AZ93" s="198" cm="1">
        <f t="array" ref="AZ93">XIRR(INDEX(IF(COLUMN($C79:AZ79)&lt;COLUMN(AZ79),$C79:AY79,AZ11),),$C$1:AZ$1)</f>
        <v>6.5671643614768987E-2</v>
      </c>
      <c r="BA93" s="198" cm="1">
        <f t="array" ref="BA93">XIRR(INDEX(IF(COLUMN($C79:BA79)&lt;COLUMN(BA79),$C79:AZ79,BA11),),$C$1:BA$1)</f>
        <v>6.4213684201240531E-2</v>
      </c>
      <c r="BB93" s="198" cm="1">
        <f t="array" ref="BB93">XIRR(INDEX(IF(COLUMN($C79:BB79)&lt;COLUMN(BB79),$C79:BA79,BB11),),$C$1:BB$1)</f>
        <v>9.4797542691230766E-2</v>
      </c>
      <c r="BC93" s="198" cm="1">
        <f t="array" ref="BC93">XIRR(INDEX(IF(COLUMN($C79:BC79)&lt;COLUMN(BC79),$C79:BB79,BC11),),$C$1:BC$1)</f>
        <v>7.9942563176155126E-2</v>
      </c>
      <c r="BD93" s="198" cm="1">
        <f t="array" ref="BD93">XIRR(INDEX(IF(COLUMN($C79:BD79)&lt;COLUMN(BD79),$C79:BC79,BD11),),$C$1:BD$1)</f>
        <v>7.8080067038536094E-2</v>
      </c>
      <c r="BE93" s="198" cm="1">
        <f t="array" ref="BE93">XIRR(INDEX(IF(COLUMN($C79:BE79)&lt;COLUMN(BE79),$C79:BD79,BE11),),$C$1:BE$1)</f>
        <v>7.6077380776405329E-2</v>
      </c>
      <c r="BF93" s="198" cm="1">
        <f t="array" ref="BF93">XIRR(INDEX(IF(COLUMN($C79:BF79)&lt;COLUMN(BF79),$C79:BE79,BF11),),$C$1:BF$1)</f>
        <v>7.4653998017311096E-2</v>
      </c>
      <c r="BG93" s="198" cm="1">
        <f t="array" ref="BG93">XIRR(INDEX(IF(COLUMN($C79:BG79)&lt;COLUMN(BG79),$C79:BF79,BG11),),$C$1:BG$1)</f>
        <v>7.307552993297578E-2</v>
      </c>
      <c r="BH93" s="198" cm="1">
        <f t="array" ref="BH93">XIRR(INDEX(IF(COLUMN($C79:BH79)&lt;COLUMN(BH79),$C79:BG79,BH11),),$C$1:BH$1)</f>
        <v>7.1413561701774611E-2</v>
      </c>
      <c r="BI93" s="198" cm="1">
        <f t="array" ref="BI93">XIRR(INDEX(IF(COLUMN($C79:BI79)&lt;COLUMN(BI79),$C79:BH79,BI11),),$C$1:BI$1)</f>
        <v>7.0060822367668155E-2</v>
      </c>
      <c r="BJ93" s="198" cm="1">
        <f t="array" ref="BJ93">XIRR(INDEX(IF(COLUMN($C79:BJ79)&lt;COLUMN(BJ79),$C79:BI79,BJ11),),$C$1:BJ$1)</f>
        <v>6.8666508793830877E-2</v>
      </c>
      <c r="BK93" s="198" cm="1">
        <f t="array" ref="BK93">XIRR(INDEX(IF(COLUMN($C79:BK79)&lt;COLUMN(BK79),$C79:BJ79,BK11),),$C$1:BK$1)</f>
        <v>6.7282161116600042E-2</v>
      </c>
      <c r="BL93" s="198" cm="1">
        <f t="array" ref="BL93">XIRR(INDEX(IF(COLUMN($C79:BL79)&lt;COLUMN(BL79),$C79:BK79,BL11),),$C$1:BL$1)</f>
        <v>6.5951904654502874E-2</v>
      </c>
      <c r="BM93" s="198" cm="1">
        <f t="array" ref="BM93">XIRR(INDEX(IF(COLUMN($C79:BM79)&lt;COLUMN(BM79),$C79:BL79,BM11),),$C$1:BM$1)</f>
        <v>6.4794299006462094E-2</v>
      </c>
      <c r="BN93" s="198" cm="1">
        <f t="array" ref="BN93">XIRR(INDEX(IF(COLUMN($C79:BN79)&lt;COLUMN(BN79),$C79:BM79,BN11),),$C$1:BN$1)</f>
        <v>7.9426953196525582E-2</v>
      </c>
      <c r="BO93" s="198" cm="1">
        <f t="array" ref="BO93">XIRR(INDEX(IF(COLUMN($C79:BO79)&lt;COLUMN(BO79),$C79:BN79,BO11),),$C$1:BO$1)</f>
        <v>7.8032037615776054E-2</v>
      </c>
      <c r="BP93" s="71"/>
      <c r="BR93" s="159"/>
    </row>
    <row r="94" spans="1:70">
      <c r="A94" s="106" t="s">
        <v>125</v>
      </c>
      <c r="B94" s="106" t="s">
        <v>10</v>
      </c>
      <c r="C94" s="197"/>
      <c r="D94" s="200" t="s">
        <v>134</v>
      </c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  <c r="AM94" s="198"/>
      <c r="AN94" s="198"/>
      <c r="AO94" s="198"/>
      <c r="AP94" s="198"/>
      <c r="AQ94" s="198"/>
      <c r="AR94" s="198"/>
      <c r="AS94" s="198"/>
      <c r="AT94" s="198"/>
      <c r="AU94" s="198"/>
      <c r="AV94" s="198"/>
      <c r="AW94" s="198"/>
      <c r="AX94" s="198"/>
      <c r="AY94" s="198"/>
      <c r="AZ94" s="198"/>
      <c r="BA94" s="198"/>
      <c r="BB94" s="198"/>
      <c r="BC94" s="198"/>
      <c r="BD94" s="198"/>
      <c r="BE94" s="198"/>
      <c r="BF94" s="198"/>
      <c r="BG94" s="198"/>
      <c r="BH94" s="198"/>
      <c r="BI94" s="198"/>
      <c r="BJ94" s="198"/>
      <c r="BK94" s="198"/>
      <c r="BL94" s="198"/>
      <c r="BM94" s="198"/>
      <c r="BN94" s="198"/>
      <c r="BO94" s="198"/>
      <c r="BP94" s="71"/>
      <c r="BR94" s="159"/>
    </row>
    <row r="95" spans="1:70">
      <c r="A95" s="106" t="s">
        <v>126</v>
      </c>
      <c r="B95" s="106" t="s">
        <v>9</v>
      </c>
      <c r="C95" s="197"/>
      <c r="D95" s="200" t="s">
        <v>134</v>
      </c>
      <c r="E95" s="198"/>
      <c r="F95" s="198"/>
      <c r="G95" s="198"/>
      <c r="H95" s="198"/>
      <c r="I95" s="198"/>
      <c r="J95" s="198"/>
      <c r="K95" s="198"/>
      <c r="L95" s="198" cm="1">
        <f t="array" ref="L95">XIRR(INDEX(IF(COLUMN($C81:L81)&lt;COLUMN(L81),$C81:K81,L13),),$C$1:L$1)</f>
        <v>2.9802322387695314E-9</v>
      </c>
      <c r="M95" s="198" cm="1">
        <f t="array" ref="M95">XIRR(INDEX(IF(COLUMN($C81:M81)&lt;COLUMN(M81),$C81:L81,M13),),$C$1:M$1)</f>
        <v>2.9802322387695314E-9</v>
      </c>
      <c r="N95" s="198"/>
      <c r="O95" s="198" cm="1">
        <f t="array" ref="O95">XIRR(INDEX(IF(COLUMN($C81:O81)&lt;COLUMN(O81),$C81:N81,O13),),$C$1:O$1)</f>
        <v>2.9802322387695314E-9</v>
      </c>
      <c r="P95" s="198" cm="1">
        <f t="array" ref="P95">XIRR(INDEX(IF(COLUMN($C81:P81)&lt;COLUMN(P81),$C81:O81,P13),),$C$1:P$1)</f>
        <v>2.9802322387695314E-9</v>
      </c>
      <c r="Q95" s="198" cm="1">
        <f t="array" ref="Q95">XIRR(INDEX(IF(COLUMN($C81:Q81)&lt;COLUMN(Q81),$C81:P81,Q13),),$C$1:Q$1)</f>
        <v>2.9802322387695314E-9</v>
      </c>
      <c r="R95" s="198" cm="1">
        <f t="array" ref="R95">XIRR(INDEX(IF(COLUMN($C81:R81)&lt;COLUMN(R81),$C81:Q81,R13),),$C$1:R$1)</f>
        <v>2.9802322387695314E-9</v>
      </c>
      <c r="S95" s="198" cm="1">
        <f t="array" ref="S95">XIRR(INDEX(IF(COLUMN($C81:S81)&lt;COLUMN(S81),$C81:R81,S13),),$C$1:S$1)</f>
        <v>2.9802322387695314E-9</v>
      </c>
      <c r="T95" s="198" cm="1">
        <f t="array" ref="T95">XIRR(INDEX(IF(COLUMN($C81:T81)&lt;COLUMN(T81),$C81:S81,T13),),$C$1:T$1)</f>
        <v>2.9802322387695314E-9</v>
      </c>
      <c r="U95" s="198" cm="1">
        <f t="array" ref="U95">XIRR(INDEX(IF(COLUMN($C81:U81)&lt;COLUMN(U81),$C81:T81,U13),),$C$1:U$1)</f>
        <v>2.9802322387695314E-9</v>
      </c>
      <c r="V95" s="198" cm="1">
        <f t="array" ref="V95">XIRR(INDEX(IF(COLUMN($C81:V81)&lt;COLUMN(V81),$C81:U81,V13),),$C$1:V$1)</f>
        <v>2.9802322387695314E-9</v>
      </c>
      <c r="W95" s="198" cm="1">
        <f t="array" ref="W95">XIRR(INDEX(IF(COLUMN($C81:W81)&lt;COLUMN(W81),$C81:V81,W13),),$C$1:W$1)</f>
        <v>2.9802322387695314E-9</v>
      </c>
      <c r="X95" s="198" cm="1">
        <f t="array" ref="X95">XIRR(INDEX(IF(COLUMN($C81:X81)&lt;COLUMN(X81),$C81:W81,X13),),$C$1:X$1)</f>
        <v>2.9802322387695314E-9</v>
      </c>
      <c r="Y95" s="198" cm="1">
        <f t="array" ref="Y95">XIRR(INDEX(IF(COLUMN($C81:Y81)&lt;COLUMN(Y81),$C81:X81,Y13),),$C$1:Y$1)</f>
        <v>2.9802322387695314E-9</v>
      </c>
      <c r="Z95" s="198" cm="1">
        <f t="array" ref="Z95">XIRR(INDEX(IF(COLUMN($C81:Z81)&lt;COLUMN(Z81),$C81:Y81,Z13),),$C$1:Z$1)</f>
        <v>2.9802322387695314E-9</v>
      </c>
      <c r="AA95" s="198" cm="1">
        <f t="array" ref="AA95">XIRR(INDEX(IF(COLUMN($C81:AA81)&lt;COLUMN(AA81),$C81:Z81,AA13),),$C$1:AA$1)</f>
        <v>2.9802322387695314E-9</v>
      </c>
      <c r="AB95" s="198" cm="1">
        <f t="array" ref="AB95">XIRR(INDEX(IF(COLUMN($C81:AB81)&lt;COLUMN(AB81),$C81:AA81,AB13),),$C$1:AB$1)</f>
        <v>2.9802322387695314E-9</v>
      </c>
      <c r="AC95" s="198" cm="1">
        <f t="array" ref="AC95">XIRR(INDEX(IF(COLUMN($C81:AC81)&lt;COLUMN(AC81),$C81:AB81,AC13),),$C$1:AC$1)</f>
        <v>2.9802322387695314E-9</v>
      </c>
      <c r="AD95" s="198" cm="1">
        <f t="array" ref="AD95">XIRR(INDEX(IF(COLUMN($C81:AD81)&lt;COLUMN(AD81),$C81:AC81,AD13),),$C$1:AD$1)</f>
        <v>2.9802322387695314E-9</v>
      </c>
      <c r="AE95" s="198" cm="1">
        <f t="array" ref="AE95">XIRR(INDEX(IF(COLUMN($C81:AE81)&lt;COLUMN(AE81),$C81:AD81,AE13),),$C$1:AE$1)</f>
        <v>2.9802322387695314E-9</v>
      </c>
      <c r="AF95" s="198" cm="1">
        <f t="array" ref="AF95">XIRR(INDEX(IF(COLUMN($C81:AF81)&lt;COLUMN(AF81),$C81:AE81,AF13),),$C$1:AF$1)</f>
        <v>2.9802322387695314E-9</v>
      </c>
      <c r="AG95" s="198" cm="1">
        <f t="array" ref="AG95">XIRR(INDEX(IF(COLUMN($C81:AG81)&lt;COLUMN(AG81),$C81:AF81,AG13),),$C$1:AG$1)</f>
        <v>2.9802322387695314E-9</v>
      </c>
      <c r="AH95" s="198" cm="1">
        <f t="array" ref="AH95">XIRR(INDEX(IF(COLUMN($C81:AH81)&lt;COLUMN(AH81),$C81:AG81,AH13),),$C$1:AH$1)</f>
        <v>2.9802322387695314E-9</v>
      </c>
      <c r="AI95" s="198" cm="1">
        <f t="array" ref="AI95">XIRR(INDEX(IF(COLUMN($C81:AI81)&lt;COLUMN(AI81),$C81:AH81,AI13),),$C$1:AI$1)</f>
        <v>2.9802322387695314E-9</v>
      </c>
      <c r="AJ95" s="198" cm="1">
        <f t="array" ref="AJ95">XIRR(INDEX(IF(COLUMN($C81:AJ81)&lt;COLUMN(AJ81),$C81:AI81,AJ13),),$C$1:AJ$1)</f>
        <v>2.9802322387695314E-9</v>
      </c>
      <c r="AK95" s="198" cm="1">
        <f t="array" ref="AK95">XIRR(INDEX(IF(COLUMN($C81:AK81)&lt;COLUMN(AK81),$C81:AJ81,AK13),),$C$1:AK$1)</f>
        <v>2.9802322387695314E-9</v>
      </c>
      <c r="AL95" s="198" cm="1">
        <f t="array" ref="AL95">XIRR(INDEX(IF(COLUMN($C81:AL81)&lt;COLUMN(AL81),$C81:AK81,AL13),),$C$1:AL$1)</f>
        <v>2.9802322387695314E-9</v>
      </c>
      <c r="AM95" s="198" cm="1">
        <f t="array" ref="AM95">XIRR(INDEX(IF(COLUMN($C81:AM81)&lt;COLUMN(AM81),$C81:AL81,AM13),),$C$1:AM$1)</f>
        <v>2.9802322387695314E-9</v>
      </c>
      <c r="AN95" s="198" cm="1">
        <f t="array" ref="AN95">XIRR(INDEX(IF(COLUMN($C81:AN81)&lt;COLUMN(AN81),$C81:AM81,AN13),),$C$1:AN$1)</f>
        <v>2.9802322387695314E-9</v>
      </c>
      <c r="AO95" s="198" cm="1">
        <f t="array" ref="AO95">XIRR(INDEX(IF(COLUMN($C81:AO81)&lt;COLUMN(AO81),$C81:AN81,AO13),),$C$1:AO$1)</f>
        <v>2.9802322387695314E-9</v>
      </c>
      <c r="AP95" s="198" cm="1">
        <f t="array" ref="AP95">XIRR(INDEX(IF(COLUMN($C81:AP81)&lt;COLUMN(AP81),$C81:AO81,AP13),),$C$1:AP$1)</f>
        <v>2.9802322387695314E-9</v>
      </c>
      <c r="AQ95" s="198" cm="1">
        <f t="array" ref="AQ95">XIRR(INDEX(IF(COLUMN($C81:AQ81)&lt;COLUMN(AQ81),$C81:AP81,AQ13),),$C$1:AQ$1)</f>
        <v>2.9802322387695314E-9</v>
      </c>
      <c r="AR95" s="198" cm="1">
        <f t="array" ref="AR95">XIRR(INDEX(IF(COLUMN($C81:AR81)&lt;COLUMN(AR81),$C81:AQ81,AR13),),$C$1:AR$1)</f>
        <v>2.9802322387695314E-9</v>
      </c>
      <c r="AS95" s="198" cm="1">
        <f t="array" ref="AS95">XIRR(INDEX(IF(COLUMN($C81:AS81)&lt;COLUMN(AS81),$C81:AR81,AS13),),$C$1:AS$1)</f>
        <v>2.9802322387695314E-9</v>
      </c>
      <c r="AT95" s="198" cm="1">
        <f t="array" ref="AT95">XIRR(INDEX(IF(COLUMN($C81:AT81)&lt;COLUMN(AT81),$C81:AS81,AT13),),$C$1:AT$1)</f>
        <v>2.9802322387695314E-9</v>
      </c>
      <c r="AU95" s="198" cm="1">
        <f t="array" ref="AU95">XIRR(INDEX(IF(COLUMN($C81:AU81)&lt;COLUMN(AU81),$C81:AT81,AU13),),$C$1:AU$1)</f>
        <v>2.9802322387695314E-9</v>
      </c>
      <c r="AV95" s="198"/>
      <c r="AW95" s="198"/>
      <c r="AX95" s="198"/>
      <c r="AY95" s="198"/>
      <c r="AZ95" s="198"/>
      <c r="BA95" s="198"/>
      <c r="BB95" s="198"/>
      <c r="BC95" s="198"/>
      <c r="BD95" s="198"/>
      <c r="BE95" s="198"/>
      <c r="BF95" s="198"/>
      <c r="BG95" s="198"/>
      <c r="BH95" s="198"/>
      <c r="BI95" s="198"/>
      <c r="BJ95" s="198"/>
      <c r="BK95" s="198"/>
      <c r="BL95" s="198"/>
      <c r="BM95" s="198"/>
      <c r="BN95" s="198"/>
      <c r="BO95" s="198"/>
      <c r="BP95" s="71"/>
      <c r="BR95" s="159"/>
    </row>
    <row r="96" spans="1:70">
      <c r="A96" s="106" t="s">
        <v>127</v>
      </c>
      <c r="B96" s="106" t="s">
        <v>7</v>
      </c>
      <c r="C96" s="197"/>
      <c r="D96" s="198" cm="1">
        <f t="array" ref="D96">XIRR(INDEX(IF(COLUMN($C82:D82)&lt;COLUMN(D82),$C82:C82,D14),),$C$1:D$1)</f>
        <v>2.9802322387695314E-9</v>
      </c>
      <c r="E96" s="198" cm="1">
        <f t="array" ref="E96">XIRR(INDEX(IF(COLUMN($C82:E82)&lt;COLUMN(E82),$C82:D82,E14),),$C$1:E$1)</f>
        <v>2.9802322387695314E-9</v>
      </c>
      <c r="F96" s="198" cm="1">
        <f t="array" ref="F96">XIRR(INDEX(IF(COLUMN($C82:F82)&lt;COLUMN(F82),$C82:E82,F14),),$C$1:F$1)</f>
        <v>2.9802322387695314E-9</v>
      </c>
      <c r="G96" s="198" cm="1">
        <f t="array" ref="G96">XIRR(INDEX(IF(COLUMN($C82:G82)&lt;COLUMN(G82),$C82:F82,G14),),$C$1:G$1)</f>
        <v>2.9802322387695314E-9</v>
      </c>
      <c r="H96" s="198" cm="1">
        <f t="array" ref="H96">XIRR(INDEX(IF(COLUMN($C82:H82)&lt;COLUMN(H82),$C82:G82,H14),),$C$1:H$1)</f>
        <v>2.9802322387695314E-9</v>
      </c>
      <c r="I96" s="198" cm="1">
        <f t="array" ref="I96">XIRR(INDEX(IF(COLUMN($C82:I82)&lt;COLUMN(I82),$C82:H82,I14),),$C$1:I$1)</f>
        <v>2.9802322387695314E-9</v>
      </c>
      <c r="J96" s="198" cm="1">
        <f t="array" ref="J96">XIRR(INDEX(IF(COLUMN($C82:J82)&lt;COLUMN(J82),$C82:I82,J14),),$C$1:J$1)</f>
        <v>2.9802322387695314E-9</v>
      </c>
      <c r="K96" s="198" cm="1">
        <f t="array" ref="K96">XIRR(INDEX(IF(COLUMN($C82:K82)&lt;COLUMN(K82),$C82:J82,K14),),$C$1:K$1)</f>
        <v>2.9802322387695314E-9</v>
      </c>
      <c r="L96" s="198" cm="1">
        <f t="array" ref="L96">XIRR(INDEX(IF(COLUMN($C82:L82)&lt;COLUMN(L82),$C82:K82,L14),),$C$1:L$1)</f>
        <v>2.9802322387695314E-9</v>
      </c>
      <c r="M96" s="198" cm="1">
        <f t="array" ref="M96">XIRR(INDEX(IF(COLUMN($C82:M82)&lt;COLUMN(M82),$C82:L82,M14),),$C$1:M$1)</f>
        <v>2.9802322387695314E-9</v>
      </c>
      <c r="N96" s="198" cm="1">
        <f t="array" ref="N96">XIRR(INDEX(IF(COLUMN($C82:N82)&lt;COLUMN(N82),$C82:M82,N14),),$C$1:N$1)</f>
        <v>2.9802322387695314E-9</v>
      </c>
      <c r="O96" s="198" cm="1">
        <f t="array" ref="O96">XIRR(INDEX(IF(COLUMN($C82:O82)&lt;COLUMN(O82),$C82:N82,O14),),$C$1:O$1)</f>
        <v>2.9802322387695314E-9</v>
      </c>
      <c r="P96" s="198" cm="1">
        <f t="array" ref="P96">XIRR(INDEX(IF(COLUMN($C82:P82)&lt;COLUMN(P82),$C82:O82,P14),),$C$1:P$1)</f>
        <v>2.9802322387695314E-9</v>
      </c>
      <c r="Q96" s="198" cm="1">
        <f t="array" ref="Q96">XIRR(INDEX(IF(COLUMN($C82:Q82)&lt;COLUMN(Q82),$C82:P82,Q14),),$C$1:Q$1)</f>
        <v>2.9802322387695314E-9</v>
      </c>
      <c r="R96" s="198" cm="1">
        <f t="array" ref="R96">XIRR(INDEX(IF(COLUMN($C82:R82)&lt;COLUMN(R82),$C82:Q82,R14),),$C$1:R$1)</f>
        <v>2.9802322387695314E-9</v>
      </c>
      <c r="S96" s="198" cm="1">
        <f t="array" ref="S96">XIRR(INDEX(IF(COLUMN($C82:S82)&lt;COLUMN(S82),$C82:R82,S14),),$C$1:S$1)</f>
        <v>2.9802322387695314E-9</v>
      </c>
      <c r="T96" s="198" cm="1">
        <f t="array" ref="T96">XIRR(INDEX(IF(COLUMN($C82:T82)&lt;COLUMN(T82),$C82:S82,T14),),$C$1:T$1)</f>
        <v>2.9802322387695314E-9</v>
      </c>
      <c r="U96" s="198" cm="1">
        <f t="array" ref="U96">XIRR(INDEX(IF(COLUMN($C82:U82)&lt;COLUMN(U82),$C82:T82,U14),),$C$1:U$1)</f>
        <v>2.9802322387695314E-9</v>
      </c>
      <c r="V96" s="198" cm="1">
        <f t="array" ref="V96">XIRR(INDEX(IF(COLUMN($C82:V82)&lt;COLUMN(V82),$C82:U82,V14),),$C$1:V$1)</f>
        <v>4.6322503685951241E-2</v>
      </c>
      <c r="W96" s="198" cm="1">
        <f t="array" ref="W96">XIRR(INDEX(IF(COLUMN($C82:W82)&lt;COLUMN(W82),$C82:V82,W14),),$C$1:W$1)</f>
        <v>2.8065741062164315E-4</v>
      </c>
      <c r="X96" s="198" cm="1">
        <f t="array" ref="X96">XIRR(INDEX(IF(COLUMN($C82:X82)&lt;COLUMN(X82),$C82:W82,X14),),$C$1:X$1)</f>
        <v>-6.9002181291580198E-3</v>
      </c>
      <c r="Y96" s="198" cm="1">
        <f t="array" ref="Y96">XIRR(INDEX(IF(COLUMN($C82:Y82)&lt;COLUMN(Y82),$C82:X82,Y14),),$C$1:Y$1)</f>
        <v>1.0567459464073184E-2</v>
      </c>
      <c r="Z96" s="198" cm="1">
        <f t="array" ref="Z96">XIRR(INDEX(IF(COLUMN($C82:Z82)&lt;COLUMN(Z82),$C82:Y82,Z14),),$C$1:Z$1)</f>
        <v>-3.0791464447975158E-2</v>
      </c>
      <c r="AA96" s="198" cm="1">
        <f t="array" ref="AA96">XIRR(INDEX(IF(COLUMN($C82:AA82)&lt;COLUMN(AA82),$C82:Z82,AA14),),$C$1:AA$1)</f>
        <v>4.1299492120742791E-3</v>
      </c>
      <c r="AB96" s="198" cm="1">
        <f t="array" ref="AB96">XIRR(INDEX(IF(COLUMN($C82:AB82)&lt;COLUMN(AB82),$C82:AA82,AB14),),$C$1:AB$1)</f>
        <v>6.9910734891891488E-3</v>
      </c>
      <c r="AC96" s="198" cm="1">
        <f t="array" ref="AC96">XIRR(INDEX(IF(COLUMN($C82:AC82)&lt;COLUMN(AC82),$C82:AB82,AC14),),$C$1:AC$1)</f>
        <v>1.0783335566520693E-2</v>
      </c>
      <c r="AD96" s="198" cm="1">
        <f t="array" ref="AD96">XIRR(INDEX(IF(COLUMN($C82:AD82)&lt;COLUMN(AD82),$C82:AC82,AD14),),$C$1:AD$1)</f>
        <v>4.2442053556442259E-3</v>
      </c>
      <c r="AE96" s="198" cm="1">
        <f t="array" ref="AE96">XIRR(INDEX(IF(COLUMN($C82:AE82)&lt;COLUMN(AE82),$C82:AD82,AE14),),$C$1:AE$1)</f>
        <v>2.7416199445724487E-3</v>
      </c>
      <c r="AF96" s="198" cm="1">
        <f t="array" ref="AF96">XIRR(INDEX(IF(COLUMN($C82:AF82)&lt;COLUMN(AF82),$C82:AE82,AF14),),$C$1:AF$1)</f>
        <v>1.0445919632911683E-2</v>
      </c>
      <c r="AG96" s="198" cm="1">
        <f t="array" ref="AG96">XIRR(INDEX(IF(COLUMN($C82:AG82)&lt;COLUMN(AG82),$C82:AF82,AG14),),$C$1:AG$1)</f>
        <v>1.3718304038047791E-2</v>
      </c>
      <c r="AH96" s="198" cm="1">
        <f t="array" ref="AH96">XIRR(INDEX(IF(COLUMN($C82:AH82)&lt;COLUMN(AH82),$C82:AG82,AH14),),$C$1:AH$1)</f>
        <v>1.5987548232078555E-2</v>
      </c>
      <c r="AI96" s="198" cm="1">
        <f t="array" ref="AI96">XIRR(INDEX(IF(COLUMN($C82:AI82)&lt;COLUMN(AI82),$C82:AH82,AI14),),$C$1:AI$1)</f>
        <v>1.5056779980659487E-2</v>
      </c>
      <c r="AJ96" s="198" cm="1">
        <f t="array" ref="AJ96">XIRR(INDEX(IF(COLUMN($C82:AJ82)&lt;COLUMN(AJ82),$C82:AI82,AJ14),),$C$1:AJ$1)</f>
        <v>1.7766109108924871E-2</v>
      </c>
      <c r="AK96" s="198" cm="1">
        <f t="array" ref="AK96">XIRR(INDEX(IF(COLUMN($C82:AK82)&lt;COLUMN(AK82),$C82:AJ82,AK14),),$C$1:AK$1)</f>
        <v>1.2569805979728697E-2</v>
      </c>
      <c r="AL96" s="198" cm="1">
        <f t="array" ref="AL96">XIRR(INDEX(IF(COLUMN($C82:AL82)&lt;COLUMN(AL82),$C82:AK82,AL14),),$C$1:AL$1)</f>
        <v>7.6951086521148682E-4</v>
      </c>
      <c r="AM96" s="198" cm="1">
        <f t="array" ref="AM96">XIRR(INDEX(IF(COLUMN($C82:AM82)&lt;COLUMN(AM82),$C82:AL82,AM14),),$C$1:AM$1)</f>
        <v>-2.6086241006851195E-3</v>
      </c>
      <c r="AN96" s="198" cm="1">
        <f t="array" ref="AN96">XIRR(INDEX(IF(COLUMN($C82:AN82)&lt;COLUMN(AN82),$C82:AM82,AN14),),$C$1:AN$1)</f>
        <v>6.1325520277023312E-3</v>
      </c>
      <c r="AO96" s="198" cm="1">
        <f t="array" ref="AO96">XIRR(INDEX(IF(COLUMN($C82:AO82)&lt;COLUMN(AO82),$C82:AN82,AO14),),$C$1:AO$1)</f>
        <v>7.0017725229263323E-3</v>
      </c>
      <c r="AP96" s="198" cm="1">
        <f t="array" ref="AP96">XIRR(INDEX(IF(COLUMN($C82:AP82)&lt;COLUMN(AP82),$C82:AO82,AP14),),$C$1:AP$1)</f>
        <v>1.2396544218063355E-3</v>
      </c>
      <c r="AQ96" s="198" cm="1">
        <f t="array" ref="AQ96">XIRR(INDEX(IF(COLUMN($C82:AQ82)&lt;COLUMN(AQ82),$C82:AP82,AQ14),),$C$1:AQ$1)</f>
        <v>2.6474684476852422E-3</v>
      </c>
      <c r="AR96" s="198" cm="1">
        <f t="array" ref="AR96">XIRR(INDEX(IF(COLUMN($C82:AR82)&lt;COLUMN(AR82),$C82:AQ82,AR14),),$C$1:AR$1)</f>
        <v>2.8292626142501836E-3</v>
      </c>
      <c r="AS96" s="198" cm="1">
        <f t="array" ref="AS96">XIRR(INDEX(IF(COLUMN($C82:AS82)&lt;COLUMN(AS82),$C82:AR82,AS14),),$C$1:AS$1)</f>
        <v>1.0497123003005984E-3</v>
      </c>
      <c r="AT96" s="198" cm="1">
        <f t="array" ref="AT96">XIRR(INDEX(IF(COLUMN($C82:AT82)&lt;COLUMN(AT82),$C82:AS82,AT14),),$C$1:AT$1)</f>
        <v>8.719113469123841E-3</v>
      </c>
      <c r="AU96" s="198" cm="1">
        <f t="array" ref="AU96">XIRR(INDEX(IF(COLUMN($C82:AU82)&lt;COLUMN(AU82),$C82:AT82,AU14),),$C$1:AU$1)</f>
        <v>1.4143308997154234E-2</v>
      </c>
      <c r="AV96" s="198"/>
      <c r="AW96" s="198"/>
      <c r="AX96" s="198"/>
      <c r="AY96" s="198"/>
      <c r="AZ96" s="198"/>
      <c r="BA96" s="198"/>
      <c r="BB96" s="198"/>
      <c r="BC96" s="198"/>
      <c r="BD96" s="198"/>
      <c r="BE96" s="198"/>
      <c r="BF96" s="198"/>
      <c r="BG96" s="198"/>
      <c r="BH96" s="198"/>
      <c r="BI96" s="198"/>
      <c r="BJ96" s="198"/>
      <c r="BK96" s="198"/>
      <c r="BL96" s="198"/>
      <c r="BM96" s="198"/>
      <c r="BN96" s="198"/>
      <c r="BO96" s="198"/>
      <c r="BP96" s="71"/>
      <c r="BR96" s="159"/>
    </row>
    <row r="97" spans="1:70">
      <c r="A97" s="98" t="s">
        <v>42</v>
      </c>
      <c r="B97" s="98"/>
      <c r="C97" s="84">
        <f>SUM(C86:C96)</f>
        <v>0</v>
      </c>
      <c r="D97" s="199">
        <f t="shared" ref="D97:AN97" si="601">SUMPRODUCT(D4:D14,D86:D96)/(D15)</f>
        <v>2.4890908141531276</v>
      </c>
      <c r="E97" s="199">
        <f t="shared" si="601"/>
        <v>1.225639428871931</v>
      </c>
      <c r="F97" s="199">
        <f t="shared" si="601"/>
        <v>0.63256422796080802</v>
      </c>
      <c r="G97" s="199">
        <f t="shared" si="601"/>
        <v>0.35304521410132245</v>
      </c>
      <c r="H97" s="199">
        <f t="shared" si="601"/>
        <v>0.54567517075166017</v>
      </c>
      <c r="I97" s="199">
        <f t="shared" si="601"/>
        <v>0.50259567601998167</v>
      </c>
      <c r="J97" s="199">
        <f t="shared" si="601"/>
        <v>0.46271788072237841</v>
      </c>
      <c r="K97" s="199">
        <f t="shared" si="601"/>
        <v>0.49023386015387532</v>
      </c>
      <c r="L97" s="199">
        <f t="shared" si="601"/>
        <v>0.4595099693631941</v>
      </c>
      <c r="M97" s="199">
        <f t="shared" si="601"/>
        <v>0.39289692862911968</v>
      </c>
      <c r="N97" s="199">
        <f t="shared" si="601"/>
        <v>0.33965179170787424</v>
      </c>
      <c r="O97" s="199">
        <f t="shared" si="601"/>
        <v>0.30525292105253343</v>
      </c>
      <c r="P97" s="199">
        <f t="shared" si="601"/>
        <v>0.28156548529436198</v>
      </c>
      <c r="Q97" s="199">
        <f t="shared" si="601"/>
        <v>0.16645029591358212</v>
      </c>
      <c r="R97" s="199">
        <f t="shared" si="601"/>
        <v>0.22870062442707692</v>
      </c>
      <c r="S97" s="199">
        <f t="shared" si="601"/>
        <v>0.19780817194242781</v>
      </c>
      <c r="T97" s="199">
        <f t="shared" si="601"/>
        <v>0.1445551240260097</v>
      </c>
      <c r="U97" s="199">
        <f t="shared" si="601"/>
        <v>0.11421245099489112</v>
      </c>
      <c r="V97" s="199">
        <f t="shared" si="601"/>
        <v>0.16421176202537383</v>
      </c>
      <c r="W97" s="199">
        <f t="shared" si="601"/>
        <v>0.17421433105892412</v>
      </c>
      <c r="X97" s="199">
        <f t="shared" si="601"/>
        <v>0.15564736826182948</v>
      </c>
      <c r="Y97" s="199">
        <f t="shared" si="601"/>
        <v>0.16953187096726965</v>
      </c>
      <c r="Z97" s="199">
        <f t="shared" si="601"/>
        <v>0.16369094907656742</v>
      </c>
      <c r="AA97" s="199">
        <f t="shared" si="601"/>
        <v>0.12641237788686924</v>
      </c>
      <c r="AB97" s="199">
        <f t="shared" si="601"/>
        <v>0.12726795408292732</v>
      </c>
      <c r="AC97" s="199">
        <f t="shared" si="601"/>
        <v>0.11738782524791271</v>
      </c>
      <c r="AD97" s="199">
        <f t="shared" si="601"/>
        <v>0.10772413488674422</v>
      </c>
      <c r="AE97" s="199">
        <f t="shared" si="601"/>
        <v>0.12978302819442206</v>
      </c>
      <c r="AF97" s="199">
        <f t="shared" si="601"/>
        <v>0.14067527846746311</v>
      </c>
      <c r="AG97" s="199">
        <f t="shared" si="601"/>
        <v>0.15953462612187341</v>
      </c>
      <c r="AH97" s="199">
        <f t="shared" si="601"/>
        <v>0.17503239150413935</v>
      </c>
      <c r="AI97" s="199">
        <f t="shared" si="601"/>
        <v>0.164532925977422</v>
      </c>
      <c r="AJ97" s="199">
        <f t="shared" si="601"/>
        <v>0.16034831881314709</v>
      </c>
      <c r="AK97" s="199">
        <f t="shared" si="601"/>
        <v>0.15140505753467975</v>
      </c>
      <c r="AL97" s="199">
        <f t="shared" si="601"/>
        <v>0.17231138000282931</v>
      </c>
      <c r="AM97" s="199">
        <f t="shared" si="601"/>
        <v>0.18508346038636034</v>
      </c>
      <c r="AN97" s="199">
        <f t="shared" si="601"/>
        <v>0.19324893506444812</v>
      </c>
      <c r="AO97" s="199" cm="1">
        <f t="array" ref="AO97">XIRR(INDEX(IF(COLUMN($C83:AO83)&lt;COLUMN(AO83),$C83:AN83,AO15),),$C$1:AO$1)</f>
        <v>0.17639887928962711</v>
      </c>
      <c r="AP97" s="199" cm="1">
        <f t="array" ref="AP97">XIRR(INDEX(IF(COLUMN($C83:AP83)&lt;COLUMN(AP83),$C83:AO83,AP15),),$C$1:AP$1)</f>
        <v>0.19368934035301211</v>
      </c>
      <c r="AQ97" s="199" cm="1">
        <f t="array" ref="AQ97">XIRR(INDEX(IF(COLUMN($C83:AQ83)&lt;COLUMN(AQ83),$C83:AP83,AQ15),),$C$1:AQ$1)</f>
        <v>0.18692676424980159</v>
      </c>
      <c r="AR97" s="199" cm="1">
        <f t="array" ref="AR97">XIRR(INDEX(IF(COLUMN($C83:AR83)&lt;COLUMN(AR83),$C83:AR83,AR15),),$C$1:AR$1)</f>
        <v>0.18104243874549872</v>
      </c>
      <c r="AS97" s="199" cm="1">
        <f t="array" ref="AS97">XIRR(INDEX(IF(COLUMN($C83:AS83)&lt;COLUMN(AS83),$C83:AR83,AS15),),$C$1:AS$1)</f>
        <v>0.19996492266654967</v>
      </c>
      <c r="AT97" s="199" cm="1">
        <f t="array" ref="AT97">XIRR(INDEX(IF(COLUMN($C83:AT83)&lt;COLUMN(AT83),$C83:AS83,AT15),),$C$1:AT$1)</f>
        <v>0.21480777859687802</v>
      </c>
      <c r="AU97" s="199" cm="1">
        <f t="array" ref="AU97">XIRR(INDEX(IF(COLUMN($C83:AU83)&lt;COLUMN(AU83),$C83:AT83,AU15),),$C$1:AU$1)</f>
        <v>0.20586430430412292</v>
      </c>
      <c r="AV97" s="199" cm="1">
        <f t="array" ref="AV97">XIRR(INDEX(IF(COLUMN($C83:AV83)&lt;COLUMN(AV83),$C83:AU83,AV15),),$C$1:AV$1)</f>
        <v>0.20435153841972351</v>
      </c>
      <c r="AW97" s="199" cm="1">
        <f t="array" ref="AW97">XIRR(INDEX(IF(COLUMN($C83:AW83)&lt;COLUMN(AW83),$C83:AV83,AW15),),$C$1:AW$1)</f>
        <v>0.17635002732276919</v>
      </c>
      <c r="AX97" s="199" cm="1">
        <f t="array" ref="AX97">XIRR(INDEX(IF(COLUMN($C83:AX83)&lt;COLUMN(AX83),$C83:AW83,AX15),),$C$1:AX$1)</f>
        <v>0.17351410984992982</v>
      </c>
      <c r="AY97" s="199" cm="1">
        <f t="array" ref="AY97">XIRR(INDEX(IF(COLUMN($C83:AY83)&lt;COLUMN(AY83),$C83:AX83,AY15),),$C$1:AY$1)</f>
        <v>0.17221215367317202</v>
      </c>
      <c r="AZ97" s="199" cm="1">
        <f t="array" ref="AZ97">XIRR(INDEX(IF(COLUMN($C83:AZ83)&lt;COLUMN(AZ83),$C83:AY83,AZ15),),$C$1:AZ$1)</f>
        <v>0.1465568959712982</v>
      </c>
      <c r="BA97" s="199" cm="1">
        <f t="array" ref="BA97">XIRR(INDEX(IF(COLUMN($C83:BA83)&lt;COLUMN(BA83),$C83:AZ83,BA15),),$C$1:BA$1)</f>
        <v>0.1251811683177948</v>
      </c>
      <c r="BB97" s="199" cm="1">
        <f t="array" ref="BB97">XIRR(INDEX(IF(COLUMN($C83:BB83)&lt;COLUMN(BB83),$C83:BA83,BB15),),$C$1:BB$1)</f>
        <v>0.1394182503223419</v>
      </c>
      <c r="BC97" s="199" cm="1">
        <f t="array" ref="BC97">XIRR(INDEX(IF(COLUMN($C83:BC83)&lt;COLUMN(BC83),$C83:BB83,BC15),),$C$1:BC$1)</f>
        <v>0.13885745406150821</v>
      </c>
      <c r="BD97" s="199" cm="1">
        <f t="array" ref="BD97">XIRR(INDEX(IF(COLUMN($C83:BD83)&lt;COLUMN(BD83),$C83:BC83,BD15),),$C$1:BD$1)</f>
        <v>0.14779904484748843</v>
      </c>
      <c r="BE97" s="199" cm="1">
        <f t="array" ref="BE97">XIRR(INDEX(IF(COLUMN($C83:BE83)&lt;COLUMN(BE83),$C83:BD83,BE15),),$C$1:BE$1)</f>
        <v>0.15049403309822085</v>
      </c>
      <c r="BF97" s="199" cm="1">
        <f t="array" ref="BF97">XIRR(INDEX(IF(COLUMN($C83:BF83)&lt;COLUMN(BF83),$C83:BE83,BF15),),$C$1:BF$1)</f>
        <v>0.14893630146980291</v>
      </c>
      <c r="BG97" s="199" cm="1">
        <f t="array" ref="BG97">XIRR(INDEX(IF(COLUMN($C83:BG83)&lt;COLUMN(BG83),$C83:BF83,BG15),),$C$1:BG$1)</f>
        <v>0.13770661950111387</v>
      </c>
      <c r="BH97" s="199" cm="1">
        <f t="array" ref="BH97">XIRR(INDEX(IF(COLUMN($C83:BH83)&lt;COLUMN(BH83),$C83:BG83,BH15),),$C$1:BH$1)</f>
        <v>0.13943528532981872</v>
      </c>
      <c r="BI97" s="199" cm="1">
        <f t="array" ref="BI97">XIRR(INDEX(IF(COLUMN($C83:BI83)&lt;COLUMN(BI83),$C83:BH83,BI15),),$C$1:BI$1)</f>
        <v>0.14601020216941837</v>
      </c>
      <c r="BJ97" s="199" cm="1">
        <f t="array" ref="BJ97">XIRR(INDEX(IF(COLUMN($C83:BJ83)&lt;COLUMN(BJ83),$C83:BI83,BJ15),),$C$1:BJ$1)</f>
        <v>0.14031185507774349</v>
      </c>
      <c r="BK97" s="199" cm="1">
        <f t="array" ref="BK97">XIRR(INDEX(IF(COLUMN($C83:BK83)&lt;COLUMN(BK83),$C83:BJ83,BK15),),$C$1:BK$1)</f>
        <v>0.13695860505104065</v>
      </c>
      <c r="BL97" s="199" cm="1">
        <f t="array" ref="BL97">XIRR(INDEX(IF(COLUMN($C83:BL83)&lt;COLUMN(BL83),$C83:BK83,BL15),),$C$1:BL$1)</f>
        <v>0.12862324118614191</v>
      </c>
      <c r="BM97" s="199" cm="1">
        <f t="array" ref="BM97">XIRR(INDEX(IF(COLUMN($C83:BM83)&lt;COLUMN(BM83),$C83:BL83,BM15),),$C$1:BM$1)</f>
        <v>0.1237280070781708</v>
      </c>
      <c r="BN97" s="199" cm="1">
        <f t="array" ref="BN97">XIRR(INDEX(IF(COLUMN($C83:BN83)&lt;COLUMN(BN83),$C83:BM83,BN15),),$C$1:BN$1)</f>
        <v>0.10779873728752137</v>
      </c>
      <c r="BO97" s="199" cm="1">
        <f t="array" ref="BO97">XIRR(INDEX(IF(COLUMN($C83:BO83)&lt;COLUMN(BO83),$C83:BN83,BO15),),$C$1:BO$1)</f>
        <v>0.12658898234367372</v>
      </c>
      <c r="BP97" s="71"/>
      <c r="BR97" s="159"/>
    </row>
    <row r="98" spans="1:70">
      <c r="A98" s="99"/>
      <c r="B98" s="99"/>
      <c r="C98" s="69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195"/>
      <c r="AY98" s="195"/>
      <c r="AZ98" s="195"/>
      <c r="BA98" s="195"/>
      <c r="BB98" s="195"/>
      <c r="BC98" s="195"/>
      <c r="BD98" s="195"/>
      <c r="BE98" s="195"/>
      <c r="BF98" s="195"/>
      <c r="BG98" s="195"/>
      <c r="BH98" s="195"/>
      <c r="BI98" s="195"/>
      <c r="BJ98" s="195"/>
      <c r="BK98" s="195"/>
      <c r="BL98" s="195"/>
      <c r="BM98" s="195"/>
      <c r="BN98" s="195"/>
      <c r="BO98" s="195"/>
      <c r="BP98" s="71"/>
      <c r="BR98" s="159"/>
    </row>
    <row r="99" spans="1:70">
      <c r="A99" s="99"/>
      <c r="B99" s="99"/>
      <c r="C99" s="69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195"/>
      <c r="AY99" s="195"/>
      <c r="AZ99" s="195"/>
      <c r="BA99" s="195"/>
      <c r="BB99" s="195"/>
      <c r="BC99" s="195"/>
      <c r="BD99" s="195"/>
      <c r="BE99" s="195"/>
      <c r="BF99" s="195"/>
      <c r="BG99" s="195"/>
      <c r="BH99" s="195"/>
      <c r="BI99" s="195"/>
      <c r="BJ99" s="195"/>
      <c r="BK99" s="195"/>
      <c r="BL99" s="195"/>
      <c r="BM99" s="195"/>
      <c r="BN99" s="195"/>
      <c r="BO99" s="195"/>
      <c r="BP99" s="71"/>
      <c r="BR99" s="159"/>
    </row>
    <row r="100" spans="1:70"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</row>
    <row r="101" spans="1:70">
      <c r="A101" s="194" t="s">
        <v>17</v>
      </c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  <c r="AV101" s="194"/>
      <c r="AW101" s="194"/>
      <c r="AX101" s="194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K101" s="194"/>
      <c r="BL101" s="194"/>
      <c r="BM101" s="194"/>
      <c r="BN101" s="194"/>
      <c r="BO101" s="194"/>
      <c r="BP101" s="71"/>
    </row>
    <row r="102" spans="1:70">
      <c r="A102" s="97" t="s">
        <v>117</v>
      </c>
      <c r="B102" s="97" t="s">
        <v>6</v>
      </c>
      <c r="C102" s="95"/>
      <c r="D102" s="96">
        <f t="shared" ref="D102:D109" si="602">D44/(C4)</f>
        <v>1.2768277374807967E-2</v>
      </c>
      <c r="E102" s="96">
        <f t="shared" ref="E102:L102" si="603">E44/(D4)</f>
        <v>3.8567523593397046E-2</v>
      </c>
      <c r="F102" s="96">
        <f t="shared" si="603"/>
        <v>6.8013838800516672E-3</v>
      </c>
      <c r="G102" s="96">
        <f t="shared" si="603"/>
        <v>2.7143903005951202E-2</v>
      </c>
      <c r="H102" s="96">
        <f t="shared" si="603"/>
        <v>6.7629072422092165E-2</v>
      </c>
      <c r="I102" s="96">
        <f t="shared" si="603"/>
        <v>8.4685310469028146E-3</v>
      </c>
      <c r="J102" s="96">
        <f t="shared" si="603"/>
        <v>3.5379803770355045E-2</v>
      </c>
      <c r="K102" s="96">
        <f t="shared" si="603"/>
        <v>4.0029963987624165E-2</v>
      </c>
      <c r="L102" s="96">
        <f t="shared" si="603"/>
        <v>2.4484789336438266E-2</v>
      </c>
      <c r="M102" s="96">
        <f t="shared" ref="M102:Q102" si="604">M44/(L4)</f>
        <v>7.1047605466606012E-3</v>
      </c>
      <c r="N102" s="96">
        <f t="shared" si="604"/>
        <v>-2.8615787822431946E-2</v>
      </c>
      <c r="O102" s="96">
        <f t="shared" si="604"/>
        <v>-2.0722075847228764E-3</v>
      </c>
      <c r="P102" s="96">
        <f t="shared" si="604"/>
        <v>1.9750466836545917E-2</v>
      </c>
      <c r="Q102" s="96">
        <f t="shared" si="604"/>
        <v>-9.882161346778677E-2</v>
      </c>
      <c r="R102" s="96">
        <f>R44/(Q4)</f>
        <v>6.8908466464967122E-2</v>
      </c>
      <c r="S102" s="96">
        <f>S44/(R4)</f>
        <v>-6.043855011402169E-3</v>
      </c>
      <c r="T102" s="96">
        <f>T44/(S4)</f>
        <v>-4.6326070484842156E-2</v>
      </c>
      <c r="U102" s="96">
        <f>U44/(T4)</f>
        <v>-2.6019073310911411E-2</v>
      </c>
      <c r="V102" s="96">
        <f>V44/(U4)</f>
        <v>0.10755648588993368</v>
      </c>
      <c r="W102" s="96">
        <f t="shared" ref="W102:AC102" si="605">W44/(V4)</f>
        <v>2.5598503677725367E-2</v>
      </c>
      <c r="X102" s="96">
        <f t="shared" si="605"/>
        <v>-2.681494604227163E-2</v>
      </c>
      <c r="Y102" s="96">
        <f t="shared" si="605"/>
        <v>3.8524123782145168E-2</v>
      </c>
      <c r="Z102" s="96">
        <f t="shared" si="605"/>
        <v>1.0858294477588324E-3</v>
      </c>
      <c r="AA102" s="96">
        <f t="shared" si="605"/>
        <v>-2.8708994134362391E-2</v>
      </c>
      <c r="AB102" s="96">
        <f t="shared" si="605"/>
        <v>-4.5436306516480436E-3</v>
      </c>
      <c r="AC102" s="96">
        <f t="shared" si="605"/>
        <v>-2.8059357152924718E-3</v>
      </c>
      <c r="AD102" s="96">
        <f t="shared" ref="AD102:AM102" si="606">AD44/(AC4)</f>
        <v>-1.3196875463325784E-2</v>
      </c>
      <c r="AE102" s="96">
        <f t="shared" si="606"/>
        <v>5.8342024686276688E-2</v>
      </c>
      <c r="AF102" s="96">
        <f t="shared" si="606"/>
        <v>5.4689640549200925E-2</v>
      </c>
      <c r="AG102" s="96">
        <f t="shared" si="606"/>
        <v>3.8232461744932972E-2</v>
      </c>
      <c r="AH102" s="96">
        <f t="shared" si="606"/>
        <v>4.1996464573878345E-2</v>
      </c>
      <c r="AI102" s="96">
        <f t="shared" si="606"/>
        <v>9.8311549016890688E-3</v>
      </c>
      <c r="AJ102" s="96">
        <f t="shared" si="606"/>
        <v>2.9783672694394265E-2</v>
      </c>
      <c r="AK102" s="96">
        <f t="shared" si="606"/>
        <v>-3.3353865924355326E-3</v>
      </c>
      <c r="AL102" s="96">
        <f t="shared" si="606"/>
        <v>7.6734871828603168E-2</v>
      </c>
      <c r="AM102" s="96">
        <f t="shared" si="606"/>
        <v>4.9173159663797705E-2</v>
      </c>
      <c r="AN102" s="96">
        <f t="shared" ref="AN102:AN113" si="607">AN44/(AM4)</f>
        <v>3.1698085820078943E-2</v>
      </c>
      <c r="AO102" s="96">
        <f t="shared" ref="AO102:AO113" si="608">AO44/(AN4)</f>
        <v>3.6747007017233269E-2</v>
      </c>
      <c r="AP102" s="96">
        <f>AP44/(AO4)</f>
        <v>1.8170640678664882E-3</v>
      </c>
      <c r="AQ102" s="96">
        <f>AQ44/(AP4)</f>
        <v>7.6952352448546634E-3</v>
      </c>
      <c r="AR102" s="96">
        <f>AR44/(AQ4)</f>
        <v>2.8227083737195442E-3</v>
      </c>
      <c r="AS102" s="96">
        <f>AS44/(AR4)</f>
        <v>5.8480681392504397E-2</v>
      </c>
      <c r="AT102" s="96">
        <f>AT44/(AS4)</f>
        <v>7.0752475792952546E-2</v>
      </c>
      <c r="AU102" s="96">
        <f>AU44/(AT4)</f>
        <v>1.4027304257323738E-2</v>
      </c>
      <c r="AV102" s="96">
        <f t="shared" ref="AV102:BB109" si="609">AV44/(AU4)</f>
        <v>-4.9324860839108017E-3</v>
      </c>
      <c r="AW102" s="96">
        <f t="shared" si="609"/>
        <v>-6.8750301427277116E-2</v>
      </c>
      <c r="AX102" s="96">
        <f t="shared" si="609"/>
        <v>-1.3739968477350073E-2</v>
      </c>
      <c r="AY102" s="96">
        <f t="shared" si="609"/>
        <v>-1.5384209386771111E-2</v>
      </c>
      <c r="AZ102" s="96">
        <f t="shared" si="609"/>
        <v>-4.3883035364593571E-2</v>
      </c>
      <c r="BA102" s="96">
        <f t="shared" si="609"/>
        <v>-9.6459998410497044E-2</v>
      </c>
      <c r="BB102" s="96">
        <f t="shared" si="609"/>
        <v>3.8549023079445327E-2</v>
      </c>
      <c r="BC102" s="96">
        <f>BC44/(BB4)</f>
        <v>4.2621497904792152E-2</v>
      </c>
      <c r="BD102" s="96">
        <f>BD44/(BC4)</f>
        <v>3.7739258820160423E-2</v>
      </c>
      <c r="BE102" s="96">
        <f>BE44/(BD4)</f>
        <v>3.5241466543384885E-2</v>
      </c>
      <c r="BF102" s="96">
        <f>BF44/(BE4)</f>
        <v>-4.1887018283343562E-2</v>
      </c>
      <c r="BG102" s="96">
        <f>BG44/(BF4)</f>
        <v>2.2787500054375898E-2</v>
      </c>
      <c r="BH102" s="96">
        <f>BH44/(BG4)</f>
        <v>-3.8323835085188163E-2</v>
      </c>
      <c r="BI102" s="96">
        <f>BI44/(BH4)</f>
        <v>3.5041636912643712E-2</v>
      </c>
      <c r="BJ102" s="96">
        <f>BJ44/(BI4)</f>
        <v>1.2194258823900361E-2</v>
      </c>
      <c r="BK102" s="96">
        <f>BK44/(BJ4)</f>
        <v>-5.4300607222895749E-3</v>
      </c>
      <c r="BL102" s="96">
        <f>BL44/(BK4)</f>
        <v>-2.8905234590867111E-2</v>
      </c>
      <c r="BM102" s="96">
        <f>BM44/(BL4)</f>
        <v>1.71741453653825E-3</v>
      </c>
      <c r="BN102" s="96">
        <f>BN44/(BM4)</f>
        <v>-9.1446030803015679E-2</v>
      </c>
      <c r="BO102" s="96">
        <f>BO44/(BN4)</f>
        <v>7.4028525751738031E-2</v>
      </c>
      <c r="BP102" s="71"/>
      <c r="BQ102" s="1">
        <f>AVERAGE(D102:BO102)*12</f>
        <v>0.12676873597183233</v>
      </c>
    </row>
    <row r="103" spans="1:70">
      <c r="A103" s="97" t="s">
        <v>119</v>
      </c>
      <c r="B103" s="97" t="s">
        <v>6</v>
      </c>
      <c r="C103" s="95"/>
      <c r="D103" s="96">
        <f t="shared" si="602"/>
        <v>1.806236957734051E-2</v>
      </c>
      <c r="E103" s="96">
        <f t="shared" ref="E103:M103" si="610">E45/(D5)</f>
        <v>0.12753828986769511</v>
      </c>
      <c r="F103" s="96">
        <f t="shared" si="610"/>
        <v>-1.6256131087971821E-2</v>
      </c>
      <c r="G103" s="96">
        <f t="shared" si="610"/>
        <v>-7.3476293268817791E-3</v>
      </c>
      <c r="H103" s="96">
        <f t="shared" si="610"/>
        <v>9.6461651826760697E-2</v>
      </c>
      <c r="I103" s="96">
        <f t="shared" si="610"/>
        <v>4.3522830076884567E-2</v>
      </c>
      <c r="J103" s="96">
        <f t="shared" si="610"/>
        <v>3.9531638803215724E-2</v>
      </c>
      <c r="K103" s="96">
        <f t="shared" si="610"/>
        <v>6.737696309757063E-2</v>
      </c>
      <c r="L103" s="96">
        <f t="shared" si="610"/>
        <v>8.3681145826530901E-3</v>
      </c>
      <c r="M103" s="96">
        <f t="shared" si="610"/>
        <v>1.1709062558050817E-2</v>
      </c>
      <c r="N103" s="96">
        <f t="shared" ref="N103:AM103" si="611">N45/(M5)</f>
        <v>-1.7475870888458433E-3</v>
      </c>
      <c r="O103" s="96">
        <f t="shared" si="611"/>
        <v>1.713192780559342E-2</v>
      </c>
      <c r="P103" s="96">
        <f t="shared" si="611"/>
        <v>-1.086654026962006E-2</v>
      </c>
      <c r="Q103" s="96">
        <f t="shared" si="611"/>
        <v>-7.7746617794849121E-2</v>
      </c>
      <c r="R103" s="96">
        <f t="shared" si="611"/>
        <v>7.0839607021462664E-2</v>
      </c>
      <c r="S103" s="96">
        <f t="shared" si="611"/>
        <v>-1.9619070620732759E-2</v>
      </c>
      <c r="T103" s="96">
        <f t="shared" si="611"/>
        <v>-4.6427719195062021E-2</v>
      </c>
      <c r="U103" s="96">
        <f t="shared" si="611"/>
        <v>-4.1962111695321186E-2</v>
      </c>
      <c r="V103" s="96">
        <f t="shared" si="611"/>
        <v>9.1048267621467019E-2</v>
      </c>
      <c r="W103" s="96">
        <f t="shared" si="611"/>
        <v>2.6022693077393456E-2</v>
      </c>
      <c r="X103" s="96">
        <f t="shared" si="611"/>
        <v>-1.705554565524085E-2</v>
      </c>
      <c r="Y103" s="96">
        <f t="shared" si="611"/>
        <v>3.0700710260894069E-2</v>
      </c>
      <c r="Z103" s="96">
        <f t="shared" si="611"/>
        <v>2.841266504570528E-4</v>
      </c>
      <c r="AA103" s="96">
        <f t="shared" si="611"/>
        <v>-3.2161976956971143E-2</v>
      </c>
      <c r="AB103" s="96">
        <f t="shared" si="611"/>
        <v>-1.3794612160284602E-4</v>
      </c>
      <c r="AC103" s="96">
        <f t="shared" si="611"/>
        <v>-1.4706055366280687E-2</v>
      </c>
      <c r="AD103" s="96">
        <f t="shared" si="611"/>
        <v>-7.3250247304609203E-3</v>
      </c>
      <c r="AE103" s="96">
        <f t="shared" si="611"/>
        <v>4.0131896300035774E-2</v>
      </c>
      <c r="AF103" s="96">
        <f t="shared" si="611"/>
        <v>5.7073219045722344E-2</v>
      </c>
      <c r="AG103" s="96">
        <f t="shared" si="611"/>
        <v>3.7890742999705115E-2</v>
      </c>
      <c r="AH103" s="96">
        <f t="shared" si="611"/>
        <v>3.0294993937763033E-2</v>
      </c>
      <c r="AI103" s="96">
        <f t="shared" si="611"/>
        <v>2.1408225755088599E-2</v>
      </c>
      <c r="AJ103" s="96">
        <f t="shared" si="611"/>
        <v>2.7665568827166787E-3</v>
      </c>
      <c r="AK103" s="96">
        <f t="shared" si="611"/>
        <v>-1.0171448540235229E-3</v>
      </c>
      <c r="AL103" s="96">
        <f t="shared" si="611"/>
        <v>6.3332143323335768E-2</v>
      </c>
      <c r="AM103" s="96">
        <f t="shared" si="611"/>
        <v>5.280122309738991E-2</v>
      </c>
      <c r="AN103" s="96">
        <f t="shared" ref="AN103:AN112" si="612">AN45/(AM5)</f>
        <v>3.1764159561384619E-2</v>
      </c>
      <c r="AO103" s="96">
        <f t="shared" si="608"/>
        <v>2.4242112141191503E-2</v>
      </c>
      <c r="AP103" s="96">
        <f t="shared" ref="AP103:AU103" si="613">AP45/(AO5)</f>
        <v>1.2423560977873204E-2</v>
      </c>
      <c r="AQ103" s="96">
        <f t="shared" si="613"/>
        <v>2.0928291912312835E-2</v>
      </c>
      <c r="AR103" s="96">
        <f t="shared" si="613"/>
        <v>1.9623051654364464E-2</v>
      </c>
      <c r="AS103" s="96">
        <f t="shared" si="613"/>
        <v>7.0008982015238405E-2</v>
      </c>
      <c r="AT103" s="96">
        <f t="shared" si="613"/>
        <v>3.2041727507547295E-2</v>
      </c>
      <c r="AU103" s="96">
        <f t="shared" si="613"/>
        <v>1.1217201039512223E-2</v>
      </c>
      <c r="AV103" s="96">
        <f t="shared" si="609"/>
        <v>2.4090075587853886E-2</v>
      </c>
      <c r="AW103" s="96">
        <f t="shared" si="609"/>
        <v>-4.4150689639941815E-2</v>
      </c>
      <c r="AX103" s="96">
        <f t="shared" si="609"/>
        <v>1.083111921035825E-2</v>
      </c>
      <c r="AY103" s="96">
        <f t="shared" si="609"/>
        <v>1.6990459248417453E-2</v>
      </c>
      <c r="AZ103" s="96">
        <f t="shared" si="609"/>
        <v>-5.8392116309551122E-2</v>
      </c>
      <c r="BA103" s="96">
        <f t="shared" si="609"/>
        <v>-6.8651659653896552E-2</v>
      </c>
      <c r="BB103" s="96">
        <f t="shared" si="609"/>
        <v>3.3308719285024241E-2</v>
      </c>
      <c r="BC103" s="96">
        <f t="shared" ref="BC103:BO112" si="614">BC45/(BB5)</f>
        <v>2.88923654834458E-2</v>
      </c>
      <c r="BD103" s="96">
        <f t="shared" si="614"/>
        <v>5.348761284742766E-2</v>
      </c>
      <c r="BE103" s="96">
        <f t="shared" si="614"/>
        <v>4.4174166880560015E-2</v>
      </c>
      <c r="BF103" s="96">
        <f t="shared" si="614"/>
        <v>-1.4986826705570503E-2</v>
      </c>
      <c r="BG103" s="96">
        <f t="shared" si="614"/>
        <v>2.2041115490817437E-4</v>
      </c>
      <c r="BH103" s="96">
        <f t="shared" si="614"/>
        <v>2.6310036984877497E-2</v>
      </c>
      <c r="BI103" s="96">
        <f t="shared" si="614"/>
        <v>2.7472495894657438E-2</v>
      </c>
      <c r="BJ103" s="96">
        <f t="shared" si="614"/>
        <v>-1.1159881813830179E-2</v>
      </c>
      <c r="BK103" s="96">
        <f t="shared" si="614"/>
        <v>-1.8700363394787273E-3</v>
      </c>
      <c r="BL103" s="96">
        <f t="shared" si="614"/>
        <v>-2.036185634334951E-2</v>
      </c>
      <c r="BM103" s="96">
        <f t="shared" si="614"/>
        <v>-1.6520845821413326E-2</v>
      </c>
      <c r="BN103" s="96">
        <f t="shared" si="614"/>
        <v>-7.7213065429553557E-2</v>
      </c>
      <c r="BO103" s="96">
        <f t="shared" si="614"/>
        <v>0.13517486873038295</v>
      </c>
      <c r="BP103" s="71"/>
      <c r="BQ103" s="1">
        <f>AVERAGE(D103:BO103)*12</f>
        <v>0.18184023627489079</v>
      </c>
    </row>
    <row r="104" spans="1:70">
      <c r="A104" s="97" t="s">
        <v>8</v>
      </c>
      <c r="B104" s="97" t="s">
        <v>8</v>
      </c>
      <c r="C104" s="95"/>
      <c r="D104" s="96">
        <f t="shared" si="602"/>
        <v>-2.1135999999999988E-2</v>
      </c>
      <c r="E104" s="96">
        <f t="shared" ref="E104:M104" si="615">E46/(D6)</f>
        <v>-3.8519558630227269E-2</v>
      </c>
      <c r="F104" s="96">
        <f t="shared" si="615"/>
        <v>-1.1957595674758768E-2</v>
      </c>
      <c r="G104" s="96">
        <f t="shared" si="615"/>
        <v>2.3625663129261745E-2</v>
      </c>
      <c r="H104" s="96">
        <f t="shared" si="615"/>
        <v>1.6522158400067165E-2</v>
      </c>
      <c r="I104" s="96">
        <f t="shared" si="615"/>
        <v>-1.4150093194203872E-2</v>
      </c>
      <c r="J104" s="96">
        <f t="shared" si="615"/>
        <v>-3.4612166345912368E-3</v>
      </c>
      <c r="K104" s="96">
        <f t="shared" si="615"/>
        <v>-1.1306391841563682E-2</v>
      </c>
      <c r="L104" s="96">
        <f t="shared" si="615"/>
        <v>-3.5227236054751845E-3</v>
      </c>
      <c r="M104" s="96">
        <f t="shared" si="615"/>
        <v>8.7356713683045054E-3</v>
      </c>
      <c r="N104" s="96">
        <f t="shared" ref="N104:AM104" si="616">N46/(M6)</f>
        <v>2.8725920919226299E-3</v>
      </c>
      <c r="O104" s="96">
        <f t="shared" si="616"/>
        <v>-4.2122999157539129E-3</v>
      </c>
      <c r="P104" s="96">
        <f t="shared" si="616"/>
        <v>-7.4873096446700718E-3</v>
      </c>
      <c r="Q104" s="96">
        <f t="shared" si="616"/>
        <v>2.6509823978178519E-2</v>
      </c>
      <c r="R104" s="96">
        <f t="shared" si="616"/>
        <v>0</v>
      </c>
      <c r="S104" s="96">
        <f t="shared" si="616"/>
        <v>0</v>
      </c>
      <c r="T104" s="96">
        <f t="shared" si="616"/>
        <v>0</v>
      </c>
      <c r="U104" s="96">
        <f t="shared" si="616"/>
        <v>0</v>
      </c>
      <c r="V104" s="96">
        <f t="shared" si="616"/>
        <v>0</v>
      </c>
      <c r="W104" s="96">
        <f t="shared" si="616"/>
        <v>2.2988068562356752E-2</v>
      </c>
      <c r="X104" s="96">
        <f t="shared" si="616"/>
        <v>-1.6983346427289769E-2</v>
      </c>
      <c r="Y104" s="96">
        <f t="shared" si="616"/>
        <v>7.6467686235817183E-3</v>
      </c>
      <c r="Z104" s="96">
        <f t="shared" si="616"/>
        <v>1.521175030599759E-2</v>
      </c>
      <c r="AA104" s="96">
        <f t="shared" si="616"/>
        <v>4.1791853341499437E-2</v>
      </c>
      <c r="AB104" s="96">
        <f t="shared" si="616"/>
        <v>2.8370843514227525E-2</v>
      </c>
      <c r="AC104" s="96">
        <f t="shared" si="616"/>
        <v>-9.7714811095578613E-3</v>
      </c>
      <c r="AD104" s="96">
        <f t="shared" si="616"/>
        <v>4.7376854801744119E-2</v>
      </c>
      <c r="AE104" s="96">
        <f t="shared" si="616"/>
        <v>4.0268602020953191E-2</v>
      </c>
      <c r="AF104" s="96">
        <f t="shared" si="616"/>
        <v>3.8221315151746788E-2</v>
      </c>
      <c r="AG104" s="96">
        <f t="shared" si="616"/>
        <v>-1.3031374357397818E-2</v>
      </c>
      <c r="AH104" s="96">
        <f t="shared" si="616"/>
        <v>4.9172295761248253E-3</v>
      </c>
      <c r="AI104" s="96">
        <f t="shared" si="616"/>
        <v>-5.6724561735228113E-4</v>
      </c>
      <c r="AJ104" s="96">
        <f t="shared" si="616"/>
        <v>-7.596621621621549E-3</v>
      </c>
      <c r="AK104" s="96">
        <f t="shared" si="616"/>
        <v>1.5450479555161167E-2</v>
      </c>
      <c r="AL104" s="96">
        <f t="shared" si="616"/>
        <v>2.8594656207046799E-2</v>
      </c>
      <c r="AM104" s="96">
        <f t="shared" si="616"/>
        <v>1.6737202166094464E-2</v>
      </c>
      <c r="AN104" s="96">
        <f t="shared" si="612"/>
        <v>1.1523784856011195E-2</v>
      </c>
      <c r="AO104" s="96">
        <f t="shared" si="608"/>
        <v>-8.9393208106361022E-3</v>
      </c>
      <c r="AP104" s="96">
        <f t="shared" ref="AP104:AU104" si="617">AP46/(AO6)</f>
        <v>7.232878061477524E-2</v>
      </c>
      <c r="AQ104" s="96">
        <f t="shared" si="617"/>
        <v>5.8279722390041172E-2</v>
      </c>
      <c r="AR104" s="96">
        <f t="shared" si="617"/>
        <v>4.3238481995377713E-2</v>
      </c>
      <c r="AS104" s="96">
        <f t="shared" si="617"/>
        <v>5.3770933876984908E-3</v>
      </c>
      <c r="AT104" s="96">
        <f t="shared" si="617"/>
        <v>1.6964333687954615E-2</v>
      </c>
      <c r="AU104" s="96">
        <f t="shared" si="617"/>
        <v>4.7672309536629306E-3</v>
      </c>
      <c r="AV104" s="96">
        <f t="shared" si="609"/>
        <v>4.3172133250882296E-2</v>
      </c>
      <c r="AW104" s="96">
        <f t="shared" si="609"/>
        <v>5.2548897641843832E-2</v>
      </c>
      <c r="AX104" s="96">
        <f t="shared" si="609"/>
        <v>-3.4502880986970672E-2</v>
      </c>
      <c r="AY104" s="96">
        <f t="shared" si="609"/>
        <v>9.2999077647953586E-3</v>
      </c>
      <c r="AZ104" s="96">
        <f t="shared" si="609"/>
        <v>1.9405191836702852E-2</v>
      </c>
      <c r="BA104" s="96">
        <f t="shared" si="609"/>
        <v>2.6618444218609226E-2</v>
      </c>
      <c r="BB104" s="96">
        <f t="shared" si="609"/>
        <v>2.8438264560998187E-2</v>
      </c>
      <c r="BC104" s="96">
        <f t="shared" si="614"/>
        <v>4.1346563478716708E-2</v>
      </c>
      <c r="BD104" s="96">
        <f t="shared" si="614"/>
        <v>3.6467157765500302E-2</v>
      </c>
      <c r="BE104" s="96">
        <f t="shared" si="614"/>
        <v>3.5594455798731293E-2</v>
      </c>
      <c r="BF104" s="96">
        <f t="shared" si="614"/>
        <v>9.8790638848583485E-3</v>
      </c>
      <c r="BG104" s="96">
        <f t="shared" si="614"/>
        <v>9.9789982221067622E-2</v>
      </c>
      <c r="BH104" s="96">
        <f t="shared" si="614"/>
        <v>0.12814992222866875</v>
      </c>
      <c r="BI104" s="96">
        <f t="shared" si="614"/>
        <v>-1.6875911331130124E-3</v>
      </c>
      <c r="BJ104" s="96">
        <f t="shared" si="614"/>
        <v>5.5704312294514904E-2</v>
      </c>
      <c r="BK104" s="96">
        <f t="shared" si="614"/>
        <v>9.0157503727801208E-2</v>
      </c>
      <c r="BL104" s="96">
        <f t="shared" si="614"/>
        <v>0.20777035217789758</v>
      </c>
      <c r="BM104" s="96">
        <f t="shared" si="614"/>
        <v>-7.8348838327760809E-2</v>
      </c>
      <c r="BN104" s="96">
        <f t="shared" si="614"/>
        <v>-8.2575890952981665E-2</v>
      </c>
      <c r="BO104" s="96">
        <f t="shared" si="614"/>
        <v>2.6008320351743452E-2</v>
      </c>
      <c r="BP104" s="71"/>
      <c r="BQ104" s="1">
        <f t="shared" ref="BQ104:BQ113" si="618">AVERAGE(D104:BO104)*12</f>
        <v>0.21354631001197438</v>
      </c>
    </row>
    <row r="105" spans="1:70">
      <c r="A105" s="97" t="s">
        <v>120</v>
      </c>
      <c r="B105" s="97" t="s">
        <v>6</v>
      </c>
      <c r="C105" s="95"/>
      <c r="D105" s="96">
        <f t="shared" si="602"/>
        <v>0.31648351648351658</v>
      </c>
      <c r="E105" s="96">
        <f t="shared" ref="E105:M105" si="619">E47/(D7)</f>
        <v>6.8447412353923223E-2</v>
      </c>
      <c r="F105" s="96">
        <f t="shared" si="619"/>
        <v>-8.4531250000000058E-2</v>
      </c>
      <c r="G105" s="96">
        <f t="shared" si="619"/>
        <v>-1.0069977811913173E-2</v>
      </c>
      <c r="H105" s="96">
        <f t="shared" si="619"/>
        <v>8.4482758620689533E-2</v>
      </c>
      <c r="I105" s="96">
        <f t="shared" si="619"/>
        <v>9.3799682034976413E-3</v>
      </c>
      <c r="J105" s="96">
        <f t="shared" si="619"/>
        <v>1.156087572846109E-2</v>
      </c>
      <c r="K105" s="96">
        <f t="shared" si="619"/>
        <v>8.9296836073742059E-2</v>
      </c>
      <c r="L105" s="96">
        <f t="shared" si="619"/>
        <v>9.1625094698322574E-3</v>
      </c>
      <c r="M105" s="96">
        <f t="shared" si="619"/>
        <v>9.4466936572200118E-3</v>
      </c>
      <c r="N105" s="96">
        <f t="shared" ref="N105:AM105" si="620">N47/(M7)</f>
        <v>-2.807486631016054E-2</v>
      </c>
      <c r="O105" s="96">
        <f t="shared" si="620"/>
        <v>8.9408528198074814E-3</v>
      </c>
      <c r="P105" s="96">
        <f t="shared" si="620"/>
        <v>1.4314928425357932E-2</v>
      </c>
      <c r="Q105" s="96">
        <f t="shared" si="620"/>
        <v>-7.6612903225806481E-2</v>
      </c>
      <c r="R105" s="96">
        <f t="shared" si="620"/>
        <v>3.9301310043668061E-2</v>
      </c>
      <c r="S105" s="96">
        <f t="shared" si="620"/>
        <v>-1.764705882352946E-2</v>
      </c>
      <c r="T105" s="96">
        <f t="shared" si="620"/>
        <v>-3.1936127744510885E-2</v>
      </c>
      <c r="U105" s="96">
        <f t="shared" si="620"/>
        <v>-3.9764359351988285E-2</v>
      </c>
      <c r="V105" s="96">
        <f t="shared" si="620"/>
        <v>9.0490797546012247E-2</v>
      </c>
      <c r="W105" s="96">
        <f t="shared" si="620"/>
        <v>3.2348804500703252E-2</v>
      </c>
      <c r="X105" s="96">
        <f t="shared" si="620"/>
        <v>-2.3407022106631953E-2</v>
      </c>
      <c r="Y105" s="96">
        <f t="shared" si="620"/>
        <v>5.1930758988016058E-2</v>
      </c>
      <c r="Z105" s="96">
        <f t="shared" si="620"/>
        <v>2.7341772151898643E-2</v>
      </c>
      <c r="AA105" s="96">
        <f t="shared" si="620"/>
        <v>-3.0310497782158646E-2</v>
      </c>
      <c r="AB105" s="96">
        <f t="shared" si="620"/>
        <v>-2.1728081321473986E-2</v>
      </c>
      <c r="AC105" s="96">
        <f t="shared" si="620"/>
        <v>4.1563839459670127E-3</v>
      </c>
      <c r="AD105" s="96">
        <f t="shared" si="620"/>
        <v>-1.1770792911654289E-2</v>
      </c>
      <c r="AE105" s="96">
        <f t="shared" si="620"/>
        <v>5.1308900523560137E-2</v>
      </c>
      <c r="AF105" s="96">
        <f t="shared" si="620"/>
        <v>3.6479083665338551E-2</v>
      </c>
      <c r="AG105" s="96">
        <f t="shared" si="620"/>
        <v>3.663663663663682E-2</v>
      </c>
      <c r="AH105" s="96">
        <f t="shared" si="620"/>
        <v>2.1436848203939596E-2</v>
      </c>
      <c r="AI105" s="96">
        <f t="shared" si="620"/>
        <v>6.3380281690141463E-3</v>
      </c>
      <c r="AJ105" s="96">
        <f t="shared" si="620"/>
        <v>4.6985904228731973E-3</v>
      </c>
      <c r="AK105" s="96">
        <f t="shared" si="620"/>
        <v>-8.9552238805969998E-3</v>
      </c>
      <c r="AL105" s="96">
        <f t="shared" si="620"/>
        <v>5.7108433734939706E-2</v>
      </c>
      <c r="AM105" s="96">
        <f t="shared" si="620"/>
        <v>7.0207431046273111E-2</v>
      </c>
      <c r="AN105" s="96">
        <f t="shared" si="612"/>
        <v>1.5441959531416354E-2</v>
      </c>
      <c r="AO105" s="96">
        <f t="shared" si="608"/>
        <v>3.3822758259045661E-2</v>
      </c>
      <c r="AP105" s="96">
        <f t="shared" ref="AP105:AU105" si="621">AP47/(AO7)</f>
        <v>-3.7957561924085011E-2</v>
      </c>
      <c r="AQ105" s="96">
        <f t="shared" si="621"/>
        <v>1.4235500878734694E-2</v>
      </c>
      <c r="AR105" s="96">
        <f t="shared" si="621"/>
        <v>1.1176572517761182E-2</v>
      </c>
      <c r="AS105" s="96">
        <f t="shared" si="621"/>
        <v>6.3747750835403974E-2</v>
      </c>
      <c r="AT105" s="96">
        <f t="shared" si="621"/>
        <v>4.115988723318572E-2</v>
      </c>
      <c r="AU105" s="96">
        <f t="shared" si="621"/>
        <v>1.0319373305212447E-2</v>
      </c>
      <c r="AV105" s="96">
        <f t="shared" si="609"/>
        <v>1.8414970550958018E-2</v>
      </c>
      <c r="AW105" s="96">
        <f t="shared" si="609"/>
        <v>-6.200585651537345E-2</v>
      </c>
      <c r="AX105" s="96">
        <f t="shared" si="609"/>
        <v>2.8876921876220098E-3</v>
      </c>
      <c r="AY105" s="96">
        <f t="shared" si="609"/>
        <v>1.5564202334631401E-3</v>
      </c>
      <c r="AZ105" s="96">
        <f t="shared" si="609"/>
        <v>-4.0404040404040505E-2</v>
      </c>
      <c r="BA105" s="96">
        <f t="shared" si="609"/>
        <v>-6.7206477732793535E-2</v>
      </c>
      <c r="BB105" s="96">
        <f t="shared" si="609"/>
        <v>-2.6041666666666114E-3</v>
      </c>
      <c r="BC105" s="96">
        <f t="shared" si="614"/>
        <v>5.5700609225413297E-2</v>
      </c>
      <c r="BD105" s="96">
        <f t="shared" si="614"/>
        <v>2.5144270403957256E-2</v>
      </c>
      <c r="BE105" s="96">
        <f t="shared" si="614"/>
        <v>3.4177724165661352E-2</v>
      </c>
      <c r="BF105" s="96">
        <f t="shared" si="614"/>
        <v>-3.5769828926905063E-2</v>
      </c>
      <c r="BG105" s="96">
        <f t="shared" si="614"/>
        <v>-4.8387096774193949E-3</v>
      </c>
      <c r="BH105" s="96">
        <f t="shared" si="614"/>
        <v>2.6418152350081079E-2</v>
      </c>
      <c r="BI105" s="96">
        <f t="shared" si="614"/>
        <v>3.3675982946470749E-2</v>
      </c>
      <c r="BJ105" s="96">
        <f t="shared" si="614"/>
        <v>1.8848015217234008E-2</v>
      </c>
      <c r="BK105" s="96">
        <f t="shared" si="614"/>
        <v>-1.5067630395880854E-3</v>
      </c>
      <c r="BL105" s="96">
        <f t="shared" si="614"/>
        <v>-2.4025549829425948E-2</v>
      </c>
      <c r="BM105" s="96">
        <f t="shared" si="614"/>
        <v>6.9909266696414861E-3</v>
      </c>
      <c r="BN105" s="96">
        <f t="shared" si="614"/>
        <v>-0.11373707533234854</v>
      </c>
      <c r="BO105" s="96">
        <f t="shared" si="614"/>
        <v>2.4166666666666597E-2</v>
      </c>
      <c r="BP105" s="71"/>
      <c r="BQ105" s="1">
        <f t="shared" si="618"/>
        <v>0.15268521998882745</v>
      </c>
    </row>
    <row r="106" spans="1:70">
      <c r="A106" s="97" t="s">
        <v>121</v>
      </c>
      <c r="B106" s="97" t="s">
        <v>7</v>
      </c>
      <c r="C106" s="95"/>
      <c r="D106" s="96">
        <f t="shared" si="602"/>
        <v>0.21111111111111092</v>
      </c>
      <c r="E106" s="96">
        <f t="shared" ref="E106:M106" si="622">E48/(D8)</f>
        <v>-9.1743119266053108E-3</v>
      </c>
      <c r="F106" s="96">
        <f t="shared" si="622"/>
        <v>1.4814814814814828E-2</v>
      </c>
      <c r="G106" s="96">
        <f t="shared" si="622"/>
        <v>0.44671532846715306</v>
      </c>
      <c r="H106" s="96">
        <f t="shared" si="622"/>
        <v>6.5590312815339228E-3</v>
      </c>
      <c r="I106" s="96">
        <f t="shared" si="622"/>
        <v>0</v>
      </c>
      <c r="J106" s="96">
        <f t="shared" si="622"/>
        <v>6.390977443609014E-3</v>
      </c>
      <c r="K106" s="96">
        <f t="shared" si="622"/>
        <v>1.0920184285892236E-2</v>
      </c>
      <c r="L106" s="96">
        <f t="shared" si="622"/>
        <v>-5.6499193220589626E-2</v>
      </c>
      <c r="M106" s="96">
        <f t="shared" si="622"/>
        <v>-6.9284064665127085E-3</v>
      </c>
      <c r="N106" s="96">
        <f t="shared" ref="N106:AM106" si="623">N48/(M8)</f>
        <v>0</v>
      </c>
      <c r="O106" s="96">
        <f t="shared" si="623"/>
        <v>1.5116279069767456E-2</v>
      </c>
      <c r="P106" s="96">
        <f t="shared" si="623"/>
        <v>0</v>
      </c>
      <c r="Q106" s="96">
        <f t="shared" si="623"/>
        <v>3.4364261168384909E-3</v>
      </c>
      <c r="R106" s="96">
        <f t="shared" si="623"/>
        <v>0</v>
      </c>
      <c r="S106" s="96">
        <f t="shared" si="623"/>
        <v>7.3863636363636298E-2</v>
      </c>
      <c r="T106" s="96">
        <f t="shared" si="623"/>
        <v>-1.7989417989417888E-2</v>
      </c>
      <c r="U106" s="96">
        <f t="shared" si="623"/>
        <v>5.3879310344827633E-3</v>
      </c>
      <c r="V106" s="96">
        <f t="shared" si="623"/>
        <v>1.0718113612004296E-2</v>
      </c>
      <c r="W106" s="96">
        <f t="shared" si="623"/>
        <v>-4.0296924708377702E-2</v>
      </c>
      <c r="X106" s="96">
        <f t="shared" si="623"/>
        <v>2.6865671641791183E-2</v>
      </c>
      <c r="Y106" s="96">
        <f t="shared" si="623"/>
        <v>-1.5503875968992262E-2</v>
      </c>
      <c r="Z106" s="96">
        <f t="shared" si="623"/>
        <v>1.1811023622047254E-2</v>
      </c>
      <c r="AA106" s="96">
        <f t="shared" si="623"/>
        <v>4.8638132295718804E-3</v>
      </c>
      <c r="AB106" s="96">
        <f t="shared" si="623"/>
        <v>5.8083252662151285E-3</v>
      </c>
      <c r="AC106" s="96">
        <f t="shared" si="623"/>
        <v>0</v>
      </c>
      <c r="AD106" s="96">
        <f t="shared" si="623"/>
        <v>-2.2136669874879816E-2</v>
      </c>
      <c r="AE106" s="96">
        <f t="shared" si="623"/>
        <v>1.446850393700781E-2</v>
      </c>
      <c r="AF106" s="96">
        <f t="shared" si="623"/>
        <v>9.9932084990782735E-3</v>
      </c>
      <c r="AG106" s="96">
        <f t="shared" si="623"/>
        <v>3.266090297790653E-3</v>
      </c>
      <c r="AH106" s="96">
        <f t="shared" si="623"/>
        <v>4.4044427422441843E-3</v>
      </c>
      <c r="AI106" s="96">
        <f t="shared" si="623"/>
        <v>5.8381984987490561E-3</v>
      </c>
      <c r="AJ106" s="96">
        <f t="shared" si="623"/>
        <v>4.145936981757789E-3</v>
      </c>
      <c r="AK106" s="96">
        <f t="shared" si="623"/>
        <v>3.3030553261767168E-3</v>
      </c>
      <c r="AL106" s="96">
        <f t="shared" si="623"/>
        <v>5.5144032921811944E-3</v>
      </c>
      <c r="AM106" s="96">
        <f t="shared" si="623"/>
        <v>7.612343455840111E-3</v>
      </c>
      <c r="AN106" s="96">
        <f t="shared" si="612"/>
        <v>1.0966693744922883E-2</v>
      </c>
      <c r="AO106" s="96">
        <f t="shared" si="608"/>
        <v>6.0265166733628464E-3</v>
      </c>
      <c r="AP106" s="96">
        <f t="shared" ref="AP106:AU106" si="624">AP48/(AO8)</f>
        <v>0.20207667731629383</v>
      </c>
      <c r="AQ106" s="96">
        <f t="shared" si="624"/>
        <v>1.9933554817276504E-3</v>
      </c>
      <c r="AR106" s="96">
        <f t="shared" si="624"/>
        <v>9.0053050397878968E-3</v>
      </c>
      <c r="AS106" s="96">
        <f t="shared" si="624"/>
        <v>6.7167023751625908E-3</v>
      </c>
      <c r="AT106" s="96">
        <f t="shared" si="624"/>
        <v>9.2701397049223342E-3</v>
      </c>
      <c r="AU106" s="96">
        <f t="shared" si="624"/>
        <v>6.8922305764410391E-3</v>
      </c>
      <c r="AV106" s="96">
        <f t="shared" si="609"/>
        <v>1.3067828251400205E-2</v>
      </c>
      <c r="AW106" s="96">
        <f t="shared" si="609"/>
        <v>7.3710073710073773E-3</v>
      </c>
      <c r="AX106" s="96">
        <f t="shared" si="609"/>
        <v>4.8780487804878092E-3</v>
      </c>
      <c r="AY106" s="96">
        <f t="shared" si="609"/>
        <v>7.2815533980582587E-3</v>
      </c>
      <c r="AZ106" s="96">
        <f t="shared" si="609"/>
        <v>6.0240963855420398E-3</v>
      </c>
      <c r="BA106" s="96">
        <f t="shared" si="609"/>
        <v>5.9880239520951491E-4</v>
      </c>
      <c r="BB106" s="96">
        <f t="shared" si="609"/>
        <v>0.10113704368641535</v>
      </c>
      <c r="BC106" s="96">
        <f t="shared" si="614"/>
        <v>9.6739130434784024E-3</v>
      </c>
      <c r="BD106" s="96">
        <f t="shared" si="614"/>
        <v>1.1949617827537826E-2</v>
      </c>
      <c r="BE106" s="96">
        <f t="shared" si="614"/>
        <v>0</v>
      </c>
      <c r="BF106" s="96">
        <f t="shared" si="614"/>
        <v>8.5106382978723492E-3</v>
      </c>
      <c r="BG106" s="96">
        <f t="shared" si="614"/>
        <v>-3.1645569620252023E-3</v>
      </c>
      <c r="BH106" s="96">
        <f t="shared" si="614"/>
        <v>7.4074074074072958E-3</v>
      </c>
      <c r="BI106" s="96">
        <f t="shared" si="614"/>
        <v>-7.4422268907562671E-3</v>
      </c>
      <c r="BJ106" s="96">
        <f t="shared" si="614"/>
        <v>6.5382469859234038E-3</v>
      </c>
      <c r="BK106" s="96">
        <f t="shared" si="614"/>
        <v>7.788939705618052E-4</v>
      </c>
      <c r="BL106" s="96">
        <f t="shared" si="614"/>
        <v>-2.6940730393135459E-3</v>
      </c>
      <c r="BM106" s="96">
        <f t="shared" si="614"/>
        <v>9.5047523761880477E-3</v>
      </c>
      <c r="BN106" s="96">
        <f t="shared" si="614"/>
        <v>0</v>
      </c>
      <c r="BO106" s="96">
        <f t="shared" si="614"/>
        <v>4.5589692765114237E-2</v>
      </c>
      <c r="BP106" s="71"/>
      <c r="BQ106" s="1">
        <f t="shared" si="618"/>
        <v>0.22956719197474676</v>
      </c>
    </row>
    <row r="107" spans="1:70">
      <c r="A107" s="97" t="s">
        <v>122</v>
      </c>
      <c r="B107" s="97" t="s">
        <v>7</v>
      </c>
      <c r="C107" s="95"/>
      <c r="D107" s="96">
        <f t="shared" si="602"/>
        <v>0.21343283582089537</v>
      </c>
      <c r="E107" s="96">
        <f t="shared" ref="E107:M107" si="625">E49/(D9)</f>
        <v>-4.0590405904058942E-2</v>
      </c>
      <c r="F107" s="96">
        <f t="shared" si="625"/>
        <v>2.6923076923076803E-2</v>
      </c>
      <c r="G107" s="96">
        <f t="shared" si="625"/>
        <v>0.48014981273408253</v>
      </c>
      <c r="H107" s="96">
        <f t="shared" si="625"/>
        <v>2.7834008097164802E-3</v>
      </c>
      <c r="I107" s="96">
        <f t="shared" si="625"/>
        <v>-3.616788628143451E-3</v>
      </c>
      <c r="J107" s="96">
        <f t="shared" si="625"/>
        <v>1.0383251730540623E-3</v>
      </c>
      <c r="K107" s="96">
        <f t="shared" si="625"/>
        <v>1.8737930394744719E-2</v>
      </c>
      <c r="L107" s="96">
        <f t="shared" si="625"/>
        <v>2.4792020197839462E-2</v>
      </c>
      <c r="M107" s="96">
        <f t="shared" si="625"/>
        <v>-6.2111801242236081E-3</v>
      </c>
      <c r="N107" s="96">
        <f t="shared" ref="N107:AM107" si="626">N49/(M9)</f>
        <v>1.5625000000000014E-2</v>
      </c>
      <c r="O107" s="96">
        <f t="shared" si="626"/>
        <v>0</v>
      </c>
      <c r="P107" s="96">
        <f t="shared" si="626"/>
        <v>-1.5384615384615398E-2</v>
      </c>
      <c r="Q107" s="96">
        <f t="shared" si="626"/>
        <v>6.2500000000000056E-3</v>
      </c>
      <c r="R107" s="96">
        <f t="shared" si="626"/>
        <v>0</v>
      </c>
      <c r="S107" s="96">
        <f t="shared" si="626"/>
        <v>9.0768636539204278E-2</v>
      </c>
      <c r="T107" s="96">
        <f t="shared" si="626"/>
        <v>-1.628895184135971E-2</v>
      </c>
      <c r="U107" s="96">
        <f t="shared" si="626"/>
        <v>8.6393088552914245E-3</v>
      </c>
      <c r="V107" s="96">
        <f t="shared" si="626"/>
        <v>1.142041399000715E-2</v>
      </c>
      <c r="W107" s="96">
        <f t="shared" si="626"/>
        <v>3.034580098800296E-2</v>
      </c>
      <c r="X107" s="96">
        <f t="shared" si="626"/>
        <v>7.2847682119204626E-3</v>
      </c>
      <c r="Y107" s="96">
        <f t="shared" si="626"/>
        <v>4.6022353714662177E-3</v>
      </c>
      <c r="Z107" s="96">
        <f t="shared" si="626"/>
        <v>1.8324607329842948E-2</v>
      </c>
      <c r="AA107" s="96">
        <f t="shared" si="626"/>
        <v>-6.4267352185097169E-4</v>
      </c>
      <c r="AB107" s="96">
        <f t="shared" si="626"/>
        <v>9.6463022508037968E-3</v>
      </c>
      <c r="AC107" s="96">
        <f t="shared" si="626"/>
        <v>-6.369426751591656E-4</v>
      </c>
      <c r="AD107" s="96">
        <f t="shared" si="626"/>
        <v>-2.9318036966220408E-2</v>
      </c>
      <c r="AE107" s="96">
        <f t="shared" si="626"/>
        <v>1.6611950098489741E-2</v>
      </c>
      <c r="AF107" s="96">
        <f t="shared" si="626"/>
        <v>1.4661241361493214E-2</v>
      </c>
      <c r="AG107" s="96">
        <f t="shared" si="626"/>
        <v>-3.8192234245703408E-3</v>
      </c>
      <c r="AH107" s="96">
        <f t="shared" si="626"/>
        <v>1.789137380191851E-3</v>
      </c>
      <c r="AI107" s="96">
        <f t="shared" si="626"/>
        <v>7.9205711735830919E-3</v>
      </c>
      <c r="AJ107" s="96">
        <f t="shared" si="626"/>
        <v>-5.5340343110121186E-4</v>
      </c>
      <c r="AK107" s="96">
        <f t="shared" si="626"/>
        <v>0</v>
      </c>
      <c r="AL107" s="96">
        <f t="shared" si="626"/>
        <v>4.9833887043188793E-3</v>
      </c>
      <c r="AM107" s="96">
        <f t="shared" si="626"/>
        <v>1.4876033057851314E-2</v>
      </c>
      <c r="AN107" s="96">
        <f t="shared" si="612"/>
        <v>2.252985884907702E-2</v>
      </c>
      <c r="AO107" s="96">
        <f t="shared" si="608"/>
        <v>6.477302893549238E-3</v>
      </c>
      <c r="AP107" s="96">
        <f t="shared" ref="AP107:AU107" si="627">AP49/(AO9)</f>
        <v>0.18584164160995953</v>
      </c>
      <c r="AQ107" s="96">
        <f t="shared" si="627"/>
        <v>-1.7793594306051812E-3</v>
      </c>
      <c r="AR107" s="96">
        <f t="shared" si="627"/>
        <v>1.8939393939394131E-2</v>
      </c>
      <c r="AS107" s="96">
        <f t="shared" si="627"/>
        <v>8.9656680516071452E-3</v>
      </c>
      <c r="AT107" s="96">
        <f t="shared" si="627"/>
        <v>-5.2015604681395085E-4</v>
      </c>
      <c r="AU107" s="96">
        <f t="shared" si="627"/>
        <v>5.9024025272257745E-3</v>
      </c>
      <c r="AV107" s="96">
        <f t="shared" si="609"/>
        <v>2.0661157024793316E-2</v>
      </c>
      <c r="AW107" s="96">
        <f t="shared" si="609"/>
        <v>-1.2145748987854713E-3</v>
      </c>
      <c r="AX107" s="96">
        <f t="shared" si="609"/>
        <v>3.2022699635185412E-3</v>
      </c>
      <c r="AY107" s="96">
        <f t="shared" si="609"/>
        <v>4.8890864277345439E-3</v>
      </c>
      <c r="AZ107" s="96">
        <f t="shared" si="609"/>
        <v>8.0418174507438742E-3</v>
      </c>
      <c r="BA107" s="96">
        <f t="shared" si="609"/>
        <v>-2.7921818907060696E-3</v>
      </c>
      <c r="BB107" s="96">
        <f t="shared" si="609"/>
        <v>0.20599999999999988</v>
      </c>
      <c r="BC107" s="96">
        <f t="shared" si="614"/>
        <v>1.489220563847435E-2</v>
      </c>
      <c r="BD107" s="96">
        <f t="shared" si="614"/>
        <v>3.8563351743521137E-3</v>
      </c>
      <c r="BE107" s="96">
        <f t="shared" si="614"/>
        <v>-1.3575544486766164E-2</v>
      </c>
      <c r="BF107" s="96">
        <f t="shared" si="614"/>
        <v>1.3201320132011746E-3</v>
      </c>
      <c r="BG107" s="96">
        <f t="shared" si="614"/>
        <v>-2.3071852340144972E-2</v>
      </c>
      <c r="BH107" s="96">
        <f t="shared" si="614"/>
        <v>1.9905533063427707E-2</v>
      </c>
      <c r="BI107" s="96">
        <f t="shared" si="614"/>
        <v>-1.5269599735362245E-2</v>
      </c>
      <c r="BJ107" s="96">
        <f t="shared" si="614"/>
        <v>3.2940604572030756E-4</v>
      </c>
      <c r="BK107" s="96">
        <f t="shared" si="614"/>
        <v>5.2240022763095865E-3</v>
      </c>
      <c r="BL107" s="96">
        <f t="shared" si="614"/>
        <v>-1.3389690892147937E-3</v>
      </c>
      <c r="BM107" s="96">
        <f t="shared" si="614"/>
        <v>7.2292993630573062E-3</v>
      </c>
      <c r="BN107" s="96">
        <f t="shared" si="614"/>
        <v>-2.2354317513517068E-2</v>
      </c>
      <c r="BO107" s="96">
        <f t="shared" si="614"/>
        <v>0.2082794307891333</v>
      </c>
      <c r="BP107" s="71"/>
      <c r="BQ107" s="1">
        <f t="shared" si="618"/>
        <v>0.29720905558761312</v>
      </c>
    </row>
    <row r="108" spans="1:70">
      <c r="A108" s="97" t="s">
        <v>123</v>
      </c>
      <c r="B108" s="97" t="s">
        <v>7</v>
      </c>
      <c r="C108" s="95"/>
      <c r="D108" s="96">
        <f t="shared" si="602"/>
        <v>0</v>
      </c>
      <c r="E108" s="96">
        <f t="shared" ref="E108:M108" si="628">E50/(D10)</f>
        <v>0</v>
      </c>
      <c r="F108" s="96">
        <f t="shared" si="628"/>
        <v>8.1618168914123476E-2</v>
      </c>
      <c r="G108" s="96">
        <f t="shared" si="628"/>
        <v>0</v>
      </c>
      <c r="H108" s="96">
        <f t="shared" si="628"/>
        <v>0</v>
      </c>
      <c r="I108" s="96">
        <f t="shared" si="628"/>
        <v>0</v>
      </c>
      <c r="J108" s="96">
        <f t="shared" si="628"/>
        <v>0</v>
      </c>
      <c r="K108" s="96">
        <f t="shared" si="628"/>
        <v>0</v>
      </c>
      <c r="L108" s="96">
        <f t="shared" si="628"/>
        <v>0</v>
      </c>
      <c r="M108" s="96">
        <f t="shared" si="628"/>
        <v>0</v>
      </c>
      <c r="N108" s="96">
        <f t="shared" ref="N108:AM108" si="629">N50/(M10)</f>
        <v>0</v>
      </c>
      <c r="O108" s="96">
        <f t="shared" si="629"/>
        <v>0</v>
      </c>
      <c r="P108" s="96">
        <f t="shared" si="629"/>
        <v>0</v>
      </c>
      <c r="Q108" s="96">
        <f t="shared" si="629"/>
        <v>0</v>
      </c>
      <c r="R108" s="96">
        <f t="shared" si="629"/>
        <v>8.3464478725892743E-2</v>
      </c>
      <c r="S108" s="96">
        <f t="shared" si="629"/>
        <v>0</v>
      </c>
      <c r="T108" s="96">
        <f t="shared" si="629"/>
        <v>0</v>
      </c>
      <c r="U108" s="96">
        <f t="shared" si="629"/>
        <v>0</v>
      </c>
      <c r="V108" s="96">
        <f t="shared" si="629"/>
        <v>0</v>
      </c>
      <c r="W108" s="96">
        <f t="shared" si="629"/>
        <v>0</v>
      </c>
      <c r="X108" s="96">
        <f t="shared" si="629"/>
        <v>0</v>
      </c>
      <c r="Y108" s="96">
        <f t="shared" si="629"/>
        <v>0</v>
      </c>
      <c r="Z108" s="96">
        <f t="shared" si="629"/>
        <v>0</v>
      </c>
      <c r="AA108" s="96">
        <f t="shared" si="629"/>
        <v>0</v>
      </c>
      <c r="AB108" s="96">
        <f t="shared" si="629"/>
        <v>0</v>
      </c>
      <c r="AC108" s="96">
        <f t="shared" si="629"/>
        <v>0</v>
      </c>
      <c r="AD108" s="96">
        <f t="shared" si="629"/>
        <v>6.7024309876972138E-2</v>
      </c>
      <c r="AE108" s="96">
        <f t="shared" si="629"/>
        <v>0</v>
      </c>
      <c r="AF108" s="96">
        <f t="shared" si="629"/>
        <v>0</v>
      </c>
      <c r="AG108" s="96">
        <f t="shared" si="629"/>
        <v>0</v>
      </c>
      <c r="AH108" s="96">
        <f t="shared" si="629"/>
        <v>0</v>
      </c>
      <c r="AI108" s="96">
        <f t="shared" si="629"/>
        <v>0</v>
      </c>
      <c r="AJ108" s="96">
        <f t="shared" si="629"/>
        <v>0</v>
      </c>
      <c r="AK108" s="96">
        <f t="shared" si="629"/>
        <v>0</v>
      </c>
      <c r="AL108" s="96">
        <f t="shared" si="629"/>
        <v>0</v>
      </c>
      <c r="AM108" s="96">
        <f t="shared" si="629"/>
        <v>0</v>
      </c>
      <c r="AN108" s="96">
        <f t="shared" si="612"/>
        <v>0</v>
      </c>
      <c r="AO108" s="96">
        <f t="shared" si="608"/>
        <v>0</v>
      </c>
      <c r="AP108" s="96">
        <f t="shared" ref="AP108:AU108" si="630">AP50/(AO10)</f>
        <v>7.9335868879886251E-2</v>
      </c>
      <c r="AQ108" s="96">
        <f t="shared" si="630"/>
        <v>0</v>
      </c>
      <c r="AR108" s="96">
        <f t="shared" si="630"/>
        <v>0</v>
      </c>
      <c r="AS108" s="96">
        <f t="shared" si="630"/>
        <v>0</v>
      </c>
      <c r="AT108" s="96">
        <f t="shared" si="630"/>
        <v>0</v>
      </c>
      <c r="AU108" s="96">
        <f t="shared" si="630"/>
        <v>0</v>
      </c>
      <c r="AV108" s="96">
        <f t="shared" si="609"/>
        <v>0</v>
      </c>
      <c r="AW108" s="96">
        <f t="shared" si="609"/>
        <v>0</v>
      </c>
      <c r="AX108" s="96">
        <f t="shared" si="609"/>
        <v>0</v>
      </c>
      <c r="AY108" s="96">
        <f t="shared" si="609"/>
        <v>0</v>
      </c>
      <c r="AZ108" s="96">
        <f t="shared" si="609"/>
        <v>0</v>
      </c>
      <c r="BA108" s="96">
        <f t="shared" si="609"/>
        <v>0</v>
      </c>
      <c r="BB108" s="96">
        <f t="shared" si="609"/>
        <v>8.1404211497062492E-2</v>
      </c>
      <c r="BC108" s="96">
        <f t="shared" si="614"/>
        <v>0</v>
      </c>
      <c r="BD108" s="96">
        <f t="shared" si="614"/>
        <v>0</v>
      </c>
      <c r="BE108" s="96">
        <f t="shared" si="614"/>
        <v>0</v>
      </c>
      <c r="BF108" s="96">
        <f t="shared" si="614"/>
        <v>0</v>
      </c>
      <c r="BG108" s="96">
        <f t="shared" si="614"/>
        <v>0</v>
      </c>
      <c r="BH108" s="96">
        <f t="shared" si="614"/>
        <v>0</v>
      </c>
      <c r="BI108" s="96">
        <f t="shared" si="614"/>
        <v>0</v>
      </c>
      <c r="BJ108" s="96">
        <f t="shared" si="614"/>
        <v>0</v>
      </c>
      <c r="BK108" s="96">
        <f t="shared" si="614"/>
        <v>0</v>
      </c>
      <c r="BL108" s="96">
        <f t="shared" si="614"/>
        <v>0</v>
      </c>
      <c r="BM108" s="96">
        <f t="shared" si="614"/>
        <v>0</v>
      </c>
      <c r="BN108" s="96">
        <f t="shared" si="614"/>
        <v>6.8167967690201156E-2</v>
      </c>
      <c r="BO108" s="96">
        <f t="shared" si="614"/>
        <v>0</v>
      </c>
      <c r="BP108" s="71"/>
      <c r="BQ108" s="1">
        <f t="shared" si="618"/>
        <v>8.6440313547025929E-2</v>
      </c>
    </row>
    <row r="109" spans="1:70">
      <c r="A109" s="97" t="s">
        <v>124</v>
      </c>
      <c r="B109" s="97" t="s">
        <v>7</v>
      </c>
      <c r="C109" s="95"/>
      <c r="D109" s="96">
        <f t="shared" si="602"/>
        <v>0</v>
      </c>
      <c r="E109" s="96">
        <f t="shared" ref="E109:M109" si="631">E51/(D11)</f>
        <v>0</v>
      </c>
      <c r="F109" s="96">
        <f t="shared" si="631"/>
        <v>6.8322981366459673E-2</v>
      </c>
      <c r="G109" s="96">
        <f t="shared" si="631"/>
        <v>0</v>
      </c>
      <c r="H109" s="96">
        <f t="shared" si="631"/>
        <v>0</v>
      </c>
      <c r="I109" s="96">
        <f t="shared" si="631"/>
        <v>0</v>
      </c>
      <c r="J109" s="96">
        <f t="shared" si="631"/>
        <v>0</v>
      </c>
      <c r="K109" s="96">
        <f t="shared" si="631"/>
        <v>0</v>
      </c>
      <c r="L109" s="96">
        <f t="shared" si="631"/>
        <v>0</v>
      </c>
      <c r="M109" s="96">
        <f t="shared" si="631"/>
        <v>0</v>
      </c>
      <c r="N109" s="96">
        <f t="shared" ref="N109:AM109" si="632">N51/(M11)</f>
        <v>0</v>
      </c>
      <c r="O109" s="96">
        <f t="shared" si="632"/>
        <v>0</v>
      </c>
      <c r="P109" s="96">
        <f t="shared" si="632"/>
        <v>0</v>
      </c>
      <c r="Q109" s="96">
        <f t="shared" si="632"/>
        <v>0</v>
      </c>
      <c r="R109" s="96">
        <f t="shared" si="632"/>
        <v>6.8560235063663003E-2</v>
      </c>
      <c r="S109" s="96">
        <f t="shared" si="632"/>
        <v>0</v>
      </c>
      <c r="T109" s="96">
        <f t="shared" si="632"/>
        <v>0</v>
      </c>
      <c r="U109" s="96">
        <f t="shared" si="632"/>
        <v>0</v>
      </c>
      <c r="V109" s="96">
        <f t="shared" si="632"/>
        <v>0</v>
      </c>
      <c r="W109" s="96">
        <f t="shared" si="632"/>
        <v>0</v>
      </c>
      <c r="X109" s="96">
        <f t="shared" si="632"/>
        <v>0</v>
      </c>
      <c r="Y109" s="96">
        <f t="shared" si="632"/>
        <v>0</v>
      </c>
      <c r="Z109" s="96">
        <f t="shared" si="632"/>
        <v>0</v>
      </c>
      <c r="AA109" s="96">
        <f t="shared" si="632"/>
        <v>0</v>
      </c>
      <c r="AB109" s="96">
        <f t="shared" si="632"/>
        <v>0</v>
      </c>
      <c r="AC109" s="96">
        <f t="shared" si="632"/>
        <v>0</v>
      </c>
      <c r="AD109" s="96">
        <f t="shared" si="632"/>
        <v>6.9039451114922781E-2</v>
      </c>
      <c r="AE109" s="96">
        <f t="shared" si="632"/>
        <v>0</v>
      </c>
      <c r="AF109" s="96">
        <f t="shared" si="632"/>
        <v>0</v>
      </c>
      <c r="AG109" s="96">
        <f t="shared" si="632"/>
        <v>0</v>
      </c>
      <c r="AH109" s="96">
        <f t="shared" si="632"/>
        <v>0</v>
      </c>
      <c r="AI109" s="96">
        <f t="shared" si="632"/>
        <v>0</v>
      </c>
      <c r="AJ109" s="96">
        <f t="shared" si="632"/>
        <v>0</v>
      </c>
      <c r="AK109" s="96">
        <f t="shared" si="632"/>
        <v>0</v>
      </c>
      <c r="AL109" s="96">
        <f t="shared" si="632"/>
        <v>0</v>
      </c>
      <c r="AM109" s="96">
        <f t="shared" si="632"/>
        <v>0</v>
      </c>
      <c r="AN109" s="96">
        <f t="shared" si="612"/>
        <v>0</v>
      </c>
      <c r="AO109" s="96">
        <f t="shared" si="608"/>
        <v>0</v>
      </c>
      <c r="AP109" s="96">
        <f t="shared" ref="AP109:AU109" si="633">AP51/(AO11)</f>
        <v>6.964812712826339E-2</v>
      </c>
      <c r="AQ109" s="96">
        <f t="shared" si="633"/>
        <v>0</v>
      </c>
      <c r="AR109" s="96">
        <f t="shared" si="633"/>
        <v>0</v>
      </c>
      <c r="AS109" s="96">
        <f t="shared" si="633"/>
        <v>0</v>
      </c>
      <c r="AT109" s="96">
        <f t="shared" si="633"/>
        <v>0</v>
      </c>
      <c r="AU109" s="96">
        <f t="shared" si="633"/>
        <v>0</v>
      </c>
      <c r="AV109" s="96">
        <f t="shared" si="609"/>
        <v>0</v>
      </c>
      <c r="AW109" s="96">
        <f t="shared" si="609"/>
        <v>0</v>
      </c>
      <c r="AX109" s="96">
        <f t="shared" si="609"/>
        <v>0</v>
      </c>
      <c r="AY109" s="96">
        <f t="shared" si="609"/>
        <v>0</v>
      </c>
      <c r="AZ109" s="96">
        <f t="shared" si="609"/>
        <v>0</v>
      </c>
      <c r="BA109" s="96">
        <f t="shared" si="609"/>
        <v>0</v>
      </c>
      <c r="BB109" s="96">
        <f t="shared" si="609"/>
        <v>6.9699168312574833E-2</v>
      </c>
      <c r="BC109" s="96">
        <f t="shared" si="614"/>
        <v>0</v>
      </c>
      <c r="BD109" s="96">
        <f t="shared" si="614"/>
        <v>0</v>
      </c>
      <c r="BE109" s="96">
        <f t="shared" si="614"/>
        <v>0</v>
      </c>
      <c r="BF109" s="96">
        <f t="shared" si="614"/>
        <v>0</v>
      </c>
      <c r="BG109" s="96">
        <f t="shared" si="614"/>
        <v>0</v>
      </c>
      <c r="BH109" s="96">
        <f t="shared" si="614"/>
        <v>0</v>
      </c>
      <c r="BI109" s="96">
        <f t="shared" si="614"/>
        <v>0</v>
      </c>
      <c r="BJ109" s="96">
        <f t="shared" si="614"/>
        <v>0</v>
      </c>
      <c r="BK109" s="96">
        <f t="shared" si="614"/>
        <v>0</v>
      </c>
      <c r="BL109" s="96">
        <f t="shared" si="614"/>
        <v>0</v>
      </c>
      <c r="BM109" s="96">
        <f t="shared" si="614"/>
        <v>0</v>
      </c>
      <c r="BN109" s="96">
        <f t="shared" si="614"/>
        <v>7.0773530699518361E-2</v>
      </c>
      <c r="BO109" s="96">
        <f t="shared" si="614"/>
        <v>0</v>
      </c>
      <c r="BQ109" s="1">
        <f t="shared" si="618"/>
        <v>7.8008155066012885E-2</v>
      </c>
    </row>
    <row r="110" spans="1:70">
      <c r="A110" s="97" t="s">
        <v>125</v>
      </c>
      <c r="B110" s="97" t="s">
        <v>10</v>
      </c>
      <c r="C110" s="95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Q110" s="1"/>
    </row>
    <row r="111" spans="1:70">
      <c r="A111" s="97" t="s">
        <v>126</v>
      </c>
      <c r="B111" s="97" t="s">
        <v>9</v>
      </c>
      <c r="C111" s="95"/>
      <c r="D111" s="96" t="s">
        <v>43</v>
      </c>
      <c r="E111" s="96" t="s">
        <v>43</v>
      </c>
      <c r="F111" s="96" t="s">
        <v>43</v>
      </c>
      <c r="G111" s="96" t="s">
        <v>43</v>
      </c>
      <c r="H111" s="96" t="s">
        <v>43</v>
      </c>
      <c r="I111" s="96" t="s">
        <v>43</v>
      </c>
      <c r="J111" s="96" t="s">
        <v>43</v>
      </c>
      <c r="K111" s="96" t="s">
        <v>43</v>
      </c>
      <c r="L111" s="96">
        <f>L53/(K13)</f>
        <v>0</v>
      </c>
      <c r="M111" s="96">
        <f>M53/(L13)</f>
        <v>0.35185185185185175</v>
      </c>
      <c r="N111" s="96">
        <f t="shared" ref="N111" si="634">N53/(M13)</f>
        <v>0</v>
      </c>
      <c r="O111" s="96" t="s">
        <v>43</v>
      </c>
      <c r="P111" s="96" t="s">
        <v>43</v>
      </c>
      <c r="Q111" s="96" t="s">
        <v>43</v>
      </c>
      <c r="R111" s="96" t="s">
        <v>43</v>
      </c>
      <c r="S111" s="96" t="s">
        <v>43</v>
      </c>
      <c r="T111" s="96" t="s">
        <v>43</v>
      </c>
      <c r="U111" s="96" t="s">
        <v>43</v>
      </c>
      <c r="V111" s="96" t="s">
        <v>43</v>
      </c>
      <c r="W111" s="96" t="s">
        <v>43</v>
      </c>
      <c r="X111" s="96" t="s">
        <v>43</v>
      </c>
      <c r="Y111" s="96" t="s">
        <v>43</v>
      </c>
      <c r="Z111" s="96" t="s">
        <v>43</v>
      </c>
      <c r="AA111" s="96" t="s">
        <v>43</v>
      </c>
      <c r="AB111" s="96" t="s">
        <v>43</v>
      </c>
      <c r="AC111" s="96" t="s">
        <v>43</v>
      </c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Q111" s="1"/>
    </row>
    <row r="112" spans="1:70">
      <c r="A112" s="97" t="s">
        <v>127</v>
      </c>
      <c r="B112" s="97" t="s">
        <v>7</v>
      </c>
      <c r="C112" s="95"/>
      <c r="D112" s="96">
        <f t="shared" ref="D112:K112" si="635">D54/(C14)</f>
        <v>0</v>
      </c>
      <c r="E112" s="96">
        <f t="shared" si="635"/>
        <v>0</v>
      </c>
      <c r="F112" s="96">
        <f t="shared" si="635"/>
        <v>0</v>
      </c>
      <c r="G112" s="96">
        <f t="shared" si="635"/>
        <v>0</v>
      </c>
      <c r="H112" s="96">
        <f t="shared" si="635"/>
        <v>0</v>
      </c>
      <c r="I112" s="96">
        <f t="shared" si="635"/>
        <v>0</v>
      </c>
      <c r="J112" s="96">
        <f t="shared" si="635"/>
        <v>0</v>
      </c>
      <c r="K112" s="96">
        <f t="shared" si="635"/>
        <v>0</v>
      </c>
      <c r="L112" s="96">
        <f>L54/(K14)</f>
        <v>0</v>
      </c>
      <c r="M112" s="96">
        <f>M54/(L14)</f>
        <v>0</v>
      </c>
      <c r="N112" s="96">
        <f t="shared" ref="N112:O112" si="636">N54/(M14)</f>
        <v>0</v>
      </c>
      <c r="O112" s="96">
        <f t="shared" si="636"/>
        <v>0</v>
      </c>
      <c r="P112" s="96">
        <f t="shared" ref="P112:Q112" si="637">P54/(O14)</f>
        <v>0</v>
      </c>
      <c r="Q112" s="96">
        <f t="shared" si="637"/>
        <v>0</v>
      </c>
      <c r="R112" s="96">
        <f t="shared" ref="R112:S112" si="638">R54/(Q14)</f>
        <v>0</v>
      </c>
      <c r="S112" s="96">
        <f t="shared" si="638"/>
        <v>0</v>
      </c>
      <c r="T112" s="96">
        <f t="shared" ref="T112:V112" si="639">T54/(S14)</f>
        <v>0</v>
      </c>
      <c r="U112" s="96">
        <f t="shared" si="639"/>
        <v>0</v>
      </c>
      <c r="V112" s="96">
        <f t="shared" si="639"/>
        <v>0</v>
      </c>
      <c r="W112" s="96">
        <f t="shared" ref="W112" si="640">W54/(V14)</f>
        <v>0</v>
      </c>
      <c r="X112" s="96">
        <f t="shared" ref="X112" si="641">X54/(W14)</f>
        <v>0</v>
      </c>
      <c r="Y112" s="96">
        <f t="shared" ref="Y112:AC112" si="642">Y54/(X14)</f>
        <v>0</v>
      </c>
      <c r="Z112" s="96">
        <f t="shared" si="642"/>
        <v>0</v>
      </c>
      <c r="AA112" s="96">
        <f t="shared" si="642"/>
        <v>8.1969797282385667E-3</v>
      </c>
      <c r="AB112" s="96">
        <f t="shared" si="642"/>
        <v>6.2853747771973991E-3</v>
      </c>
      <c r="AC112" s="96">
        <f t="shared" si="642"/>
        <v>8.6451211932877785E-3</v>
      </c>
      <c r="AD112" s="96">
        <f t="shared" ref="AD112:AE112" si="643">AD54/(AC14)</f>
        <v>-1.3500440566636466E-2</v>
      </c>
      <c r="AE112" s="96">
        <f t="shared" si="643"/>
        <v>-3.1168019987507776E-3</v>
      </c>
      <c r="AF112" s="96">
        <f t="shared" ref="AF112:AM112" si="644">AF54/(AE14)</f>
        <v>1.8790609081396743E-2</v>
      </c>
      <c r="AG112" s="96">
        <f t="shared" si="644"/>
        <v>8.8437884378843468E-3</v>
      </c>
      <c r="AH112" s="96">
        <f t="shared" si="644"/>
        <v>7.0837245028592408E-3</v>
      </c>
      <c r="AI112" s="96">
        <f t="shared" si="644"/>
        <v>-1.2106537530266689E-3</v>
      </c>
      <c r="AJ112" s="96">
        <f t="shared" si="644"/>
        <v>8.5454545454545124E-3</v>
      </c>
      <c r="AK112" s="96">
        <f t="shared" si="644"/>
        <v>-1.2769665284538283E-2</v>
      </c>
      <c r="AL112" s="96">
        <f t="shared" si="644"/>
        <v>-3.2480141218005174E-2</v>
      </c>
      <c r="AM112" s="96">
        <f t="shared" si="644"/>
        <v>-9.9654606194439846E-3</v>
      </c>
      <c r="AN112" s="96">
        <f t="shared" si="612"/>
        <v>2.6918310933180756E-2</v>
      </c>
      <c r="AO112" s="96">
        <f t="shared" si="608"/>
        <v>3.211613789518578E-3</v>
      </c>
      <c r="AP112" s="96">
        <f t="shared" ref="AP112:AU113" si="645">AP54/(AO14)</f>
        <v>-1.7813964964223872E-2</v>
      </c>
      <c r="AQ112" s="96">
        <f t="shared" si="645"/>
        <v>4.7603496784564712E-3</v>
      </c>
      <c r="AR112" s="96">
        <f t="shared" si="645"/>
        <v>5.5940996312269951E-3</v>
      </c>
      <c r="AS112" s="96">
        <f t="shared" si="645"/>
        <v>-5.0897100426535334E-3</v>
      </c>
      <c r="AT112" s="96">
        <f t="shared" si="645"/>
        <v>2.1711952253808616E-2</v>
      </c>
      <c r="AU112" s="96">
        <f t="shared" si="645"/>
        <v>2.0491126828582396E-2</v>
      </c>
      <c r="AV112" s="96">
        <f t="shared" ref="AV112:BB113" si="646">AV54/(AU14)</f>
        <v>-3.2557582292509032E-2</v>
      </c>
      <c r="AW112" s="96">
        <f t="shared" si="646"/>
        <v>3.0959752321981452E-3</v>
      </c>
      <c r="AX112" s="96">
        <f t="shared" si="646"/>
        <v>-4.0586419753086404E-2</v>
      </c>
      <c r="AY112" s="96">
        <f t="shared" si="646"/>
        <v>7.3025575036190903E-3</v>
      </c>
      <c r="AZ112" s="96">
        <f t="shared" si="646"/>
        <v>1.341338783852759E-3</v>
      </c>
      <c r="BA112" s="96">
        <f t="shared" si="646"/>
        <v>6.8890731645085005E-3</v>
      </c>
      <c r="BB112" s="96">
        <f t="shared" si="646"/>
        <v>1.5837820715869512E-3</v>
      </c>
      <c r="BC112" s="96">
        <f t="shared" si="614"/>
        <v>9.5509171410507426E-4</v>
      </c>
      <c r="BD112" s="96">
        <f t="shared" si="614"/>
        <v>-1.7341662394541582E-3</v>
      </c>
      <c r="BE112" s="96">
        <f t="shared" si="614"/>
        <v>1.7006069975796078E-2</v>
      </c>
      <c r="BF112" s="96">
        <f t="shared" si="614"/>
        <v>2.902573357811869E-2</v>
      </c>
      <c r="BG112" s="96">
        <f t="shared" si="614"/>
        <v>1.8862699243030415E-2</v>
      </c>
      <c r="BH112" s="96">
        <f t="shared" si="614"/>
        <v>-2.6650381679389185E-2</v>
      </c>
      <c r="BI112" s="96">
        <f t="shared" si="614"/>
        <v>-2.8344484777961962E-2</v>
      </c>
      <c r="BJ112" s="96">
        <f t="shared" si="614"/>
        <v>-3.6108948439108966E-2</v>
      </c>
      <c r="BK112" s="96">
        <f t="shared" si="614"/>
        <v>-2.7977030352748081E-2</v>
      </c>
      <c r="BL112" s="96">
        <f t="shared" si="614"/>
        <v>3.7095577562013624E-3</v>
      </c>
      <c r="BM112" s="96">
        <f t="shared" si="614"/>
        <v>1.1082052958483178E-2</v>
      </c>
      <c r="BN112" s="96">
        <f t="shared" si="614"/>
        <v>2.9355456285896572E-2</v>
      </c>
      <c r="BO112" s="96">
        <f t="shared" si="614"/>
        <v>-1.0790225325293603E-2</v>
      </c>
      <c r="BQ112" s="1">
        <f t="shared" si="618"/>
        <v>-4.014034435938927E-3</v>
      </c>
    </row>
    <row r="113" spans="1:69">
      <c r="A113" s="98" t="s">
        <v>135</v>
      </c>
      <c r="B113" s="98"/>
      <c r="C113" s="74"/>
      <c r="D113" s="85">
        <f t="shared" ref="D113:I113" si="647">D55/(C15+C41)</f>
        <v>2.7400098796121569E-2</v>
      </c>
      <c r="E113" s="85">
        <f t="shared" si="647"/>
        <v>4.7032950499239487E-2</v>
      </c>
      <c r="F113" s="85">
        <f t="shared" si="647"/>
        <v>1.7071315761917373E-2</v>
      </c>
      <c r="G113" s="85">
        <f t="shared" si="647"/>
        <v>9.9765279918816452E-3</v>
      </c>
      <c r="H113" s="85">
        <f t="shared" si="647"/>
        <v>4.6991268729792111E-2</v>
      </c>
      <c r="I113" s="85">
        <f t="shared" si="647"/>
        <v>1.4800079368881227E-2</v>
      </c>
      <c r="J113" s="85">
        <f t="shared" ref="J113" si="648">J55/(I15+I41)</f>
        <v>2.0768440432307876E-2</v>
      </c>
      <c r="K113" s="85">
        <f t="shared" ref="K113:L113" si="649">K55/(J15+J41)</f>
        <v>3.6286677376896212E-2</v>
      </c>
      <c r="L113" s="85">
        <f t="shared" si="649"/>
        <v>9.2648036815286081E-3</v>
      </c>
      <c r="M113" s="85">
        <f>M55/(L15)</f>
        <v>7.5638933254143469E-3</v>
      </c>
      <c r="N113" s="85">
        <f t="shared" ref="N113:Q113" si="650">N55/(M15)</f>
        <v>-9.5750139844417766E-3</v>
      </c>
      <c r="O113" s="85">
        <f t="shared" si="650"/>
        <v>5.6365666881713124E-3</v>
      </c>
      <c r="P113" s="85">
        <f t="shared" si="650"/>
        <v>2.3285074106241437E-3</v>
      </c>
      <c r="Q113" s="85">
        <f t="shared" si="650"/>
        <v>-5.7192298642479579E-2</v>
      </c>
      <c r="R113" s="85">
        <f>R55/(O15)</f>
        <v>6.4849257456715131E-2</v>
      </c>
      <c r="S113" s="85">
        <f>S55/(P15)</f>
        <v>-7.8768595770814329E-3</v>
      </c>
      <c r="T113" s="85">
        <f>T55/(S15)</f>
        <v>-2.9822327302879113E-2</v>
      </c>
      <c r="U113" s="85">
        <f>U55/(T15)</f>
        <v>-2.2555611708509327E-2</v>
      </c>
      <c r="V113" s="85">
        <f>V55/(U15)</f>
        <v>6.2975297807636013E-2</v>
      </c>
      <c r="W113" s="85">
        <f t="shared" ref="W113:AC113" si="651">W55/(V15)</f>
        <v>1.766430985666264E-2</v>
      </c>
      <c r="X113" s="85">
        <f t="shared" si="651"/>
        <v>-1.3873251824060915E-2</v>
      </c>
      <c r="Y113" s="85">
        <f t="shared" si="651"/>
        <v>2.3200498359638951E-2</v>
      </c>
      <c r="Z113" s="85">
        <f t="shared" si="651"/>
        <v>2.2079735182292948E-3</v>
      </c>
      <c r="AA113" s="85">
        <f t="shared" si="651"/>
        <v>-2.0427371756711585E-2</v>
      </c>
      <c r="AB113" s="85">
        <f t="shared" si="651"/>
        <v>-2.0117178392425926E-3</v>
      </c>
      <c r="AC113" s="85">
        <f t="shared" si="651"/>
        <v>-5.7777767700926391E-3</v>
      </c>
      <c r="AD113" s="85">
        <f t="shared" ref="AD113:AM113" si="652">AD55/(AC15)</f>
        <v>1.2925207127614094E-2</v>
      </c>
      <c r="AE113" s="85">
        <f t="shared" si="652"/>
        <v>3.2138407183257486E-2</v>
      </c>
      <c r="AF113" s="85">
        <f t="shared" si="652"/>
        <v>3.7286913944126074E-2</v>
      </c>
      <c r="AG113" s="85">
        <f t="shared" si="652"/>
        <v>2.5940111424811157E-2</v>
      </c>
      <c r="AH113" s="85">
        <f t="shared" si="652"/>
        <v>2.4129544820083938E-2</v>
      </c>
      <c r="AI113" s="85">
        <f t="shared" si="652"/>
        <v>1.1228943387358262E-2</v>
      </c>
      <c r="AJ113" s="85">
        <f t="shared" si="652"/>
        <v>9.4050935248738299E-3</v>
      </c>
      <c r="AK113" s="85">
        <f t="shared" si="652"/>
        <v>-1.6488437217026487E-3</v>
      </c>
      <c r="AL113" s="85">
        <f t="shared" si="652"/>
        <v>4.8965088187287238E-2</v>
      </c>
      <c r="AM113" s="85">
        <f t="shared" si="652"/>
        <v>3.8569512037673365E-2</v>
      </c>
      <c r="AN113" s="85">
        <f t="shared" si="607"/>
        <v>2.2783149896704141E-2</v>
      </c>
      <c r="AO113" s="85">
        <f t="shared" si="608"/>
        <v>2.1740222514519684E-2</v>
      </c>
      <c r="AP113" s="85">
        <f t="shared" si="645"/>
        <v>2.3761371484158987E-2</v>
      </c>
      <c r="AQ113" s="85">
        <f t="shared" si="645"/>
        <v>1.1775910007961262E-2</v>
      </c>
      <c r="AR113" s="85">
        <f>AR55/(AQ15)</f>
        <v>9.9824769328274426E-3</v>
      </c>
      <c r="AS113" s="85">
        <f>AS55/(AR15)</f>
        <v>4.9023009831033783E-2</v>
      </c>
      <c r="AT113" s="85">
        <f>AT55/(AS15)</f>
        <v>3.5811808509282381E-2</v>
      </c>
      <c r="AU113" s="85">
        <f>AU55/(AT15)</f>
        <v>9.3959974459325336E-3</v>
      </c>
      <c r="AV113" s="85">
        <f t="shared" si="646"/>
        <v>1.0278771417024126E-2</v>
      </c>
      <c r="AW113" s="85">
        <f t="shared" si="646"/>
        <v>-4.1112841855345285E-2</v>
      </c>
      <c r="AX113" s="85">
        <f t="shared" si="646"/>
        <v>9.0284161026505782E-4</v>
      </c>
      <c r="AY113" s="85">
        <f t="shared" si="646"/>
        <v>3.6979957284957008E-3</v>
      </c>
      <c r="AZ113" s="85">
        <f t="shared" si="646"/>
        <v>-3.9902570713399449E-2</v>
      </c>
      <c r="BA113" s="85">
        <f t="shared" si="646"/>
        <v>-5.8762156715727869E-2</v>
      </c>
      <c r="BB113" s="85">
        <f t="shared" si="646"/>
        <v>4.508805706383355E-2</v>
      </c>
      <c r="BC113" s="85">
        <f>BC55/(BB15)</f>
        <v>2.473171745638145E-2</v>
      </c>
      <c r="BD113" s="85">
        <f>BD55/(BC15)</f>
        <v>3.4146506220735291E-2</v>
      </c>
      <c r="BE113" s="85">
        <f>BE55/(BD15)</f>
        <v>3.0082381725977349E-2</v>
      </c>
      <c r="BF113" s="85">
        <f>BF55/(BE15)</f>
        <v>-1.7777668004116672E-2</v>
      </c>
      <c r="BG113" s="85">
        <f>BG55/(BF15)</f>
        <v>5.5435722496718371E-3</v>
      </c>
      <c r="BH113" s="85">
        <f>BH55/(BG15)</f>
        <v>7.3943995103130534E-3</v>
      </c>
      <c r="BI113" s="85">
        <f>BI55/(BH15)</f>
        <v>2.1896846856535462E-2</v>
      </c>
      <c r="BJ113" s="85">
        <f>BJ55/(BI15)</f>
        <v>-1.7189364201402354E-3</v>
      </c>
      <c r="BK113" s="85">
        <f>BK55/(BJ15)</f>
        <v>-8.6718375308234789E-4</v>
      </c>
      <c r="BL113" s="85">
        <f>BL55/(BK15)</f>
        <v>-1.4031162439411356E-2</v>
      </c>
      <c r="BM113" s="85">
        <f>BM55/(BL15)</f>
        <v>-8.8918517632213204E-3</v>
      </c>
      <c r="BN113" s="85">
        <f>BN55/(BM15)</f>
        <v>-4.6653083892216292E-2</v>
      </c>
      <c r="BO113" s="85">
        <f>BO55/(BN15)</f>
        <v>8.2611179317072195E-2</v>
      </c>
      <c r="BQ113" s="1">
        <f t="shared" si="618"/>
        <v>0.13252068296130126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68C7-163B-4E86-BC83-D44E8C39181D}">
  <dimension ref="A1:J104"/>
  <sheetViews>
    <sheetView workbookViewId="0">
      <pane xSplit="1" ySplit="1" topLeftCell="B62" activePane="bottomRight" state="frozen"/>
      <selection pane="bottomRight" activeCell="G100" sqref="G100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6.5">
      <c r="A1" s="148" t="s">
        <v>114</v>
      </c>
      <c r="B1" s="148" t="s">
        <v>136</v>
      </c>
      <c r="C1" s="148" t="s">
        <v>137</v>
      </c>
      <c r="D1" s="148" t="s">
        <v>138</v>
      </c>
      <c r="E1" s="148" t="s">
        <v>139</v>
      </c>
      <c r="F1" s="148" t="s">
        <v>140</v>
      </c>
      <c r="G1" s="148" t="s">
        <v>141</v>
      </c>
      <c r="H1" s="191" t="s">
        <v>142</v>
      </c>
    </row>
    <row r="2" spans="1:10" ht="16.5">
      <c r="A2" s="149" t="s">
        <v>143</v>
      </c>
      <c r="B2" s="150">
        <v>100</v>
      </c>
      <c r="C2" s="150">
        <v>109.73</v>
      </c>
      <c r="D2" s="150">
        <v>99</v>
      </c>
      <c r="E2" s="150">
        <v>10972.5</v>
      </c>
      <c r="F2" s="150">
        <v>9900</v>
      </c>
      <c r="G2" s="150">
        <v>-1072.5</v>
      </c>
      <c r="H2" s="191">
        <f>G2/E2</f>
        <v>-9.7744360902255634E-2</v>
      </c>
    </row>
    <row r="3" spans="1:10" ht="16.5">
      <c r="A3" s="149" t="s">
        <v>144</v>
      </c>
      <c r="B3" s="150">
        <v>19</v>
      </c>
      <c r="C3" s="150">
        <v>489.54</v>
      </c>
      <c r="D3" s="150">
        <v>2824.6</v>
      </c>
      <c r="E3" s="150">
        <v>9301.2000000000007</v>
      </c>
      <c r="F3" s="150">
        <v>53667.4</v>
      </c>
      <c r="G3" s="150">
        <v>44366.2</v>
      </c>
      <c r="H3" s="191">
        <v>0</v>
      </c>
    </row>
    <row r="4" spans="1:10" ht="16.5">
      <c r="A4" s="149" t="s">
        <v>145</v>
      </c>
      <c r="B4" s="150">
        <v>250</v>
      </c>
      <c r="C4" s="150">
        <v>183.59</v>
      </c>
      <c r="D4" s="150">
        <v>408.45</v>
      </c>
      <c r="E4" s="150">
        <v>45897.5</v>
      </c>
      <c r="F4" s="150">
        <v>102112.5</v>
      </c>
      <c r="G4" s="150">
        <v>56215</v>
      </c>
      <c r="H4" s="191">
        <f>G4/E4</f>
        <v>1.2247943787788005</v>
      </c>
    </row>
    <row r="5" spans="1:10" ht="16.5">
      <c r="A5" s="149" t="s">
        <v>146</v>
      </c>
      <c r="B5" s="150">
        <v>62</v>
      </c>
      <c r="C5" s="150">
        <v>708.24</v>
      </c>
      <c r="D5" s="150">
        <v>1268.3</v>
      </c>
      <c r="E5" s="150">
        <v>43910.6</v>
      </c>
      <c r="F5" s="150">
        <v>78634.600000000006</v>
      </c>
      <c r="G5" s="150">
        <v>34724</v>
      </c>
      <c r="H5" s="191">
        <f>G5/E5</f>
        <v>0.79078855674939541</v>
      </c>
      <c r="J5" s="188"/>
    </row>
    <row r="6" spans="1:10" ht="16.5">
      <c r="A6" s="149" t="s">
        <v>147</v>
      </c>
      <c r="B6" s="150">
        <v>19</v>
      </c>
      <c r="C6" s="150">
        <v>3076.33</v>
      </c>
      <c r="D6" s="150">
        <v>9997.75</v>
      </c>
      <c r="E6" s="150">
        <v>58450.25</v>
      </c>
      <c r="F6" s="150">
        <v>189957.25</v>
      </c>
      <c r="G6" s="150">
        <v>131507</v>
      </c>
      <c r="H6" s="191">
        <f>G6/E6</f>
        <v>2.2498962793144597</v>
      </c>
    </row>
    <row r="7" spans="1:10" ht="16.5">
      <c r="A7" s="149" t="s">
        <v>148</v>
      </c>
      <c r="B7" s="150">
        <v>80</v>
      </c>
      <c r="C7" s="150">
        <v>673.1</v>
      </c>
      <c r="D7" s="150">
        <v>937</v>
      </c>
      <c r="E7" s="150">
        <v>53848.35</v>
      </c>
      <c r="F7" s="150">
        <v>74960</v>
      </c>
      <c r="G7" s="150">
        <v>21111.65</v>
      </c>
      <c r="H7" s="191">
        <f>G7/E7</f>
        <v>0.3920575096544277</v>
      </c>
    </row>
    <row r="8" spans="1:10" ht="16.5">
      <c r="A8" s="149" t="s">
        <v>149</v>
      </c>
      <c r="B8" s="150">
        <v>15</v>
      </c>
      <c r="C8" s="150">
        <v>2427.4699999999998</v>
      </c>
      <c r="D8" s="150">
        <v>2160.8000000000002</v>
      </c>
      <c r="E8" s="150">
        <v>36412</v>
      </c>
      <c r="F8" s="150">
        <v>32412</v>
      </c>
      <c r="G8" s="150">
        <v>-4000</v>
      </c>
      <c r="H8" s="191">
        <f>G8/E8</f>
        <v>-0.10985389432055366</v>
      </c>
    </row>
    <row r="9" spans="1:10" ht="16.5">
      <c r="A9" s="149" t="s">
        <v>150</v>
      </c>
      <c r="B9" s="150">
        <v>184</v>
      </c>
      <c r="C9" s="150">
        <v>188.19</v>
      </c>
      <c r="D9" s="150">
        <v>263.5</v>
      </c>
      <c r="E9" s="150">
        <v>34627.15</v>
      </c>
      <c r="F9" s="150">
        <v>48484</v>
      </c>
      <c r="G9" s="150">
        <v>13856.85</v>
      </c>
      <c r="H9" s="191">
        <f>G9/E9</f>
        <v>0.40017298564854459</v>
      </c>
      <c r="J9" s="188"/>
    </row>
    <row r="10" spans="1:10" ht="16.5">
      <c r="A10" s="149" t="s">
        <v>151</v>
      </c>
      <c r="B10" s="150">
        <v>8500</v>
      </c>
      <c r="C10" s="150">
        <v>50.47</v>
      </c>
      <c r="D10" s="150">
        <v>56.18</v>
      </c>
      <c r="E10" s="150">
        <v>429035.72</v>
      </c>
      <c r="F10" s="150">
        <v>477530</v>
      </c>
      <c r="G10" s="150">
        <v>48494.28</v>
      </c>
      <c r="H10" s="191">
        <f>G10/E10</f>
        <v>0.11303086838550414</v>
      </c>
    </row>
    <row r="11" spans="1:10" ht="16.5">
      <c r="A11" s="149" t="s">
        <v>152</v>
      </c>
      <c r="B11" s="150">
        <v>180</v>
      </c>
      <c r="C11" s="150">
        <v>322.89</v>
      </c>
      <c r="D11" s="150">
        <v>1886.8</v>
      </c>
      <c r="E11" s="150">
        <v>58120</v>
      </c>
      <c r="F11" s="150">
        <v>339624</v>
      </c>
      <c r="G11" s="150">
        <v>281504</v>
      </c>
      <c r="H11" s="191">
        <f>G11/E11</f>
        <v>4.8434962147281491</v>
      </c>
      <c r="J11" s="188"/>
    </row>
    <row r="12" spans="1:10" ht="16.5">
      <c r="A12" s="149" t="s">
        <v>153</v>
      </c>
      <c r="B12" s="150">
        <v>40</v>
      </c>
      <c r="C12" s="150">
        <v>446.04</v>
      </c>
      <c r="D12" s="150">
        <v>790</v>
      </c>
      <c r="E12" s="150">
        <v>17841.599999999999</v>
      </c>
      <c r="F12" s="150">
        <v>31600</v>
      </c>
      <c r="G12" s="150">
        <v>13758.4</v>
      </c>
      <c r="H12" s="191">
        <f>G12/E12</f>
        <v>0.77114160165007628</v>
      </c>
      <c r="J12" s="188"/>
    </row>
    <row r="13" spans="1:10" ht="16.5">
      <c r="A13" s="149" t="s">
        <v>154</v>
      </c>
      <c r="B13" s="150">
        <v>14</v>
      </c>
      <c r="C13" s="150">
        <v>3489.94</v>
      </c>
      <c r="D13" s="150">
        <v>5726</v>
      </c>
      <c r="E13" s="150">
        <v>48859.1</v>
      </c>
      <c r="F13" s="150">
        <v>80164</v>
      </c>
      <c r="G13" s="150">
        <v>31304.9</v>
      </c>
      <c r="H13" s="191">
        <f>G13/E13</f>
        <v>0.64071790106653626</v>
      </c>
      <c r="J13" s="188"/>
    </row>
    <row r="14" spans="1:10" ht="16.5">
      <c r="A14" s="149" t="s">
        <v>155</v>
      </c>
      <c r="B14" s="150">
        <v>180</v>
      </c>
      <c r="C14" s="150">
        <v>155.25</v>
      </c>
      <c r="D14" s="150">
        <v>184.85</v>
      </c>
      <c r="E14" s="150">
        <v>27945</v>
      </c>
      <c r="F14" s="150">
        <v>33273</v>
      </c>
      <c r="G14" s="150">
        <v>5328</v>
      </c>
      <c r="H14" s="191">
        <f>G14/E14</f>
        <v>0.19066022544283415</v>
      </c>
    </row>
    <row r="15" spans="1:10" ht="16.5">
      <c r="A15" s="149" t="s">
        <v>156</v>
      </c>
      <c r="B15" s="150">
        <v>88</v>
      </c>
      <c r="C15" s="150">
        <v>373.58</v>
      </c>
      <c r="D15" s="150">
        <v>473.75</v>
      </c>
      <c r="E15" s="150">
        <v>32874.85</v>
      </c>
      <c r="F15" s="150">
        <v>41690</v>
      </c>
      <c r="G15" s="150">
        <v>8815.15</v>
      </c>
      <c r="H15" s="191">
        <v>0</v>
      </c>
      <c r="J15" s="188"/>
    </row>
    <row r="16" spans="1:10" ht="16.5">
      <c r="A16" s="149" t="s">
        <v>157</v>
      </c>
      <c r="B16" s="150">
        <v>45</v>
      </c>
      <c r="C16" s="150">
        <v>990.66</v>
      </c>
      <c r="D16" s="150">
        <v>1309.9000000000001</v>
      </c>
      <c r="E16" s="150">
        <v>44579.85</v>
      </c>
      <c r="F16" s="150">
        <v>58945.5</v>
      </c>
      <c r="G16" s="150">
        <v>14365.65</v>
      </c>
      <c r="H16" s="191">
        <f>G16/E16</f>
        <v>0.32224536421724165</v>
      </c>
      <c r="J16" s="188"/>
    </row>
    <row r="17" spans="1:10" ht="16.5">
      <c r="A17" s="149" t="s">
        <v>158</v>
      </c>
      <c r="B17" s="150">
        <v>470</v>
      </c>
      <c r="C17" s="150">
        <v>194.39</v>
      </c>
      <c r="D17" s="150">
        <v>481.45</v>
      </c>
      <c r="E17" s="150">
        <v>91363.5</v>
      </c>
      <c r="F17" s="150">
        <v>226281.5</v>
      </c>
      <c r="G17" s="150">
        <v>134918</v>
      </c>
      <c r="H17" s="191">
        <f>G17/E17</f>
        <v>1.4767166319153711</v>
      </c>
      <c r="J17" s="188"/>
    </row>
    <row r="18" spans="1:10" ht="16.5">
      <c r="A18" s="149" t="s">
        <v>159</v>
      </c>
      <c r="B18" s="150">
        <v>65</v>
      </c>
      <c r="C18" s="150">
        <v>909.05</v>
      </c>
      <c r="D18" s="150">
        <v>1195.95</v>
      </c>
      <c r="E18" s="150">
        <v>59088.4</v>
      </c>
      <c r="F18" s="150">
        <v>77736.75</v>
      </c>
      <c r="G18" s="150">
        <v>18648.349999999999</v>
      </c>
      <c r="H18" s="191">
        <f>G18/E18</f>
        <v>0.31560086243662033</v>
      </c>
    </row>
    <row r="19" spans="1:10" ht="16.5">
      <c r="A19" s="149" t="s">
        <v>160</v>
      </c>
      <c r="B19" s="150">
        <v>21</v>
      </c>
      <c r="C19" s="150">
        <v>1503.03</v>
      </c>
      <c r="D19" s="150">
        <v>2096.75</v>
      </c>
      <c r="E19" s="150">
        <v>31563.7</v>
      </c>
      <c r="F19" s="150">
        <v>44031.75</v>
      </c>
      <c r="G19" s="150">
        <v>12468.05</v>
      </c>
      <c r="H19" s="191">
        <f>G19/E19</f>
        <v>0.39501230844292651</v>
      </c>
    </row>
    <row r="20" spans="1:10" ht="16.5">
      <c r="A20" s="149" t="s">
        <v>161</v>
      </c>
      <c r="B20" s="150">
        <v>66</v>
      </c>
      <c r="C20" s="150">
        <v>557.49</v>
      </c>
      <c r="D20" s="150">
        <v>587.15</v>
      </c>
      <c r="E20" s="150">
        <v>36794.1</v>
      </c>
      <c r="F20" s="150">
        <v>38751.9</v>
      </c>
      <c r="G20" s="150">
        <v>1957.8</v>
      </c>
      <c r="H20" s="191">
        <f>G20/E20</f>
        <v>5.3209617846339492E-2</v>
      </c>
    </row>
    <row r="21" spans="1:10" ht="16.5">
      <c r="A21" s="149" t="s">
        <v>162</v>
      </c>
      <c r="B21" s="150">
        <v>12</v>
      </c>
      <c r="C21" s="150">
        <v>3474.64</v>
      </c>
      <c r="D21" s="150">
        <v>4590.7</v>
      </c>
      <c r="E21" s="150">
        <v>41695.699999999997</v>
      </c>
      <c r="F21" s="150">
        <v>55088.4</v>
      </c>
      <c r="G21" s="150">
        <v>13392.7</v>
      </c>
      <c r="H21" s="191">
        <f>G21/E21</f>
        <v>0.3212009871521524</v>
      </c>
      <c r="J21" s="188"/>
    </row>
    <row r="22" spans="1:10" ht="16.5">
      <c r="A22" s="149" t="s">
        <v>163</v>
      </c>
      <c r="B22" s="150">
        <v>60</v>
      </c>
      <c r="C22" s="150">
        <v>992.6</v>
      </c>
      <c r="D22" s="150">
        <v>1322.95</v>
      </c>
      <c r="E22" s="150">
        <v>59555.95</v>
      </c>
      <c r="F22" s="150">
        <v>79377</v>
      </c>
      <c r="G22" s="150">
        <v>19821.05</v>
      </c>
      <c r="H22" s="191">
        <f>G22/E22</f>
        <v>0.33281393378831164</v>
      </c>
    </row>
    <row r="23" spans="1:10" ht="16.5">
      <c r="A23" s="149" t="s">
        <v>164</v>
      </c>
      <c r="B23" s="150">
        <v>7</v>
      </c>
      <c r="C23" s="150">
        <v>3506.83</v>
      </c>
      <c r="D23" s="150">
        <v>7110.4</v>
      </c>
      <c r="E23" s="150">
        <v>24547.8</v>
      </c>
      <c r="F23" s="150">
        <v>49772.800000000003</v>
      </c>
      <c r="G23" s="150">
        <v>25225</v>
      </c>
      <c r="H23" s="191">
        <f>G23/E23</f>
        <v>1.027586993539136</v>
      </c>
      <c r="J23" s="188"/>
    </row>
    <row r="24" spans="1:10" ht="16.5">
      <c r="A24" s="149" t="s">
        <v>165</v>
      </c>
      <c r="B24" s="150">
        <v>92</v>
      </c>
      <c r="C24" s="150">
        <v>359.33</v>
      </c>
      <c r="D24" s="150">
        <v>424.76</v>
      </c>
      <c r="E24" s="150">
        <v>33058.28</v>
      </c>
      <c r="F24" s="150">
        <v>39077.919999999998</v>
      </c>
      <c r="G24" s="150">
        <v>6019.64</v>
      </c>
      <c r="H24" s="191">
        <f>G24/E24</f>
        <v>0.18209174827002494</v>
      </c>
      <c r="J24" s="188"/>
    </row>
    <row r="25" spans="1:10" ht="16.5">
      <c r="A25" s="149" t="s">
        <v>166</v>
      </c>
      <c r="B25" s="150">
        <v>24</v>
      </c>
      <c r="C25" s="150">
        <v>2007.86</v>
      </c>
      <c r="D25" s="150">
        <v>2331.1999999999998</v>
      </c>
      <c r="E25" s="150">
        <v>48188.7</v>
      </c>
      <c r="F25" s="150">
        <v>55948.800000000003</v>
      </c>
      <c r="G25" s="150">
        <v>7760.1</v>
      </c>
      <c r="H25" s="191">
        <f>G25/E25</f>
        <v>0.16103567848894038</v>
      </c>
    </row>
    <row r="26" spans="1:10" ht="16.5">
      <c r="A26" s="149" t="s">
        <v>167</v>
      </c>
      <c r="B26" s="150">
        <v>35</v>
      </c>
      <c r="C26" s="150">
        <v>234.44</v>
      </c>
      <c r="D26" s="150">
        <v>3282.3</v>
      </c>
      <c r="E26" s="150">
        <v>8205.5300000000007</v>
      </c>
      <c r="F26" s="150">
        <v>114880.5</v>
      </c>
      <c r="G26" s="150">
        <v>106674.97</v>
      </c>
      <c r="H26" s="191">
        <f>G26/E26</f>
        <v>13.000375356619255</v>
      </c>
    </row>
    <row r="27" spans="1:10" ht="16.5">
      <c r="A27" s="149" t="s">
        <v>168</v>
      </c>
      <c r="B27" s="150">
        <v>42</v>
      </c>
      <c r="C27" s="150">
        <v>664.74</v>
      </c>
      <c r="D27" s="150">
        <v>1322.9</v>
      </c>
      <c r="E27" s="150">
        <v>27918.9</v>
      </c>
      <c r="F27" s="150">
        <v>55561.8</v>
      </c>
      <c r="G27" s="150">
        <v>27642.9</v>
      </c>
      <c r="H27" s="191">
        <f>G27/E27</f>
        <v>0.99011422369792501</v>
      </c>
      <c r="J27" s="188"/>
    </row>
    <row r="28" spans="1:10" ht="16.5">
      <c r="A28" s="149" t="s">
        <v>169</v>
      </c>
      <c r="B28" s="150">
        <v>230</v>
      </c>
      <c r="C28" s="150">
        <v>189.67</v>
      </c>
      <c r="D28" s="150">
        <v>360.6</v>
      </c>
      <c r="E28" s="150">
        <v>43625.2</v>
      </c>
      <c r="F28" s="150">
        <v>82938</v>
      </c>
      <c r="G28" s="150">
        <v>39312.800000000003</v>
      </c>
      <c r="H28" s="191">
        <f>G28/E28</f>
        <v>0.90114887725443105</v>
      </c>
      <c r="J28" s="188"/>
    </row>
    <row r="29" spans="1:10" ht="16.5">
      <c r="A29" s="149" t="s">
        <v>170</v>
      </c>
      <c r="B29" s="150">
        <v>351</v>
      </c>
      <c r="C29" s="150">
        <v>91.3</v>
      </c>
      <c r="D29" s="150">
        <v>287</v>
      </c>
      <c r="E29" s="150">
        <v>32046.16</v>
      </c>
      <c r="F29" s="150">
        <v>100737</v>
      </c>
      <c r="G29" s="150">
        <v>68690.84</v>
      </c>
      <c r="H29" s="191">
        <f>G29/E29</f>
        <v>2.1434967559295717</v>
      </c>
      <c r="J29" s="188"/>
    </row>
    <row r="30" spans="1:10" ht="16.5">
      <c r="A30" s="149" t="s">
        <v>171</v>
      </c>
      <c r="B30" s="150">
        <v>940</v>
      </c>
      <c r="C30" s="150">
        <v>53.2</v>
      </c>
      <c r="D30" s="150">
        <v>54.67</v>
      </c>
      <c r="E30" s="150">
        <v>50004.28</v>
      </c>
      <c r="F30" s="150">
        <v>51389.8</v>
      </c>
      <c r="G30" s="150">
        <v>1385.52</v>
      </c>
      <c r="H30" s="191">
        <f>G30/E30</f>
        <v>2.7708028192786699E-2</v>
      </c>
    </row>
    <row r="31" spans="1:10" ht="16.5">
      <c r="A31" s="149" t="s">
        <v>172</v>
      </c>
      <c r="B31" s="150">
        <v>20</v>
      </c>
      <c r="C31" s="150">
        <v>1600.68</v>
      </c>
      <c r="D31" s="150">
        <v>1835.2</v>
      </c>
      <c r="E31" s="150">
        <v>32013.55</v>
      </c>
      <c r="F31" s="150">
        <v>36704</v>
      </c>
      <c r="G31" s="150">
        <v>4690.45</v>
      </c>
      <c r="H31" s="191">
        <f>G31/E31</f>
        <v>0.14651452275677018</v>
      </c>
      <c r="J31" s="188"/>
    </row>
    <row r="32" spans="1:10" ht="16.5">
      <c r="A32" s="149" t="s">
        <v>173</v>
      </c>
      <c r="B32" s="150">
        <v>1200</v>
      </c>
      <c r="C32" s="150">
        <v>81.55</v>
      </c>
      <c r="D32" s="150">
        <v>123.43</v>
      </c>
      <c r="E32" s="150">
        <v>97860.76</v>
      </c>
      <c r="F32" s="150">
        <v>148116</v>
      </c>
      <c r="G32" s="150">
        <v>50255.24</v>
      </c>
      <c r="H32" s="191">
        <f>G32/E32</f>
        <v>0.51353821490861096</v>
      </c>
      <c r="J32" s="188"/>
    </row>
    <row r="33" spans="1:10" ht="16.5">
      <c r="A33" s="149" t="s">
        <v>174</v>
      </c>
      <c r="B33" s="150">
        <v>74</v>
      </c>
      <c r="C33" s="150">
        <v>1149.02</v>
      </c>
      <c r="D33" s="150">
        <v>1199.0999999999999</v>
      </c>
      <c r="E33" s="150">
        <v>85027.5</v>
      </c>
      <c r="F33" s="150">
        <v>88733.4</v>
      </c>
      <c r="G33" s="150">
        <v>3705.9</v>
      </c>
      <c r="H33" s="191">
        <f>G33/E33</f>
        <v>4.3584722589750373E-2</v>
      </c>
    </row>
    <row r="34" spans="1:10" ht="16.5">
      <c r="A34" s="149" t="s">
        <v>175</v>
      </c>
      <c r="B34" s="150">
        <v>94</v>
      </c>
      <c r="C34" s="150">
        <v>825.12</v>
      </c>
      <c r="D34" s="150">
        <v>771.7</v>
      </c>
      <c r="E34" s="150">
        <v>77561.5</v>
      </c>
      <c r="F34" s="150">
        <v>72539.8</v>
      </c>
      <c r="G34" s="150">
        <v>-5021.7</v>
      </c>
      <c r="H34" s="191">
        <f>G34/E34</f>
        <v>-6.4744750939576975E-2</v>
      </c>
    </row>
    <row r="35" spans="1:10" ht="16.5">
      <c r="A35" s="149" t="s">
        <v>176</v>
      </c>
      <c r="B35" s="150">
        <v>136</v>
      </c>
      <c r="C35" s="150">
        <v>596.66999999999996</v>
      </c>
      <c r="D35" s="150">
        <v>586.9</v>
      </c>
      <c r="E35" s="150">
        <v>81147.75</v>
      </c>
      <c r="F35" s="150">
        <v>79818.399999999994</v>
      </c>
      <c r="G35" s="150">
        <v>-1329.35</v>
      </c>
      <c r="H35" s="191">
        <f>G35/E35</f>
        <v>-1.6381846693223161E-2</v>
      </c>
    </row>
    <row r="36" spans="1:10" ht="16.5">
      <c r="A36" s="149" t="s">
        <v>177</v>
      </c>
      <c r="B36" s="150">
        <v>10</v>
      </c>
      <c r="C36" s="150">
        <v>3016.79</v>
      </c>
      <c r="D36" s="150">
        <v>5100.45</v>
      </c>
      <c r="E36" s="150">
        <v>30167.85</v>
      </c>
      <c r="F36" s="150">
        <v>51004.5</v>
      </c>
      <c r="G36" s="150">
        <v>20836.650000000001</v>
      </c>
      <c r="H36" s="191">
        <f>G36/E36</f>
        <v>0.69069058617037682</v>
      </c>
      <c r="J36" s="188"/>
    </row>
    <row r="37" spans="1:10" ht="16.5">
      <c r="A37" s="149" t="s">
        <v>178</v>
      </c>
      <c r="B37" s="150">
        <v>59</v>
      </c>
      <c r="C37" s="150">
        <v>656.47</v>
      </c>
      <c r="D37" s="150">
        <v>1263.4000000000001</v>
      </c>
      <c r="E37" s="150">
        <v>38731.699999999997</v>
      </c>
      <c r="F37" s="150">
        <v>74540.600000000006</v>
      </c>
      <c r="G37" s="150">
        <v>35808.9</v>
      </c>
      <c r="H37" s="191">
        <f>G37/E37</f>
        <v>0.92453726534079328</v>
      </c>
    </row>
    <row r="38" spans="1:10" ht="16.5">
      <c r="A38" s="149" t="s">
        <v>179</v>
      </c>
      <c r="B38" s="150">
        <v>54</v>
      </c>
      <c r="C38" s="150">
        <v>1308.5899999999999</v>
      </c>
      <c r="D38" s="150">
        <v>1763.2</v>
      </c>
      <c r="E38" s="150">
        <v>70664.100000000006</v>
      </c>
      <c r="F38" s="150">
        <v>95212.800000000003</v>
      </c>
      <c r="G38" s="150">
        <v>24548.7</v>
      </c>
      <c r="H38" s="191">
        <f>G38/E38</f>
        <v>0.34739988197684535</v>
      </c>
      <c r="J38" s="188"/>
    </row>
    <row r="39" spans="1:10" ht="16.5">
      <c r="A39" s="149" t="s">
        <v>180</v>
      </c>
      <c r="B39" s="150">
        <v>118</v>
      </c>
      <c r="C39" s="150">
        <v>492.05</v>
      </c>
      <c r="D39" s="150">
        <v>513.85</v>
      </c>
      <c r="E39" s="150">
        <v>58062.35</v>
      </c>
      <c r="F39" s="150">
        <v>60634.3</v>
      </c>
      <c r="G39" s="150">
        <v>2571.9499999999998</v>
      </c>
      <c r="H39" s="191">
        <f>G39/E39</f>
        <v>4.4296346944276282E-2</v>
      </c>
      <c r="J39" s="188"/>
    </row>
    <row r="40" spans="1:10" ht="16.5">
      <c r="A40" s="149" t="s">
        <v>181</v>
      </c>
      <c r="B40" s="150">
        <v>65</v>
      </c>
      <c r="C40" s="150">
        <v>1576.72</v>
      </c>
      <c r="D40" s="150">
        <v>1181.8</v>
      </c>
      <c r="E40" s="150">
        <v>102486.6</v>
      </c>
      <c r="F40" s="150">
        <v>76817</v>
      </c>
      <c r="G40" s="150">
        <v>-25669.599999999999</v>
      </c>
      <c r="H40" s="191">
        <f>G40/E40</f>
        <v>-0.25046786604297533</v>
      </c>
    </row>
    <row r="41" spans="1:10" ht="16.5">
      <c r="A41" s="149" t="s">
        <v>182</v>
      </c>
      <c r="B41" s="150">
        <v>788</v>
      </c>
      <c r="C41" s="150">
        <v>206.55</v>
      </c>
      <c r="D41" s="150">
        <v>314.95</v>
      </c>
      <c r="E41" s="150">
        <v>162761.06</v>
      </c>
      <c r="F41" s="150">
        <v>248180.6</v>
      </c>
      <c r="G41" s="150">
        <v>85419.54</v>
      </c>
      <c r="H41" s="191">
        <f>G41/E41</f>
        <v>0.52481557935294842</v>
      </c>
      <c r="J41" s="188"/>
    </row>
    <row r="42" spans="1:10" ht="16.5">
      <c r="A42" s="149" t="s">
        <v>183</v>
      </c>
      <c r="B42" s="150">
        <v>45</v>
      </c>
      <c r="C42" s="150">
        <v>1006.05</v>
      </c>
      <c r="D42" s="150">
        <v>2048.1</v>
      </c>
      <c r="E42" s="150">
        <v>45272.45</v>
      </c>
      <c r="F42" s="150">
        <v>92164.5</v>
      </c>
      <c r="G42" s="150">
        <v>46892.05</v>
      </c>
      <c r="H42" s="191">
        <f>G42/E42</f>
        <v>1.0357745162897083</v>
      </c>
      <c r="J42" s="188"/>
    </row>
    <row r="43" spans="1:10" ht="16.5">
      <c r="A43" s="149" t="s">
        <v>184</v>
      </c>
      <c r="B43" s="150">
        <v>304</v>
      </c>
      <c r="C43" s="150">
        <v>108.8</v>
      </c>
      <c r="D43" s="150">
        <v>293.55</v>
      </c>
      <c r="E43" s="150">
        <v>33076.239999999998</v>
      </c>
      <c r="F43" s="150">
        <v>89239.2</v>
      </c>
      <c r="G43" s="150">
        <v>56162.96</v>
      </c>
      <c r="H43" s="191">
        <f>G43/E43</f>
        <v>1.6979850188534127</v>
      </c>
      <c r="J43" s="188"/>
    </row>
    <row r="44" spans="1:10" ht="16.5">
      <c r="A44" s="149" t="s">
        <v>185</v>
      </c>
      <c r="B44" s="150">
        <v>285</v>
      </c>
      <c r="C44" s="150">
        <v>355.68</v>
      </c>
      <c r="D44" s="150">
        <v>383.3</v>
      </c>
      <c r="E44" s="150">
        <v>101368.55</v>
      </c>
      <c r="F44" s="150">
        <v>109240.5</v>
      </c>
      <c r="G44" s="150">
        <v>7871.95</v>
      </c>
      <c r="H44" s="191">
        <f>G44/E44</f>
        <v>7.7656728837494471E-2</v>
      </c>
      <c r="J44" s="188"/>
    </row>
    <row r="45" spans="1:10" ht="16.5">
      <c r="A45" s="149" t="s">
        <v>186</v>
      </c>
      <c r="B45" s="150">
        <v>80</v>
      </c>
      <c r="C45" s="150">
        <v>814.86</v>
      </c>
      <c r="D45" s="150">
        <v>759.1</v>
      </c>
      <c r="E45" s="150">
        <v>65188.75</v>
      </c>
      <c r="F45" s="150">
        <v>60728</v>
      </c>
      <c r="G45" s="150">
        <v>-4460.75</v>
      </c>
      <c r="H45" s="191">
        <f>G45/E45</f>
        <v>-6.8428218059097615E-2</v>
      </c>
      <c r="J45" s="188"/>
    </row>
    <row r="46" spans="1:10" ht="16.5">
      <c r="A46" s="149" t="s">
        <v>187</v>
      </c>
      <c r="B46" s="150">
        <v>40</v>
      </c>
      <c r="C46" s="150">
        <v>1147.69</v>
      </c>
      <c r="D46" s="150">
        <v>1368.1</v>
      </c>
      <c r="E46" s="150">
        <v>45907.6</v>
      </c>
      <c r="F46" s="150">
        <v>54724</v>
      </c>
      <c r="G46" s="150">
        <v>8816.4</v>
      </c>
      <c r="H46" s="191">
        <f>G46/E46</f>
        <v>0.1920466328015405</v>
      </c>
    </row>
    <row r="47" spans="1:10" ht="16.5">
      <c r="A47" s="149" t="s">
        <v>188</v>
      </c>
      <c r="B47" s="150">
        <v>62</v>
      </c>
      <c r="C47" s="150">
        <v>1053.22</v>
      </c>
      <c r="D47" s="150">
        <v>4014</v>
      </c>
      <c r="E47" s="150">
        <v>65299.35</v>
      </c>
      <c r="F47" s="150">
        <v>248868</v>
      </c>
      <c r="G47" s="150">
        <v>183568.65</v>
      </c>
      <c r="H47" s="191">
        <f>G47/E47</f>
        <v>2.8111864819481358</v>
      </c>
    </row>
    <row r="48" spans="1:10" ht="16.5">
      <c r="A48" s="149" t="s">
        <v>189</v>
      </c>
      <c r="B48" s="150">
        <v>10</v>
      </c>
      <c r="C48" s="150">
        <v>1189.6300000000001</v>
      </c>
      <c r="D48" s="150">
        <v>3097.5</v>
      </c>
      <c r="E48" s="150">
        <v>11896.3</v>
      </c>
      <c r="F48" s="150">
        <v>30975</v>
      </c>
      <c r="G48" s="150">
        <v>19078.7</v>
      </c>
      <c r="H48" s="191">
        <f>G48/E48</f>
        <v>1.6037507460302785</v>
      </c>
      <c r="J48" s="188"/>
    </row>
    <row r="49" spans="1:10" ht="16.5">
      <c r="A49" s="149" t="s">
        <v>190</v>
      </c>
      <c r="B49" s="150">
        <v>28</v>
      </c>
      <c r="C49" s="150">
        <v>2226.31</v>
      </c>
      <c r="D49" s="150">
        <v>2246.6999999999998</v>
      </c>
      <c r="E49" s="150">
        <v>62336.7</v>
      </c>
      <c r="F49" s="150">
        <v>62907.6</v>
      </c>
      <c r="G49" s="150">
        <v>570.9</v>
      </c>
      <c r="H49" s="191">
        <f>G49/E49</f>
        <v>9.1583288817021109E-3</v>
      </c>
    </row>
    <row r="50" spans="1:10" ht="16.5">
      <c r="A50" s="149" t="s">
        <v>191</v>
      </c>
      <c r="B50" s="150">
        <v>73</v>
      </c>
      <c r="C50" s="150">
        <v>523.91</v>
      </c>
      <c r="D50" s="150">
        <v>775</v>
      </c>
      <c r="E50" s="150">
        <v>38245.25</v>
      </c>
      <c r="F50" s="150">
        <v>56575</v>
      </c>
      <c r="G50" s="150">
        <v>18329.75</v>
      </c>
      <c r="H50" s="191">
        <f>G50/E50</f>
        <v>0.4792686673508475</v>
      </c>
      <c r="J50" s="188"/>
    </row>
    <row r="51" spans="1:10" ht="16.5">
      <c r="A51" s="149" t="s">
        <v>192</v>
      </c>
      <c r="B51" s="150">
        <v>73</v>
      </c>
      <c r="C51" s="150">
        <v>735.56</v>
      </c>
      <c r="D51" s="150">
        <v>1586.2</v>
      </c>
      <c r="E51" s="150">
        <v>53696.15</v>
      </c>
      <c r="F51" s="150">
        <v>115792.6</v>
      </c>
      <c r="G51" s="150">
        <v>62096.45</v>
      </c>
      <c r="H51" s="191">
        <f>G51/E51</f>
        <v>1.1564413836001277</v>
      </c>
    </row>
    <row r="52" spans="1:10" ht="16.5">
      <c r="A52" s="149" t="s">
        <v>193</v>
      </c>
      <c r="B52" s="150">
        <v>75</v>
      </c>
      <c r="C52" s="150">
        <v>337.52</v>
      </c>
      <c r="D52" s="150">
        <v>467.1</v>
      </c>
      <c r="E52" s="150">
        <v>25314.17</v>
      </c>
      <c r="F52" s="150">
        <v>35032.5</v>
      </c>
      <c r="G52" s="150">
        <v>9718.33</v>
      </c>
      <c r="H52" s="191">
        <f>G52/E52</f>
        <v>0.38390869619663615</v>
      </c>
      <c r="J52" s="188"/>
    </row>
    <row r="53" spans="1:10" ht="16.5">
      <c r="A53" s="149" t="s">
        <v>194</v>
      </c>
      <c r="B53" s="150">
        <v>285</v>
      </c>
      <c r="C53" s="150">
        <v>51.08</v>
      </c>
      <c r="D53" s="150">
        <v>121.3</v>
      </c>
      <c r="E53" s="150">
        <v>14558.98</v>
      </c>
      <c r="F53" s="150">
        <v>34570.5</v>
      </c>
      <c r="G53" s="150">
        <v>20011.52</v>
      </c>
      <c r="H53" s="191">
        <f>G53/E53</f>
        <v>1.3745138739114966</v>
      </c>
      <c r="J53" s="188"/>
    </row>
    <row r="54" spans="1:10" ht="16.5">
      <c r="A54" s="149" t="s">
        <v>195</v>
      </c>
      <c r="B54" s="150">
        <v>33</v>
      </c>
      <c r="C54" s="150">
        <v>2284.62</v>
      </c>
      <c r="D54" s="150">
        <v>2277.75</v>
      </c>
      <c r="E54" s="150">
        <v>75392.600000000006</v>
      </c>
      <c r="F54" s="150">
        <v>75165.75</v>
      </c>
      <c r="G54" s="150">
        <v>-226.85</v>
      </c>
      <c r="H54" s="191">
        <f>G54/E54</f>
        <v>-3.0089159944079388E-3</v>
      </c>
      <c r="J54" s="188"/>
    </row>
    <row r="55" spans="1:10" ht="16.5">
      <c r="A55" s="149" t="s">
        <v>196</v>
      </c>
      <c r="B55" s="150">
        <v>18</v>
      </c>
      <c r="C55" s="150">
        <v>1081.33</v>
      </c>
      <c r="D55" s="150">
        <v>1458.6</v>
      </c>
      <c r="E55" s="150">
        <v>19463.849999999999</v>
      </c>
      <c r="F55" s="150">
        <v>26254.799999999999</v>
      </c>
      <c r="G55" s="150">
        <v>6790.95</v>
      </c>
      <c r="H55" s="191">
        <f>G55/E55</f>
        <v>0.34890065428987588</v>
      </c>
      <c r="J55" s="188"/>
    </row>
    <row r="56" spans="1:10" ht="16.5">
      <c r="A56" s="149" t="s">
        <v>197</v>
      </c>
      <c r="B56" s="150">
        <v>207</v>
      </c>
      <c r="C56" s="150">
        <v>127.65</v>
      </c>
      <c r="D56" s="150">
        <v>155.29</v>
      </c>
      <c r="E56" s="150">
        <v>26423.5</v>
      </c>
      <c r="F56" s="150">
        <v>32145.03</v>
      </c>
      <c r="G56" s="150">
        <v>5721.53</v>
      </c>
      <c r="H56" s="191">
        <f>G56/E56</f>
        <v>0.21653187503547977</v>
      </c>
      <c r="J56" s="188"/>
    </row>
    <row r="57" spans="1:10" ht="16.5">
      <c r="A57" s="149" t="s">
        <v>198</v>
      </c>
      <c r="B57" s="150">
        <v>80</v>
      </c>
      <c r="C57" s="150">
        <v>621.89</v>
      </c>
      <c r="D57" s="150">
        <v>1669.6</v>
      </c>
      <c r="E57" s="150">
        <v>49751.05</v>
      </c>
      <c r="F57" s="150">
        <v>133568</v>
      </c>
      <c r="G57" s="150">
        <v>83816.95</v>
      </c>
      <c r="H57" s="191">
        <f>G57/E57</f>
        <v>1.6847272570126659</v>
      </c>
      <c r="J57" s="188"/>
    </row>
    <row r="58" spans="1:10" ht="16.5">
      <c r="A58" s="149" t="s">
        <v>199</v>
      </c>
      <c r="B58" s="150">
        <v>10</v>
      </c>
      <c r="C58" s="150">
        <v>4342.57</v>
      </c>
      <c r="D58" s="150">
        <v>9726.5</v>
      </c>
      <c r="E58" s="150">
        <v>43425.7</v>
      </c>
      <c r="F58" s="150">
        <v>97265</v>
      </c>
      <c r="G58" s="150">
        <v>53839.3</v>
      </c>
      <c r="H58" s="191">
        <f>G58/E58</f>
        <v>1.2398026974809848</v>
      </c>
      <c r="J58" s="188"/>
    </row>
    <row r="59" spans="1:10" ht="16.5">
      <c r="A59" s="149" t="s">
        <v>200</v>
      </c>
      <c r="B59" s="150">
        <v>300</v>
      </c>
      <c r="C59" s="150">
        <v>82.33</v>
      </c>
      <c r="D59" s="150">
        <v>299.55</v>
      </c>
      <c r="E59" s="150">
        <v>24700</v>
      </c>
      <c r="F59" s="150">
        <v>89865</v>
      </c>
      <c r="G59" s="150">
        <v>65165</v>
      </c>
      <c r="H59" s="191">
        <f>G59/E59</f>
        <v>2.6382591093117407</v>
      </c>
    </row>
    <row r="60" spans="1:10" ht="16.5">
      <c r="A60" s="149" t="s">
        <v>201</v>
      </c>
      <c r="B60" s="150">
        <v>16</v>
      </c>
      <c r="C60" s="150">
        <v>2003.97</v>
      </c>
      <c r="D60" s="150">
        <v>4800.95</v>
      </c>
      <c r="E60" s="150">
        <v>32063.45</v>
      </c>
      <c r="F60" s="150">
        <v>76815.199999999997</v>
      </c>
      <c r="G60" s="150">
        <v>44751.75</v>
      </c>
      <c r="H60" s="191">
        <f>G60/E60</f>
        <v>1.3957247270646171</v>
      </c>
      <c r="J60" s="188"/>
    </row>
    <row r="61" spans="1:10" ht="16.5">
      <c r="A61" s="149" t="s">
        <v>202</v>
      </c>
      <c r="B61" s="150">
        <v>31</v>
      </c>
      <c r="C61" s="150">
        <v>603.24</v>
      </c>
      <c r="D61" s="150">
        <v>1765.25</v>
      </c>
      <c r="E61" s="150">
        <v>18700.45</v>
      </c>
      <c r="F61" s="150">
        <v>54722.75</v>
      </c>
      <c r="G61" s="150">
        <v>36022.300000000003</v>
      </c>
      <c r="H61" s="191">
        <f>G61/E61</f>
        <v>1.9262798488806421</v>
      </c>
    </row>
    <row r="62" spans="1:10" ht="16.5">
      <c r="A62" s="149" t="s">
        <v>203</v>
      </c>
      <c r="B62" s="150">
        <v>60</v>
      </c>
      <c r="C62" s="150">
        <v>1249.57</v>
      </c>
      <c r="D62" s="150">
        <v>1375.7</v>
      </c>
      <c r="E62" s="150">
        <v>74974.350000000006</v>
      </c>
      <c r="F62" s="150">
        <v>82542</v>
      </c>
      <c r="G62" s="150">
        <v>7567.65</v>
      </c>
      <c r="H62" s="191">
        <f>G62/E62</f>
        <v>0.10093652028993914</v>
      </c>
      <c r="J62" s="188"/>
    </row>
    <row r="63" spans="1:10" ht="16.5">
      <c r="A63" s="149" t="s">
        <v>204</v>
      </c>
      <c r="B63" s="150">
        <v>33</v>
      </c>
      <c r="C63" s="150">
        <v>761.09</v>
      </c>
      <c r="D63" s="150">
        <v>1414.4</v>
      </c>
      <c r="E63" s="150">
        <v>25116</v>
      </c>
      <c r="F63" s="150">
        <v>46675.199999999997</v>
      </c>
      <c r="G63" s="150">
        <v>21559.200000000001</v>
      </c>
      <c r="H63" s="191">
        <f>G63/E63</f>
        <v>0.85838509316770184</v>
      </c>
      <c r="J63" s="188"/>
    </row>
    <row r="64" spans="1:10" ht="16.5">
      <c r="A64" s="149" t="s">
        <v>205</v>
      </c>
      <c r="B64" s="150">
        <v>20</v>
      </c>
      <c r="C64" s="150">
        <v>0</v>
      </c>
      <c r="D64" s="150">
        <v>1055</v>
      </c>
      <c r="E64" s="150">
        <v>0</v>
      </c>
      <c r="F64" s="150">
        <v>21100</v>
      </c>
      <c r="G64" s="150">
        <v>0</v>
      </c>
      <c r="H64" s="191"/>
    </row>
    <row r="65" spans="1:10" ht="16.5">
      <c r="A65" s="149" t="s">
        <v>206</v>
      </c>
      <c r="B65" s="150">
        <v>54</v>
      </c>
      <c r="C65" s="150">
        <v>1278.8599999999999</v>
      </c>
      <c r="D65" s="150">
        <v>1819.8</v>
      </c>
      <c r="E65" s="150">
        <v>69058.3</v>
      </c>
      <c r="F65" s="150">
        <v>98269.2</v>
      </c>
      <c r="G65" s="150">
        <v>29210.9</v>
      </c>
      <c r="H65" s="191">
        <f>G65/E65</f>
        <v>0.42298898177337119</v>
      </c>
      <c r="J65" s="188"/>
    </row>
    <row r="66" spans="1:10" ht="16.5">
      <c r="A66" s="149" t="s">
        <v>207</v>
      </c>
      <c r="B66" s="150">
        <v>66</v>
      </c>
      <c r="C66" s="150">
        <v>426.28</v>
      </c>
      <c r="D66" s="150">
        <v>1068.45</v>
      </c>
      <c r="E66" s="150">
        <v>28134.5</v>
      </c>
      <c r="F66" s="150">
        <v>70517.7</v>
      </c>
      <c r="G66" s="150">
        <v>42383.199999999997</v>
      </c>
      <c r="H66" s="191">
        <f>G66/E66</f>
        <v>1.5064493770992908</v>
      </c>
    </row>
    <row r="67" spans="1:10" ht="16.5">
      <c r="A67" s="149" t="s">
        <v>208</v>
      </c>
      <c r="B67" s="150">
        <v>10</v>
      </c>
      <c r="C67" s="150">
        <v>5284</v>
      </c>
      <c r="D67" s="150">
        <v>14843.62</v>
      </c>
      <c r="E67" s="150">
        <v>52840</v>
      </c>
      <c r="F67" s="150">
        <v>148436.20000000001</v>
      </c>
      <c r="G67" s="150">
        <v>95596.2</v>
      </c>
      <c r="H67" s="191">
        <f>G67/E67</f>
        <v>1.8091635124905374</v>
      </c>
      <c r="J67" s="188"/>
    </row>
    <row r="68" spans="1:10" ht="16.5">
      <c r="A68" s="149" t="s">
        <v>209</v>
      </c>
      <c r="B68" s="150">
        <v>5</v>
      </c>
      <c r="C68" s="150">
        <v>4802</v>
      </c>
      <c r="D68" s="150">
        <v>14815.81</v>
      </c>
      <c r="E68" s="150">
        <v>24010</v>
      </c>
      <c r="F68" s="150">
        <v>74079.05</v>
      </c>
      <c r="G68" s="150">
        <v>50069.05</v>
      </c>
      <c r="H68" s="191">
        <f>G68/E68</f>
        <v>2.0853415243648481</v>
      </c>
      <c r="J68" s="188"/>
    </row>
    <row r="69" spans="1:10" ht="16.5">
      <c r="A69" s="149" t="s">
        <v>210</v>
      </c>
      <c r="B69" s="150">
        <v>10</v>
      </c>
      <c r="C69" s="150">
        <v>5002.45</v>
      </c>
      <c r="D69" s="150">
        <v>14797.43</v>
      </c>
      <c r="E69" s="150">
        <v>50024.5</v>
      </c>
      <c r="F69" s="150">
        <v>147974.29999999999</v>
      </c>
      <c r="G69" s="150">
        <v>97949.8</v>
      </c>
      <c r="H69" s="191">
        <f>G69/E69</f>
        <v>1.9580365620845785</v>
      </c>
      <c r="J69" s="188"/>
    </row>
    <row r="70" spans="1:10" ht="16.5">
      <c r="A70" s="149" t="s">
        <v>211</v>
      </c>
      <c r="B70" s="150">
        <v>35</v>
      </c>
      <c r="C70" s="150">
        <v>749.79</v>
      </c>
      <c r="D70" s="150">
        <v>3817.8</v>
      </c>
      <c r="E70" s="150">
        <v>26242.52</v>
      </c>
      <c r="F70" s="150">
        <v>133623</v>
      </c>
      <c r="G70" s="150">
        <v>107380.48</v>
      </c>
      <c r="H70" s="191">
        <f>G70/E70</f>
        <v>4.0918509350473959</v>
      </c>
      <c r="J70" s="188"/>
    </row>
    <row r="71" spans="1:10" ht="16.5">
      <c r="A71" s="149" t="s">
        <v>212</v>
      </c>
      <c r="B71" s="150">
        <v>139</v>
      </c>
      <c r="C71" s="150">
        <v>582.57000000000005</v>
      </c>
      <c r="D71" s="150">
        <v>1808.3</v>
      </c>
      <c r="E71" s="150">
        <v>80977.149999999994</v>
      </c>
      <c r="F71" s="150">
        <v>251353.7</v>
      </c>
      <c r="G71" s="150">
        <v>170376.55</v>
      </c>
      <c r="H71" s="191">
        <f>G71/E71</f>
        <v>2.1040077355155127</v>
      </c>
      <c r="J71" s="188"/>
    </row>
    <row r="72" spans="1:10" ht="16.5">
      <c r="A72" s="149" t="s">
        <v>213</v>
      </c>
      <c r="B72" s="150">
        <v>75</v>
      </c>
      <c r="C72" s="150">
        <v>581.84</v>
      </c>
      <c r="D72" s="150">
        <v>467.9</v>
      </c>
      <c r="E72" s="150">
        <v>43638</v>
      </c>
      <c r="F72" s="150">
        <v>35092.5</v>
      </c>
      <c r="G72" s="150">
        <v>-8545.5</v>
      </c>
      <c r="H72" s="191">
        <f>G72/E72</f>
        <v>-0.19582703148631928</v>
      </c>
      <c r="J72" s="188"/>
    </row>
    <row r="73" spans="1:10" ht="16.5">
      <c r="A73" s="149" t="s">
        <v>214</v>
      </c>
      <c r="B73" s="150">
        <v>46</v>
      </c>
      <c r="C73" s="150">
        <v>794.51</v>
      </c>
      <c r="D73" s="150">
        <v>1144.5999999999999</v>
      </c>
      <c r="E73" s="150">
        <v>36547.300000000003</v>
      </c>
      <c r="F73" s="150">
        <v>52651.6</v>
      </c>
      <c r="G73" s="150">
        <v>16104.3</v>
      </c>
      <c r="H73" s="191">
        <f>G73/E73</f>
        <v>0.44064267401422264</v>
      </c>
    </row>
    <row r="74" spans="1:10" ht="16.5">
      <c r="A74" s="149" t="s">
        <v>215</v>
      </c>
      <c r="B74" s="150">
        <v>1050</v>
      </c>
      <c r="C74" s="150">
        <v>40.479999999999997</v>
      </c>
      <c r="D74" s="150">
        <v>211.36</v>
      </c>
      <c r="E74" s="150">
        <v>42500.25</v>
      </c>
      <c r="F74" s="150">
        <v>221928</v>
      </c>
      <c r="G74" s="150">
        <v>179427.75</v>
      </c>
      <c r="H74" s="191">
        <f>G74/E74</f>
        <v>4.2218045776201318</v>
      </c>
      <c r="J74" s="188"/>
    </row>
    <row r="75" spans="1:10" ht="16.5">
      <c r="A75" s="149" t="s">
        <v>216</v>
      </c>
      <c r="B75" s="150">
        <v>33</v>
      </c>
      <c r="C75" s="150">
        <v>3575.9</v>
      </c>
      <c r="D75" s="150">
        <v>2473.9</v>
      </c>
      <c r="E75" s="150">
        <v>118004.55</v>
      </c>
      <c r="F75" s="150">
        <v>81638.7</v>
      </c>
      <c r="G75" s="150">
        <v>-36365.85</v>
      </c>
      <c r="H75" s="191">
        <f>G75/E75</f>
        <v>-0.30817328653852755</v>
      </c>
      <c r="J75" s="188"/>
    </row>
    <row r="76" spans="1:10" ht="16.5">
      <c r="A76" s="149" t="s">
        <v>217</v>
      </c>
      <c r="B76" s="150">
        <v>24</v>
      </c>
      <c r="C76" s="150">
        <v>2584.4</v>
      </c>
      <c r="D76" s="150">
        <v>4385.95</v>
      </c>
      <c r="E76" s="150">
        <v>62025.599999999999</v>
      </c>
      <c r="F76" s="150">
        <v>105262.8</v>
      </c>
      <c r="G76" s="150">
        <v>43237.2</v>
      </c>
      <c r="H76" s="191">
        <f>G76/E76</f>
        <v>0.69708636433988547</v>
      </c>
      <c r="J76" s="188"/>
    </row>
    <row r="77" spans="1:10" ht="16.5">
      <c r="A77" s="149" t="s">
        <v>218</v>
      </c>
      <c r="B77" s="150">
        <v>56</v>
      </c>
      <c r="C77" s="150">
        <v>0</v>
      </c>
      <c r="D77" s="150">
        <v>10.210000000000001</v>
      </c>
      <c r="E77" s="150">
        <v>0</v>
      </c>
      <c r="F77" s="150">
        <v>571.76</v>
      </c>
      <c r="G77" s="150">
        <v>571.76</v>
      </c>
      <c r="H77" s="191">
        <v>0</v>
      </c>
    </row>
    <row r="78" spans="1:10" ht="16.5">
      <c r="A78" s="149" t="s">
        <v>219</v>
      </c>
      <c r="B78" s="150">
        <v>14</v>
      </c>
      <c r="C78" s="150">
        <v>2306.8200000000002</v>
      </c>
      <c r="D78" s="150">
        <v>3492.9</v>
      </c>
      <c r="E78" s="150">
        <v>32295.45</v>
      </c>
      <c r="F78" s="150">
        <v>48900.6</v>
      </c>
      <c r="G78" s="150">
        <v>16605.150000000001</v>
      </c>
      <c r="H78" s="191">
        <f>G78/E78</f>
        <v>0.51416375991045182</v>
      </c>
    </row>
    <row r="79" spans="1:10" ht="16.5">
      <c r="A79" s="149" t="s">
        <v>220</v>
      </c>
      <c r="B79" s="150">
        <v>30</v>
      </c>
      <c r="C79" s="150">
        <v>373.77</v>
      </c>
      <c r="D79" s="150">
        <v>1112.8</v>
      </c>
      <c r="E79" s="150">
        <v>11213.05</v>
      </c>
      <c r="F79" s="150">
        <v>33384</v>
      </c>
      <c r="G79" s="150">
        <v>22170.95</v>
      </c>
      <c r="H79" s="191">
        <f>G79/E79</f>
        <v>1.9772452633315647</v>
      </c>
    </row>
    <row r="80" spans="1:10" ht="16.5">
      <c r="A80" s="149" t="s">
        <v>221</v>
      </c>
      <c r="B80" s="150">
        <v>110</v>
      </c>
      <c r="C80" s="150">
        <v>130.18</v>
      </c>
      <c r="D80" s="150">
        <v>514.15</v>
      </c>
      <c r="E80" s="150">
        <v>14319.65</v>
      </c>
      <c r="F80" s="150">
        <v>56556.5</v>
      </c>
      <c r="G80" s="150">
        <v>42236.85</v>
      </c>
      <c r="H80" s="191">
        <f>G80/E80</f>
        <v>2.9495727898377404</v>
      </c>
      <c r="J80" s="188"/>
    </row>
    <row r="81" spans="1:10" ht="16.5">
      <c r="A81" s="149" t="s">
        <v>222</v>
      </c>
      <c r="B81" s="150">
        <v>54</v>
      </c>
      <c r="C81" s="150">
        <v>896.15</v>
      </c>
      <c r="D81" s="150">
        <v>891.9</v>
      </c>
      <c r="E81" s="150">
        <v>48392.1</v>
      </c>
      <c r="F81" s="150">
        <v>48162.6</v>
      </c>
      <c r="G81" s="150">
        <v>-229.5</v>
      </c>
      <c r="H81" s="191">
        <f>G81/E81</f>
        <v>-4.7425096245048261E-3</v>
      </c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7.25">
      <c r="A104" s="44" t="s">
        <v>11</v>
      </c>
      <c r="B104" s="45">
        <f>SUM(B2:B103)</f>
        <v>18788</v>
      </c>
      <c r="C104" s="45"/>
      <c r="D104" s="45"/>
      <c r="E104" s="45">
        <f>SUM(E2:E103)</f>
        <v>4069210.95</v>
      </c>
      <c r="F104" s="45">
        <f>SUM(F2:F103)</f>
        <v>7092167.9099999974</v>
      </c>
      <c r="G104" s="45">
        <f>SUM(G2:G103)</f>
        <v>3001856.959999999</v>
      </c>
      <c r="H104" s="176">
        <f>G104/E104</f>
        <v>0.73770001036687438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93EC-CEB3-4138-8721-93484721E42E}">
  <dimension ref="A1:J22"/>
  <sheetViews>
    <sheetView workbookViewId="0">
      <pane xSplit="2" ySplit="1" topLeftCell="C3" activePane="bottomRight" state="frozen"/>
      <selection pane="bottomRight" activeCell="I2" sqref="I2"/>
      <selection pane="bottomLeft"/>
      <selection pane="topRight"/>
    </sheetView>
  </sheetViews>
  <sheetFormatPr defaultColWidth="8.7109375" defaultRowHeight="15.7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8.5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90243.51</v>
      </c>
      <c r="D2">
        <v>12.32</v>
      </c>
      <c r="E2">
        <v>8.8656000000000006</v>
      </c>
      <c r="F2" s="188">
        <v>800059.99219999998</v>
      </c>
      <c r="G2" s="188">
        <v>1111800.0432</v>
      </c>
      <c r="H2" s="188">
        <f>G2-F2</f>
        <v>311740.05099999998</v>
      </c>
      <c r="I2" s="192">
        <f>H2/F2</f>
        <v>0.38964584411073866</v>
      </c>
    </row>
    <row r="3" spans="1:9">
      <c r="A3" s="168" t="s">
        <v>234</v>
      </c>
      <c r="B3" s="210" t="s">
        <v>235</v>
      </c>
      <c r="C3" s="188">
        <v>4080.9659999999999</v>
      </c>
      <c r="D3">
        <v>134.97</v>
      </c>
      <c r="E3">
        <v>68.607799999999997</v>
      </c>
      <c r="F3" s="188">
        <v>279986.10960000003</v>
      </c>
      <c r="G3" s="188">
        <v>550807.98100000003</v>
      </c>
      <c r="H3" s="188">
        <f t="shared" ref="H3:H19" si="0">G3-F3</f>
        <v>270821.8714</v>
      </c>
      <c r="I3" s="192">
        <f t="shared" ref="I3:I22" si="1">H3/F3</f>
        <v>0.9672689541167151</v>
      </c>
    </row>
    <row r="4" spans="1:9">
      <c r="A4" s="168" t="s">
        <v>236</v>
      </c>
      <c r="B4" s="210" t="s">
        <v>237</v>
      </c>
      <c r="C4" s="188">
        <v>14235.332</v>
      </c>
      <c r="D4">
        <v>123.36</v>
      </c>
      <c r="E4">
        <v>47.766100000000002</v>
      </c>
      <c r="F4" s="188">
        <v>679966.92570000002</v>
      </c>
      <c r="G4" s="188">
        <v>1756070.5555</v>
      </c>
      <c r="H4" s="188">
        <f t="shared" si="0"/>
        <v>1076103.6298</v>
      </c>
      <c r="I4" s="192">
        <f t="shared" si="1"/>
        <v>1.5825823126502694</v>
      </c>
    </row>
    <row r="5" spans="1:9">
      <c r="A5" s="168" t="s">
        <v>238</v>
      </c>
      <c r="B5" s="210" t="s">
        <v>237</v>
      </c>
      <c r="C5" s="188">
        <v>30844.641</v>
      </c>
      <c r="D5">
        <v>42.83</v>
      </c>
      <c r="E5">
        <v>33.229399999999998</v>
      </c>
      <c r="F5" s="188">
        <v>1024948.7568</v>
      </c>
      <c r="G5" s="188">
        <v>1321075.9739999999</v>
      </c>
      <c r="H5" s="188">
        <f t="shared" si="0"/>
        <v>296127.21719999996</v>
      </c>
      <c r="I5" s="192">
        <f t="shared" si="1"/>
        <v>0.28891904618191927</v>
      </c>
    </row>
    <row r="6" spans="1:9">
      <c r="A6" s="168" t="s">
        <v>239</v>
      </c>
      <c r="B6" s="210" t="s">
        <v>233</v>
      </c>
      <c r="C6" s="188">
        <v>16944.232</v>
      </c>
      <c r="D6">
        <v>36.8142</v>
      </c>
      <c r="E6">
        <v>28.917100000000001</v>
      </c>
      <c r="F6" s="188">
        <v>489977.93420000002</v>
      </c>
      <c r="G6" s="188">
        <v>623788.34569999995</v>
      </c>
      <c r="H6" s="188">
        <f t="shared" si="0"/>
        <v>133810.41149999993</v>
      </c>
      <c r="I6" s="192">
        <f t="shared" si="1"/>
        <v>0.27309477051956582</v>
      </c>
    </row>
    <row r="7" spans="1:9">
      <c r="A7" s="168" t="s">
        <v>240</v>
      </c>
      <c r="B7" s="210" t="s">
        <v>241</v>
      </c>
      <c r="C7" s="188">
        <v>1057.3219999999999</v>
      </c>
      <c r="D7">
        <v>736.89089999999999</v>
      </c>
      <c r="E7">
        <v>390.47910000000002</v>
      </c>
      <c r="F7" s="188">
        <v>412862.14630000002</v>
      </c>
      <c r="G7" s="188">
        <v>779130.96019999997</v>
      </c>
      <c r="H7" s="188">
        <f t="shared" si="0"/>
        <v>366268.81389999995</v>
      </c>
      <c r="I7" s="192">
        <f t="shared" si="1"/>
        <v>0.88714554526841094</v>
      </c>
    </row>
    <row r="8" spans="1:9">
      <c r="A8" s="168" t="s">
        <v>242</v>
      </c>
      <c r="B8" s="210" t="s">
        <v>237</v>
      </c>
      <c r="C8" s="188">
        <v>4306.576</v>
      </c>
      <c r="D8">
        <v>151.518</v>
      </c>
      <c r="E8">
        <v>44.3917</v>
      </c>
      <c r="F8" s="188">
        <v>191176.2298</v>
      </c>
      <c r="G8" s="188">
        <v>652523.78240000003</v>
      </c>
      <c r="H8" s="188">
        <f t="shared" si="0"/>
        <v>461347.55260000005</v>
      </c>
      <c r="I8" s="192">
        <f t="shared" si="1"/>
        <v>2.4132056222818137</v>
      </c>
    </row>
    <row r="9" spans="1:9">
      <c r="A9" s="168" t="s">
        <v>243</v>
      </c>
      <c r="B9" s="210" t="s">
        <v>235</v>
      </c>
      <c r="C9" s="188">
        <v>6304.4930000000004</v>
      </c>
      <c r="D9">
        <v>162.40700000000001</v>
      </c>
      <c r="E9">
        <v>51.311199999999999</v>
      </c>
      <c r="F9" s="188">
        <v>323491.23479999998</v>
      </c>
      <c r="G9" s="188">
        <v>1023893.7947</v>
      </c>
      <c r="H9" s="188">
        <f t="shared" si="0"/>
        <v>700402.55989999999</v>
      </c>
      <c r="I9" s="192">
        <f t="shared" si="1"/>
        <v>2.1651361290608917</v>
      </c>
    </row>
    <row r="10" spans="1:9">
      <c r="A10" s="168" t="s">
        <v>244</v>
      </c>
      <c r="B10" s="210" t="s">
        <v>233</v>
      </c>
      <c r="C10" s="188">
        <v>13136.35</v>
      </c>
      <c r="D10">
        <v>63.5657</v>
      </c>
      <c r="E10">
        <v>29.687100000000001</v>
      </c>
      <c r="F10" s="188">
        <v>389980.446</v>
      </c>
      <c r="G10" s="188">
        <v>835021.28319999995</v>
      </c>
      <c r="H10" s="188">
        <f t="shared" si="0"/>
        <v>445040.83719999995</v>
      </c>
      <c r="I10" s="192">
        <f t="shared" si="1"/>
        <v>1.1411875691839173</v>
      </c>
    </row>
    <row r="11" spans="1:9">
      <c r="A11" s="168" t="s">
        <v>245</v>
      </c>
      <c r="B11" s="210" t="s">
        <v>233</v>
      </c>
      <c r="C11" s="188">
        <v>82131.043999999994</v>
      </c>
      <c r="D11">
        <v>22.999400000000001</v>
      </c>
      <c r="E11">
        <v>9.9227000000000007</v>
      </c>
      <c r="F11" s="188">
        <v>814959.2439</v>
      </c>
      <c r="G11" s="188">
        <v>1888964.7334</v>
      </c>
      <c r="H11" s="188">
        <f t="shared" si="0"/>
        <v>1074005.4895000001</v>
      </c>
      <c r="I11" s="192">
        <f t="shared" si="1"/>
        <v>1.3178640496920193</v>
      </c>
    </row>
    <row r="12" spans="1:9">
      <c r="A12" s="168" t="s">
        <v>246</v>
      </c>
      <c r="B12" s="210" t="s">
        <v>241</v>
      </c>
      <c r="C12" s="188">
        <v>84098.658500000005</v>
      </c>
      <c r="D12">
        <v>15.8551</v>
      </c>
      <c r="E12">
        <v>13.2042</v>
      </c>
      <c r="F12" s="188">
        <v>1110455.0220000001</v>
      </c>
      <c r="G12" s="188">
        <v>1333392.6403999999</v>
      </c>
      <c r="H12" s="188">
        <f t="shared" si="0"/>
        <v>222937.6183999998</v>
      </c>
      <c r="I12" s="192">
        <f t="shared" si="1"/>
        <v>0.20076240278374802</v>
      </c>
    </row>
    <row r="13" spans="1:9">
      <c r="A13" s="168" t="s">
        <v>247</v>
      </c>
      <c r="B13" s="210" t="s">
        <v>241</v>
      </c>
      <c r="C13" s="188">
        <v>46779.584000000003</v>
      </c>
      <c r="D13">
        <v>16.767700000000001</v>
      </c>
      <c r="E13">
        <v>14.1187</v>
      </c>
      <c r="F13" s="188">
        <v>660466.97759999998</v>
      </c>
      <c r="G13" s="188">
        <v>784386.03060000006</v>
      </c>
      <c r="H13" s="188">
        <f t="shared" si="0"/>
        <v>123919.05300000007</v>
      </c>
      <c r="I13" s="192">
        <f t="shared" si="1"/>
        <v>0.18762338951494018</v>
      </c>
    </row>
    <row r="14" spans="1:9">
      <c r="A14" s="168" t="s">
        <v>248</v>
      </c>
      <c r="B14" s="210" t="s">
        <v>249</v>
      </c>
      <c r="C14" s="188">
        <v>53516.898999999998</v>
      </c>
      <c r="D14">
        <v>7.9892000000000003</v>
      </c>
      <c r="E14">
        <v>9.3613</v>
      </c>
      <c r="F14" s="188">
        <v>500985.3652</v>
      </c>
      <c r="G14" s="188">
        <v>427557.2095</v>
      </c>
      <c r="H14" s="188">
        <f t="shared" si="0"/>
        <v>-73428.155700000003</v>
      </c>
      <c r="I14" s="192">
        <f t="shared" si="1"/>
        <v>-0.14656746643823917</v>
      </c>
    </row>
    <row r="15" spans="1:9">
      <c r="A15" s="168" t="s">
        <v>250</v>
      </c>
      <c r="B15" s="210" t="s">
        <v>251</v>
      </c>
      <c r="C15" s="188">
        <v>19397.659</v>
      </c>
      <c r="D15">
        <v>91.402600000000007</v>
      </c>
      <c r="E15">
        <v>44.640599999999999</v>
      </c>
      <c r="F15" s="188">
        <v>865923.00470000005</v>
      </c>
      <c r="G15" s="188">
        <v>1772996.4665000001</v>
      </c>
      <c r="H15" s="188">
        <f t="shared" si="0"/>
        <v>907073.46180000005</v>
      </c>
      <c r="I15" s="192">
        <f t="shared" si="1"/>
        <v>1.0475220739911588</v>
      </c>
    </row>
    <row r="16" spans="1:9">
      <c r="A16" s="168" t="s">
        <v>252</v>
      </c>
      <c r="B16" s="210" t="s">
        <v>233</v>
      </c>
      <c r="C16" s="188">
        <v>6809.741</v>
      </c>
      <c r="D16">
        <v>56.1</v>
      </c>
      <c r="E16">
        <v>35.241999999999997</v>
      </c>
      <c r="F16" s="188">
        <v>239988.8371</v>
      </c>
      <c r="G16" s="188">
        <v>382026.47009999998</v>
      </c>
      <c r="H16" s="188">
        <f t="shared" si="0"/>
        <v>142037.63299999997</v>
      </c>
      <c r="I16" s="192">
        <f t="shared" si="1"/>
        <v>0.59185099905632221</v>
      </c>
    </row>
    <row r="17" spans="1:10">
      <c r="A17" s="168" t="s">
        <v>253</v>
      </c>
      <c r="B17" s="210" t="s">
        <v>235</v>
      </c>
      <c r="C17" s="188">
        <v>5481.1360000000004</v>
      </c>
      <c r="D17">
        <v>242.345</v>
      </c>
      <c r="E17">
        <v>200.74350000000001</v>
      </c>
      <c r="F17" s="188">
        <v>1100302.2501999999</v>
      </c>
      <c r="G17" s="188">
        <v>1328325.9039</v>
      </c>
      <c r="H17" s="188">
        <f t="shared" si="0"/>
        <v>228023.65370000014</v>
      </c>
      <c r="I17" s="192">
        <f t="shared" si="1"/>
        <v>0.20723728744402067</v>
      </c>
    </row>
    <row r="18" spans="1:10">
      <c r="A18" s="168" t="s">
        <v>254</v>
      </c>
      <c r="B18" s="210" t="s">
        <v>237</v>
      </c>
      <c r="C18" s="188">
        <v>1519.7139999999999</v>
      </c>
      <c r="D18">
        <v>280.36279999999999</v>
      </c>
      <c r="E18">
        <v>266.48419999999999</v>
      </c>
      <c r="F18" s="188">
        <v>404979.83980000002</v>
      </c>
      <c r="G18" s="188">
        <v>426071.27220000001</v>
      </c>
      <c r="H18" s="188">
        <f t="shared" si="0"/>
        <v>21091.432399999991</v>
      </c>
      <c r="I18" s="192">
        <f t="shared" si="1"/>
        <v>5.208020332670394E-2</v>
      </c>
    </row>
    <row r="19" spans="1:10">
      <c r="A19" s="168" t="s">
        <v>255</v>
      </c>
      <c r="B19" s="210" t="s">
        <v>241</v>
      </c>
      <c r="C19" s="188">
        <v>18996.168000000001</v>
      </c>
      <c r="D19">
        <v>26.125</v>
      </c>
      <c r="E19">
        <v>9.4700000000000006</v>
      </c>
      <c r="F19" s="188">
        <v>179893.71100000001</v>
      </c>
      <c r="G19" s="188">
        <v>496274.88900000002</v>
      </c>
      <c r="H19" s="188">
        <f t="shared" si="0"/>
        <v>316381.17800000001</v>
      </c>
      <c r="I19" s="192">
        <f t="shared" si="1"/>
        <v>1.7587117206115115</v>
      </c>
    </row>
    <row r="20" spans="1:10">
      <c r="A20" s="168"/>
      <c r="B20" s="210"/>
      <c r="C20" s="188"/>
      <c r="D20"/>
      <c r="E20"/>
      <c r="F20" s="188"/>
      <c r="G20" s="188"/>
      <c r="H20" s="188"/>
      <c r="I20" s="192"/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499884.02549999987</v>
      </c>
      <c r="D22" s="75"/>
      <c r="E22" s="75"/>
      <c r="F22" s="75">
        <f t="shared" ref="F22:H22" si="2">SUM(F2:F21)</f>
        <v>10470404.026899997</v>
      </c>
      <c r="G22" s="75">
        <f t="shared" si="2"/>
        <v>17494108.335499998</v>
      </c>
      <c r="H22" s="75">
        <f t="shared" si="2"/>
        <v>7023704.308600001</v>
      </c>
      <c r="I22" s="53">
        <f t="shared" si="1"/>
        <v>0.67081502209036814</v>
      </c>
      <c r="J22" s="202"/>
    </row>
  </sheetData>
  <hyperlinks>
    <hyperlink ref="A2" r:id="rId1" location="/mf/1831632/41287/NULL" xr:uid="{F64BA6E3-CBC9-4623-B387-29B7E12AB35C}"/>
    <hyperlink ref="A3" r:id="rId2" location="/mf/1831632/15690/NULL" xr:uid="{E90C722D-CBA5-4EAC-B22B-68DB278774A1}"/>
    <hyperlink ref="A4" r:id="rId3" location="/mf/1831632/22335/NULL" xr:uid="{16B47E90-5177-4A00-8AC3-987B9B59038F}"/>
    <hyperlink ref="A5" r:id="rId4" location="/mf/1831632/38817/NULL" xr:uid="{DE84E91A-D0A0-4B30-A001-41A8FDFE10DA}"/>
    <hyperlink ref="A6" r:id="rId5" location="/mf/1831632/40665/NULL" xr:uid="{A488E179-C240-4FFF-B045-1708AAD8EF4B}"/>
    <hyperlink ref="A7" r:id="rId6" location="/mf/1831632/16071/NULL" xr:uid="{AE215734-F18E-4856-823A-CD7261D2AAB5}"/>
    <hyperlink ref="A8" r:id="rId7" location="/mf/1831632/16617/NULL" xr:uid="{BB3954C4-869A-4C72-8B04-111ED628E0BA}"/>
    <hyperlink ref="A9" r:id="rId8" location="/mf/1831632/17134/NULL" xr:uid="{8157AC94-1FAE-4A3F-ADF9-C39815470182}"/>
    <hyperlink ref="A10" r:id="rId9" location="/mf/1831632/38228/NULL" xr:uid="{C1F720A2-EF3D-493F-A9DA-3ACF85FD4147}"/>
    <hyperlink ref="A11" r:id="rId10" location="/mf/1831632/42135/NULL" xr:uid="{3FF6953E-DD2B-476F-B22B-090452DFFC85}"/>
    <hyperlink ref="A12" r:id="rId11" location="/mf/1831632/41574/NULL" xr:uid="{6F9FA8BA-C889-417B-B6B6-F0D8E8DB07FA}"/>
    <hyperlink ref="A13" r:id="rId12" location="/mf/1831632/41937/NULL" xr:uid="{0799CE40-60B7-40F8-BD44-65E5A2AEEF65}"/>
    <hyperlink ref="A14" r:id="rId13" location="/mf/1831632/44110/NULL" xr:uid="{00586A43-F1AE-44F5-B7EC-00A50103C8CB}"/>
    <hyperlink ref="A15" r:id="rId14" location="/mf/1831632/19701/NULL" xr:uid="{32C59747-A9C8-4C24-8931-314C81B6152C}"/>
    <hyperlink ref="A16" r:id="rId15" location="/mf/1831632/17348/NULL" xr:uid="{DC397670-310F-4605-90D6-D3B94676C36D}"/>
    <hyperlink ref="A17" r:id="rId16" location="/mf/1831632/17375/NULL" xr:uid="{EFF1DE5B-0EE3-4D72-B1B2-EBE6665AE8BB}"/>
    <hyperlink ref="A18" r:id="rId17" location="/mf/1831632/17366/NULL" xr:uid="{C46F9AB1-79E4-4848-B2D2-1D0025261625}"/>
    <hyperlink ref="A19" r:id="rId18" location="/mf/1831632/36491/NULL" xr:uid="{127E3E42-AA29-4C93-84E9-F80E6B5B99EA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0ABB-1863-4A3D-ADE7-847ABB32D0F5}">
  <dimension ref="A1:J104"/>
  <sheetViews>
    <sheetView workbookViewId="0">
      <pane xSplit="1" ySplit="1" topLeftCell="B2" activePane="bottomRight" state="frozen"/>
      <selection pane="bottomRight" activeCell="G3" sqref="G3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6.5">
      <c r="A1" s="148" t="s">
        <v>114</v>
      </c>
      <c r="B1" s="148" t="s">
        <v>136</v>
      </c>
      <c r="C1" s="148" t="s">
        <v>137</v>
      </c>
      <c r="D1" s="148" t="s">
        <v>138</v>
      </c>
      <c r="E1" s="148" t="s">
        <v>139</v>
      </c>
      <c r="F1" s="148" t="s">
        <v>140</v>
      </c>
      <c r="G1" s="148" t="s">
        <v>141</v>
      </c>
      <c r="H1" s="191" t="s">
        <v>142</v>
      </c>
    </row>
    <row r="2" spans="1:10" ht="16.5">
      <c r="A2" s="149" t="s">
        <v>143</v>
      </c>
      <c r="B2" s="150">
        <v>100</v>
      </c>
      <c r="C2" s="150">
        <v>109.73</v>
      </c>
      <c r="D2" s="150">
        <v>104.9</v>
      </c>
      <c r="E2" s="150">
        <v>10972.5</v>
      </c>
      <c r="F2" s="150">
        <v>10490</v>
      </c>
      <c r="G2" s="150">
        <v>-482.5</v>
      </c>
      <c r="H2" s="191">
        <f>G2/E2</f>
        <v>-4.3973570289359762E-2</v>
      </c>
    </row>
    <row r="3" spans="1:10" ht="16.5">
      <c r="A3" s="149" t="s">
        <v>256</v>
      </c>
      <c r="B3" s="150">
        <v>20</v>
      </c>
      <c r="C3" s="150">
        <v>0</v>
      </c>
      <c r="D3" s="150">
        <v>1051</v>
      </c>
      <c r="E3" s="150">
        <v>0</v>
      </c>
      <c r="F3" s="150">
        <v>21020</v>
      </c>
      <c r="G3" s="150">
        <v>0</v>
      </c>
      <c r="H3" s="191">
        <v>0</v>
      </c>
    </row>
    <row r="4" spans="1:10" ht="16.5">
      <c r="A4" s="149" t="s">
        <v>144</v>
      </c>
      <c r="B4" s="150">
        <v>19</v>
      </c>
      <c r="C4" s="150">
        <v>489.54</v>
      </c>
      <c r="D4" s="150">
        <v>2821.35</v>
      </c>
      <c r="E4" s="150">
        <v>9301.2000000000007</v>
      </c>
      <c r="F4" s="150">
        <v>53605.65</v>
      </c>
      <c r="G4" s="150">
        <v>44304.45</v>
      </c>
      <c r="H4" s="191">
        <f>G4/E4</f>
        <v>4.7633047348729187</v>
      </c>
    </row>
    <row r="5" spans="1:10" ht="16.5">
      <c r="A5" s="149" t="s">
        <v>145</v>
      </c>
      <c r="B5" s="150">
        <v>250</v>
      </c>
      <c r="C5" s="150">
        <v>183.59</v>
      </c>
      <c r="D5" s="150">
        <v>415.25</v>
      </c>
      <c r="E5" s="150">
        <v>45897.5</v>
      </c>
      <c r="F5" s="150">
        <v>103812.5</v>
      </c>
      <c r="G5" s="150">
        <v>57915</v>
      </c>
      <c r="H5" s="191">
        <f>G5/E5</f>
        <v>1.261833433193529</v>
      </c>
      <c r="J5" s="188"/>
    </row>
    <row r="6" spans="1:10" ht="16.5">
      <c r="A6" s="149" t="s">
        <v>146</v>
      </c>
      <c r="B6" s="150">
        <v>62</v>
      </c>
      <c r="C6" s="150">
        <v>708.24</v>
      </c>
      <c r="D6" s="150">
        <v>1193.0999999999999</v>
      </c>
      <c r="E6" s="150">
        <v>43910.6</v>
      </c>
      <c r="F6" s="150">
        <v>73972.2</v>
      </c>
      <c r="G6" s="150">
        <v>30061.599999999999</v>
      </c>
      <c r="H6" s="191">
        <f>G6/E6</f>
        <v>0.6846091832040555</v>
      </c>
    </row>
    <row r="7" spans="1:10" ht="16.5">
      <c r="A7" s="149" t="s">
        <v>147</v>
      </c>
      <c r="B7" s="150">
        <v>19</v>
      </c>
      <c r="C7" s="150">
        <v>3076.33</v>
      </c>
      <c r="D7" s="150">
        <v>8899</v>
      </c>
      <c r="E7" s="150">
        <v>58450.25</v>
      </c>
      <c r="F7" s="150">
        <v>169081</v>
      </c>
      <c r="G7" s="150">
        <v>110630.75</v>
      </c>
      <c r="H7" s="191">
        <f>G7/E7</f>
        <v>1.8927335640138407</v>
      </c>
    </row>
    <row r="8" spans="1:10" ht="16.5">
      <c r="A8" s="149" t="s">
        <v>148</v>
      </c>
      <c r="B8" s="150">
        <v>80</v>
      </c>
      <c r="C8" s="150">
        <v>673.1</v>
      </c>
      <c r="D8" s="150">
        <v>817.3</v>
      </c>
      <c r="E8" s="150">
        <v>53848.35</v>
      </c>
      <c r="F8" s="150">
        <v>65384</v>
      </c>
      <c r="G8" s="150">
        <v>11535.65</v>
      </c>
      <c r="H8" s="191">
        <f>G8/E8</f>
        <v>0.21422476269003599</v>
      </c>
    </row>
    <row r="9" spans="1:10" ht="16.5">
      <c r="A9" s="149" t="s">
        <v>149</v>
      </c>
      <c r="B9" s="150">
        <v>15</v>
      </c>
      <c r="C9" s="150">
        <v>2427.4699999999998</v>
      </c>
      <c r="D9" s="150">
        <v>2127.6</v>
      </c>
      <c r="E9" s="150">
        <v>36412</v>
      </c>
      <c r="F9" s="150">
        <v>31914</v>
      </c>
      <c r="G9" s="150">
        <v>-4498</v>
      </c>
      <c r="H9" s="191">
        <f>G9/E9</f>
        <v>-0.1235307041634626</v>
      </c>
      <c r="J9" s="188"/>
    </row>
    <row r="10" spans="1:10" ht="16.5">
      <c r="A10" s="149" t="s">
        <v>150</v>
      </c>
      <c r="B10" s="150">
        <v>184</v>
      </c>
      <c r="C10" s="150">
        <v>188.19</v>
      </c>
      <c r="D10" s="150">
        <v>252.05</v>
      </c>
      <c r="E10" s="150">
        <v>34627.15</v>
      </c>
      <c r="F10" s="150">
        <v>46377.2</v>
      </c>
      <c r="G10" s="150">
        <v>11750.05</v>
      </c>
      <c r="H10" s="191">
        <f>G10/E10</f>
        <v>0.33933055420385444</v>
      </c>
    </row>
    <row r="11" spans="1:10" ht="16.5">
      <c r="A11" s="149" t="s">
        <v>151</v>
      </c>
      <c r="B11" s="150">
        <v>8500</v>
      </c>
      <c r="C11" s="150">
        <v>50.47</v>
      </c>
      <c r="D11" s="150">
        <v>52.89</v>
      </c>
      <c r="E11" s="150">
        <v>429035.72</v>
      </c>
      <c r="F11" s="150">
        <v>449565</v>
      </c>
      <c r="G11" s="150">
        <v>20529.28</v>
      </c>
      <c r="H11" s="191">
        <f>G11/E11</f>
        <v>4.7849815395324194E-2</v>
      </c>
      <c r="J11" s="188"/>
    </row>
    <row r="12" spans="1:10" ht="16.5">
      <c r="A12" s="149" t="s">
        <v>152</v>
      </c>
      <c r="B12" s="150">
        <v>180</v>
      </c>
      <c r="C12" s="150">
        <v>322.89</v>
      </c>
      <c r="D12" s="150">
        <v>1782</v>
      </c>
      <c r="E12" s="150">
        <v>58120</v>
      </c>
      <c r="F12" s="150">
        <v>320760</v>
      </c>
      <c r="G12" s="150">
        <v>262640</v>
      </c>
      <c r="H12" s="191">
        <f>G12/E12</f>
        <v>4.5189263592567102</v>
      </c>
      <c r="J12" s="188"/>
    </row>
    <row r="13" spans="1:10" ht="16.5">
      <c r="A13" s="149" t="s">
        <v>153</v>
      </c>
      <c r="B13" s="150">
        <v>40</v>
      </c>
      <c r="C13" s="150">
        <v>446.04</v>
      </c>
      <c r="D13" s="150">
        <v>672.6</v>
      </c>
      <c r="E13" s="150">
        <v>17841.599999999999</v>
      </c>
      <c r="F13" s="150">
        <v>26904</v>
      </c>
      <c r="G13" s="150">
        <v>9062.4</v>
      </c>
      <c r="H13" s="191">
        <f>G13/E13</f>
        <v>0.50793650793650791</v>
      </c>
      <c r="J13" s="188"/>
    </row>
    <row r="14" spans="1:10" ht="16.5">
      <c r="A14" s="149" t="s">
        <v>154</v>
      </c>
      <c r="B14" s="150">
        <v>14</v>
      </c>
      <c r="C14" s="150">
        <v>3489.94</v>
      </c>
      <c r="D14" s="150">
        <v>5476.05</v>
      </c>
      <c r="E14" s="150">
        <v>48859.1</v>
      </c>
      <c r="F14" s="150">
        <v>76664.7</v>
      </c>
      <c r="G14" s="150">
        <v>27805.599999999999</v>
      </c>
      <c r="H14" s="191">
        <f>G14/E14</f>
        <v>0.56909767064886585</v>
      </c>
    </row>
    <row r="15" spans="1:10" ht="16.5">
      <c r="A15" s="149" t="s">
        <v>155</v>
      </c>
      <c r="B15" s="150">
        <v>180</v>
      </c>
      <c r="C15" s="150">
        <v>155.25</v>
      </c>
      <c r="D15" s="150">
        <v>176.5</v>
      </c>
      <c r="E15" s="150">
        <v>27945</v>
      </c>
      <c r="F15" s="150">
        <v>31770</v>
      </c>
      <c r="G15" s="150">
        <v>3825</v>
      </c>
      <c r="H15" s="191">
        <v>0</v>
      </c>
      <c r="J15" s="188"/>
    </row>
    <row r="16" spans="1:10" ht="16.5">
      <c r="A16" s="149" t="s">
        <v>156</v>
      </c>
      <c r="B16" s="150">
        <v>88</v>
      </c>
      <c r="C16" s="150">
        <v>373.58</v>
      </c>
      <c r="D16" s="150">
        <v>455.1</v>
      </c>
      <c r="E16" s="150">
        <v>32874.85</v>
      </c>
      <c r="F16" s="150">
        <v>40048.800000000003</v>
      </c>
      <c r="G16" s="150">
        <v>7173.95</v>
      </c>
      <c r="H16" s="191">
        <f>G16/E16</f>
        <v>0.21822000708748482</v>
      </c>
      <c r="J16" s="188"/>
    </row>
    <row r="17" spans="1:10" ht="16.5">
      <c r="A17" s="149" t="s">
        <v>157</v>
      </c>
      <c r="B17" s="150">
        <v>45</v>
      </c>
      <c r="C17" s="150">
        <v>990.66</v>
      </c>
      <c r="D17" s="150">
        <v>1195.9000000000001</v>
      </c>
      <c r="E17" s="150">
        <v>44579.85</v>
      </c>
      <c r="F17" s="150">
        <v>53815.5</v>
      </c>
      <c r="G17" s="150">
        <v>9235.65</v>
      </c>
      <c r="H17" s="191">
        <f>G17/E17</f>
        <v>0.20717095279593808</v>
      </c>
      <c r="J17" s="188"/>
    </row>
    <row r="18" spans="1:10" ht="16.5">
      <c r="A18" s="149" t="s">
        <v>158</v>
      </c>
      <c r="B18" s="150">
        <v>470</v>
      </c>
      <c r="C18" s="150">
        <v>194.39</v>
      </c>
      <c r="D18" s="150">
        <v>449.4</v>
      </c>
      <c r="E18" s="150">
        <v>91363.5</v>
      </c>
      <c r="F18" s="150">
        <v>211218</v>
      </c>
      <c r="G18" s="150">
        <v>119854.5</v>
      </c>
      <c r="H18" s="191">
        <f>G18/E18</f>
        <v>1.3118422564809797</v>
      </c>
    </row>
    <row r="19" spans="1:10" ht="16.5">
      <c r="A19" s="149" t="s">
        <v>159</v>
      </c>
      <c r="B19" s="150">
        <v>65</v>
      </c>
      <c r="C19" s="150">
        <v>909.05</v>
      </c>
      <c r="D19" s="150">
        <v>1153.9000000000001</v>
      </c>
      <c r="E19" s="150">
        <v>59088.4</v>
      </c>
      <c r="F19" s="150">
        <v>75003.5</v>
      </c>
      <c r="G19" s="150">
        <v>15915.1</v>
      </c>
      <c r="H19" s="191">
        <f>G19/E19</f>
        <v>0.26934389829475835</v>
      </c>
    </row>
    <row r="20" spans="1:10" ht="16.5">
      <c r="A20" s="149" t="s">
        <v>160</v>
      </c>
      <c r="B20" s="150">
        <v>21</v>
      </c>
      <c r="C20" s="150">
        <v>1503.03</v>
      </c>
      <c r="D20" s="150">
        <v>1819.7</v>
      </c>
      <c r="E20" s="150">
        <v>31563.7</v>
      </c>
      <c r="F20" s="150">
        <v>38213.699999999997</v>
      </c>
      <c r="G20" s="150">
        <v>6650</v>
      </c>
      <c r="H20" s="191">
        <f>G20/E20</f>
        <v>0.21068505910270341</v>
      </c>
    </row>
    <row r="21" spans="1:10" ht="16.5">
      <c r="A21" s="149" t="s">
        <v>161</v>
      </c>
      <c r="B21" s="150">
        <v>66</v>
      </c>
      <c r="C21" s="150">
        <v>557.49</v>
      </c>
      <c r="D21" s="150">
        <v>509.75</v>
      </c>
      <c r="E21" s="150">
        <v>36794.1</v>
      </c>
      <c r="F21" s="150">
        <v>33643.5</v>
      </c>
      <c r="G21" s="150">
        <v>-3150.6</v>
      </c>
      <c r="H21" s="191">
        <f>G21/E21</f>
        <v>-8.5627858814320779E-2</v>
      </c>
      <c r="J21" s="188"/>
    </row>
    <row r="22" spans="1:10" ht="16.5">
      <c r="A22" s="149" t="s">
        <v>162</v>
      </c>
      <c r="B22" s="150">
        <v>12</v>
      </c>
      <c r="C22" s="150">
        <v>3474.64</v>
      </c>
      <c r="D22" s="150">
        <v>4271.6000000000004</v>
      </c>
      <c r="E22" s="150">
        <v>41695.699999999997</v>
      </c>
      <c r="F22" s="150">
        <v>51259.199999999997</v>
      </c>
      <c r="G22" s="150">
        <v>9563.5</v>
      </c>
      <c r="H22" s="191">
        <f>G22/E22</f>
        <v>0.22936417904004491</v>
      </c>
    </row>
    <row r="23" spans="1:10" ht="16.5">
      <c r="A23" s="149" t="s">
        <v>163</v>
      </c>
      <c r="B23" s="150">
        <v>60</v>
      </c>
      <c r="C23" s="150">
        <v>992.6</v>
      </c>
      <c r="D23" s="150">
        <v>1209.5999999999999</v>
      </c>
      <c r="E23" s="150">
        <v>59555.95</v>
      </c>
      <c r="F23" s="150">
        <v>72576</v>
      </c>
      <c r="G23" s="150">
        <v>13020.05</v>
      </c>
      <c r="H23" s="191">
        <f>G23/E23</f>
        <v>0.21861879459567013</v>
      </c>
      <c r="J23" s="188"/>
    </row>
    <row r="24" spans="1:10" ht="16.5">
      <c r="A24" s="149" t="s">
        <v>164</v>
      </c>
      <c r="B24" s="150">
        <v>7</v>
      </c>
      <c r="C24" s="150">
        <v>3506.83</v>
      </c>
      <c r="D24" s="150">
        <v>6825.65</v>
      </c>
      <c r="E24" s="150">
        <v>24547.8</v>
      </c>
      <c r="F24" s="150">
        <v>47779.55</v>
      </c>
      <c r="G24" s="150">
        <v>23231.75</v>
      </c>
      <c r="H24" s="191">
        <f>G24/E24</f>
        <v>0.94638827104669265</v>
      </c>
      <c r="J24" s="188"/>
    </row>
    <row r="25" spans="1:10" ht="16.5">
      <c r="A25" s="149" t="s">
        <v>165</v>
      </c>
      <c r="B25" s="150">
        <v>92</v>
      </c>
      <c r="C25" s="150">
        <v>359.33</v>
      </c>
      <c r="D25" s="150">
        <v>420.9</v>
      </c>
      <c r="E25" s="150">
        <v>33058.28</v>
      </c>
      <c r="F25" s="150">
        <v>38722.800000000003</v>
      </c>
      <c r="G25" s="150">
        <v>5664.52</v>
      </c>
      <c r="H25" s="191">
        <f>G25/E25</f>
        <v>0.1713495075968865</v>
      </c>
    </row>
    <row r="26" spans="1:10" ht="16.5">
      <c r="A26" s="149" t="s">
        <v>166</v>
      </c>
      <c r="B26" s="150">
        <v>24</v>
      </c>
      <c r="C26" s="150">
        <v>2007.86</v>
      </c>
      <c r="D26" s="150">
        <v>2252</v>
      </c>
      <c r="E26" s="150">
        <v>48188.7</v>
      </c>
      <c r="F26" s="150">
        <v>54048</v>
      </c>
      <c r="G26" s="150">
        <v>5859.3</v>
      </c>
      <c r="H26" s="191">
        <f>G26/E26</f>
        <v>0.12159074637830032</v>
      </c>
    </row>
    <row r="27" spans="1:10" ht="16.5">
      <c r="A27" s="149" t="s">
        <v>167</v>
      </c>
      <c r="B27" s="150">
        <v>35</v>
      </c>
      <c r="C27" s="150">
        <v>234.44</v>
      </c>
      <c r="D27" s="150">
        <v>2615.5500000000002</v>
      </c>
      <c r="E27" s="150">
        <v>8205.5300000000007</v>
      </c>
      <c r="F27" s="150">
        <v>91544.25</v>
      </c>
      <c r="G27" s="150">
        <v>83338.720000000001</v>
      </c>
      <c r="H27" s="191">
        <f>G27/E27</f>
        <v>10.156409153339272</v>
      </c>
      <c r="J27" s="188"/>
    </row>
    <row r="28" spans="1:10" ht="16.5">
      <c r="A28" s="149" t="s">
        <v>168</v>
      </c>
      <c r="B28" s="150">
        <v>42</v>
      </c>
      <c r="C28" s="150">
        <v>664.74</v>
      </c>
      <c r="D28" s="150">
        <v>1311.65</v>
      </c>
      <c r="E28" s="150">
        <v>27918.9</v>
      </c>
      <c r="F28" s="150">
        <v>55089.3</v>
      </c>
      <c r="G28" s="150">
        <v>27170.400000000001</v>
      </c>
      <c r="H28" s="191">
        <f>G28/E28</f>
        <v>0.97319020448513371</v>
      </c>
      <c r="J28" s="188"/>
    </row>
    <row r="29" spans="1:10" ht="16.5">
      <c r="A29" s="149" t="s">
        <v>169</v>
      </c>
      <c r="B29" s="150">
        <v>230</v>
      </c>
      <c r="C29" s="150">
        <v>189.67</v>
      </c>
      <c r="D29" s="150">
        <v>300</v>
      </c>
      <c r="E29" s="150">
        <v>43625.2</v>
      </c>
      <c r="F29" s="150">
        <v>69000</v>
      </c>
      <c r="G29" s="150">
        <v>25374.799999999999</v>
      </c>
      <c r="H29" s="191">
        <f>G29/E29</f>
        <v>0.58165463997872791</v>
      </c>
      <c r="J29" s="188"/>
    </row>
    <row r="30" spans="1:10" ht="16.5">
      <c r="A30" s="149" t="s">
        <v>170</v>
      </c>
      <c r="B30" s="150">
        <v>351</v>
      </c>
      <c r="C30" s="150">
        <v>91.3</v>
      </c>
      <c r="D30" s="150">
        <v>267.60000000000002</v>
      </c>
      <c r="E30" s="150">
        <v>32046.16</v>
      </c>
      <c r="F30" s="150">
        <v>93927.6</v>
      </c>
      <c r="G30" s="150">
        <v>61881.440000000002</v>
      </c>
      <c r="H30" s="191">
        <f>G30/E30</f>
        <v>1.9310095187691756</v>
      </c>
    </row>
    <row r="31" spans="1:10" ht="16.5">
      <c r="A31" s="149" t="s">
        <v>171</v>
      </c>
      <c r="B31" s="150">
        <v>940</v>
      </c>
      <c r="C31" s="150">
        <v>53.2</v>
      </c>
      <c r="D31" s="150">
        <v>49.14</v>
      </c>
      <c r="E31" s="150">
        <v>50004.28</v>
      </c>
      <c r="F31" s="150">
        <v>46191.6</v>
      </c>
      <c r="G31" s="150">
        <v>-3812.68</v>
      </c>
      <c r="H31" s="191">
        <f>G31/E31</f>
        <v>-7.6247073250529748E-2</v>
      </c>
      <c r="J31" s="188"/>
    </row>
    <row r="32" spans="1:10" ht="16.5">
      <c r="A32" s="149" t="s">
        <v>172</v>
      </c>
      <c r="B32" s="150">
        <v>20</v>
      </c>
      <c r="C32" s="150">
        <v>1600.68</v>
      </c>
      <c r="D32" s="150">
        <v>1509.65</v>
      </c>
      <c r="E32" s="150">
        <v>32013.55</v>
      </c>
      <c r="F32" s="150">
        <v>30193</v>
      </c>
      <c r="G32" s="150">
        <v>-1820.55</v>
      </c>
      <c r="H32" s="191">
        <f>G32/E32</f>
        <v>-5.6868107410768254E-2</v>
      </c>
      <c r="J32" s="188"/>
    </row>
    <row r="33" spans="1:10" ht="16.5">
      <c r="A33" s="149" t="s">
        <v>173</v>
      </c>
      <c r="B33" s="150">
        <v>1200</v>
      </c>
      <c r="C33" s="150">
        <v>81.55</v>
      </c>
      <c r="D33" s="150">
        <v>123.37</v>
      </c>
      <c r="E33" s="150">
        <v>97860.76</v>
      </c>
      <c r="F33" s="150">
        <v>148044</v>
      </c>
      <c r="G33" s="150">
        <v>50183.24</v>
      </c>
      <c r="H33" s="191">
        <f>G33/E33</f>
        <v>0.51280247568075299</v>
      </c>
    </row>
    <row r="34" spans="1:10" ht="16.5">
      <c r="A34" s="149" t="s">
        <v>174</v>
      </c>
      <c r="B34" s="150">
        <v>74</v>
      </c>
      <c r="C34" s="150">
        <v>1149.02</v>
      </c>
      <c r="D34" s="150">
        <v>1354.85</v>
      </c>
      <c r="E34" s="150">
        <v>85027.5</v>
      </c>
      <c r="F34" s="150">
        <v>100258.9</v>
      </c>
      <c r="G34" s="150">
        <v>15231.4</v>
      </c>
      <c r="H34" s="191">
        <f>G34/E34</f>
        <v>0.17913498573990766</v>
      </c>
    </row>
    <row r="35" spans="1:10" ht="16.5">
      <c r="A35" s="149" t="s">
        <v>175</v>
      </c>
      <c r="B35" s="150">
        <v>94</v>
      </c>
      <c r="C35" s="150">
        <v>825.12</v>
      </c>
      <c r="D35" s="150">
        <v>742.25</v>
      </c>
      <c r="E35" s="150">
        <v>77561.5</v>
      </c>
      <c r="F35" s="150">
        <v>69771.5</v>
      </c>
      <c r="G35" s="150">
        <v>-7790</v>
      </c>
      <c r="H35" s="191">
        <f>G35/E35</f>
        <v>-0.1004364278669185</v>
      </c>
    </row>
    <row r="36" spans="1:10" ht="16.5">
      <c r="A36" s="149" t="s">
        <v>176</v>
      </c>
      <c r="B36" s="150">
        <v>136</v>
      </c>
      <c r="C36" s="150">
        <v>596.66999999999996</v>
      </c>
      <c r="D36" s="150">
        <v>573.45000000000005</v>
      </c>
      <c r="E36" s="150">
        <v>81147.75</v>
      </c>
      <c r="F36" s="150">
        <v>77989.2</v>
      </c>
      <c r="G36" s="150">
        <v>-3158.55</v>
      </c>
      <c r="H36" s="191">
        <f>G36/E36</f>
        <v>-3.8923445197186615E-2</v>
      </c>
      <c r="J36" s="188"/>
    </row>
    <row r="37" spans="1:10" ht="16.5">
      <c r="A37" s="149" t="s">
        <v>177</v>
      </c>
      <c r="B37" s="150">
        <v>10</v>
      </c>
      <c r="C37" s="150">
        <v>3016.79</v>
      </c>
      <c r="D37" s="150">
        <v>5124.1499999999996</v>
      </c>
      <c r="E37" s="150">
        <v>30167.85</v>
      </c>
      <c r="F37" s="150">
        <v>51241.5</v>
      </c>
      <c r="G37" s="150">
        <v>21073.65</v>
      </c>
      <c r="H37" s="191">
        <f>G37/E37</f>
        <v>0.69854663159621921</v>
      </c>
    </row>
    <row r="38" spans="1:10" ht="16.5">
      <c r="A38" s="149" t="s">
        <v>178</v>
      </c>
      <c r="B38" s="150">
        <v>59</v>
      </c>
      <c r="C38" s="150">
        <v>656.47</v>
      </c>
      <c r="D38" s="150">
        <v>1212.7</v>
      </c>
      <c r="E38" s="150">
        <v>38731.699999999997</v>
      </c>
      <c r="F38" s="150">
        <v>71549.3</v>
      </c>
      <c r="G38" s="150">
        <v>32817.599999999999</v>
      </c>
      <c r="H38" s="191">
        <f>G38/E38</f>
        <v>0.84730595352127591</v>
      </c>
      <c r="J38" s="188"/>
    </row>
    <row r="39" spans="1:10" ht="16.5">
      <c r="A39" s="149" t="s">
        <v>179</v>
      </c>
      <c r="B39" s="150">
        <v>54</v>
      </c>
      <c r="C39" s="150">
        <v>1308.5899999999999</v>
      </c>
      <c r="D39" s="150">
        <v>1694.9</v>
      </c>
      <c r="E39" s="150">
        <v>70664.100000000006</v>
      </c>
      <c r="F39" s="150">
        <v>91524.6</v>
      </c>
      <c r="G39" s="150">
        <v>20860.5</v>
      </c>
      <c r="H39" s="191">
        <f>G39/E39</f>
        <v>0.29520647683901724</v>
      </c>
      <c r="J39" s="188"/>
    </row>
    <row r="40" spans="1:10" ht="16.5">
      <c r="A40" s="149" t="s">
        <v>180</v>
      </c>
      <c r="B40" s="150">
        <v>118</v>
      </c>
      <c r="C40" s="150">
        <v>492.05</v>
      </c>
      <c r="D40" s="150">
        <v>513.4</v>
      </c>
      <c r="E40" s="150">
        <v>58062.35</v>
      </c>
      <c r="F40" s="150">
        <v>60581.2</v>
      </c>
      <c r="G40" s="150">
        <v>2518.85</v>
      </c>
      <c r="H40" s="191">
        <f>G40/E40</f>
        <v>4.3381812827072964E-2</v>
      </c>
    </row>
    <row r="41" spans="1:10" ht="16.5">
      <c r="A41" s="149" t="s">
        <v>181</v>
      </c>
      <c r="B41" s="150">
        <v>65</v>
      </c>
      <c r="C41" s="150">
        <v>1576.72</v>
      </c>
      <c r="D41" s="150">
        <v>1276.25</v>
      </c>
      <c r="E41" s="150">
        <v>102486.6</v>
      </c>
      <c r="F41" s="150">
        <v>82956.25</v>
      </c>
      <c r="G41" s="150">
        <v>-19530.349999999999</v>
      </c>
      <c r="H41" s="191">
        <f>G41/E41</f>
        <v>-0.19056491287641503</v>
      </c>
      <c r="J41" s="188"/>
    </row>
    <row r="42" spans="1:10" ht="16.5">
      <c r="A42" s="149" t="s">
        <v>182</v>
      </c>
      <c r="B42" s="150">
        <v>788</v>
      </c>
      <c r="C42" s="150">
        <v>206.55</v>
      </c>
      <c r="D42" s="150">
        <v>291.7</v>
      </c>
      <c r="E42" s="150">
        <v>162761.06</v>
      </c>
      <c r="F42" s="150">
        <v>229859.6</v>
      </c>
      <c r="G42" s="150">
        <v>67098.539999999994</v>
      </c>
      <c r="H42" s="191">
        <f>G42/E42</f>
        <v>0.41225180027704411</v>
      </c>
      <c r="J42" s="188"/>
    </row>
    <row r="43" spans="1:10" ht="16.5">
      <c r="A43" s="149" t="s">
        <v>183</v>
      </c>
      <c r="B43" s="150">
        <v>45</v>
      </c>
      <c r="C43" s="150">
        <v>1006.05</v>
      </c>
      <c r="D43" s="150">
        <v>2010.55</v>
      </c>
      <c r="E43" s="150">
        <v>45272.45</v>
      </c>
      <c r="F43" s="150">
        <v>90474.75</v>
      </c>
      <c r="G43" s="150">
        <v>45202.3</v>
      </c>
      <c r="H43" s="191">
        <f>G43/E43</f>
        <v>0.99845049251807683</v>
      </c>
      <c r="J43" s="188"/>
    </row>
    <row r="44" spans="1:10" ht="16.5">
      <c r="A44" s="149" t="s">
        <v>184</v>
      </c>
      <c r="B44" s="150">
        <v>304</v>
      </c>
      <c r="C44" s="150">
        <v>108.8</v>
      </c>
      <c r="D44" s="150">
        <v>292.45</v>
      </c>
      <c r="E44" s="150">
        <v>33076.239999999998</v>
      </c>
      <c r="F44" s="150">
        <v>88904.8</v>
      </c>
      <c r="G44" s="150">
        <v>55828.56</v>
      </c>
      <c r="H44" s="191">
        <f>G44/E44</f>
        <v>1.6878750426287874</v>
      </c>
      <c r="J44" s="188"/>
    </row>
    <row r="45" spans="1:10" ht="16.5">
      <c r="A45" s="149" t="s">
        <v>185</v>
      </c>
      <c r="B45" s="150">
        <v>285</v>
      </c>
      <c r="C45" s="150">
        <v>355.68</v>
      </c>
      <c r="D45" s="150">
        <v>356.05</v>
      </c>
      <c r="E45" s="150">
        <v>101368.55</v>
      </c>
      <c r="F45" s="150">
        <v>101474.25</v>
      </c>
      <c r="G45" s="150">
        <v>105.7</v>
      </c>
      <c r="H45" s="191">
        <f>G45/E45</f>
        <v>1.0427297223843095E-3</v>
      </c>
      <c r="J45" s="188"/>
    </row>
    <row r="46" spans="1:10" ht="16.5">
      <c r="A46" s="149" t="s">
        <v>186</v>
      </c>
      <c r="B46" s="150">
        <v>80</v>
      </c>
      <c r="C46" s="150">
        <v>814.86</v>
      </c>
      <c r="D46" s="150">
        <v>674.3</v>
      </c>
      <c r="E46" s="150">
        <v>65188.75</v>
      </c>
      <c r="F46" s="150">
        <v>53944</v>
      </c>
      <c r="G46" s="150">
        <v>-11244.75</v>
      </c>
      <c r="H46" s="191">
        <f>G46/E46</f>
        <v>-0.17249525416578781</v>
      </c>
    </row>
    <row r="47" spans="1:10" ht="16.5">
      <c r="A47" s="149" t="s">
        <v>187</v>
      </c>
      <c r="B47" s="150">
        <v>40</v>
      </c>
      <c r="C47" s="150">
        <v>1147.69</v>
      </c>
      <c r="D47" s="150">
        <v>1323.6</v>
      </c>
      <c r="E47" s="150">
        <v>45907.6</v>
      </c>
      <c r="F47" s="150">
        <v>52944</v>
      </c>
      <c r="G47" s="150">
        <v>7036.4</v>
      </c>
      <c r="H47" s="191">
        <f>G47/E47</f>
        <v>0.15327309639362546</v>
      </c>
    </row>
    <row r="48" spans="1:10" ht="16.5">
      <c r="A48" s="149" t="s">
        <v>188</v>
      </c>
      <c r="B48" s="150">
        <v>62</v>
      </c>
      <c r="C48" s="150">
        <v>1053.22</v>
      </c>
      <c r="D48" s="150">
        <v>3607.55</v>
      </c>
      <c r="E48" s="150">
        <v>65299.35</v>
      </c>
      <c r="F48" s="150">
        <v>223668.1</v>
      </c>
      <c r="G48" s="150">
        <v>158368.75</v>
      </c>
      <c r="H48" s="191">
        <f>G48/E48</f>
        <v>2.4252729927633276</v>
      </c>
      <c r="J48" s="188"/>
    </row>
    <row r="49" spans="1:10" ht="16.5">
      <c r="A49" s="149" t="s">
        <v>189</v>
      </c>
      <c r="B49" s="150">
        <v>10</v>
      </c>
      <c r="C49" s="150">
        <v>1189.6300000000001</v>
      </c>
      <c r="D49" s="150">
        <v>3031.5</v>
      </c>
      <c r="E49" s="150">
        <v>11896.3</v>
      </c>
      <c r="F49" s="150">
        <v>30315</v>
      </c>
      <c r="G49" s="150">
        <v>18418.7</v>
      </c>
      <c r="H49" s="191">
        <f>G49/E49</f>
        <v>1.5482713112480353</v>
      </c>
    </row>
    <row r="50" spans="1:10" ht="16.5">
      <c r="A50" s="149" t="s">
        <v>190</v>
      </c>
      <c r="B50" s="150">
        <v>28</v>
      </c>
      <c r="C50" s="150">
        <v>2226.31</v>
      </c>
      <c r="D50" s="150">
        <v>2001.3</v>
      </c>
      <c r="E50" s="150">
        <v>62336.7</v>
      </c>
      <c r="F50" s="150">
        <v>56036.4</v>
      </c>
      <c r="G50" s="150">
        <v>-6300.3</v>
      </c>
      <c r="H50" s="191">
        <f>G50/E50</f>
        <v>-0.1010688727507231</v>
      </c>
      <c r="J50" s="188"/>
    </row>
    <row r="51" spans="1:10" ht="16.5">
      <c r="A51" s="149" t="s">
        <v>191</v>
      </c>
      <c r="B51" s="150">
        <v>73</v>
      </c>
      <c r="C51" s="150">
        <v>523.91</v>
      </c>
      <c r="D51" s="150">
        <v>744.5</v>
      </c>
      <c r="E51" s="150">
        <v>38245.25</v>
      </c>
      <c r="F51" s="150">
        <v>54348.5</v>
      </c>
      <c r="G51" s="150">
        <v>16103.25</v>
      </c>
      <c r="H51" s="191">
        <f>G51/E51</f>
        <v>0.42105228753897544</v>
      </c>
    </row>
    <row r="52" spans="1:10" ht="16.5">
      <c r="A52" s="149" t="s">
        <v>192</v>
      </c>
      <c r="B52" s="150">
        <v>73</v>
      </c>
      <c r="C52" s="150">
        <v>735.56</v>
      </c>
      <c r="D52" s="150">
        <v>1477.55</v>
      </c>
      <c r="E52" s="150">
        <v>53696.15</v>
      </c>
      <c r="F52" s="150">
        <v>107861.15</v>
      </c>
      <c r="G52" s="150">
        <v>54165</v>
      </c>
      <c r="H52" s="191">
        <f>G52/E52</f>
        <v>1.0087315384808779</v>
      </c>
      <c r="J52" s="188"/>
    </row>
    <row r="53" spans="1:10" ht="16.5">
      <c r="A53" s="149" t="s">
        <v>193</v>
      </c>
      <c r="B53" s="150">
        <v>75</v>
      </c>
      <c r="C53" s="150">
        <v>337.52</v>
      </c>
      <c r="D53" s="150">
        <v>449.98</v>
      </c>
      <c r="E53" s="150">
        <v>25314.17</v>
      </c>
      <c r="F53" s="150">
        <v>33748.5</v>
      </c>
      <c r="G53" s="150">
        <v>8434.33</v>
      </c>
      <c r="H53" s="191">
        <f>G53/E53</f>
        <v>0.33318611670854703</v>
      </c>
      <c r="J53" s="188"/>
    </row>
    <row r="54" spans="1:10" ht="16.5">
      <c r="A54" s="149" t="s">
        <v>194</v>
      </c>
      <c r="B54" s="150">
        <v>285</v>
      </c>
      <c r="C54" s="150">
        <v>51.08</v>
      </c>
      <c r="D54" s="150">
        <v>107.62</v>
      </c>
      <c r="E54" s="150">
        <v>14558.98</v>
      </c>
      <c r="F54" s="150">
        <v>30671.7</v>
      </c>
      <c r="G54" s="150">
        <v>16112.72</v>
      </c>
      <c r="H54" s="191">
        <f>G54/E54</f>
        <v>1.1067203883788561</v>
      </c>
      <c r="J54" s="188"/>
    </row>
    <row r="55" spans="1:10" ht="16.5">
      <c r="A55" s="149" t="s">
        <v>195</v>
      </c>
      <c r="B55" s="150">
        <v>33</v>
      </c>
      <c r="C55" s="150">
        <v>2284.62</v>
      </c>
      <c r="D55" s="150">
        <v>2137.25</v>
      </c>
      <c r="E55" s="150">
        <v>75392.600000000006</v>
      </c>
      <c r="F55" s="150">
        <v>70529.25</v>
      </c>
      <c r="G55" s="150">
        <v>-4863.3500000000004</v>
      </c>
      <c r="H55" s="191">
        <f>G55/E55</f>
        <v>-6.4506994055119463E-2</v>
      </c>
      <c r="J55" s="188"/>
    </row>
    <row r="56" spans="1:10" ht="16.5">
      <c r="A56" s="149" t="s">
        <v>196</v>
      </c>
      <c r="B56" s="150">
        <v>18</v>
      </c>
      <c r="C56" s="150">
        <v>1081.33</v>
      </c>
      <c r="D56" s="150">
        <v>1180.8</v>
      </c>
      <c r="E56" s="150">
        <v>19463.849999999999</v>
      </c>
      <c r="F56" s="150">
        <v>21254.400000000001</v>
      </c>
      <c r="G56" s="150">
        <v>1790.55</v>
      </c>
      <c r="H56" s="191">
        <f>G56/E56</f>
        <v>9.1993618939726726E-2</v>
      </c>
      <c r="J56" s="188"/>
    </row>
    <row r="57" spans="1:10" ht="16.5">
      <c r="A57" s="149" t="s">
        <v>197</v>
      </c>
      <c r="B57" s="150">
        <v>207</v>
      </c>
      <c r="C57" s="150">
        <v>127.65</v>
      </c>
      <c r="D57" s="150">
        <v>152.27000000000001</v>
      </c>
      <c r="E57" s="150">
        <v>26423.5</v>
      </c>
      <c r="F57" s="150">
        <v>31519.89</v>
      </c>
      <c r="G57" s="150">
        <v>5096.3900000000003</v>
      </c>
      <c r="H57" s="191">
        <f>G57/E57</f>
        <v>0.19287338921793101</v>
      </c>
      <c r="J57" s="188"/>
    </row>
    <row r="58" spans="1:10" ht="16.5">
      <c r="A58" s="149" t="s">
        <v>198</v>
      </c>
      <c r="B58" s="150">
        <v>80</v>
      </c>
      <c r="C58" s="150">
        <v>621.89</v>
      </c>
      <c r="D58" s="150">
        <v>1476</v>
      </c>
      <c r="E58" s="150">
        <v>49751.05</v>
      </c>
      <c r="F58" s="150">
        <v>118080</v>
      </c>
      <c r="G58" s="150">
        <v>68328.95</v>
      </c>
      <c r="H58" s="191">
        <f>G58/E58</f>
        <v>1.3734172444601671</v>
      </c>
      <c r="J58" s="188"/>
    </row>
    <row r="59" spans="1:10" ht="16.5">
      <c r="A59" s="149" t="s">
        <v>199</v>
      </c>
      <c r="B59" s="150">
        <v>10</v>
      </c>
      <c r="C59" s="150">
        <v>4342.57</v>
      </c>
      <c r="D59" s="150">
        <v>6883</v>
      </c>
      <c r="E59" s="150">
        <v>43425.7</v>
      </c>
      <c r="F59" s="150">
        <v>68830</v>
      </c>
      <c r="G59" s="150">
        <v>25404.3</v>
      </c>
      <c r="H59" s="191">
        <f>G59/E59</f>
        <v>0.58500611389108292</v>
      </c>
    </row>
    <row r="60" spans="1:10" ht="16.5">
      <c r="A60" s="149" t="s">
        <v>200</v>
      </c>
      <c r="B60" s="150">
        <v>300</v>
      </c>
      <c r="C60" s="150">
        <v>82.33</v>
      </c>
      <c r="D60" s="150">
        <v>288.05</v>
      </c>
      <c r="E60" s="150">
        <v>24700</v>
      </c>
      <c r="F60" s="150">
        <v>86415</v>
      </c>
      <c r="G60" s="150">
        <v>61715</v>
      </c>
      <c r="H60" s="191">
        <f>G60/E60</f>
        <v>2.4985829959514172</v>
      </c>
      <c r="J60" s="188"/>
    </row>
    <row r="61" spans="1:10" ht="16.5">
      <c r="A61" s="149" t="s">
        <v>201</v>
      </c>
      <c r="B61" s="150">
        <v>16</v>
      </c>
      <c r="C61" s="150">
        <v>2003.97</v>
      </c>
      <c r="D61" s="150">
        <v>5049.1000000000004</v>
      </c>
      <c r="E61" s="150">
        <v>32063.45</v>
      </c>
      <c r="F61" s="150">
        <v>80785.600000000006</v>
      </c>
      <c r="G61" s="150">
        <v>48722.15</v>
      </c>
      <c r="H61" s="191">
        <f>G61/E61</f>
        <v>1.5195541964448618</v>
      </c>
    </row>
    <row r="62" spans="1:10" ht="16.5">
      <c r="A62" s="149" t="s">
        <v>202</v>
      </c>
      <c r="B62" s="150">
        <v>31</v>
      </c>
      <c r="C62" s="150">
        <v>603.24</v>
      </c>
      <c r="D62" s="150">
        <v>1517.6</v>
      </c>
      <c r="E62" s="150">
        <v>18700.45</v>
      </c>
      <c r="F62" s="150">
        <v>47045.599999999999</v>
      </c>
      <c r="G62" s="150">
        <v>28345.15</v>
      </c>
      <c r="H62" s="191">
        <f>G62/E62</f>
        <v>1.5157469472659748</v>
      </c>
      <c r="J62" s="188"/>
    </row>
    <row r="63" spans="1:10" ht="16.5">
      <c r="A63" s="149" t="s">
        <v>203</v>
      </c>
      <c r="B63" s="150">
        <v>60</v>
      </c>
      <c r="C63" s="150">
        <v>1249.57</v>
      </c>
      <c r="D63" s="150">
        <v>1307</v>
      </c>
      <c r="E63" s="150">
        <v>74974.350000000006</v>
      </c>
      <c r="F63" s="150">
        <v>78420</v>
      </c>
      <c r="G63" s="150">
        <v>3445.65</v>
      </c>
      <c r="H63" s="191">
        <f>G63/E63</f>
        <v>4.5957717539398472E-2</v>
      </c>
      <c r="J63" s="188"/>
    </row>
    <row r="64" spans="1:10" ht="16.5">
      <c r="A64" s="149" t="s">
        <v>204</v>
      </c>
      <c r="B64" s="150">
        <v>33</v>
      </c>
      <c r="C64" s="150">
        <v>761.09</v>
      </c>
      <c r="D64" s="150">
        <v>1145</v>
      </c>
      <c r="E64" s="150">
        <v>25116</v>
      </c>
      <c r="F64" s="150">
        <v>37785</v>
      </c>
      <c r="G64" s="150">
        <v>12669</v>
      </c>
      <c r="H64" s="191"/>
    </row>
    <row r="65" spans="1:10" ht="16.5">
      <c r="A65" s="149" t="s">
        <v>206</v>
      </c>
      <c r="B65" s="150">
        <v>54</v>
      </c>
      <c r="C65" s="150">
        <v>1278.8599999999999</v>
      </c>
      <c r="D65" s="150">
        <v>1790.5</v>
      </c>
      <c r="E65" s="150">
        <v>69058.3</v>
      </c>
      <c r="F65" s="150">
        <v>96687</v>
      </c>
      <c r="G65" s="150">
        <v>27628.7</v>
      </c>
      <c r="H65" s="191">
        <f>G65/E65</f>
        <v>0.40007790519025227</v>
      </c>
      <c r="J65" s="188"/>
    </row>
    <row r="66" spans="1:10" ht="16.5">
      <c r="A66" s="149" t="s">
        <v>207</v>
      </c>
      <c r="B66" s="150">
        <v>66</v>
      </c>
      <c r="C66" s="150">
        <v>426.28</v>
      </c>
      <c r="D66" s="150">
        <v>1017.9</v>
      </c>
      <c r="E66" s="150">
        <v>28134.5</v>
      </c>
      <c r="F66" s="150">
        <v>67181.399999999994</v>
      </c>
      <c r="G66" s="150">
        <v>39046.9</v>
      </c>
      <c r="H66" s="191">
        <f>G66/E66</f>
        <v>1.387865432120706</v>
      </c>
    </row>
    <row r="67" spans="1:10" ht="16.5">
      <c r="A67" s="149" t="s">
        <v>208</v>
      </c>
      <c r="B67" s="150">
        <v>10</v>
      </c>
      <c r="C67" s="150">
        <v>5284</v>
      </c>
      <c r="D67" s="150">
        <v>14305.14</v>
      </c>
      <c r="E67" s="150">
        <v>52840</v>
      </c>
      <c r="F67" s="150">
        <v>143051.4</v>
      </c>
      <c r="G67" s="150">
        <v>90211.4</v>
      </c>
      <c r="H67" s="191">
        <f>G67/E67</f>
        <v>1.7072558667676001</v>
      </c>
      <c r="J67" s="188"/>
    </row>
    <row r="68" spans="1:10" ht="16.5">
      <c r="A68" s="149" t="s">
        <v>209</v>
      </c>
      <c r="B68" s="150">
        <v>5</v>
      </c>
      <c r="C68" s="150">
        <v>4802</v>
      </c>
      <c r="D68" s="150">
        <v>14270.1</v>
      </c>
      <c r="E68" s="150">
        <v>24010</v>
      </c>
      <c r="F68" s="150">
        <v>71350.5</v>
      </c>
      <c r="G68" s="150">
        <v>47340.5</v>
      </c>
      <c r="H68" s="191">
        <f>G68/E68</f>
        <v>1.9716992919616827</v>
      </c>
      <c r="J68" s="188"/>
    </row>
    <row r="69" spans="1:10" ht="16.5">
      <c r="A69" s="149" t="s">
        <v>210</v>
      </c>
      <c r="B69" s="150">
        <v>10</v>
      </c>
      <c r="C69" s="150">
        <v>5002.45</v>
      </c>
      <c r="D69" s="150">
        <v>14301.35</v>
      </c>
      <c r="E69" s="150">
        <v>50024.5</v>
      </c>
      <c r="F69" s="150">
        <v>143013.5</v>
      </c>
      <c r="G69" s="150">
        <v>92989</v>
      </c>
      <c r="H69" s="191">
        <f>G69/E69</f>
        <v>1.8588691541144839</v>
      </c>
      <c r="J69" s="188"/>
    </row>
    <row r="70" spans="1:10" ht="16.5">
      <c r="A70" s="149" t="s">
        <v>211</v>
      </c>
      <c r="B70" s="150">
        <v>35</v>
      </c>
      <c r="C70" s="150">
        <v>749.79</v>
      </c>
      <c r="D70" s="150">
        <v>3017</v>
      </c>
      <c r="E70" s="150">
        <v>26242.52</v>
      </c>
      <c r="F70" s="150">
        <v>105595</v>
      </c>
      <c r="G70" s="150">
        <v>79352.479999999996</v>
      </c>
      <c r="H70" s="191">
        <f>G70/E70</f>
        <v>3.0238132618361346</v>
      </c>
      <c r="J70" s="188"/>
    </row>
    <row r="71" spans="1:10" ht="16.5">
      <c r="A71" s="149" t="s">
        <v>212</v>
      </c>
      <c r="B71" s="150">
        <v>139</v>
      </c>
      <c r="C71" s="150">
        <v>582.57000000000005</v>
      </c>
      <c r="D71" s="150">
        <v>1728.5</v>
      </c>
      <c r="E71" s="150">
        <v>80977.149999999994</v>
      </c>
      <c r="F71" s="150">
        <v>240261.5</v>
      </c>
      <c r="G71" s="150">
        <v>159284.35</v>
      </c>
      <c r="H71" s="191">
        <f>G71/E71</f>
        <v>1.9670283530600918</v>
      </c>
      <c r="J71" s="188"/>
    </row>
    <row r="72" spans="1:10" ht="16.5">
      <c r="A72" s="149" t="s">
        <v>213</v>
      </c>
      <c r="B72" s="150">
        <v>75</v>
      </c>
      <c r="C72" s="150">
        <v>581.84</v>
      </c>
      <c r="D72" s="150">
        <v>396.4</v>
      </c>
      <c r="E72" s="150">
        <v>43638</v>
      </c>
      <c r="F72" s="150">
        <v>29730</v>
      </c>
      <c r="G72" s="150">
        <v>-13908</v>
      </c>
      <c r="H72" s="191">
        <f>G72/E72</f>
        <v>-0.31871304826069025</v>
      </c>
      <c r="J72" s="188"/>
    </row>
    <row r="73" spans="1:10" ht="16.5">
      <c r="A73" s="149" t="s">
        <v>214</v>
      </c>
      <c r="B73" s="150">
        <v>46</v>
      </c>
      <c r="C73" s="150">
        <v>794.51</v>
      </c>
      <c r="D73" s="150">
        <v>1023.8</v>
      </c>
      <c r="E73" s="150">
        <v>36547.300000000003</v>
      </c>
      <c r="F73" s="150">
        <v>47094.8</v>
      </c>
      <c r="G73" s="150">
        <v>10547.5</v>
      </c>
      <c r="H73" s="191">
        <f>G73/E73</f>
        <v>0.28859861056767527</v>
      </c>
    </row>
    <row r="74" spans="1:10" ht="16.5">
      <c r="A74" s="149" t="s">
        <v>215</v>
      </c>
      <c r="B74" s="150">
        <v>1050</v>
      </c>
      <c r="C74" s="150">
        <v>40.479999999999997</v>
      </c>
      <c r="D74" s="150">
        <v>194.7</v>
      </c>
      <c r="E74" s="150">
        <v>42500.25</v>
      </c>
      <c r="F74" s="150">
        <v>204435</v>
      </c>
      <c r="G74" s="150">
        <v>161934.75</v>
      </c>
      <c r="H74" s="191">
        <f>G74/E74</f>
        <v>3.8102069987823599</v>
      </c>
      <c r="J74" s="188"/>
    </row>
    <row r="75" spans="1:10" ht="16.5">
      <c r="A75" s="149" t="s">
        <v>216</v>
      </c>
      <c r="B75" s="150">
        <v>33</v>
      </c>
      <c r="C75" s="150">
        <v>3575.9</v>
      </c>
      <c r="D75" s="150">
        <v>2408.3000000000002</v>
      </c>
      <c r="E75" s="150">
        <v>118004.55</v>
      </c>
      <c r="F75" s="150">
        <v>79473.899999999994</v>
      </c>
      <c r="G75" s="150">
        <v>-38530.65</v>
      </c>
      <c r="H75" s="191">
        <f>G75/E75</f>
        <v>-0.3265183418774954</v>
      </c>
      <c r="J75" s="188"/>
    </row>
    <row r="76" spans="1:10" ht="16.5">
      <c r="A76" s="149" t="s">
        <v>217</v>
      </c>
      <c r="B76" s="150">
        <v>24</v>
      </c>
      <c r="C76" s="150">
        <v>2584.4</v>
      </c>
      <c r="D76" s="150">
        <v>4065.5</v>
      </c>
      <c r="E76" s="150">
        <v>62025.599999999999</v>
      </c>
      <c r="F76" s="150">
        <v>97572</v>
      </c>
      <c r="G76" s="150">
        <v>35546.400000000001</v>
      </c>
      <c r="H76" s="191">
        <f>G76/E76</f>
        <v>0.57309240055718935</v>
      </c>
      <c r="J76" s="188"/>
    </row>
    <row r="77" spans="1:10" ht="16.5">
      <c r="A77" s="149" t="s">
        <v>257</v>
      </c>
      <c r="B77" s="150">
        <v>56</v>
      </c>
      <c r="C77" s="150">
        <v>0</v>
      </c>
      <c r="D77" s="150">
        <v>10.15</v>
      </c>
      <c r="E77" s="150">
        <v>0</v>
      </c>
      <c r="F77" s="150">
        <v>568.4</v>
      </c>
      <c r="G77" s="150">
        <v>568.4</v>
      </c>
      <c r="H77" s="191">
        <v>0</v>
      </c>
    </row>
    <row r="78" spans="1:10" ht="16.5">
      <c r="A78" s="149" t="s">
        <v>219</v>
      </c>
      <c r="B78" s="150">
        <v>14</v>
      </c>
      <c r="C78" s="150">
        <v>2306.8200000000002</v>
      </c>
      <c r="D78" s="150">
        <v>3425.8</v>
      </c>
      <c r="E78" s="150">
        <v>32295.45</v>
      </c>
      <c r="F78" s="150">
        <v>47961.2</v>
      </c>
      <c r="G78" s="150">
        <v>15665.75</v>
      </c>
      <c r="H78" s="191">
        <f>G78/E78</f>
        <v>0.48507607108741324</v>
      </c>
    </row>
    <row r="79" spans="1:10" ht="16.5">
      <c r="A79" s="149" t="s">
        <v>220</v>
      </c>
      <c r="B79" s="150">
        <v>30</v>
      </c>
      <c r="C79" s="150">
        <v>373.77</v>
      </c>
      <c r="D79" s="150">
        <v>1044.9000000000001</v>
      </c>
      <c r="E79" s="150">
        <v>11213.05</v>
      </c>
      <c r="F79" s="150">
        <v>31347</v>
      </c>
      <c r="G79" s="150">
        <v>20133.95</v>
      </c>
      <c r="H79" s="191">
        <f>G79/E79</f>
        <v>1.7955819335506398</v>
      </c>
    </row>
    <row r="80" spans="1:10" ht="16.5">
      <c r="A80" s="149" t="s">
        <v>221</v>
      </c>
      <c r="B80" s="150">
        <v>110</v>
      </c>
      <c r="C80" s="150">
        <v>130.18</v>
      </c>
      <c r="D80" s="150">
        <v>401.85</v>
      </c>
      <c r="E80" s="150">
        <v>14319.65</v>
      </c>
      <c r="F80" s="150">
        <v>44203.5</v>
      </c>
      <c r="G80" s="150">
        <v>29883.85</v>
      </c>
      <c r="H80" s="191">
        <f>G80/E80</f>
        <v>2.086912040447916</v>
      </c>
      <c r="J80" s="188"/>
    </row>
    <row r="81" spans="1:10" ht="16.5">
      <c r="A81" s="149" t="s">
        <v>222</v>
      </c>
      <c r="B81" s="150">
        <v>54</v>
      </c>
      <c r="C81" s="150">
        <v>896.15</v>
      </c>
      <c r="D81" s="150">
        <v>863.45</v>
      </c>
      <c r="E81" s="150">
        <v>48392.1</v>
      </c>
      <c r="F81" s="150">
        <v>46626.3</v>
      </c>
      <c r="G81" s="150">
        <v>-1765.8</v>
      </c>
      <c r="H81" s="191">
        <f>G81/E81</f>
        <v>-3.6489426993248898E-2</v>
      </c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7.25">
      <c r="A104" s="44" t="s">
        <v>11</v>
      </c>
      <c r="B104" s="45">
        <f>SUM(B2:B103)</f>
        <v>18788</v>
      </c>
      <c r="C104" s="45"/>
      <c r="D104" s="45"/>
      <c r="E104" s="45">
        <f>SUM(E2:E103)</f>
        <v>4069210.95</v>
      </c>
      <c r="F104" s="45">
        <f>SUM(F2:F103)</f>
        <v>6628578.8900000015</v>
      </c>
      <c r="G104" s="45">
        <f>SUM(G2:G103)</f>
        <v>2538347.94</v>
      </c>
      <c r="H104" s="176">
        <f>G104/E104</f>
        <v>0.62379364726716857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1B3C-0E22-4135-9BCB-E960C1A8DF77}">
  <dimension ref="A1:J22"/>
  <sheetViews>
    <sheetView workbookViewId="0">
      <pane xSplit="2" ySplit="1" topLeftCell="C2" activePane="bottomRight" state="frozen"/>
      <selection pane="bottomRight" activeCell="I6" sqref="I6"/>
      <selection pane="bottomLeft"/>
      <selection pane="topRight"/>
    </sheetView>
  </sheetViews>
  <sheetFormatPr defaultColWidth="8.7109375" defaultRowHeight="15.7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8.5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90243.51</v>
      </c>
      <c r="D2">
        <v>10.91</v>
      </c>
      <c r="E2">
        <v>8.8656000000000006</v>
      </c>
      <c r="F2" s="188">
        <v>800059.99219999998</v>
      </c>
      <c r="G2" s="188">
        <v>984556.69409999996</v>
      </c>
      <c r="H2" s="188">
        <f>G2-F2</f>
        <v>184496.70189999999</v>
      </c>
      <c r="I2" s="192">
        <f>H2/F2</f>
        <v>0.23060358435455836</v>
      </c>
    </row>
    <row r="3" spans="1:9">
      <c r="A3" s="168" t="s">
        <v>234</v>
      </c>
      <c r="B3" s="210" t="s">
        <v>235</v>
      </c>
      <c r="C3" s="188">
        <v>4080.9659999999999</v>
      </c>
      <c r="D3">
        <v>120.14</v>
      </c>
      <c r="E3">
        <v>68.607799999999997</v>
      </c>
      <c r="F3" s="188">
        <v>279986.10960000003</v>
      </c>
      <c r="G3" s="188">
        <v>490287.25520000001</v>
      </c>
      <c r="H3" s="188">
        <f t="shared" ref="H3:H19" si="0">G3-F3</f>
        <v>210301.14559999999</v>
      </c>
      <c r="I3" s="192">
        <f t="shared" ref="I3:I22" si="1">H3/F3</f>
        <v>0.7511127816320784</v>
      </c>
    </row>
    <row r="4" spans="1:9">
      <c r="A4" s="168" t="s">
        <v>236</v>
      </c>
      <c r="B4" s="210" t="s">
        <v>237</v>
      </c>
      <c r="C4" s="188">
        <v>14235.332</v>
      </c>
      <c r="D4">
        <v>108.18</v>
      </c>
      <c r="E4">
        <v>47.766100000000002</v>
      </c>
      <c r="F4" s="188">
        <v>679966.92570000002</v>
      </c>
      <c r="G4" s="188">
        <v>1539978.2157999999</v>
      </c>
      <c r="H4" s="188">
        <f t="shared" si="0"/>
        <v>860011.29009999987</v>
      </c>
      <c r="I4" s="192">
        <f t="shared" si="1"/>
        <v>1.2647840028610966</v>
      </c>
    </row>
    <row r="5" spans="1:9">
      <c r="A5" s="168" t="s">
        <v>238</v>
      </c>
      <c r="B5" s="210" t="s">
        <v>237</v>
      </c>
      <c r="C5" s="188">
        <v>30844.641</v>
      </c>
      <c r="D5">
        <v>37.369999999999997</v>
      </c>
      <c r="E5">
        <v>33.229399999999998</v>
      </c>
      <c r="F5" s="188">
        <v>1024948.7568</v>
      </c>
      <c r="G5" s="188">
        <v>1152664.2342000001</v>
      </c>
      <c r="H5" s="188">
        <f t="shared" si="0"/>
        <v>127715.47740000009</v>
      </c>
      <c r="I5" s="192">
        <f t="shared" si="1"/>
        <v>0.12460669526420182</v>
      </c>
    </row>
    <row r="6" spans="1:9">
      <c r="A6" s="168" t="s">
        <v>239</v>
      </c>
      <c r="B6" s="210" t="s">
        <v>233</v>
      </c>
      <c r="C6" s="188">
        <v>16800.384999999998</v>
      </c>
      <c r="D6">
        <v>31.152100000000001</v>
      </c>
      <c r="E6">
        <v>28.867100000000001</v>
      </c>
      <c r="F6" s="188">
        <v>484977.8124</v>
      </c>
      <c r="G6" s="188">
        <v>523367.27360000001</v>
      </c>
      <c r="H6" s="188">
        <f t="shared" si="0"/>
        <v>38389.46120000002</v>
      </c>
      <c r="I6" s="192">
        <f t="shared" si="1"/>
        <v>7.9157149499320109E-2</v>
      </c>
    </row>
    <row r="7" spans="1:9">
      <c r="A7" s="168" t="s">
        <v>240</v>
      </c>
      <c r="B7" s="210" t="s">
        <v>241</v>
      </c>
      <c r="C7" s="188">
        <v>1057.3219999999999</v>
      </c>
      <c r="D7">
        <v>684.07180000000005</v>
      </c>
      <c r="E7">
        <v>390.47910000000002</v>
      </c>
      <c r="F7" s="188">
        <v>412862.14630000002</v>
      </c>
      <c r="G7" s="188">
        <v>723284.16370000003</v>
      </c>
      <c r="H7" s="188">
        <f t="shared" si="0"/>
        <v>310422.01740000001</v>
      </c>
      <c r="I7" s="192">
        <f t="shared" si="1"/>
        <v>0.75187812731670622</v>
      </c>
    </row>
    <row r="8" spans="1:9">
      <c r="A8" s="168" t="s">
        <v>242</v>
      </c>
      <c r="B8" s="210" t="s">
        <v>237</v>
      </c>
      <c r="C8" s="188">
        <v>4306.576</v>
      </c>
      <c r="D8">
        <v>135.38300000000001</v>
      </c>
      <c r="E8">
        <v>44.3917</v>
      </c>
      <c r="F8" s="188">
        <v>191176.2298</v>
      </c>
      <c r="G8" s="188">
        <v>583037.17859999998</v>
      </c>
      <c r="H8" s="188">
        <f t="shared" si="0"/>
        <v>391860.94880000001</v>
      </c>
      <c r="I8" s="192">
        <f t="shared" si="1"/>
        <v>2.0497367753823128</v>
      </c>
    </row>
    <row r="9" spans="1:9">
      <c r="A9" s="168" t="s">
        <v>243</v>
      </c>
      <c r="B9" s="210" t="s">
        <v>235</v>
      </c>
      <c r="C9" s="188">
        <v>6304.4930000000004</v>
      </c>
      <c r="D9">
        <v>142.19399999999999</v>
      </c>
      <c r="E9">
        <v>51.311199999999999</v>
      </c>
      <c r="F9" s="188">
        <v>323491.23479999998</v>
      </c>
      <c r="G9" s="188">
        <v>896461.07759999996</v>
      </c>
      <c r="H9" s="188">
        <f t="shared" si="0"/>
        <v>572969.84279999998</v>
      </c>
      <c r="I9" s="192">
        <f t="shared" si="1"/>
        <v>1.7712067010231092</v>
      </c>
    </row>
    <row r="10" spans="1:9">
      <c r="A10" s="168" t="s">
        <v>244</v>
      </c>
      <c r="B10" s="210" t="s">
        <v>233</v>
      </c>
      <c r="C10" s="188">
        <v>13136.35</v>
      </c>
      <c r="D10">
        <v>48.876199999999997</v>
      </c>
      <c r="E10">
        <v>29.687100000000001</v>
      </c>
      <c r="F10" s="188">
        <v>389980.446</v>
      </c>
      <c r="G10" s="188">
        <v>642054.86990000005</v>
      </c>
      <c r="H10" s="188">
        <f t="shared" si="0"/>
        <v>252074.42390000005</v>
      </c>
      <c r="I10" s="192">
        <f t="shared" si="1"/>
        <v>0.64637708501928337</v>
      </c>
    </row>
    <row r="11" spans="1:9">
      <c r="A11" s="168" t="s">
        <v>245</v>
      </c>
      <c r="B11" s="210" t="s">
        <v>233</v>
      </c>
      <c r="C11" s="188">
        <v>82131.043999999994</v>
      </c>
      <c r="D11">
        <v>19.414400000000001</v>
      </c>
      <c r="E11">
        <v>9.9227000000000007</v>
      </c>
      <c r="F11" s="188">
        <v>814959.2439</v>
      </c>
      <c r="G11" s="188">
        <v>1594524.9406000001</v>
      </c>
      <c r="H11" s="188">
        <f t="shared" si="0"/>
        <v>779565.69670000009</v>
      </c>
      <c r="I11" s="192">
        <f t="shared" si="1"/>
        <v>0.95657016290701413</v>
      </c>
    </row>
    <row r="12" spans="1:9">
      <c r="A12" s="168" t="s">
        <v>246</v>
      </c>
      <c r="B12" s="210" t="s">
        <v>241</v>
      </c>
      <c r="C12" s="188">
        <v>84098.658500000005</v>
      </c>
      <c r="D12">
        <v>14.6427</v>
      </c>
      <c r="E12">
        <v>13.2042</v>
      </c>
      <c r="F12" s="188">
        <v>1110455.0220000001</v>
      </c>
      <c r="G12" s="188">
        <v>1231431.4268</v>
      </c>
      <c r="H12" s="188">
        <f t="shared" si="0"/>
        <v>120976.4047999999</v>
      </c>
      <c r="I12" s="192">
        <f t="shared" si="1"/>
        <v>0.10894309305937822</v>
      </c>
    </row>
    <row r="13" spans="1:9">
      <c r="A13" s="168" t="s">
        <v>247</v>
      </c>
      <c r="B13" s="210" t="s">
        <v>241</v>
      </c>
      <c r="C13" s="188">
        <v>46779.584000000003</v>
      </c>
      <c r="D13">
        <v>14.3514</v>
      </c>
      <c r="E13">
        <v>14.1187</v>
      </c>
      <c r="F13" s="188">
        <v>660466.97759999998</v>
      </c>
      <c r="G13" s="188">
        <v>671352.52179999999</v>
      </c>
      <c r="H13" s="188">
        <f t="shared" si="0"/>
        <v>10885.544200000004</v>
      </c>
      <c r="I13" s="192">
        <f t="shared" si="1"/>
        <v>1.6481587375580555E-2</v>
      </c>
    </row>
    <row r="14" spans="1:9">
      <c r="A14" s="168" t="s">
        <v>248</v>
      </c>
      <c r="B14" s="210" t="s">
        <v>249</v>
      </c>
      <c r="C14" s="188">
        <v>53516.898999999998</v>
      </c>
      <c r="D14">
        <v>7.9255000000000004</v>
      </c>
      <c r="E14">
        <v>9.3613</v>
      </c>
      <c r="F14" s="188">
        <v>500985.3652</v>
      </c>
      <c r="G14" s="188">
        <v>424148.18300000002</v>
      </c>
      <c r="H14" s="188">
        <f t="shared" si="0"/>
        <v>-76837.182199999981</v>
      </c>
      <c r="I14" s="192">
        <f t="shared" si="1"/>
        <v>-0.15337210932164766</v>
      </c>
    </row>
    <row r="15" spans="1:9">
      <c r="A15" s="168" t="s">
        <v>250</v>
      </c>
      <c r="B15" s="210" t="s">
        <v>251</v>
      </c>
      <c r="C15" s="188">
        <v>19397.659</v>
      </c>
      <c r="D15">
        <v>85.677899999999994</v>
      </c>
      <c r="E15">
        <v>44.640599999999999</v>
      </c>
      <c r="F15" s="188">
        <v>865923.00470000005</v>
      </c>
      <c r="G15" s="188">
        <v>1661950.6880000001</v>
      </c>
      <c r="H15" s="188">
        <f t="shared" si="0"/>
        <v>796027.68330000003</v>
      </c>
      <c r="I15" s="192">
        <f t="shared" si="1"/>
        <v>0.91928229066484346</v>
      </c>
    </row>
    <row r="16" spans="1:9">
      <c r="A16" s="168" t="s">
        <v>252</v>
      </c>
      <c r="B16" s="210" t="s">
        <v>233</v>
      </c>
      <c r="C16" s="188">
        <v>6809.741</v>
      </c>
      <c r="D16">
        <v>49.06</v>
      </c>
      <c r="E16">
        <v>35.241999999999997</v>
      </c>
      <c r="F16" s="188">
        <v>239988.8371</v>
      </c>
      <c r="G16" s="188">
        <v>334085.89350000001</v>
      </c>
      <c r="H16" s="188">
        <f t="shared" si="0"/>
        <v>94097.056400000001</v>
      </c>
      <c r="I16" s="192">
        <f t="shared" si="1"/>
        <v>0.392089305223772</v>
      </c>
    </row>
    <row r="17" spans="1:10">
      <c r="A17" s="168" t="s">
        <v>253</v>
      </c>
      <c r="B17" s="210" t="s">
        <v>235</v>
      </c>
      <c r="C17" s="188">
        <v>5481.1360000000004</v>
      </c>
      <c r="D17">
        <v>212.3571</v>
      </c>
      <c r="E17">
        <v>200.74350000000001</v>
      </c>
      <c r="F17" s="188">
        <v>1100302.2501999999</v>
      </c>
      <c r="G17" s="188">
        <v>1163958.1457</v>
      </c>
      <c r="H17" s="188">
        <f t="shared" si="0"/>
        <v>63655.895500000101</v>
      </c>
      <c r="I17" s="192">
        <f t="shared" si="1"/>
        <v>5.7853099444656671E-2</v>
      </c>
    </row>
    <row r="18" spans="1:10">
      <c r="A18" s="168" t="s">
        <v>254</v>
      </c>
      <c r="B18" s="210" t="s">
        <v>237</v>
      </c>
      <c r="C18" s="188">
        <v>1519.7139999999999</v>
      </c>
      <c r="D18">
        <v>239.92920000000001</v>
      </c>
      <c r="E18">
        <v>266.48419999999999</v>
      </c>
      <c r="F18" s="188">
        <v>404979.83980000002</v>
      </c>
      <c r="G18" s="188">
        <v>364623.76419999998</v>
      </c>
      <c r="H18" s="188">
        <f t="shared" si="0"/>
        <v>-40356.07560000004</v>
      </c>
      <c r="I18" s="192">
        <f t="shared" si="1"/>
        <v>-9.9649591495541992E-2</v>
      </c>
    </row>
    <row r="19" spans="1:10">
      <c r="A19" s="168" t="s">
        <v>255</v>
      </c>
      <c r="B19" s="210" t="s">
        <v>241</v>
      </c>
      <c r="C19" s="188">
        <v>18996.168000000001</v>
      </c>
      <c r="D19">
        <v>22.360600000000002</v>
      </c>
      <c r="E19">
        <v>9.4700000000000006</v>
      </c>
      <c r="F19" s="188">
        <v>179893.71100000001</v>
      </c>
      <c r="G19" s="188">
        <v>424765.71419999999</v>
      </c>
      <c r="H19" s="188">
        <f t="shared" si="0"/>
        <v>244872.00319999998</v>
      </c>
      <c r="I19" s="192">
        <f t="shared" si="1"/>
        <v>1.3612038010600602</v>
      </c>
    </row>
    <row r="20" spans="1:10">
      <c r="A20" s="168"/>
      <c r="B20" s="210"/>
      <c r="C20" s="188"/>
      <c r="D20"/>
      <c r="E20"/>
      <c r="F20" s="188"/>
      <c r="G20" s="188"/>
      <c r="H20" s="188"/>
      <c r="I20" s="192"/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499740.17849999992</v>
      </c>
      <c r="D22" s="75"/>
      <c r="E22" s="75"/>
      <c r="F22" s="75">
        <f t="shared" ref="F22:H22" si="2">SUM(F2:F21)</f>
        <v>10465403.905099997</v>
      </c>
      <c r="G22" s="75">
        <f t="shared" si="2"/>
        <v>15406532.240499999</v>
      </c>
      <c r="H22" s="75">
        <f t="shared" si="2"/>
        <v>4941128.3353999984</v>
      </c>
      <c r="I22" s="53">
        <f t="shared" si="1"/>
        <v>0.47213928675911776</v>
      </c>
      <c r="J22" s="202"/>
    </row>
  </sheetData>
  <hyperlinks>
    <hyperlink ref="A2" r:id="rId1" location="/mf/1831632/41287/NULL" xr:uid="{79912F29-878E-4C6F-91E4-56C31C4DBCD1}"/>
    <hyperlink ref="A3" r:id="rId2" location="/mf/1831632/15690/NULL" xr:uid="{D1C5505B-0F54-4BF8-82FD-29C2AFA126FF}"/>
    <hyperlink ref="A4" r:id="rId3" location="/mf/1831632/22335/NULL" xr:uid="{9A88612D-5F57-4835-B421-262B3F0D9585}"/>
    <hyperlink ref="A5" r:id="rId4" location="/mf/1831632/38817/NULL" xr:uid="{0DA0527E-801B-4778-AD3D-437F57880F3E}"/>
    <hyperlink ref="A6" r:id="rId5" location="/mf/1831632/40665/NULL" xr:uid="{12D24E91-F60E-4E58-A7AC-8D8E1FE780D8}"/>
    <hyperlink ref="A7" r:id="rId6" location="/mf/1831632/16071/NULL" xr:uid="{EC8C0764-E359-49C9-B4DF-C6EE3D61A86C}"/>
    <hyperlink ref="A8" r:id="rId7" location="/mf/1831632/16617/NULL" xr:uid="{C4ED6AE8-F735-40A8-A47A-1600EFF8ABE7}"/>
    <hyperlink ref="A9" r:id="rId8" location="/mf/1831632/17134/NULL" xr:uid="{FCDBB3AE-00C7-4D05-AD03-140F7FE2BAA5}"/>
    <hyperlink ref="A10" r:id="rId9" location="/mf/1831632/38228/NULL" xr:uid="{72D28EF6-6762-4F1D-8383-82D07324A7A7}"/>
    <hyperlink ref="A11" r:id="rId10" location="/mf/1831632/42135/NULL" xr:uid="{BEFA47B8-BBE2-4652-AFBB-0BE4547BDD1D}"/>
    <hyperlink ref="A12" r:id="rId11" location="/mf/1831632/41574/NULL" xr:uid="{799E4AB7-32AE-4848-9570-D2368D6CFDB6}"/>
    <hyperlink ref="A13" r:id="rId12" location="/mf/1831632/41937/NULL" xr:uid="{CC956968-A729-44C0-A432-08CE3B052847}"/>
    <hyperlink ref="A14" r:id="rId13" location="/mf/1831632/44110/NULL" xr:uid="{6D33591D-71C7-4E06-BB7E-5C08CCCBB225}"/>
    <hyperlink ref="A15" r:id="rId14" location="/mf/1831632/19701/NULL" xr:uid="{0161B388-CD98-4A0E-9411-891F934E2BD7}"/>
    <hyperlink ref="A16" r:id="rId15" location="/mf/1831632/17348/NULL" xr:uid="{D4318A34-E2AE-4DA3-9CCF-C321C0F3950D}"/>
    <hyperlink ref="A17" r:id="rId16" location="/mf/1831632/17375/NULL" xr:uid="{7E24D5EF-6528-412D-9A88-2D7CE8B8C4C0}"/>
    <hyperlink ref="A18" r:id="rId17" location="/mf/1831632/17366/NULL" xr:uid="{5219FBA0-887E-4277-8CEF-AAEC2020104D}"/>
    <hyperlink ref="A19" r:id="rId18" location="/mf/1831632/36491/NULL" xr:uid="{BBC9E149-AEB3-4F4F-938A-716F3CCC2AF9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C003-B553-487D-9AEC-76D72620175E}">
  <dimension ref="A1:J104"/>
  <sheetViews>
    <sheetView workbookViewId="0">
      <pane xSplit="1" ySplit="1" topLeftCell="B94" activePane="bottomRight" state="frozen"/>
      <selection pane="bottomRight" activeCell="D94" sqref="D94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6.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6.5">
      <c r="A2" s="149" t="s">
        <v>143</v>
      </c>
      <c r="B2" s="150">
        <v>100</v>
      </c>
      <c r="C2" s="150">
        <v>109.73</v>
      </c>
      <c r="D2" s="150">
        <v>104.9</v>
      </c>
      <c r="E2" s="150">
        <v>10972.5</v>
      </c>
      <c r="F2" s="150">
        <v>10490</v>
      </c>
      <c r="G2" s="150">
        <v>-482.5</v>
      </c>
      <c r="H2" s="191">
        <f>G2/E2</f>
        <v>-4.3973570289359762E-2</v>
      </c>
    </row>
    <row r="3" spans="1:10" ht="16.5">
      <c r="A3" s="149" t="s">
        <v>144</v>
      </c>
      <c r="B3" s="150">
        <v>19</v>
      </c>
      <c r="C3" s="150">
        <v>489.54</v>
      </c>
      <c r="D3" s="150">
        <v>2979.2</v>
      </c>
      <c r="E3" s="150">
        <v>9301.2000000000007</v>
      </c>
      <c r="F3" s="150">
        <v>56604.800000000003</v>
      </c>
      <c r="G3" s="150">
        <v>47303.6</v>
      </c>
      <c r="H3" s="191">
        <f>G3/E3</f>
        <v>5.0857523760375001</v>
      </c>
    </row>
    <row r="4" spans="1:10" ht="16.5">
      <c r="A4" s="149" t="s">
        <v>145</v>
      </c>
      <c r="B4" s="150">
        <v>250</v>
      </c>
      <c r="C4" s="150">
        <v>183.59</v>
      </c>
      <c r="D4" s="150">
        <v>454.2</v>
      </c>
      <c r="E4" s="150">
        <v>45897.5</v>
      </c>
      <c r="F4" s="150">
        <v>113550</v>
      </c>
      <c r="G4" s="150">
        <v>67652.5</v>
      </c>
      <c r="H4" s="191">
        <f>G4/E4</f>
        <v>1.4739909581131869</v>
      </c>
    </row>
    <row r="5" spans="1:10" ht="16.5">
      <c r="A5" s="149" t="s">
        <v>146</v>
      </c>
      <c r="B5" s="150">
        <v>62</v>
      </c>
      <c r="C5" s="150">
        <v>708.24</v>
      </c>
      <c r="D5" s="150">
        <v>1383.9</v>
      </c>
      <c r="E5" s="150">
        <v>43910.6</v>
      </c>
      <c r="F5" s="150">
        <v>85801.8</v>
      </c>
      <c r="G5" s="150">
        <v>41891.199999999997</v>
      </c>
      <c r="H5" s="191">
        <f>G5/E5</f>
        <v>0.95401110438026349</v>
      </c>
      <c r="J5" s="188"/>
    </row>
    <row r="6" spans="1:10" ht="16.5">
      <c r="A6" s="149" t="s">
        <v>147</v>
      </c>
      <c r="B6" s="150">
        <v>19</v>
      </c>
      <c r="C6" s="150">
        <v>3076.33</v>
      </c>
      <c r="D6" s="150">
        <v>9972.5</v>
      </c>
      <c r="E6" s="150">
        <v>58450.25</v>
      </c>
      <c r="F6" s="150">
        <v>189477.5</v>
      </c>
      <c r="G6" s="150">
        <v>131027.25</v>
      </c>
      <c r="H6" s="191">
        <f>G6/E6</f>
        <v>2.2416884444463454</v>
      </c>
    </row>
    <row r="7" spans="1:10" ht="16.5">
      <c r="A7" s="149" t="s">
        <v>148</v>
      </c>
      <c r="B7" s="150">
        <v>80</v>
      </c>
      <c r="C7" s="150">
        <v>673.1</v>
      </c>
      <c r="D7" s="150">
        <v>996.5</v>
      </c>
      <c r="E7" s="150">
        <v>53848.35</v>
      </c>
      <c r="F7" s="150">
        <v>79720</v>
      </c>
      <c r="G7" s="150">
        <v>25871.65</v>
      </c>
      <c r="H7" s="191">
        <f>G7/E7</f>
        <v>0.48045390434433</v>
      </c>
    </row>
    <row r="8" spans="1:10" ht="16.5">
      <c r="A8" s="149" t="s">
        <v>149</v>
      </c>
      <c r="B8" s="150">
        <v>15</v>
      </c>
      <c r="C8" s="150">
        <v>2427.4699999999998</v>
      </c>
      <c r="D8" s="150">
        <v>2375</v>
      </c>
      <c r="E8" s="150">
        <v>36412</v>
      </c>
      <c r="F8" s="150">
        <v>35625</v>
      </c>
      <c r="G8" s="150">
        <v>-787</v>
      </c>
      <c r="H8" s="191">
        <f>G8/E8</f>
        <v>-2.1613753707568933E-2</v>
      </c>
    </row>
    <row r="9" spans="1:10" ht="16.5">
      <c r="A9" s="149" t="s">
        <v>150</v>
      </c>
      <c r="B9" s="150">
        <v>184</v>
      </c>
      <c r="C9" s="150">
        <v>188.19</v>
      </c>
      <c r="D9" s="150">
        <v>321.95</v>
      </c>
      <c r="E9" s="150">
        <v>34627.15</v>
      </c>
      <c r="F9" s="150">
        <v>59238.8</v>
      </c>
      <c r="G9" s="150">
        <v>24611.65</v>
      </c>
      <c r="H9" s="191">
        <f>G9/E9</f>
        <v>0.71076164223737737</v>
      </c>
      <c r="J9" s="188"/>
    </row>
    <row r="10" spans="1:10" ht="16.5">
      <c r="A10" s="149" t="s">
        <v>151</v>
      </c>
      <c r="B10" s="150">
        <v>8500</v>
      </c>
      <c r="C10" s="150">
        <v>50.47</v>
      </c>
      <c r="D10" s="150">
        <v>61.93</v>
      </c>
      <c r="E10" s="150">
        <v>429035.72</v>
      </c>
      <c r="F10" s="150">
        <v>526405</v>
      </c>
      <c r="G10" s="150">
        <v>97369.279999999999</v>
      </c>
      <c r="H10" s="191">
        <f>G10/E10</f>
        <v>0.22694912209174567</v>
      </c>
    </row>
    <row r="11" spans="1:10" ht="16.5">
      <c r="A11" s="149" t="s">
        <v>152</v>
      </c>
      <c r="B11" s="150">
        <v>180</v>
      </c>
      <c r="C11" s="150">
        <v>322.89</v>
      </c>
      <c r="D11" s="150">
        <v>1879.75</v>
      </c>
      <c r="E11" s="150">
        <v>58120</v>
      </c>
      <c r="F11" s="150">
        <v>338355</v>
      </c>
      <c r="G11" s="150">
        <v>280235</v>
      </c>
      <c r="H11" s="191">
        <f>G11/E11</f>
        <v>4.8216620784583624</v>
      </c>
      <c r="J11" s="188"/>
    </row>
    <row r="12" spans="1:10" ht="16.5">
      <c r="A12" s="149" t="s">
        <v>153</v>
      </c>
      <c r="B12" s="150">
        <v>40</v>
      </c>
      <c r="C12" s="150">
        <v>446.04</v>
      </c>
      <c r="D12" s="150">
        <v>694.05</v>
      </c>
      <c r="E12" s="150">
        <v>17841.599999999999</v>
      </c>
      <c r="F12" s="150">
        <v>27762</v>
      </c>
      <c r="G12" s="150">
        <v>9920.4</v>
      </c>
      <c r="H12" s="191">
        <f>G12/E12</f>
        <v>0.55602636534839922</v>
      </c>
      <c r="J12" s="188"/>
    </row>
    <row r="13" spans="1:10" ht="16.5">
      <c r="A13" s="149" t="s">
        <v>154</v>
      </c>
      <c r="B13" s="150">
        <v>14</v>
      </c>
      <c r="C13" s="150">
        <v>3489.94</v>
      </c>
      <c r="D13" s="150">
        <v>6002.5</v>
      </c>
      <c r="E13" s="150">
        <v>48859.1</v>
      </c>
      <c r="F13" s="150">
        <v>84035</v>
      </c>
      <c r="G13" s="150">
        <v>35175.9</v>
      </c>
      <c r="H13" s="191">
        <f>G13/E13</f>
        <v>0.71994572147256097</v>
      </c>
      <c r="J13" s="188"/>
    </row>
    <row r="14" spans="1:10" ht="16.5">
      <c r="A14" s="149" t="s">
        <v>155</v>
      </c>
      <c r="B14" s="150">
        <v>180</v>
      </c>
      <c r="C14" s="150">
        <v>155.25</v>
      </c>
      <c r="D14" s="150">
        <v>187.35</v>
      </c>
      <c r="E14" s="150">
        <v>27945</v>
      </c>
      <c r="F14" s="150">
        <v>33723</v>
      </c>
      <c r="G14" s="150">
        <v>5778</v>
      </c>
      <c r="H14" s="191">
        <f>G14/E14</f>
        <v>0.20676328502415459</v>
      </c>
    </row>
    <row r="15" spans="1:10" ht="16.5">
      <c r="A15" s="149" t="s">
        <v>156</v>
      </c>
      <c r="B15" s="150">
        <v>88</v>
      </c>
      <c r="C15" s="150">
        <v>373.58</v>
      </c>
      <c r="D15" s="150">
        <v>471.8</v>
      </c>
      <c r="E15" s="150">
        <v>32874.85</v>
      </c>
      <c r="F15" s="150">
        <v>41518.400000000001</v>
      </c>
      <c r="G15" s="150">
        <v>8643.5499999999993</v>
      </c>
      <c r="H15" s="191">
        <v>0</v>
      </c>
      <c r="J15" s="188"/>
    </row>
    <row r="16" spans="1:10" ht="16.5">
      <c r="A16" s="149" t="s">
        <v>157</v>
      </c>
      <c r="B16" s="150">
        <v>45</v>
      </c>
      <c r="C16" s="150">
        <v>990.66</v>
      </c>
      <c r="D16" s="150">
        <v>1348.2</v>
      </c>
      <c r="E16" s="150">
        <v>44579.85</v>
      </c>
      <c r="F16" s="150">
        <v>60669</v>
      </c>
      <c r="G16" s="150">
        <v>16089.15</v>
      </c>
      <c r="H16" s="191">
        <f>G16/E16</f>
        <v>0.36090632875615331</v>
      </c>
      <c r="J16" s="188"/>
    </row>
    <row r="17" spans="1:10" ht="16.5">
      <c r="A17" s="149" t="s">
        <v>158</v>
      </c>
      <c r="B17" s="150">
        <v>470</v>
      </c>
      <c r="C17" s="150">
        <v>194.39</v>
      </c>
      <c r="D17" s="150">
        <v>430.7</v>
      </c>
      <c r="E17" s="150">
        <v>91363.5</v>
      </c>
      <c r="F17" s="150">
        <v>202429</v>
      </c>
      <c r="G17" s="150">
        <v>111065.5</v>
      </c>
      <c r="H17" s="191">
        <f>G17/E17</f>
        <v>1.2156441029513974</v>
      </c>
      <c r="J17" s="188"/>
    </row>
    <row r="18" spans="1:10" ht="16.5">
      <c r="A18" s="149" t="s">
        <v>159</v>
      </c>
      <c r="B18" s="150">
        <v>65</v>
      </c>
      <c r="C18" s="150">
        <v>909.05</v>
      </c>
      <c r="D18" s="150">
        <v>1186.3499999999999</v>
      </c>
      <c r="E18" s="150">
        <v>59088.4</v>
      </c>
      <c r="F18" s="150">
        <v>77112.75</v>
      </c>
      <c r="G18" s="150">
        <v>18024.349999999999</v>
      </c>
      <c r="H18" s="191">
        <f>G18/E18</f>
        <v>0.30504041402373389</v>
      </c>
    </row>
    <row r="19" spans="1:10" ht="16.5">
      <c r="A19" s="149" t="s">
        <v>160</v>
      </c>
      <c r="B19" s="150">
        <v>21</v>
      </c>
      <c r="C19" s="150">
        <v>1503.03</v>
      </c>
      <c r="D19" s="150">
        <v>2254.5</v>
      </c>
      <c r="E19" s="150">
        <v>31563.7</v>
      </c>
      <c r="F19" s="150">
        <v>47344.5</v>
      </c>
      <c r="G19" s="150">
        <v>15780.8</v>
      </c>
      <c r="H19" s="191">
        <f>G19/E19</f>
        <v>0.49996673393803637</v>
      </c>
    </row>
    <row r="20" spans="1:10" ht="16.5">
      <c r="A20" s="149" t="s">
        <v>161</v>
      </c>
      <c r="B20" s="150">
        <v>66</v>
      </c>
      <c r="C20" s="150">
        <v>557.49</v>
      </c>
      <c r="D20" s="150">
        <v>604.15</v>
      </c>
      <c r="E20" s="150">
        <v>36794.1</v>
      </c>
      <c r="F20" s="150">
        <v>39873.9</v>
      </c>
      <c r="G20" s="150">
        <v>3079.8</v>
      </c>
      <c r="H20" s="191">
        <f>G20/E20</f>
        <v>8.3703637267931549E-2</v>
      </c>
    </row>
    <row r="21" spans="1:10" ht="16.5">
      <c r="A21" s="149" t="s">
        <v>162</v>
      </c>
      <c r="B21" s="150">
        <v>12</v>
      </c>
      <c r="C21" s="150">
        <v>3474.64</v>
      </c>
      <c r="D21" s="150">
        <v>3847.6</v>
      </c>
      <c r="E21" s="150">
        <v>41695.699999999997</v>
      </c>
      <c r="F21" s="150">
        <v>46171.199999999997</v>
      </c>
      <c r="G21" s="150">
        <v>4475.5</v>
      </c>
      <c r="H21" s="191">
        <f>G21/E21</f>
        <v>0.10733720743386009</v>
      </c>
      <c r="J21" s="188"/>
    </row>
    <row r="22" spans="1:10" ht="16.5">
      <c r="A22" s="149" t="s">
        <v>163</v>
      </c>
      <c r="B22" s="150">
        <v>60</v>
      </c>
      <c r="C22" s="150">
        <v>992.6</v>
      </c>
      <c r="D22" s="150">
        <v>1287.2</v>
      </c>
      <c r="E22" s="150">
        <v>59555.95</v>
      </c>
      <c r="F22" s="150">
        <v>77232</v>
      </c>
      <c r="G22" s="150">
        <v>17676.05</v>
      </c>
      <c r="H22" s="191">
        <f>G22/E22</f>
        <v>0.29679738128600081</v>
      </c>
    </row>
    <row r="23" spans="1:10" ht="16.5">
      <c r="A23" s="149" t="s">
        <v>164</v>
      </c>
      <c r="B23" s="150">
        <v>7</v>
      </c>
      <c r="C23" s="150">
        <v>3506.83</v>
      </c>
      <c r="D23" s="150">
        <v>8015.7</v>
      </c>
      <c r="E23" s="150">
        <v>24547.8</v>
      </c>
      <c r="F23" s="150">
        <v>56109.9</v>
      </c>
      <c r="G23" s="150">
        <v>31562.1</v>
      </c>
      <c r="H23" s="191">
        <f>G23/E23</f>
        <v>1.2857404736880698</v>
      </c>
      <c r="J23" s="188"/>
    </row>
    <row r="24" spans="1:10" ht="16.5">
      <c r="A24" s="149" t="s">
        <v>165</v>
      </c>
      <c r="B24" s="150">
        <v>92</v>
      </c>
      <c r="C24" s="150">
        <v>359.33</v>
      </c>
      <c r="D24" s="150">
        <v>425.03</v>
      </c>
      <c r="E24" s="150">
        <v>33058.28</v>
      </c>
      <c r="F24" s="150">
        <v>39102.76</v>
      </c>
      <c r="G24" s="150">
        <v>6044.48</v>
      </c>
      <c r="H24" s="191">
        <f>G24/E24</f>
        <v>0.18284314852436362</v>
      </c>
      <c r="J24" s="188"/>
    </row>
    <row r="25" spans="1:10" ht="16.5">
      <c r="A25" s="149" t="s">
        <v>166</v>
      </c>
      <c r="B25" s="150">
        <v>24</v>
      </c>
      <c r="C25" s="150">
        <v>2007.86</v>
      </c>
      <c r="D25" s="150">
        <v>2661.7</v>
      </c>
      <c r="E25" s="150">
        <v>48188.7</v>
      </c>
      <c r="F25" s="150">
        <v>63880.800000000003</v>
      </c>
      <c r="G25" s="150">
        <v>15692.1</v>
      </c>
      <c r="H25" s="191">
        <f>G25/E25</f>
        <v>0.32563858331932594</v>
      </c>
    </row>
    <row r="26" spans="1:10" ht="16.5">
      <c r="A26" s="149" t="s">
        <v>167</v>
      </c>
      <c r="B26" s="150">
        <v>35</v>
      </c>
      <c r="C26" s="150">
        <v>234.44</v>
      </c>
      <c r="D26" s="150">
        <v>2930.9</v>
      </c>
      <c r="E26" s="150">
        <v>8205.5300000000007</v>
      </c>
      <c r="F26" s="150">
        <v>102581.5</v>
      </c>
      <c r="G26" s="150">
        <v>94375.97</v>
      </c>
      <c r="H26" s="191">
        <f>G26/E26</f>
        <v>11.501508129273795</v>
      </c>
    </row>
    <row r="27" spans="1:10" ht="16.5">
      <c r="A27" s="149" t="s">
        <v>168</v>
      </c>
      <c r="B27" s="150">
        <v>42</v>
      </c>
      <c r="C27" s="150">
        <v>664.74</v>
      </c>
      <c r="D27" s="150">
        <v>1361</v>
      </c>
      <c r="E27" s="150">
        <v>27918.9</v>
      </c>
      <c r="F27" s="150">
        <v>57162</v>
      </c>
      <c r="G27" s="150">
        <v>29243.1</v>
      </c>
      <c r="H27" s="191">
        <f>G27/E27</f>
        <v>1.0474302354319116</v>
      </c>
      <c r="J27" s="188"/>
    </row>
    <row r="28" spans="1:10" ht="16.5">
      <c r="A28" s="149" t="s">
        <v>169</v>
      </c>
      <c r="B28" s="150">
        <v>230</v>
      </c>
      <c r="C28" s="150">
        <v>189.67</v>
      </c>
      <c r="D28" s="150">
        <v>334.9</v>
      </c>
      <c r="E28" s="150">
        <v>43625.2</v>
      </c>
      <c r="F28" s="150">
        <v>77027</v>
      </c>
      <c r="G28" s="150">
        <v>33401.800000000003</v>
      </c>
      <c r="H28" s="191">
        <f>G28/E28</f>
        <v>0.76565379642958664</v>
      </c>
      <c r="J28" s="188"/>
    </row>
    <row r="29" spans="1:10" ht="16.5">
      <c r="A29" s="149" t="s">
        <v>170</v>
      </c>
      <c r="B29" s="150">
        <v>351</v>
      </c>
      <c r="C29" s="150">
        <v>91.3</v>
      </c>
      <c r="D29" s="150">
        <v>299.95</v>
      </c>
      <c r="E29" s="150">
        <v>32046.16</v>
      </c>
      <c r="F29" s="150">
        <v>105282.45</v>
      </c>
      <c r="G29" s="150">
        <v>73236.289999999994</v>
      </c>
      <c r="H29" s="191">
        <f>G29/E29</f>
        <v>2.2853374632093204</v>
      </c>
      <c r="J29" s="188"/>
    </row>
    <row r="30" spans="1:10" ht="16.5">
      <c r="A30" s="149" t="s">
        <v>171</v>
      </c>
      <c r="B30" s="150">
        <v>940</v>
      </c>
      <c r="C30" s="150">
        <v>53.2</v>
      </c>
      <c r="D30" s="150">
        <v>54.95</v>
      </c>
      <c r="E30" s="150">
        <v>50004.28</v>
      </c>
      <c r="F30" s="150">
        <v>51653</v>
      </c>
      <c r="G30" s="150">
        <v>1648.72</v>
      </c>
      <c r="H30" s="191">
        <f>G30/E30</f>
        <v>3.2971577632954621E-2</v>
      </c>
    </row>
    <row r="31" spans="1:10" ht="16.5">
      <c r="A31" s="149" t="s">
        <v>172</v>
      </c>
      <c r="B31" s="150">
        <v>20</v>
      </c>
      <c r="C31" s="150">
        <v>1600.68</v>
      </c>
      <c r="D31" s="150">
        <v>1731</v>
      </c>
      <c r="E31" s="150">
        <v>32013.55</v>
      </c>
      <c r="F31" s="150">
        <v>34620</v>
      </c>
      <c r="G31" s="150">
        <v>2606.4499999999998</v>
      </c>
      <c r="H31" s="191">
        <f>G31/E31</f>
        <v>8.1417087452032022E-2</v>
      </c>
      <c r="J31" s="188"/>
    </row>
    <row r="32" spans="1:10" ht="16.5">
      <c r="A32" s="149" t="s">
        <v>173</v>
      </c>
      <c r="B32" s="150">
        <v>1200</v>
      </c>
      <c r="C32" s="150">
        <v>81.55</v>
      </c>
      <c r="D32" s="150">
        <v>131.6</v>
      </c>
      <c r="E32" s="150">
        <v>97860.76</v>
      </c>
      <c r="F32" s="150">
        <v>157920</v>
      </c>
      <c r="G32" s="150">
        <v>60059.24</v>
      </c>
      <c r="H32" s="191">
        <f>G32/E32</f>
        <v>0.61372137310194608</v>
      </c>
      <c r="J32" s="188"/>
    </row>
    <row r="33" spans="1:10" ht="16.5">
      <c r="A33" s="149" t="s">
        <v>174</v>
      </c>
      <c r="B33" s="150">
        <v>74</v>
      </c>
      <c r="C33" s="150">
        <v>1149.02</v>
      </c>
      <c r="D33" s="150">
        <v>1390.2</v>
      </c>
      <c r="E33" s="150">
        <v>85027.5</v>
      </c>
      <c r="F33" s="150">
        <v>102874.8</v>
      </c>
      <c r="G33" s="150">
        <v>17847.3</v>
      </c>
      <c r="H33" s="191">
        <f>G33/E33</f>
        <v>0.20990032636499956</v>
      </c>
    </row>
    <row r="34" spans="1:10" ht="16.5">
      <c r="A34" s="149" t="s">
        <v>175</v>
      </c>
      <c r="B34" s="150">
        <v>94</v>
      </c>
      <c r="C34" s="150">
        <v>825.12</v>
      </c>
      <c r="D34" s="150">
        <v>887.75</v>
      </c>
      <c r="E34" s="150">
        <v>77561.5</v>
      </c>
      <c r="F34" s="150">
        <v>83448.5</v>
      </c>
      <c r="G34" s="150">
        <v>5887</v>
      </c>
      <c r="H34" s="191">
        <f>G34/E34</f>
        <v>7.5901059159505679E-2</v>
      </c>
    </row>
    <row r="35" spans="1:10" ht="16.5">
      <c r="A35" s="149" t="s">
        <v>176</v>
      </c>
      <c r="B35" s="150">
        <v>136</v>
      </c>
      <c r="C35" s="150">
        <v>596.66999999999996</v>
      </c>
      <c r="D35" s="150">
        <v>715.3</v>
      </c>
      <c r="E35" s="150">
        <v>81147.75</v>
      </c>
      <c r="F35" s="150">
        <v>97280.8</v>
      </c>
      <c r="G35" s="150">
        <v>16133.05</v>
      </c>
      <c r="H35" s="191">
        <f>G35/E35</f>
        <v>0.19881081114387028</v>
      </c>
    </row>
    <row r="36" spans="1:10" ht="16.5">
      <c r="A36" s="149" t="s">
        <v>177</v>
      </c>
      <c r="B36" s="150">
        <v>10</v>
      </c>
      <c r="C36" s="150">
        <v>3016.79</v>
      </c>
      <c r="D36" s="150">
        <v>5710</v>
      </c>
      <c r="E36" s="150">
        <v>30167.85</v>
      </c>
      <c r="F36" s="150">
        <v>57100</v>
      </c>
      <c r="G36" s="150">
        <v>26932.15</v>
      </c>
      <c r="H36" s="191">
        <f>G36/E36</f>
        <v>0.89274343382110433</v>
      </c>
      <c r="J36" s="188"/>
    </row>
    <row r="37" spans="1:10" ht="16.5">
      <c r="A37" s="149" t="s">
        <v>178</v>
      </c>
      <c r="B37" s="150">
        <v>59</v>
      </c>
      <c r="C37" s="150">
        <v>656.47</v>
      </c>
      <c r="D37" s="150">
        <v>1379</v>
      </c>
      <c r="E37" s="150">
        <v>38731.699999999997</v>
      </c>
      <c r="F37" s="150">
        <v>81361</v>
      </c>
      <c r="G37" s="150">
        <v>42629.3</v>
      </c>
      <c r="H37" s="191">
        <f>G37/E37</f>
        <v>1.1006307494894365</v>
      </c>
    </row>
    <row r="38" spans="1:10" ht="16.5">
      <c r="A38" s="149" t="s">
        <v>179</v>
      </c>
      <c r="B38" s="150">
        <v>54</v>
      </c>
      <c r="C38" s="150">
        <v>1308.5899999999999</v>
      </c>
      <c r="D38" s="150">
        <v>1901.5</v>
      </c>
      <c r="E38" s="150">
        <v>70664.100000000006</v>
      </c>
      <c r="F38" s="150">
        <v>102681</v>
      </c>
      <c r="G38" s="150">
        <v>32016.9</v>
      </c>
      <c r="H38" s="191">
        <f>G38/E38</f>
        <v>0.45308579604070526</v>
      </c>
      <c r="J38" s="188"/>
    </row>
    <row r="39" spans="1:10" ht="16.5">
      <c r="A39" s="149" t="s">
        <v>180</v>
      </c>
      <c r="B39" s="150">
        <v>118</v>
      </c>
      <c r="C39" s="150">
        <v>492.05</v>
      </c>
      <c r="D39" s="150">
        <v>654.5</v>
      </c>
      <c r="E39" s="150">
        <v>58062.35</v>
      </c>
      <c r="F39" s="150">
        <v>77231</v>
      </c>
      <c r="G39" s="150">
        <v>19168.650000000001</v>
      </c>
      <c r="H39" s="191">
        <f>G39/E39</f>
        <v>0.33013906602126852</v>
      </c>
      <c r="J39" s="188"/>
    </row>
    <row r="40" spans="1:10" ht="16.5">
      <c r="A40" s="149" t="s">
        <v>181</v>
      </c>
      <c r="B40" s="150">
        <v>65</v>
      </c>
      <c r="C40" s="150">
        <v>1576.72</v>
      </c>
      <c r="D40" s="150">
        <v>1300.0999999999999</v>
      </c>
      <c r="E40" s="150">
        <v>102486.6</v>
      </c>
      <c r="F40" s="150">
        <v>84506.5</v>
      </c>
      <c r="G40" s="150">
        <v>-17980.099999999999</v>
      </c>
      <c r="H40" s="191">
        <f>G40/E40</f>
        <v>-0.17543854513663248</v>
      </c>
    </row>
    <row r="41" spans="1:10" ht="16.5">
      <c r="A41" s="149" t="s">
        <v>182</v>
      </c>
      <c r="B41" s="150">
        <v>788</v>
      </c>
      <c r="C41" s="150">
        <v>206.55</v>
      </c>
      <c r="D41" s="150">
        <v>313.60000000000002</v>
      </c>
      <c r="E41" s="150">
        <v>162761.06</v>
      </c>
      <c r="F41" s="150">
        <v>247116.79999999999</v>
      </c>
      <c r="G41" s="150">
        <v>84355.74</v>
      </c>
      <c r="H41" s="191">
        <f>G41/E41</f>
        <v>0.51827961798725075</v>
      </c>
      <c r="J41" s="188"/>
    </row>
    <row r="42" spans="1:10" ht="16.5">
      <c r="A42" s="149" t="s">
        <v>183</v>
      </c>
      <c r="B42" s="150">
        <v>45</v>
      </c>
      <c r="C42" s="150">
        <v>1006.05</v>
      </c>
      <c r="D42" s="150">
        <v>2053.5</v>
      </c>
      <c r="E42" s="150">
        <v>45272.45</v>
      </c>
      <c r="F42" s="150">
        <v>92407.5</v>
      </c>
      <c r="G42" s="150">
        <v>47135.05</v>
      </c>
      <c r="H42" s="191">
        <f>G42/E42</f>
        <v>1.0411420190424863</v>
      </c>
      <c r="J42" s="188"/>
    </row>
    <row r="43" spans="1:10" ht="16.5">
      <c r="A43" s="149" t="s">
        <v>184</v>
      </c>
      <c r="B43" s="150">
        <v>304</v>
      </c>
      <c r="C43" s="150">
        <v>108.8</v>
      </c>
      <c r="D43" s="150">
        <v>326.2</v>
      </c>
      <c r="E43" s="150">
        <v>33076.239999999998</v>
      </c>
      <c r="F43" s="150">
        <v>99164.800000000003</v>
      </c>
      <c r="G43" s="150">
        <v>66088.56</v>
      </c>
      <c r="H43" s="191">
        <f>G43/E43</f>
        <v>1.9980674949752451</v>
      </c>
      <c r="J43" s="188"/>
    </row>
    <row r="44" spans="1:10" ht="16.5">
      <c r="A44" s="149" t="s">
        <v>185</v>
      </c>
      <c r="B44" s="150">
        <v>285</v>
      </c>
      <c r="C44" s="150">
        <v>355.68</v>
      </c>
      <c r="D44" s="150">
        <v>416.55</v>
      </c>
      <c r="E44" s="150">
        <v>101368.55</v>
      </c>
      <c r="F44" s="150">
        <v>118716.75</v>
      </c>
      <c r="G44" s="150">
        <v>17348.2</v>
      </c>
      <c r="H44" s="191">
        <f>G44/E44</f>
        <v>0.17113986537244541</v>
      </c>
      <c r="J44" s="188"/>
    </row>
    <row r="45" spans="1:10" ht="16.5">
      <c r="A45" s="149" t="s">
        <v>186</v>
      </c>
      <c r="B45" s="150">
        <v>80</v>
      </c>
      <c r="C45" s="150">
        <v>814.86</v>
      </c>
      <c r="D45" s="150">
        <v>771.6</v>
      </c>
      <c r="E45" s="150">
        <v>65188.75</v>
      </c>
      <c r="F45" s="150">
        <v>61728</v>
      </c>
      <c r="G45" s="150">
        <v>-3460.75</v>
      </c>
      <c r="H45" s="191">
        <f>G45/E45</f>
        <v>-5.3088147878276544E-2</v>
      </c>
      <c r="J45" s="188"/>
    </row>
    <row r="46" spans="1:10" ht="16.5">
      <c r="A46" s="149" t="s">
        <v>187</v>
      </c>
      <c r="B46" s="150">
        <v>40</v>
      </c>
      <c r="C46" s="150">
        <v>1147.69</v>
      </c>
      <c r="D46" s="150">
        <v>1399.9</v>
      </c>
      <c r="E46" s="150">
        <v>45907.6</v>
      </c>
      <c r="F46" s="150">
        <v>55996</v>
      </c>
      <c r="G46" s="150">
        <v>10088.4</v>
      </c>
      <c r="H46" s="191">
        <f>G46/E46</f>
        <v>0.21975446331326404</v>
      </c>
    </row>
    <row r="47" spans="1:10" ht="16.5">
      <c r="A47" s="149" t="s">
        <v>188</v>
      </c>
      <c r="B47" s="150">
        <v>62</v>
      </c>
      <c r="C47" s="150">
        <v>1053.22</v>
      </c>
      <c r="D47" s="150">
        <v>4280.55</v>
      </c>
      <c r="E47" s="150">
        <v>65299.35</v>
      </c>
      <c r="F47" s="150">
        <v>265394.09999999998</v>
      </c>
      <c r="G47" s="150">
        <v>200094.75</v>
      </c>
      <c r="H47" s="191">
        <f>G47/E47</f>
        <v>3.0642686336081448</v>
      </c>
    </row>
    <row r="48" spans="1:10" ht="16.5">
      <c r="A48" s="149" t="s">
        <v>189</v>
      </c>
      <c r="B48" s="150">
        <v>10</v>
      </c>
      <c r="C48" s="150">
        <v>1189.6300000000001</v>
      </c>
      <c r="D48" s="150">
        <v>3399.9</v>
      </c>
      <c r="E48" s="150">
        <v>11896.3</v>
      </c>
      <c r="F48" s="150">
        <v>33999</v>
      </c>
      <c r="G48" s="150">
        <v>22102.7</v>
      </c>
      <c r="H48" s="191">
        <f>G48/E48</f>
        <v>1.8579474290325566</v>
      </c>
      <c r="J48" s="188"/>
    </row>
    <row r="49" spans="1:10" ht="16.5">
      <c r="A49" s="149" t="s">
        <v>190</v>
      </c>
      <c r="B49" s="150">
        <v>28</v>
      </c>
      <c r="C49" s="150">
        <v>2226.31</v>
      </c>
      <c r="D49" s="150">
        <v>2260</v>
      </c>
      <c r="E49" s="150">
        <v>62336.7</v>
      </c>
      <c r="F49" s="150">
        <v>63280</v>
      </c>
      <c r="G49" s="150">
        <v>943.3</v>
      </c>
      <c r="H49" s="191">
        <f>G49/E49</f>
        <v>1.5132337772131023E-2</v>
      </c>
    </row>
    <row r="50" spans="1:10" ht="16.5">
      <c r="A50" s="149" t="s">
        <v>191</v>
      </c>
      <c r="B50" s="150">
        <v>73</v>
      </c>
      <c r="C50" s="150">
        <v>523.91</v>
      </c>
      <c r="D50" s="150">
        <v>788.65</v>
      </c>
      <c r="E50" s="150">
        <v>38245.25</v>
      </c>
      <c r="F50" s="150">
        <v>57571.45</v>
      </c>
      <c r="G50" s="150">
        <v>19326.2</v>
      </c>
      <c r="H50" s="191">
        <f>G50/E50</f>
        <v>0.50532288323386565</v>
      </c>
      <c r="J50" s="188"/>
    </row>
    <row r="51" spans="1:10" ht="16.5">
      <c r="A51" s="149" t="s">
        <v>192</v>
      </c>
      <c r="B51" s="150">
        <v>73</v>
      </c>
      <c r="C51" s="150">
        <v>735.56</v>
      </c>
      <c r="D51" s="150">
        <v>1813</v>
      </c>
      <c r="E51" s="150">
        <v>53696.15</v>
      </c>
      <c r="F51" s="150">
        <v>132349</v>
      </c>
      <c r="G51" s="150">
        <v>78652.850000000006</v>
      </c>
      <c r="H51" s="191">
        <f>G51/E51</f>
        <v>1.464776338713297</v>
      </c>
    </row>
    <row r="52" spans="1:10" ht="16.5">
      <c r="A52" s="149" t="s">
        <v>193</v>
      </c>
      <c r="B52" s="150">
        <v>75</v>
      </c>
      <c r="C52" s="150">
        <v>337.52</v>
      </c>
      <c r="D52" s="150">
        <v>462.16</v>
      </c>
      <c r="E52" s="150">
        <v>25314.17</v>
      </c>
      <c r="F52" s="150">
        <v>34662</v>
      </c>
      <c r="G52" s="150">
        <v>9347.83</v>
      </c>
      <c r="H52" s="191">
        <f>G52/E52</f>
        <v>0.36927262477892819</v>
      </c>
      <c r="J52" s="188"/>
    </row>
    <row r="53" spans="1:10" ht="16.5">
      <c r="A53" s="149" t="s">
        <v>194</v>
      </c>
      <c r="B53" s="150">
        <v>285</v>
      </c>
      <c r="C53" s="150">
        <v>51.08</v>
      </c>
      <c r="D53" s="150">
        <v>133.34</v>
      </c>
      <c r="E53" s="150">
        <v>14558.98</v>
      </c>
      <c r="F53" s="150">
        <v>38001.9</v>
      </c>
      <c r="G53" s="150">
        <v>23442.92</v>
      </c>
      <c r="H53" s="191">
        <f>G53/E53</f>
        <v>1.6102034620557208</v>
      </c>
      <c r="J53" s="188"/>
    </row>
    <row r="54" spans="1:10" ht="16.5">
      <c r="A54" s="149" t="s">
        <v>195</v>
      </c>
      <c r="B54" s="150">
        <v>33</v>
      </c>
      <c r="C54" s="150">
        <v>2284.62</v>
      </c>
      <c r="D54" s="150">
        <v>2296.8000000000002</v>
      </c>
      <c r="E54" s="150">
        <v>75392.600000000006</v>
      </c>
      <c r="F54" s="150">
        <v>75794.399999999994</v>
      </c>
      <c r="G54" s="150">
        <v>401.8</v>
      </c>
      <c r="H54" s="191">
        <f>G54/E54</f>
        <v>5.3294355148913817E-3</v>
      </c>
      <c r="J54" s="188"/>
    </row>
    <row r="55" spans="1:10" ht="16.5">
      <c r="A55" s="149" t="s">
        <v>196</v>
      </c>
      <c r="B55" s="150">
        <v>18</v>
      </c>
      <c r="C55" s="150">
        <v>1081.33</v>
      </c>
      <c r="D55" s="150">
        <v>1291.7</v>
      </c>
      <c r="E55" s="150">
        <v>19463.849999999999</v>
      </c>
      <c r="F55" s="150">
        <v>23250.6</v>
      </c>
      <c r="G55" s="150">
        <v>3786.75</v>
      </c>
      <c r="H55" s="191">
        <f>G55/E55</f>
        <v>0.19455297898411672</v>
      </c>
      <c r="J55" s="188"/>
    </row>
    <row r="56" spans="1:10" ht="16.5">
      <c r="A56" s="149" t="s">
        <v>197</v>
      </c>
      <c r="B56" s="150">
        <v>207</v>
      </c>
      <c r="C56" s="150">
        <v>127.65</v>
      </c>
      <c r="D56" s="150">
        <v>161.71</v>
      </c>
      <c r="E56" s="150">
        <v>26423.5</v>
      </c>
      <c r="F56" s="150">
        <v>33473.97</v>
      </c>
      <c r="G56" s="150">
        <v>7050.47</v>
      </c>
      <c r="H56" s="191">
        <f>G56/E56</f>
        <v>0.26682574223702388</v>
      </c>
      <c r="J56" s="188"/>
    </row>
    <row r="57" spans="1:10" ht="16.5">
      <c r="A57" s="149" t="s">
        <v>198</v>
      </c>
      <c r="B57" s="150">
        <v>80</v>
      </c>
      <c r="C57" s="150">
        <v>621.89</v>
      </c>
      <c r="D57" s="150">
        <v>1516.7</v>
      </c>
      <c r="E57" s="150">
        <v>49751.05</v>
      </c>
      <c r="F57" s="150">
        <v>121336</v>
      </c>
      <c r="G57" s="150">
        <v>71584.95</v>
      </c>
      <c r="H57" s="191">
        <f>G57/E57</f>
        <v>1.4388630993717719</v>
      </c>
      <c r="J57" s="188"/>
    </row>
    <row r="58" spans="1:10" ht="16.5">
      <c r="A58" s="149" t="s">
        <v>199</v>
      </c>
      <c r="B58" s="150">
        <v>10</v>
      </c>
      <c r="C58" s="150">
        <v>4342.57</v>
      </c>
      <c r="D58" s="150">
        <v>6932</v>
      </c>
      <c r="E58" s="150">
        <v>43425.7</v>
      </c>
      <c r="F58" s="150">
        <v>69320</v>
      </c>
      <c r="G58" s="150">
        <v>25894.3</v>
      </c>
      <c r="H58" s="191">
        <f>G58/E58</f>
        <v>0.59628975468443801</v>
      </c>
      <c r="J58" s="188"/>
    </row>
    <row r="59" spans="1:10" ht="16.5">
      <c r="A59" s="149" t="s">
        <v>200</v>
      </c>
      <c r="B59" s="150">
        <v>300</v>
      </c>
      <c r="C59" s="150">
        <v>82.33</v>
      </c>
      <c r="D59" s="150">
        <v>279.89999999999998</v>
      </c>
      <c r="E59" s="150">
        <v>24700</v>
      </c>
      <c r="F59" s="150">
        <v>83970</v>
      </c>
      <c r="G59" s="150">
        <v>59270</v>
      </c>
      <c r="H59" s="191">
        <f>G59/E59</f>
        <v>2.3995951417004049</v>
      </c>
    </row>
    <row r="60" spans="1:10" ht="16.5">
      <c r="A60" s="149" t="s">
        <v>201</v>
      </c>
      <c r="B60" s="150">
        <v>16</v>
      </c>
      <c r="C60" s="150">
        <v>2003.97</v>
      </c>
      <c r="D60" s="150">
        <v>4720</v>
      </c>
      <c r="E60" s="150">
        <v>32063.45</v>
      </c>
      <c r="F60" s="150">
        <v>75520</v>
      </c>
      <c r="G60" s="150">
        <v>43456.55</v>
      </c>
      <c r="H60" s="191">
        <f>G60/E60</f>
        <v>1.3553298225861534</v>
      </c>
      <c r="J60" s="188"/>
    </row>
    <row r="61" spans="1:10" ht="16.5">
      <c r="A61" s="149" t="s">
        <v>202</v>
      </c>
      <c r="B61" s="150">
        <v>31</v>
      </c>
      <c r="C61" s="150">
        <v>603.24</v>
      </c>
      <c r="D61" s="150">
        <v>1660.9</v>
      </c>
      <c r="E61" s="150">
        <v>18700.45</v>
      </c>
      <c r="F61" s="150">
        <v>51487.9</v>
      </c>
      <c r="G61" s="150">
        <v>32787.449999999997</v>
      </c>
      <c r="H61" s="191">
        <f>G61/E61</f>
        <v>1.7532973805443182</v>
      </c>
    </row>
    <row r="62" spans="1:10" ht="16.5">
      <c r="A62" s="149" t="s">
        <v>203</v>
      </c>
      <c r="B62" s="150">
        <v>60</v>
      </c>
      <c r="C62" s="150">
        <v>1249.57</v>
      </c>
      <c r="D62" s="150">
        <v>1492</v>
      </c>
      <c r="E62" s="150">
        <v>74974.350000000006</v>
      </c>
      <c r="F62" s="150">
        <v>89520</v>
      </c>
      <c r="G62" s="150">
        <v>14545.65</v>
      </c>
      <c r="H62" s="191">
        <f>G62/E62</f>
        <v>0.19400835085599272</v>
      </c>
      <c r="J62" s="188"/>
    </row>
    <row r="63" spans="1:10" ht="16.5">
      <c r="A63" s="149" t="s">
        <v>204</v>
      </c>
      <c r="B63" s="150">
        <v>33</v>
      </c>
      <c r="C63" s="150">
        <v>761.09</v>
      </c>
      <c r="D63" s="150">
        <v>1393</v>
      </c>
      <c r="E63" s="150">
        <v>25116</v>
      </c>
      <c r="F63" s="150">
        <v>45969</v>
      </c>
      <c r="G63" s="150">
        <v>20853</v>
      </c>
      <c r="H63" s="191">
        <f>G63/E63</f>
        <v>0.83026755852842804</v>
      </c>
      <c r="J63" s="188"/>
    </row>
    <row r="64" spans="1:10" ht="16.5">
      <c r="A64" s="149" t="s">
        <v>256</v>
      </c>
      <c r="B64" s="150">
        <v>20</v>
      </c>
      <c r="C64" s="150">
        <v>0</v>
      </c>
      <c r="D64" s="150">
        <v>1042.5</v>
      </c>
      <c r="E64" s="150">
        <v>0</v>
      </c>
      <c r="F64" s="150">
        <v>20850</v>
      </c>
      <c r="G64" s="150">
        <v>0</v>
      </c>
      <c r="H64" s="191"/>
    </row>
    <row r="65" spans="1:10" ht="16.5">
      <c r="A65" s="149" t="s">
        <v>206</v>
      </c>
      <c r="B65" s="150">
        <v>54</v>
      </c>
      <c r="C65" s="150">
        <v>1278.8599999999999</v>
      </c>
      <c r="D65" s="150">
        <v>2037.2</v>
      </c>
      <c r="E65" s="150">
        <v>69058.3</v>
      </c>
      <c r="F65" s="150">
        <v>110008.8</v>
      </c>
      <c r="G65" s="150">
        <v>40950.5</v>
      </c>
      <c r="H65" s="191">
        <f>G65/E65</f>
        <v>0.5929844783320759</v>
      </c>
      <c r="J65" s="188"/>
    </row>
    <row r="66" spans="1:10" ht="16.5">
      <c r="A66" s="149" t="s">
        <v>207</v>
      </c>
      <c r="B66" s="150">
        <v>66</v>
      </c>
      <c r="C66" s="150">
        <v>426.28</v>
      </c>
      <c r="D66" s="150">
        <v>1202</v>
      </c>
      <c r="E66" s="150">
        <v>28134.5</v>
      </c>
      <c r="F66" s="150">
        <v>79332</v>
      </c>
      <c r="G66" s="150">
        <v>51197.5</v>
      </c>
      <c r="H66" s="191">
        <f>G66/E66</f>
        <v>1.8197408875224368</v>
      </c>
    </row>
    <row r="67" spans="1:10" ht="16.5">
      <c r="A67" s="149" t="s">
        <v>208</v>
      </c>
      <c r="B67" s="150">
        <v>10</v>
      </c>
      <c r="C67" s="150">
        <v>5284</v>
      </c>
      <c r="D67" s="150">
        <v>15715</v>
      </c>
      <c r="E67" s="150">
        <v>52840</v>
      </c>
      <c r="F67" s="150">
        <v>157150</v>
      </c>
      <c r="G67" s="150">
        <v>104310</v>
      </c>
      <c r="H67" s="191">
        <f>G67/E67</f>
        <v>1.9740726722180166</v>
      </c>
      <c r="J67" s="188"/>
    </row>
    <row r="68" spans="1:10" ht="16.5">
      <c r="A68" s="149" t="s">
        <v>209</v>
      </c>
      <c r="B68" s="150">
        <v>5</v>
      </c>
      <c r="C68" s="150">
        <v>4802</v>
      </c>
      <c r="D68" s="150">
        <v>15697</v>
      </c>
      <c r="E68" s="150">
        <v>24010</v>
      </c>
      <c r="F68" s="150">
        <v>78485</v>
      </c>
      <c r="G68" s="150">
        <v>54475</v>
      </c>
      <c r="H68" s="191">
        <f>G68/E68</f>
        <v>2.2688463140358186</v>
      </c>
      <c r="J68" s="188"/>
    </row>
    <row r="69" spans="1:10" ht="16.5">
      <c r="A69" s="149" t="s">
        <v>210</v>
      </c>
      <c r="B69" s="150">
        <v>10</v>
      </c>
      <c r="C69" s="150">
        <v>5002.45</v>
      </c>
      <c r="D69" s="150">
        <v>15740</v>
      </c>
      <c r="E69" s="150">
        <v>50024.5</v>
      </c>
      <c r="F69" s="150">
        <v>157400</v>
      </c>
      <c r="G69" s="150">
        <v>107375.5</v>
      </c>
      <c r="H69" s="191">
        <f>G69/E69</f>
        <v>2.1464582354646224</v>
      </c>
      <c r="J69" s="188"/>
    </row>
    <row r="70" spans="1:10" ht="16.5">
      <c r="A70" s="149" t="s">
        <v>211</v>
      </c>
      <c r="B70" s="150">
        <v>35</v>
      </c>
      <c r="C70" s="150">
        <v>749.79</v>
      </c>
      <c r="D70" s="150">
        <v>3430</v>
      </c>
      <c r="E70" s="150">
        <v>26242.52</v>
      </c>
      <c r="F70" s="150">
        <v>120050</v>
      </c>
      <c r="G70" s="150">
        <v>93807.48</v>
      </c>
      <c r="H70" s="191">
        <f>G70/E70</f>
        <v>3.5746368870062781</v>
      </c>
      <c r="J70" s="188"/>
    </row>
    <row r="71" spans="1:10" ht="16.5">
      <c r="A71" s="149" t="s">
        <v>212</v>
      </c>
      <c r="B71" s="150">
        <v>139</v>
      </c>
      <c r="C71" s="150">
        <v>582.57000000000005</v>
      </c>
      <c r="D71" s="150">
        <v>1738.1</v>
      </c>
      <c r="E71" s="150">
        <v>80977.149999999994</v>
      </c>
      <c r="F71" s="150">
        <v>241595.9</v>
      </c>
      <c r="G71" s="150">
        <v>160618.75</v>
      </c>
      <c r="H71" s="191">
        <f>G71/E71</f>
        <v>1.9835070757614959</v>
      </c>
      <c r="J71" s="188"/>
    </row>
    <row r="72" spans="1:10" ht="16.5">
      <c r="A72" s="149" t="s">
        <v>213</v>
      </c>
      <c r="B72" s="150">
        <v>75</v>
      </c>
      <c r="C72" s="150">
        <v>581.84</v>
      </c>
      <c r="D72" s="150">
        <v>422.35</v>
      </c>
      <c r="E72" s="150">
        <v>43638</v>
      </c>
      <c r="F72" s="150">
        <v>31676.25</v>
      </c>
      <c r="G72" s="150">
        <v>-11961.75</v>
      </c>
      <c r="H72" s="191">
        <f>G72/E72</f>
        <v>-0.2741131582565654</v>
      </c>
      <c r="J72" s="188"/>
    </row>
    <row r="73" spans="1:10" ht="16.5">
      <c r="A73" s="149" t="s">
        <v>214</v>
      </c>
      <c r="B73" s="150">
        <v>46</v>
      </c>
      <c r="C73" s="150">
        <v>794.51</v>
      </c>
      <c r="D73" s="150">
        <v>1141.1500000000001</v>
      </c>
      <c r="E73" s="150">
        <v>36547.300000000003</v>
      </c>
      <c r="F73" s="150">
        <v>52492.9</v>
      </c>
      <c r="G73" s="150">
        <v>15945.6</v>
      </c>
      <c r="H73" s="191">
        <f>G73/E73</f>
        <v>0.43630035597704891</v>
      </c>
    </row>
    <row r="74" spans="1:10" ht="16.5">
      <c r="A74" s="149" t="s">
        <v>215</v>
      </c>
      <c r="B74" s="150">
        <v>1050</v>
      </c>
      <c r="C74" s="150">
        <v>40.479999999999997</v>
      </c>
      <c r="D74" s="150">
        <v>212.35</v>
      </c>
      <c r="E74" s="150">
        <v>42500.25</v>
      </c>
      <c r="F74" s="150">
        <v>222967.5</v>
      </c>
      <c r="G74" s="150">
        <v>180467.25</v>
      </c>
      <c r="H74" s="191">
        <f>G74/E74</f>
        <v>4.2462632572749568</v>
      </c>
      <c r="J74" s="188"/>
    </row>
    <row r="75" spans="1:10" ht="16.5">
      <c r="A75" s="149" t="s">
        <v>216</v>
      </c>
      <c r="B75" s="150">
        <v>33</v>
      </c>
      <c r="C75" s="150">
        <v>3575.9</v>
      </c>
      <c r="D75" s="150">
        <v>2637.4</v>
      </c>
      <c r="E75" s="150">
        <v>118004.55</v>
      </c>
      <c r="F75" s="150">
        <v>87034.2</v>
      </c>
      <c r="G75" s="150">
        <v>-30970.35</v>
      </c>
      <c r="H75" s="191">
        <f>G75/E75</f>
        <v>-0.26245047330802074</v>
      </c>
      <c r="J75" s="188"/>
    </row>
    <row r="76" spans="1:10" ht="16.5">
      <c r="A76" s="149" t="s">
        <v>217</v>
      </c>
      <c r="B76" s="150">
        <v>24</v>
      </c>
      <c r="C76" s="150">
        <v>2584.4</v>
      </c>
      <c r="D76" s="150">
        <v>4325.6000000000004</v>
      </c>
      <c r="E76" s="150">
        <v>62025.599999999999</v>
      </c>
      <c r="F76" s="150">
        <v>103814.39999999999</v>
      </c>
      <c r="G76" s="150">
        <v>41788.800000000003</v>
      </c>
      <c r="H76" s="191">
        <f>G76/E76</f>
        <v>0.6737347159882372</v>
      </c>
      <c r="J76" s="188"/>
    </row>
    <row r="77" spans="1:10" ht="16.5">
      <c r="A77" s="149" t="s">
        <v>219</v>
      </c>
      <c r="B77" s="150">
        <v>14</v>
      </c>
      <c r="C77" s="150">
        <v>2306.8200000000002</v>
      </c>
      <c r="D77" s="150">
        <v>3869.7</v>
      </c>
      <c r="E77" s="150">
        <v>32295.45</v>
      </c>
      <c r="F77" s="150">
        <v>54175.8</v>
      </c>
      <c r="G77" s="150">
        <v>21880.35</v>
      </c>
      <c r="H77" s="191">
        <f>G77/E77</f>
        <v>0.67750565482134473</v>
      </c>
    </row>
    <row r="78" spans="1:10" ht="16.5">
      <c r="A78" s="149" t="s">
        <v>220</v>
      </c>
      <c r="B78" s="150">
        <v>30</v>
      </c>
      <c r="C78" s="150">
        <v>373.77</v>
      </c>
      <c r="D78" s="150">
        <v>1183.8</v>
      </c>
      <c r="E78" s="150">
        <v>11213.05</v>
      </c>
      <c r="F78" s="150">
        <v>35514</v>
      </c>
      <c r="G78" s="150">
        <v>24300.95</v>
      </c>
      <c r="H78" s="191">
        <f>G78/E78</f>
        <v>2.1672025006577158</v>
      </c>
    </row>
    <row r="79" spans="1:10" ht="16.5">
      <c r="A79" s="149" t="s">
        <v>221</v>
      </c>
      <c r="B79" s="150">
        <v>110</v>
      </c>
      <c r="C79" s="150">
        <v>130.18</v>
      </c>
      <c r="D79" s="150">
        <v>451.4</v>
      </c>
      <c r="E79" s="150">
        <v>14319.65</v>
      </c>
      <c r="F79" s="150">
        <v>49654</v>
      </c>
      <c r="G79" s="150">
        <v>35334.35</v>
      </c>
      <c r="H79" s="191">
        <f>G79/E79</f>
        <v>2.4675428519551805</v>
      </c>
    </row>
    <row r="80" spans="1:10" ht="16.5">
      <c r="A80" s="149" t="s">
        <v>222</v>
      </c>
      <c r="B80" s="150">
        <v>54</v>
      </c>
      <c r="C80" s="150">
        <v>896.15</v>
      </c>
      <c r="D80" s="150">
        <v>922.85</v>
      </c>
      <c r="E80" s="150">
        <v>48392.1</v>
      </c>
      <c r="F80" s="150">
        <v>49833.9</v>
      </c>
      <c r="G80" s="150">
        <v>1441.8</v>
      </c>
      <c r="H80" s="191">
        <f>G80/E80</f>
        <v>2.9794119288065614E-2</v>
      </c>
      <c r="J80" s="188"/>
    </row>
    <row r="81" spans="1:10" ht="16.5">
      <c r="A81" s="149"/>
      <c r="B81" s="150"/>
      <c r="C81" s="150"/>
      <c r="D81" s="150"/>
      <c r="E81" s="150"/>
      <c r="F81" s="150"/>
      <c r="G81" s="150"/>
      <c r="H81" s="191"/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7.25">
      <c r="A104" s="44" t="s">
        <v>11</v>
      </c>
      <c r="B104" s="45">
        <f>SUM(B2:B103)</f>
        <v>18732</v>
      </c>
      <c r="C104" s="45"/>
      <c r="D104" s="45"/>
      <c r="E104" s="45">
        <f>SUM(E2:E103)</f>
        <v>4069210.95</v>
      </c>
      <c r="F104" s="45">
        <f>SUM(F2:F103)</f>
        <v>7287025.4800000004</v>
      </c>
      <c r="G104" s="45">
        <f>SUM(G2:G103)</f>
        <v>3196964.53</v>
      </c>
      <c r="H104" s="176">
        <f>G104/E104</f>
        <v>0.78564728378114668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245B-BC7C-4F12-9540-296ACCF1E21A}">
  <dimension ref="A1:J22"/>
  <sheetViews>
    <sheetView workbookViewId="0">
      <pane xSplit="2" ySplit="1" topLeftCell="C13" activePane="bottomRight" state="frozen"/>
      <selection pane="bottomRight" activeCell="I21" sqref="I21"/>
      <selection pane="bottomLeft"/>
      <selection pane="topRight"/>
    </sheetView>
  </sheetViews>
  <sheetFormatPr defaultColWidth="8.7109375" defaultRowHeight="15.7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8.5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85853.914000000004</v>
      </c>
      <c r="D2">
        <v>11.45</v>
      </c>
      <c r="E2">
        <v>8.7364999999999995</v>
      </c>
      <c r="F2" s="188">
        <v>750062.49380000005</v>
      </c>
      <c r="G2" s="188">
        <v>983027.31530000002</v>
      </c>
      <c r="H2" s="188">
        <v>232964.82149999999</v>
      </c>
      <c r="I2" s="192">
        <f>H2/F2</f>
        <v>0.31059388174409736</v>
      </c>
    </row>
    <row r="3" spans="1:9">
      <c r="A3" s="168" t="s">
        <v>234</v>
      </c>
      <c r="B3" s="210" t="s">
        <v>235</v>
      </c>
      <c r="C3" s="188">
        <v>4080.9659999999999</v>
      </c>
      <c r="D3">
        <v>133.22</v>
      </c>
      <c r="E3">
        <v>68.607799999999997</v>
      </c>
      <c r="F3" s="188">
        <v>279986.10960000003</v>
      </c>
      <c r="G3" s="188">
        <v>543666.2905</v>
      </c>
      <c r="H3" s="188">
        <v>263680.18099999998</v>
      </c>
      <c r="I3" s="192">
        <f t="shared" ref="I3:I22" si="0">H3/F3</f>
        <v>0.94176165159301872</v>
      </c>
    </row>
    <row r="4" spans="1:9">
      <c r="A4" s="168" t="s">
        <v>236</v>
      </c>
      <c r="B4" s="210" t="s">
        <v>237</v>
      </c>
      <c r="C4" s="188">
        <v>14235.332</v>
      </c>
      <c r="D4">
        <v>118.52</v>
      </c>
      <c r="E4">
        <v>47.766100000000002</v>
      </c>
      <c r="F4" s="188">
        <v>679966.92570000002</v>
      </c>
      <c r="G4" s="188">
        <v>1687171.5486000001</v>
      </c>
      <c r="H4" s="188">
        <v>1007204.623</v>
      </c>
      <c r="I4" s="192">
        <f t="shared" si="0"/>
        <v>1.481255315415704</v>
      </c>
    </row>
    <row r="5" spans="1:9">
      <c r="A5" s="168" t="s">
        <v>238</v>
      </c>
      <c r="B5" s="210" t="s">
        <v>237</v>
      </c>
      <c r="C5" s="188">
        <v>30844.641</v>
      </c>
      <c r="D5">
        <v>41.49</v>
      </c>
      <c r="E5">
        <v>33.229399999999998</v>
      </c>
      <c r="F5" s="188">
        <v>1024948.7568</v>
      </c>
      <c r="G5" s="188">
        <v>1279744.1551000001</v>
      </c>
      <c r="H5" s="188">
        <v>254795.3983</v>
      </c>
      <c r="I5" s="192">
        <f t="shared" si="0"/>
        <v>0.24859330440625987</v>
      </c>
    </row>
    <row r="6" spans="1:9">
      <c r="A6" s="168" t="s">
        <v>239</v>
      </c>
      <c r="B6" s="210" t="s">
        <v>233</v>
      </c>
      <c r="C6" s="188">
        <v>16645.964</v>
      </c>
      <c r="D6">
        <v>32.088000000000001</v>
      </c>
      <c r="E6">
        <v>28.834499999999998</v>
      </c>
      <c r="F6" s="188">
        <v>479978.07740000001</v>
      </c>
      <c r="G6" s="188">
        <v>534135.69279999996</v>
      </c>
      <c r="H6" s="188">
        <v>54157.615400000002</v>
      </c>
      <c r="I6" s="192">
        <f t="shared" si="0"/>
        <v>0.1128335187585382</v>
      </c>
    </row>
    <row r="7" spans="1:9">
      <c r="A7" s="168" t="s">
        <v>240</v>
      </c>
      <c r="B7" s="210" t="s">
        <v>241</v>
      </c>
      <c r="C7" s="188">
        <v>1057.3219999999999</v>
      </c>
      <c r="D7">
        <v>773.16369999999995</v>
      </c>
      <c r="E7">
        <v>390.47910000000002</v>
      </c>
      <c r="F7" s="188">
        <v>412862.14630000002</v>
      </c>
      <c r="G7" s="188">
        <v>817482.98959999997</v>
      </c>
      <c r="H7" s="188">
        <v>404620.84330000001</v>
      </c>
      <c r="I7" s="192">
        <f t="shared" si="0"/>
        <v>0.98003860834940393</v>
      </c>
    </row>
    <row r="8" spans="1:9">
      <c r="A8" s="168" t="s">
        <v>242</v>
      </c>
      <c r="B8" s="210" t="s">
        <v>237</v>
      </c>
      <c r="C8" s="188">
        <v>4306.576</v>
      </c>
      <c r="D8">
        <v>153.001</v>
      </c>
      <c r="E8">
        <v>44.3917</v>
      </c>
      <c r="F8" s="188">
        <v>191176.2298</v>
      </c>
      <c r="G8" s="188">
        <v>658910.43460000004</v>
      </c>
      <c r="H8" s="188">
        <v>467734.20480000001</v>
      </c>
      <c r="I8" s="192">
        <f t="shared" si="0"/>
        <v>2.4466127681737553</v>
      </c>
    </row>
    <row r="9" spans="1:9">
      <c r="A9" s="168" t="s">
        <v>243</v>
      </c>
      <c r="B9" s="210" t="s">
        <v>235</v>
      </c>
      <c r="C9" s="188">
        <v>6304.4930000000004</v>
      </c>
      <c r="D9">
        <v>159.422</v>
      </c>
      <c r="E9">
        <v>51.311199999999999</v>
      </c>
      <c r="F9" s="188">
        <v>323491.23479999998</v>
      </c>
      <c r="G9" s="188">
        <v>1005074.883</v>
      </c>
      <c r="H9" s="188">
        <v>681583.64820000005</v>
      </c>
      <c r="I9" s="192">
        <f t="shared" si="0"/>
        <v>2.1069617191371273</v>
      </c>
    </row>
    <row r="10" spans="1:9">
      <c r="A10" s="168" t="s">
        <v>244</v>
      </c>
      <c r="B10" s="210" t="s">
        <v>233</v>
      </c>
      <c r="C10" s="188">
        <v>13136.35</v>
      </c>
      <c r="D10">
        <v>47.540199999999999</v>
      </c>
      <c r="E10">
        <v>29.687100000000001</v>
      </c>
      <c r="F10" s="188">
        <v>389980.446</v>
      </c>
      <c r="G10" s="188">
        <v>624504.70629999996</v>
      </c>
      <c r="H10" s="188">
        <v>234524.26029999999</v>
      </c>
      <c r="I10" s="192">
        <f t="shared" si="0"/>
        <v>0.60137440916717144</v>
      </c>
    </row>
    <row r="11" spans="1:9">
      <c r="A11" s="168" t="s">
        <v>245</v>
      </c>
      <c r="B11" s="210" t="s">
        <v>233</v>
      </c>
      <c r="C11" s="188">
        <v>82131.043999999994</v>
      </c>
      <c r="D11">
        <v>20.2455</v>
      </c>
      <c r="E11">
        <v>9.9227000000000007</v>
      </c>
      <c r="F11" s="188">
        <v>814959.2439</v>
      </c>
      <c r="G11" s="188">
        <v>1662784.0512999999</v>
      </c>
      <c r="H11" s="188">
        <v>847824.80740000005</v>
      </c>
      <c r="I11" s="192">
        <f t="shared" si="0"/>
        <v>1.0403278614801905</v>
      </c>
    </row>
    <row r="12" spans="1:9">
      <c r="A12" s="168" t="s">
        <v>246</v>
      </c>
      <c r="B12" s="210" t="s">
        <v>241</v>
      </c>
      <c r="C12" s="188">
        <v>84098.658500000005</v>
      </c>
      <c r="D12">
        <v>16.510100000000001</v>
      </c>
      <c r="E12">
        <v>13.2042</v>
      </c>
      <c r="F12" s="188">
        <v>1110455.0220000001</v>
      </c>
      <c r="G12" s="188">
        <v>1388477.2616999999</v>
      </c>
      <c r="H12" s="188">
        <v>278022.23969999998</v>
      </c>
      <c r="I12" s="192">
        <f t="shared" si="0"/>
        <v>0.25036785298990699</v>
      </c>
    </row>
    <row r="13" spans="1:9">
      <c r="A13" s="168" t="s">
        <v>247</v>
      </c>
      <c r="B13" s="210" t="s">
        <v>241</v>
      </c>
      <c r="C13" s="188">
        <v>46779.584000000003</v>
      </c>
      <c r="D13">
        <v>16.561399999999999</v>
      </c>
      <c r="E13">
        <v>14.1187</v>
      </c>
      <c r="F13" s="188">
        <v>660466.97759999998</v>
      </c>
      <c r="G13" s="188">
        <v>774735.40249999997</v>
      </c>
      <c r="H13" s="188">
        <v>114268.42479999999</v>
      </c>
      <c r="I13" s="192">
        <f t="shared" si="0"/>
        <v>0.17301156405310036</v>
      </c>
    </row>
    <row r="14" spans="1:9">
      <c r="A14" s="168" t="s">
        <v>248</v>
      </c>
      <c r="B14" s="210" t="s">
        <v>249</v>
      </c>
      <c r="C14" s="188">
        <v>47411.601999999999</v>
      </c>
      <c r="D14">
        <v>8.3483000000000001</v>
      </c>
      <c r="E14">
        <v>9.5122</v>
      </c>
      <c r="F14" s="188">
        <v>450987.86700000003</v>
      </c>
      <c r="G14" s="188">
        <v>395806.277</v>
      </c>
      <c r="H14" s="188">
        <v>-55181.59</v>
      </c>
      <c r="I14" s="192">
        <f t="shared" si="0"/>
        <v>-0.12235714979888804</v>
      </c>
    </row>
    <row r="15" spans="1:9">
      <c r="A15" s="168" t="s">
        <v>250</v>
      </c>
      <c r="B15" s="210" t="s">
        <v>251</v>
      </c>
      <c r="C15" s="188">
        <v>19397.659</v>
      </c>
      <c r="D15">
        <v>91.954400000000007</v>
      </c>
      <c r="E15">
        <v>44.640599999999999</v>
      </c>
      <c r="F15" s="188">
        <v>865923.00470000005</v>
      </c>
      <c r="G15" s="188">
        <v>1783700.0947</v>
      </c>
      <c r="H15" s="188">
        <v>917777.09010000003</v>
      </c>
      <c r="I15" s="192">
        <f t="shared" si="0"/>
        <v>1.0598830209135799</v>
      </c>
    </row>
    <row r="16" spans="1:9">
      <c r="A16" s="168" t="s">
        <v>252</v>
      </c>
      <c r="B16" s="210" t="s">
        <v>233</v>
      </c>
      <c r="C16" s="188">
        <v>6809.741</v>
      </c>
      <c r="D16">
        <v>50.68</v>
      </c>
      <c r="E16">
        <v>35.241999999999997</v>
      </c>
      <c r="F16" s="188">
        <v>239988.8371</v>
      </c>
      <c r="G16" s="188">
        <v>345117.67389999999</v>
      </c>
      <c r="H16" s="188">
        <v>105128.8368</v>
      </c>
      <c r="I16" s="192">
        <f t="shared" si="0"/>
        <v>0.43805719495275641</v>
      </c>
    </row>
    <row r="17" spans="1:10">
      <c r="A17" s="168" t="s">
        <v>253</v>
      </c>
      <c r="B17" s="210" t="s">
        <v>235</v>
      </c>
      <c r="C17" s="188">
        <v>5481.1360000000004</v>
      </c>
      <c r="D17">
        <v>221.21080000000001</v>
      </c>
      <c r="E17">
        <v>200.74350000000001</v>
      </c>
      <c r="F17" s="188">
        <v>1100302.2501999999</v>
      </c>
      <c r="G17" s="188">
        <v>1212486.4794999999</v>
      </c>
      <c r="H17" s="188">
        <v>112184.2292</v>
      </c>
      <c r="I17" s="192">
        <f t="shared" si="0"/>
        <v>0.10195764770962568</v>
      </c>
    </row>
    <row r="18" spans="1:10">
      <c r="A18" s="168" t="s">
        <v>254</v>
      </c>
      <c r="B18" s="210" t="s">
        <v>237</v>
      </c>
      <c r="C18" s="188">
        <v>1361.7270000000001</v>
      </c>
      <c r="D18">
        <v>258.43450000000001</v>
      </c>
      <c r="E18">
        <v>268.02870000000001</v>
      </c>
      <c r="F18" s="188">
        <v>364981.90759999998</v>
      </c>
      <c r="G18" s="188">
        <v>351917.23639999999</v>
      </c>
      <c r="H18" s="188">
        <v>-13064.671200000001</v>
      </c>
      <c r="I18" s="192">
        <f t="shared" si="0"/>
        <v>-3.5795394039964741E-2</v>
      </c>
    </row>
    <row r="19" spans="1:10">
      <c r="A19" s="168" t="s">
        <v>255</v>
      </c>
      <c r="B19" s="210" t="s">
        <v>241</v>
      </c>
      <c r="C19" s="188">
        <v>18996.168000000001</v>
      </c>
      <c r="D19">
        <v>25.7835</v>
      </c>
      <c r="E19">
        <v>9.4700000000000006</v>
      </c>
      <c r="F19" s="188">
        <v>179893.71100000001</v>
      </c>
      <c r="G19" s="188">
        <v>489787.69760000001</v>
      </c>
      <c r="H19" s="188">
        <v>309893.98670000001</v>
      </c>
      <c r="I19" s="192">
        <f t="shared" si="0"/>
        <v>1.7226504749796394</v>
      </c>
    </row>
    <row r="20" spans="1:10">
      <c r="A20" s="168"/>
      <c r="B20" s="210"/>
      <c r="C20" s="188"/>
      <c r="D20"/>
      <c r="E20"/>
      <c r="F20" s="188"/>
      <c r="G20" s="188"/>
      <c r="H20" s="188"/>
      <c r="I20" s="192"/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488932.8775</v>
      </c>
      <c r="D22" s="75"/>
      <c r="E22" s="75"/>
      <c r="F22" s="75">
        <f t="shared" ref="F22:H22" si="1">SUM(F2:F21)</f>
        <v>10320411.241299998</v>
      </c>
      <c r="G22" s="75">
        <f t="shared" si="1"/>
        <v>16538530.190400003</v>
      </c>
      <c r="H22" s="75">
        <f t="shared" si="1"/>
        <v>6218118.9493000004</v>
      </c>
      <c r="I22" s="53">
        <f t="shared" si="0"/>
        <v>0.60250689666478274</v>
      </c>
      <c r="J22" s="202"/>
    </row>
  </sheetData>
  <hyperlinks>
    <hyperlink ref="A2" r:id="rId1" location="/mf/1831632/41287/NULL" xr:uid="{A53A17B7-2C6D-47C6-8DE7-0B8C77E6CED0}"/>
    <hyperlink ref="A3" r:id="rId2" location="/mf/1831632/15690/NULL" xr:uid="{FD9F7BA9-73E6-4812-8ECA-C526C645802D}"/>
    <hyperlink ref="A4" r:id="rId3" location="/mf/1831632/22335/NULL" xr:uid="{8FEE8798-B627-4A63-97F0-E8A47806C1D7}"/>
    <hyperlink ref="A5" r:id="rId4" location="/mf/1831632/38817/NULL" xr:uid="{1708F1FA-9F8A-401E-926A-DB5FC2EF31FC}"/>
    <hyperlink ref="A6" r:id="rId5" location="/mf/1831632/40665/NULL" xr:uid="{72BA9694-9232-4E6D-8CDB-EB84308434F4}"/>
    <hyperlink ref="A7" r:id="rId6" location="/mf/1831632/16071/NULL" xr:uid="{314ED7C3-69FB-4731-9749-2C9DEA1B0CE4}"/>
    <hyperlink ref="A8" r:id="rId7" location="/mf/1831632/16617/NULL" xr:uid="{0C224066-7163-48ED-A9AC-CA05B9A3014C}"/>
    <hyperlink ref="A9" r:id="rId8" location="/mf/1831632/17134/NULL" xr:uid="{F76EE3C8-2DAD-4E16-A2AE-172A54982EB6}"/>
    <hyperlink ref="A10" r:id="rId9" location="/mf/1831632/38228/NULL" xr:uid="{4B9F5276-88E2-418F-8DDE-57C656BDDB6E}"/>
    <hyperlink ref="A11" r:id="rId10" location="/mf/1831632/42135/NULL" xr:uid="{4CA88FA4-FDD1-4C1D-B4FD-4E4E9B443B45}"/>
    <hyperlink ref="A12" r:id="rId11" location="/mf/1831632/41574/NULL" xr:uid="{7DEEDC38-ED38-4BDD-9516-128705860D85}"/>
    <hyperlink ref="A13" r:id="rId12" location="/mf/1831632/41937/NULL" xr:uid="{D1231717-00CB-4B85-979A-5F9EFCE2D009}"/>
    <hyperlink ref="A14" r:id="rId13" location="/mf/1831632/44110/NULL" xr:uid="{92512781-37FD-4B4C-A9CA-83773F0D7BB5}"/>
    <hyperlink ref="A15" r:id="rId14" location="/mf/1831632/19701/NULL" xr:uid="{ABD230CF-9FE6-42D3-8CE6-FAFE68C65D9B}"/>
    <hyperlink ref="A16" r:id="rId15" location="/mf/1831632/17348/NULL" xr:uid="{6BF1E280-29A4-47C0-949B-881CD7BDFED5}"/>
    <hyperlink ref="A17" r:id="rId16" location="/mf/1831632/17375/NULL" xr:uid="{CE81A0F3-706C-4B6D-A639-1BAD3F1A9E99}"/>
    <hyperlink ref="A18" r:id="rId17" location="/mf/1831632/17366/NULL" xr:uid="{99FEF8B9-AFA4-4CB0-B131-5D4581B08928}"/>
    <hyperlink ref="A19" r:id="rId18" location="/mf/1831632/36491/NULL" xr:uid="{8C477565-458E-4239-A832-BD08D64CEC5D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D2D6-D2F7-46A6-8591-4FB4612E5D0A}">
  <dimension ref="A1:J104"/>
  <sheetViews>
    <sheetView workbookViewId="0">
      <pane xSplit="1" ySplit="1" topLeftCell="B61" activePane="bottomRight" state="frozen"/>
      <selection pane="bottomRight" activeCell="F32" sqref="F32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6.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6.5">
      <c r="A2" s="149" t="s">
        <v>258</v>
      </c>
      <c r="B2" s="150">
        <v>100</v>
      </c>
      <c r="C2" s="150">
        <v>109.73</v>
      </c>
      <c r="D2" s="150">
        <v>97.1</v>
      </c>
      <c r="E2" s="150">
        <v>10972.5</v>
      </c>
      <c r="F2" s="150">
        <v>9710</v>
      </c>
      <c r="G2" s="150">
        <v>-1262.5</v>
      </c>
      <c r="H2" s="191">
        <f>G2/E2</f>
        <v>-0.11506037821827296</v>
      </c>
    </row>
    <row r="3" spans="1:10" ht="16.5">
      <c r="A3" s="149" t="s">
        <v>259</v>
      </c>
      <c r="B3" s="150">
        <v>13</v>
      </c>
      <c r="C3" s="150">
        <v>133.75</v>
      </c>
      <c r="D3" s="150">
        <v>1564.1</v>
      </c>
      <c r="E3" s="150">
        <v>1738.75</v>
      </c>
      <c r="F3" s="150">
        <v>20333.3</v>
      </c>
      <c r="G3" s="150">
        <v>18594.55</v>
      </c>
      <c r="H3" s="191">
        <f>G3/E3</f>
        <v>10.694205607476635</v>
      </c>
    </row>
    <row r="4" spans="1:10" ht="16.5">
      <c r="A4" s="149" t="s">
        <v>144</v>
      </c>
      <c r="B4" s="150">
        <v>19</v>
      </c>
      <c r="C4" s="150">
        <v>489.54</v>
      </c>
      <c r="D4" s="150">
        <v>2783.95</v>
      </c>
      <c r="E4" s="150">
        <v>9301.2000000000007</v>
      </c>
      <c r="F4" s="150">
        <v>52895.05</v>
      </c>
      <c r="G4" s="150">
        <v>43593.85</v>
      </c>
      <c r="H4" s="191">
        <f>G4/E4</f>
        <v>4.6869059906248651</v>
      </c>
    </row>
    <row r="5" spans="1:10" ht="16.5">
      <c r="A5" s="149" t="s">
        <v>145</v>
      </c>
      <c r="B5" s="150">
        <v>250</v>
      </c>
      <c r="C5" s="150">
        <v>183.59</v>
      </c>
      <c r="D5" s="150">
        <v>492.15</v>
      </c>
      <c r="E5" s="150">
        <v>45897.5</v>
      </c>
      <c r="F5" s="150">
        <v>123037.5</v>
      </c>
      <c r="G5" s="150">
        <v>77140</v>
      </c>
      <c r="H5" s="191">
        <f>G5/E5</f>
        <v>1.6807015632659732</v>
      </c>
      <c r="J5" s="188"/>
    </row>
    <row r="6" spans="1:10" ht="16.5">
      <c r="A6" s="149" t="s">
        <v>146</v>
      </c>
      <c r="B6" s="150">
        <v>62</v>
      </c>
      <c r="C6" s="150">
        <v>708.24</v>
      </c>
      <c r="D6" s="150">
        <v>1370.4</v>
      </c>
      <c r="E6" s="150">
        <v>43910.6</v>
      </c>
      <c r="F6" s="150">
        <v>84964.800000000003</v>
      </c>
      <c r="G6" s="150">
        <v>41054.199999999997</v>
      </c>
      <c r="H6" s="191">
        <f>G6/E6</f>
        <v>0.9349496476932676</v>
      </c>
    </row>
    <row r="7" spans="1:10" ht="16.5">
      <c r="A7" s="149" t="s">
        <v>147</v>
      </c>
      <c r="B7" s="150">
        <v>19</v>
      </c>
      <c r="C7" s="150">
        <v>3076.33</v>
      </c>
      <c r="D7" s="150">
        <v>9597.5</v>
      </c>
      <c r="E7" s="150">
        <v>58450.25</v>
      </c>
      <c r="F7" s="150">
        <v>182352.5</v>
      </c>
      <c r="G7" s="150">
        <v>123902.25</v>
      </c>
      <c r="H7" s="191">
        <f>G7/E7</f>
        <v>2.119789906801083</v>
      </c>
    </row>
    <row r="8" spans="1:10" ht="16.5">
      <c r="A8" s="149" t="s">
        <v>148</v>
      </c>
      <c r="B8" s="150">
        <v>80</v>
      </c>
      <c r="C8" s="150">
        <v>673.1</v>
      </c>
      <c r="D8" s="150">
        <v>930.55</v>
      </c>
      <c r="E8" s="150">
        <v>53848.35</v>
      </c>
      <c r="F8" s="150">
        <v>74444</v>
      </c>
      <c r="G8" s="150">
        <v>20595.650000000001</v>
      </c>
      <c r="H8" s="191">
        <f>G8/E8</f>
        <v>0.38247504333930382</v>
      </c>
    </row>
    <row r="9" spans="1:10" ht="16.5">
      <c r="A9" s="149" t="s">
        <v>149</v>
      </c>
      <c r="B9" s="150">
        <v>15</v>
      </c>
      <c r="C9" s="150">
        <v>2427.4699999999998</v>
      </c>
      <c r="D9" s="150">
        <v>2305.85</v>
      </c>
      <c r="E9" s="150">
        <v>36412</v>
      </c>
      <c r="F9" s="150">
        <v>34587.75</v>
      </c>
      <c r="G9" s="150">
        <v>-1824.25</v>
      </c>
      <c r="H9" s="191">
        <f>G9/E9</f>
        <v>-5.0100241678567504E-2</v>
      </c>
      <c r="J9" s="188"/>
    </row>
    <row r="10" spans="1:10" ht="16.5">
      <c r="A10" s="149" t="s">
        <v>150</v>
      </c>
      <c r="B10" s="150">
        <v>184</v>
      </c>
      <c r="C10" s="150">
        <v>188.19</v>
      </c>
      <c r="D10" s="150">
        <v>299.39999999999998</v>
      </c>
      <c r="E10" s="150">
        <v>34627.15</v>
      </c>
      <c r="F10" s="150">
        <v>55089.599999999999</v>
      </c>
      <c r="G10" s="150">
        <v>20462.45</v>
      </c>
      <c r="H10" s="191">
        <f>G10/E10</f>
        <v>0.59093659166290036</v>
      </c>
    </row>
    <row r="11" spans="1:10" ht="16.5">
      <c r="A11" s="149" t="s">
        <v>151</v>
      </c>
      <c r="B11" s="150">
        <v>8500</v>
      </c>
      <c r="C11" s="150">
        <v>50.47</v>
      </c>
      <c r="D11" s="150">
        <v>61.08</v>
      </c>
      <c r="E11" s="150">
        <v>429035.72</v>
      </c>
      <c r="F11" s="150">
        <v>519180</v>
      </c>
      <c r="G11" s="150">
        <v>90144.28</v>
      </c>
      <c r="H11" s="191">
        <f>G11/E11</f>
        <v>0.21010903241343171</v>
      </c>
      <c r="J11" s="188"/>
    </row>
    <row r="12" spans="1:10" ht="16.5">
      <c r="A12" s="149" t="s">
        <v>152</v>
      </c>
      <c r="B12" s="150">
        <v>180</v>
      </c>
      <c r="C12" s="150">
        <v>322.89</v>
      </c>
      <c r="D12" s="150">
        <v>1968.7</v>
      </c>
      <c r="E12" s="150">
        <v>58120</v>
      </c>
      <c r="F12" s="150">
        <v>354366</v>
      </c>
      <c r="G12" s="150">
        <v>296246</v>
      </c>
      <c r="H12" s="191">
        <f>G12/E12</f>
        <v>5.0971438403303511</v>
      </c>
      <c r="J12" s="188"/>
    </row>
    <row r="13" spans="1:10" ht="16.5">
      <c r="A13" s="149" t="s">
        <v>153</v>
      </c>
      <c r="B13" s="150">
        <v>40</v>
      </c>
      <c r="C13" s="150">
        <v>446.04</v>
      </c>
      <c r="D13" s="150">
        <v>752.25</v>
      </c>
      <c r="E13" s="150">
        <v>17841.599999999999</v>
      </c>
      <c r="F13" s="150">
        <v>30090</v>
      </c>
      <c r="G13" s="150">
        <v>12248.4</v>
      </c>
      <c r="H13" s="191">
        <f>G13/E13</f>
        <v>0.68650793650793651</v>
      </c>
      <c r="J13" s="188"/>
    </row>
    <row r="14" spans="1:10" ht="16.5">
      <c r="A14" s="149" t="s">
        <v>154</v>
      </c>
      <c r="B14" s="150">
        <v>14</v>
      </c>
      <c r="C14" s="150">
        <v>3489.94</v>
      </c>
      <c r="D14" s="150">
        <v>5860.5</v>
      </c>
      <c r="E14" s="150">
        <v>48859.1</v>
      </c>
      <c r="F14" s="150">
        <v>82047</v>
      </c>
      <c r="G14" s="150">
        <v>33187.9</v>
      </c>
      <c r="H14" s="191">
        <f>G14/E14</f>
        <v>0.67925729290961157</v>
      </c>
    </row>
    <row r="15" spans="1:10" ht="16.5">
      <c r="A15" s="149" t="s">
        <v>155</v>
      </c>
      <c r="B15" s="150">
        <v>180</v>
      </c>
      <c r="C15" s="150">
        <v>155.25</v>
      </c>
      <c r="D15" s="150">
        <v>184.15</v>
      </c>
      <c r="E15" s="150">
        <v>27945</v>
      </c>
      <c r="F15" s="150">
        <v>33147</v>
      </c>
      <c r="G15" s="150">
        <v>5202</v>
      </c>
      <c r="H15" s="191">
        <v>0</v>
      </c>
      <c r="J15" s="188"/>
    </row>
    <row r="16" spans="1:10" ht="16.5">
      <c r="A16" s="149" t="s">
        <v>156</v>
      </c>
      <c r="B16" s="150">
        <v>88</v>
      </c>
      <c r="C16" s="150">
        <v>373.58</v>
      </c>
      <c r="D16" s="150">
        <v>418.2</v>
      </c>
      <c r="E16" s="150">
        <v>32874.85</v>
      </c>
      <c r="F16" s="150">
        <v>36801.599999999999</v>
      </c>
      <c r="G16" s="150">
        <v>3926.75</v>
      </c>
      <c r="H16" s="191">
        <f>G16/E16</f>
        <v>0.11944541191822929</v>
      </c>
      <c r="J16" s="188"/>
    </row>
    <row r="17" spans="1:10" ht="16.5">
      <c r="A17" s="149" t="s">
        <v>157</v>
      </c>
      <c r="B17" s="150">
        <v>45</v>
      </c>
      <c r="C17" s="150">
        <v>990.66</v>
      </c>
      <c r="D17" s="150">
        <v>1324</v>
      </c>
      <c r="E17" s="150">
        <v>44579.85</v>
      </c>
      <c r="F17" s="150">
        <v>59580</v>
      </c>
      <c r="G17" s="150">
        <v>15000.15</v>
      </c>
      <c r="H17" s="191">
        <f>G17/E17</f>
        <v>0.33647825194566605</v>
      </c>
      <c r="J17" s="188"/>
    </row>
    <row r="18" spans="1:10" ht="16.5">
      <c r="A18" s="149" t="s">
        <v>158</v>
      </c>
      <c r="B18" s="150">
        <v>470</v>
      </c>
      <c r="C18" s="150">
        <v>194.39</v>
      </c>
      <c r="D18" s="150">
        <v>440.75</v>
      </c>
      <c r="E18" s="150">
        <v>91363.5</v>
      </c>
      <c r="F18" s="150">
        <v>207152.5</v>
      </c>
      <c r="G18" s="150">
        <v>115789</v>
      </c>
      <c r="H18" s="191">
        <f>G18/E18</f>
        <v>1.2673441801156917</v>
      </c>
    </row>
    <row r="19" spans="1:10" ht="16.5">
      <c r="A19" s="149" t="s">
        <v>159</v>
      </c>
      <c r="B19" s="150">
        <v>65</v>
      </c>
      <c r="C19" s="150">
        <v>909.05</v>
      </c>
      <c r="D19" s="150">
        <v>1653.8</v>
      </c>
      <c r="E19" s="150">
        <v>59088.4</v>
      </c>
      <c r="F19" s="150">
        <v>107497</v>
      </c>
      <c r="G19" s="150">
        <v>48408.6</v>
      </c>
      <c r="H19" s="191">
        <f>G19/E19</f>
        <v>0.81925724846162695</v>
      </c>
    </row>
    <row r="20" spans="1:10" ht="16.5">
      <c r="A20" s="149" t="s">
        <v>160</v>
      </c>
      <c r="B20" s="150">
        <v>21</v>
      </c>
      <c r="C20" s="150">
        <v>1503.03</v>
      </c>
      <c r="D20" s="150">
        <v>2114.1999999999998</v>
      </c>
      <c r="E20" s="150">
        <v>31563.7</v>
      </c>
      <c r="F20" s="150">
        <v>44398.2</v>
      </c>
      <c r="G20" s="150">
        <v>12834.5</v>
      </c>
      <c r="H20" s="191">
        <f>G20/E20</f>
        <v>0.40662216406821761</v>
      </c>
    </row>
    <row r="21" spans="1:10" ht="16.5">
      <c r="A21" s="149" t="s">
        <v>161</v>
      </c>
      <c r="B21" s="150">
        <v>66</v>
      </c>
      <c r="C21" s="150">
        <v>557.49</v>
      </c>
      <c r="D21" s="150">
        <v>635.75</v>
      </c>
      <c r="E21" s="150">
        <v>36794.1</v>
      </c>
      <c r="F21" s="150">
        <v>41959.5</v>
      </c>
      <c r="G21" s="150">
        <v>5165.3999999999996</v>
      </c>
      <c r="H21" s="191">
        <f>G21/E21</f>
        <v>0.14038663807512616</v>
      </c>
      <c r="J21" s="188"/>
    </row>
    <row r="22" spans="1:10" ht="16.5">
      <c r="A22" s="149" t="s">
        <v>162</v>
      </c>
      <c r="B22" s="150">
        <v>12</v>
      </c>
      <c r="C22" s="150">
        <v>3474.64</v>
      </c>
      <c r="D22" s="150">
        <v>3689.5</v>
      </c>
      <c r="E22" s="150">
        <v>41695.699999999997</v>
      </c>
      <c r="F22" s="150">
        <v>44274</v>
      </c>
      <c r="G22" s="150">
        <v>2578.3000000000002</v>
      </c>
      <c r="H22" s="191">
        <f>G22/E22</f>
        <v>6.1836112596742598E-2</v>
      </c>
    </row>
    <row r="23" spans="1:10" ht="16.5">
      <c r="A23" s="149" t="s">
        <v>163</v>
      </c>
      <c r="B23" s="150">
        <v>60</v>
      </c>
      <c r="C23" s="150">
        <v>992.6</v>
      </c>
      <c r="D23" s="150">
        <v>1218.4000000000001</v>
      </c>
      <c r="E23" s="150">
        <v>59555.95</v>
      </c>
      <c r="F23" s="150">
        <v>73104</v>
      </c>
      <c r="G23" s="150">
        <v>13548.05</v>
      </c>
      <c r="H23" s="191">
        <f>G23/E23</f>
        <v>0.22748440751931587</v>
      </c>
      <c r="J23" s="188"/>
    </row>
    <row r="24" spans="1:10" ht="16.5">
      <c r="A24" s="149" t="s">
        <v>164</v>
      </c>
      <c r="B24" s="150">
        <v>7</v>
      </c>
      <c r="C24" s="150">
        <v>3506.83</v>
      </c>
      <c r="D24" s="150">
        <v>7122.5</v>
      </c>
      <c r="E24" s="150">
        <v>24547.8</v>
      </c>
      <c r="F24" s="150">
        <v>49857.5</v>
      </c>
      <c r="G24" s="150">
        <v>25309.7</v>
      </c>
      <c r="H24" s="191">
        <f>G24/E24</f>
        <v>1.0310374045739334</v>
      </c>
      <c r="J24" s="188"/>
    </row>
    <row r="25" spans="1:10" ht="16.5">
      <c r="A25" s="149" t="s">
        <v>165</v>
      </c>
      <c r="B25" s="150">
        <v>92</v>
      </c>
      <c r="C25" s="150">
        <v>359.33</v>
      </c>
      <c r="D25" s="150">
        <v>434.26</v>
      </c>
      <c r="E25" s="150">
        <v>33058.28</v>
      </c>
      <c r="F25" s="150">
        <v>39951.919999999998</v>
      </c>
      <c r="G25" s="150">
        <v>6893.64</v>
      </c>
      <c r="H25" s="191">
        <f>G25/E25</f>
        <v>0.2085299053671274</v>
      </c>
    </row>
    <row r="26" spans="1:10" ht="16.5">
      <c r="A26" s="149" t="s">
        <v>166</v>
      </c>
      <c r="B26" s="150">
        <v>24</v>
      </c>
      <c r="C26" s="150">
        <v>2007.86</v>
      </c>
      <c r="D26" s="150">
        <v>2427.9</v>
      </c>
      <c r="E26" s="150">
        <v>48188.7</v>
      </c>
      <c r="F26" s="150">
        <v>58269.599999999999</v>
      </c>
      <c r="G26" s="150">
        <v>10080.9</v>
      </c>
      <c r="H26" s="191">
        <f>G26/E26</f>
        <v>0.20919634686140112</v>
      </c>
    </row>
    <row r="27" spans="1:10" ht="16.5">
      <c r="A27" s="149" t="s">
        <v>167</v>
      </c>
      <c r="B27" s="150">
        <v>35</v>
      </c>
      <c r="C27" s="150">
        <v>234.44</v>
      </c>
      <c r="D27" s="150">
        <v>2491.3000000000002</v>
      </c>
      <c r="E27" s="150">
        <v>8205.5300000000007</v>
      </c>
      <c r="F27" s="150">
        <v>87195.5</v>
      </c>
      <c r="G27" s="150">
        <v>78989.97</v>
      </c>
      <c r="H27" s="191">
        <f>G27/E27</f>
        <v>9.626431199447202</v>
      </c>
      <c r="J27" s="188"/>
    </row>
    <row r="28" spans="1:10" ht="16.5">
      <c r="A28" s="149" t="s">
        <v>168</v>
      </c>
      <c r="B28" s="150">
        <v>42</v>
      </c>
      <c r="C28" s="150">
        <v>664.74</v>
      </c>
      <c r="D28" s="150">
        <v>1375.5</v>
      </c>
      <c r="E28" s="150">
        <v>27918.9</v>
      </c>
      <c r="F28" s="150">
        <v>57771</v>
      </c>
      <c r="G28" s="150">
        <v>29852.1</v>
      </c>
      <c r="H28" s="191">
        <f>G28/E28</f>
        <v>1.0692434157506205</v>
      </c>
      <c r="J28" s="188"/>
    </row>
    <row r="29" spans="1:10" ht="16.5">
      <c r="A29" s="149" t="s">
        <v>169</v>
      </c>
      <c r="B29" s="150">
        <v>230</v>
      </c>
      <c r="C29" s="150">
        <v>189.67</v>
      </c>
      <c r="D29" s="150">
        <v>321.60000000000002</v>
      </c>
      <c r="E29" s="150">
        <v>43625.2</v>
      </c>
      <c r="F29" s="150">
        <v>73968</v>
      </c>
      <c r="G29" s="150">
        <v>30342.799999999999</v>
      </c>
      <c r="H29" s="191">
        <f>G29/E29</f>
        <v>0.6955337740571963</v>
      </c>
      <c r="J29" s="188"/>
    </row>
    <row r="30" spans="1:10" ht="16.5">
      <c r="A30" s="149" t="s">
        <v>170</v>
      </c>
      <c r="B30" s="150">
        <v>351</v>
      </c>
      <c r="C30" s="150">
        <v>91.3</v>
      </c>
      <c r="D30" s="150">
        <v>288.45</v>
      </c>
      <c r="E30" s="150">
        <v>32046.16</v>
      </c>
      <c r="F30" s="150">
        <v>101245.95</v>
      </c>
      <c r="G30" s="150">
        <v>69199.789999999994</v>
      </c>
      <c r="H30" s="191">
        <f>G30/E30</f>
        <v>2.1593785339647558</v>
      </c>
    </row>
    <row r="31" spans="1:10" ht="16.5">
      <c r="A31" s="149" t="s">
        <v>172</v>
      </c>
      <c r="B31" s="150">
        <v>20</v>
      </c>
      <c r="C31" s="150">
        <v>1600.68</v>
      </c>
      <c r="D31" s="150">
        <v>1576.95</v>
      </c>
      <c r="E31" s="150">
        <v>32013.55</v>
      </c>
      <c r="F31" s="150">
        <v>31539</v>
      </c>
      <c r="G31" s="150">
        <v>-474.55</v>
      </c>
      <c r="H31" s="191">
        <f>G31/E31</f>
        <v>-1.4823410712026627E-2</v>
      </c>
      <c r="J31" s="188"/>
    </row>
    <row r="32" spans="1:10" ht="16.5">
      <c r="A32" s="149" t="s">
        <v>173</v>
      </c>
      <c r="B32" s="150">
        <v>1200</v>
      </c>
      <c r="C32" s="150">
        <v>81.55</v>
      </c>
      <c r="D32" s="150">
        <v>131.12</v>
      </c>
      <c r="E32" s="150">
        <v>97860.76</v>
      </c>
      <c r="F32" s="150">
        <v>157344</v>
      </c>
      <c r="G32" s="150">
        <v>59483.24</v>
      </c>
      <c r="H32" s="191">
        <f>G32/E32</f>
        <v>0.60783545927908189</v>
      </c>
      <c r="J32" s="188"/>
    </row>
    <row r="33" spans="1:10" ht="16.5">
      <c r="A33" s="149" t="s">
        <v>174</v>
      </c>
      <c r="B33" s="150">
        <v>74</v>
      </c>
      <c r="C33" s="150">
        <v>1149.02</v>
      </c>
      <c r="D33" s="150">
        <v>1695.6</v>
      </c>
      <c r="E33" s="150">
        <v>85027.5</v>
      </c>
      <c r="F33" s="150">
        <v>125474.4</v>
      </c>
      <c r="G33" s="150">
        <v>40446.9</v>
      </c>
      <c r="H33" s="191">
        <f>G33/E33</f>
        <v>0.47569198200582169</v>
      </c>
    </row>
    <row r="34" spans="1:10" ht="16.5">
      <c r="A34" s="149" t="s">
        <v>175</v>
      </c>
      <c r="B34" s="150">
        <v>94</v>
      </c>
      <c r="C34" s="150">
        <v>825.12</v>
      </c>
      <c r="D34" s="150">
        <v>929.35</v>
      </c>
      <c r="E34" s="150">
        <v>77561.5</v>
      </c>
      <c r="F34" s="150">
        <v>87358.9</v>
      </c>
      <c r="G34" s="150">
        <v>9797.4</v>
      </c>
      <c r="H34" s="191">
        <f>G34/E34</f>
        <v>0.12631782520967233</v>
      </c>
    </row>
    <row r="35" spans="1:10" ht="16.5">
      <c r="A35" s="149" t="s">
        <v>176</v>
      </c>
      <c r="B35" s="150">
        <v>136</v>
      </c>
      <c r="C35" s="150">
        <v>596.66999999999996</v>
      </c>
      <c r="D35" s="150">
        <v>731</v>
      </c>
      <c r="E35" s="150">
        <v>81147.75</v>
      </c>
      <c r="F35" s="150">
        <v>99416</v>
      </c>
      <c r="G35" s="150">
        <v>18268.25</v>
      </c>
      <c r="H35" s="191">
        <f>G35/E35</f>
        <v>0.22512330902582017</v>
      </c>
    </row>
    <row r="36" spans="1:10" ht="16.5">
      <c r="A36" s="149" t="s">
        <v>177</v>
      </c>
      <c r="B36" s="150">
        <v>10</v>
      </c>
      <c r="C36" s="150">
        <v>3016.79</v>
      </c>
      <c r="D36" s="150">
        <v>5534.95</v>
      </c>
      <c r="E36" s="150">
        <v>30167.85</v>
      </c>
      <c r="F36" s="150">
        <v>55349.5</v>
      </c>
      <c r="G36" s="150">
        <v>25181.65</v>
      </c>
      <c r="H36" s="191">
        <f>G36/E36</f>
        <v>0.8347180856441544</v>
      </c>
      <c r="J36" s="188"/>
    </row>
    <row r="37" spans="1:10" ht="16.5">
      <c r="A37" s="149" t="s">
        <v>178</v>
      </c>
      <c r="B37" s="150">
        <v>59</v>
      </c>
      <c r="C37" s="150">
        <v>656.47</v>
      </c>
      <c r="D37" s="150">
        <v>1355.05</v>
      </c>
      <c r="E37" s="150">
        <v>38731.699999999997</v>
      </c>
      <c r="F37" s="150">
        <v>79947.95</v>
      </c>
      <c r="G37" s="150">
        <v>41216.25</v>
      </c>
      <c r="H37" s="191">
        <f>G37/E37</f>
        <v>1.0641477136299209</v>
      </c>
    </row>
    <row r="38" spans="1:10" ht="16.5">
      <c r="A38" s="149" t="s">
        <v>179</v>
      </c>
      <c r="B38" s="150">
        <v>54</v>
      </c>
      <c r="C38" s="150">
        <v>1308.5899999999999</v>
      </c>
      <c r="D38" s="150">
        <v>1819.95</v>
      </c>
      <c r="E38" s="150">
        <v>70664.100000000006</v>
      </c>
      <c r="F38" s="150">
        <v>98277.3</v>
      </c>
      <c r="G38" s="150">
        <v>27613.200000000001</v>
      </c>
      <c r="H38" s="191">
        <f>G38/E38</f>
        <v>0.39076702314187822</v>
      </c>
      <c r="J38" s="188"/>
    </row>
    <row r="39" spans="1:10" ht="16.5">
      <c r="A39" s="149" t="s">
        <v>180</v>
      </c>
      <c r="B39" s="150">
        <v>118</v>
      </c>
      <c r="C39" s="150">
        <v>492.05</v>
      </c>
      <c r="D39" s="150">
        <v>637.65</v>
      </c>
      <c r="E39" s="150">
        <v>58062.35</v>
      </c>
      <c r="F39" s="150">
        <v>75242.7</v>
      </c>
      <c r="G39" s="150">
        <v>17180.349999999999</v>
      </c>
      <c r="H39" s="191">
        <f>G39/E39</f>
        <v>0.29589484407709987</v>
      </c>
      <c r="J39" s="188"/>
    </row>
    <row r="40" spans="1:10" ht="16.5">
      <c r="A40" s="149" t="s">
        <v>181</v>
      </c>
      <c r="B40" s="150">
        <v>65</v>
      </c>
      <c r="C40" s="150">
        <v>1576.72</v>
      </c>
      <c r="D40" s="150">
        <v>1641</v>
      </c>
      <c r="E40" s="150">
        <v>102486.6</v>
      </c>
      <c r="F40" s="150">
        <v>106665</v>
      </c>
      <c r="G40" s="150">
        <v>4178.3999999999996</v>
      </c>
      <c r="H40" s="191">
        <f>G40/E40</f>
        <v>4.0770208007680997E-2</v>
      </c>
    </row>
    <row r="41" spans="1:10" ht="16.5">
      <c r="A41" s="149" t="s">
        <v>182</v>
      </c>
      <c r="B41" s="150">
        <v>788</v>
      </c>
      <c r="C41" s="150">
        <v>206.55</v>
      </c>
      <c r="D41" s="150">
        <v>322.2</v>
      </c>
      <c r="E41" s="150">
        <v>162761.06</v>
      </c>
      <c r="F41" s="150">
        <v>253893.6</v>
      </c>
      <c r="G41" s="150">
        <v>91132.54</v>
      </c>
      <c r="H41" s="191">
        <f>G41/E41</f>
        <v>0.55991611261317664</v>
      </c>
      <c r="J41" s="188"/>
    </row>
    <row r="42" spans="1:10" ht="16.5">
      <c r="A42" s="149" t="s">
        <v>183</v>
      </c>
      <c r="B42" s="150">
        <v>45</v>
      </c>
      <c r="C42" s="150">
        <v>1006.05</v>
      </c>
      <c r="D42" s="150">
        <v>1870.2</v>
      </c>
      <c r="E42" s="150">
        <v>45272.45</v>
      </c>
      <c r="F42" s="150">
        <v>84159</v>
      </c>
      <c r="G42" s="150">
        <v>38886.550000000003</v>
      </c>
      <c r="H42" s="191">
        <f>G42/E42</f>
        <v>0.85894512004541401</v>
      </c>
      <c r="J42" s="188"/>
    </row>
    <row r="43" spans="1:10" ht="16.5">
      <c r="A43" s="149" t="s">
        <v>184</v>
      </c>
      <c r="B43" s="150">
        <v>304</v>
      </c>
      <c r="C43" s="150">
        <v>108.8</v>
      </c>
      <c r="D43" s="150">
        <v>301.39999999999998</v>
      </c>
      <c r="E43" s="150">
        <v>33076.239999999998</v>
      </c>
      <c r="F43" s="150">
        <v>91625.600000000006</v>
      </c>
      <c r="G43" s="150">
        <v>58549.36</v>
      </c>
      <c r="H43" s="191">
        <f>G43/E43</f>
        <v>1.7701334855473296</v>
      </c>
      <c r="J43" s="188"/>
    </row>
    <row r="44" spans="1:10" ht="16.5">
      <c r="A44" s="149" t="s">
        <v>185</v>
      </c>
      <c r="B44" s="150">
        <v>285</v>
      </c>
      <c r="C44" s="150">
        <v>355.68</v>
      </c>
      <c r="D44" s="150">
        <v>408</v>
      </c>
      <c r="E44" s="150">
        <v>101368.55</v>
      </c>
      <c r="F44" s="150">
        <v>116280</v>
      </c>
      <c r="G44" s="150">
        <v>14911.45</v>
      </c>
      <c r="H44" s="191">
        <f>G44/E44</f>
        <v>0.14710134454917231</v>
      </c>
      <c r="J44" s="188"/>
    </row>
    <row r="45" spans="1:10" ht="16.5">
      <c r="A45" s="149" t="s">
        <v>186</v>
      </c>
      <c r="B45" s="150">
        <v>80</v>
      </c>
      <c r="C45" s="150">
        <v>814.86</v>
      </c>
      <c r="D45" s="150">
        <v>1042.5</v>
      </c>
      <c r="E45" s="150">
        <v>65188.75</v>
      </c>
      <c r="F45" s="150">
        <v>83400</v>
      </c>
      <c r="G45" s="150">
        <v>18211.25</v>
      </c>
      <c r="H45" s="191">
        <f>G45/E45</f>
        <v>0.27936185308047784</v>
      </c>
      <c r="J45" s="188"/>
    </row>
    <row r="46" spans="1:10" ht="16.5">
      <c r="A46" s="149" t="s">
        <v>187</v>
      </c>
      <c r="B46" s="150">
        <v>40</v>
      </c>
      <c r="C46" s="150">
        <v>1147.69</v>
      </c>
      <c r="D46" s="150">
        <v>1409.5</v>
      </c>
      <c r="E46" s="150">
        <v>45907.6</v>
      </c>
      <c r="F46" s="150">
        <v>56380</v>
      </c>
      <c r="G46" s="150">
        <v>10472.4</v>
      </c>
      <c r="H46" s="191">
        <f>G46/E46</f>
        <v>0.2281190913922749</v>
      </c>
    </row>
    <row r="47" spans="1:10" ht="16.5">
      <c r="A47" s="149" t="s">
        <v>188</v>
      </c>
      <c r="B47" s="150">
        <v>62</v>
      </c>
      <c r="C47" s="150">
        <v>1053.22</v>
      </c>
      <c r="D47" s="150">
        <v>3933.45</v>
      </c>
      <c r="E47" s="150">
        <v>65299.35</v>
      </c>
      <c r="F47" s="150">
        <v>243873.9</v>
      </c>
      <c r="G47" s="150">
        <v>178574.55</v>
      </c>
      <c r="H47" s="191">
        <f>G47/E47</f>
        <v>2.7347063944740642</v>
      </c>
    </row>
    <row r="48" spans="1:10" ht="16.5">
      <c r="A48" s="149" t="s">
        <v>189</v>
      </c>
      <c r="B48" s="150">
        <v>10</v>
      </c>
      <c r="C48" s="150">
        <v>1189.6300000000001</v>
      </c>
      <c r="D48" s="150">
        <v>3432.2</v>
      </c>
      <c r="E48" s="150">
        <v>11896.3</v>
      </c>
      <c r="F48" s="150">
        <v>34322</v>
      </c>
      <c r="G48" s="150">
        <v>22425.7</v>
      </c>
      <c r="H48" s="191">
        <f>G48/E48</f>
        <v>1.8850987281759877</v>
      </c>
      <c r="J48" s="188"/>
    </row>
    <row r="49" spans="1:10" ht="16.5">
      <c r="A49" s="149" t="s">
        <v>190</v>
      </c>
      <c r="B49" s="150">
        <v>28</v>
      </c>
      <c r="C49" s="150">
        <v>2226.31</v>
      </c>
      <c r="D49" s="150">
        <v>2124.9</v>
      </c>
      <c r="E49" s="150">
        <v>62336.7</v>
      </c>
      <c r="F49" s="150">
        <v>59497.2</v>
      </c>
      <c r="G49" s="150">
        <v>-2839.5</v>
      </c>
      <c r="H49" s="191">
        <f>G49/E49</f>
        <v>-4.5551015693804778E-2</v>
      </c>
    </row>
    <row r="50" spans="1:10" ht="16.5">
      <c r="A50" s="149" t="s">
        <v>191</v>
      </c>
      <c r="B50" s="150">
        <v>73</v>
      </c>
      <c r="C50" s="150">
        <v>523.91</v>
      </c>
      <c r="D50" s="150">
        <v>730.5</v>
      </c>
      <c r="E50" s="150">
        <v>38245.25</v>
      </c>
      <c r="F50" s="150">
        <v>53326.5</v>
      </c>
      <c r="G50" s="150">
        <v>15081.25</v>
      </c>
      <c r="H50" s="191">
        <f>G50/E50</f>
        <v>0.39433001483844399</v>
      </c>
      <c r="J50" s="188"/>
    </row>
    <row r="51" spans="1:10" ht="16.5">
      <c r="A51" s="149" t="s">
        <v>192</v>
      </c>
      <c r="B51" s="150">
        <v>73</v>
      </c>
      <c r="C51" s="150">
        <v>735.56</v>
      </c>
      <c r="D51" s="150">
        <v>1613.6</v>
      </c>
      <c r="E51" s="150">
        <v>53696.15</v>
      </c>
      <c r="F51" s="150">
        <v>117792.8</v>
      </c>
      <c r="G51" s="150">
        <v>64096.65</v>
      </c>
      <c r="H51" s="191">
        <f>G51/E51</f>
        <v>1.193691726501807</v>
      </c>
    </row>
    <row r="52" spans="1:10" ht="16.5">
      <c r="A52" s="149" t="s">
        <v>193</v>
      </c>
      <c r="B52" s="150">
        <v>75</v>
      </c>
      <c r="C52" s="150">
        <v>337.52</v>
      </c>
      <c r="D52" s="150">
        <v>498.5</v>
      </c>
      <c r="E52" s="150">
        <v>25314.17</v>
      </c>
      <c r="F52" s="150">
        <v>37387.5</v>
      </c>
      <c r="G52" s="150">
        <v>12073.33</v>
      </c>
      <c r="H52" s="191">
        <f>G52/E52</f>
        <v>0.47693959549137899</v>
      </c>
      <c r="J52" s="188"/>
    </row>
    <row r="53" spans="1:10" ht="16.5">
      <c r="A53" s="149" t="s">
        <v>194</v>
      </c>
      <c r="B53" s="150">
        <v>285</v>
      </c>
      <c r="C53" s="150">
        <v>51.08</v>
      </c>
      <c r="D53" s="150">
        <v>112.9</v>
      </c>
      <c r="E53" s="150">
        <v>14558.98</v>
      </c>
      <c r="F53" s="150">
        <v>32176.5</v>
      </c>
      <c r="G53" s="150">
        <v>17617.52</v>
      </c>
      <c r="H53" s="191">
        <f>G53/E53</f>
        <v>1.2100792775318052</v>
      </c>
      <c r="J53" s="188"/>
    </row>
    <row r="54" spans="1:10" ht="16.5">
      <c r="A54" s="149" t="s">
        <v>195</v>
      </c>
      <c r="B54" s="150">
        <v>33</v>
      </c>
      <c r="C54" s="150">
        <v>2284.62</v>
      </c>
      <c r="D54" s="150">
        <v>2760.35</v>
      </c>
      <c r="E54" s="150">
        <v>75392.600000000006</v>
      </c>
      <c r="F54" s="150">
        <v>91091.55</v>
      </c>
      <c r="G54" s="150">
        <v>15698.95</v>
      </c>
      <c r="H54" s="191">
        <f>G54/E54</f>
        <v>0.20822932224117485</v>
      </c>
      <c r="J54" s="188"/>
    </row>
    <row r="55" spans="1:10" ht="16.5">
      <c r="A55" s="149" t="s">
        <v>196</v>
      </c>
      <c r="B55" s="150">
        <v>18</v>
      </c>
      <c r="C55" s="150">
        <v>1081.33</v>
      </c>
      <c r="D55" s="150">
        <v>1332.4</v>
      </c>
      <c r="E55" s="150">
        <v>19463.849999999999</v>
      </c>
      <c r="F55" s="150">
        <v>23983.200000000001</v>
      </c>
      <c r="G55" s="150">
        <v>4519.3500000000004</v>
      </c>
      <c r="H55" s="191">
        <f>G55/E55</f>
        <v>0.23219198668300467</v>
      </c>
      <c r="J55" s="188"/>
    </row>
    <row r="56" spans="1:10" ht="16.5">
      <c r="A56" s="149" t="s">
        <v>197</v>
      </c>
      <c r="B56" s="150">
        <v>207</v>
      </c>
      <c r="C56" s="150">
        <v>127.65</v>
      </c>
      <c r="D56" s="150">
        <v>154.36000000000001</v>
      </c>
      <c r="E56" s="150">
        <v>26423.5</v>
      </c>
      <c r="F56" s="150">
        <v>31952.52</v>
      </c>
      <c r="G56" s="150">
        <v>5529.02</v>
      </c>
      <c r="H56" s="191">
        <f>G56/E56</f>
        <v>0.20924631483338696</v>
      </c>
      <c r="J56" s="188"/>
    </row>
    <row r="57" spans="1:10" ht="16.5">
      <c r="A57" s="149" t="s">
        <v>198</v>
      </c>
      <c r="B57" s="150">
        <v>80</v>
      </c>
      <c r="C57" s="150">
        <v>621.89</v>
      </c>
      <c r="D57" s="150">
        <v>1490.9</v>
      </c>
      <c r="E57" s="150">
        <v>49751.05</v>
      </c>
      <c r="F57" s="150">
        <v>119272</v>
      </c>
      <c r="G57" s="150">
        <v>69520.95</v>
      </c>
      <c r="H57" s="191">
        <f>G57/E57</f>
        <v>1.3973765377816145</v>
      </c>
      <c r="J57" s="188"/>
    </row>
    <row r="58" spans="1:10" ht="16.5">
      <c r="A58" s="149" t="s">
        <v>199</v>
      </c>
      <c r="B58" s="150">
        <v>10</v>
      </c>
      <c r="C58" s="150">
        <v>4342.57</v>
      </c>
      <c r="D58" s="150">
        <v>7760</v>
      </c>
      <c r="E58" s="150">
        <v>43425.7</v>
      </c>
      <c r="F58" s="150">
        <v>77600</v>
      </c>
      <c r="G58" s="150">
        <v>34174.300000000003</v>
      </c>
      <c r="H58" s="191">
        <f>G58/E58</f>
        <v>0.7869602562537853</v>
      </c>
      <c r="J58" s="188"/>
    </row>
    <row r="59" spans="1:10" ht="16.5">
      <c r="A59" s="149" t="s">
        <v>200</v>
      </c>
      <c r="B59" s="150">
        <v>300</v>
      </c>
      <c r="C59" s="150">
        <v>82.33</v>
      </c>
      <c r="D59" s="150">
        <v>268.95999999999998</v>
      </c>
      <c r="E59" s="150">
        <v>24700</v>
      </c>
      <c r="F59" s="150">
        <v>80688</v>
      </c>
      <c r="G59" s="150">
        <v>55988</v>
      </c>
      <c r="H59" s="191">
        <f>G59/E59</f>
        <v>2.2667206477732793</v>
      </c>
    </row>
    <row r="60" spans="1:10" ht="16.5">
      <c r="A60" s="149" t="s">
        <v>201</v>
      </c>
      <c r="B60" s="150">
        <v>16</v>
      </c>
      <c r="C60" s="150">
        <v>2003.97</v>
      </c>
      <c r="D60" s="150">
        <v>6035</v>
      </c>
      <c r="E60" s="150">
        <v>32063.45</v>
      </c>
      <c r="F60" s="150">
        <v>96560</v>
      </c>
      <c r="G60" s="150">
        <v>64496.55</v>
      </c>
      <c r="H60" s="191">
        <f>G60/E60</f>
        <v>2.0115287032431008</v>
      </c>
      <c r="J60" s="188"/>
    </row>
    <row r="61" spans="1:10" ht="16.5">
      <c r="A61" s="149" t="s">
        <v>202</v>
      </c>
      <c r="B61" s="150">
        <v>31</v>
      </c>
      <c r="C61" s="150">
        <v>603.24</v>
      </c>
      <c r="D61" s="150">
        <v>1670.7</v>
      </c>
      <c r="E61" s="150">
        <v>18700.45</v>
      </c>
      <c r="F61" s="150">
        <v>51791.7</v>
      </c>
      <c r="G61" s="150">
        <v>33091.25</v>
      </c>
      <c r="H61" s="191">
        <f>G61/E61</f>
        <v>1.7695429789122721</v>
      </c>
    </row>
    <row r="62" spans="1:10" ht="16.5">
      <c r="A62" s="149" t="s">
        <v>203</v>
      </c>
      <c r="B62" s="150">
        <v>60</v>
      </c>
      <c r="C62" s="150">
        <v>1249.57</v>
      </c>
      <c r="D62" s="150">
        <v>1431.2</v>
      </c>
      <c r="E62" s="150">
        <v>74974.350000000006</v>
      </c>
      <c r="F62" s="150">
        <v>85872</v>
      </c>
      <c r="G62" s="150">
        <v>10897.65</v>
      </c>
      <c r="H62" s="191">
        <f>G62/E62</f>
        <v>0.14535171028491742</v>
      </c>
      <c r="J62" s="188"/>
    </row>
    <row r="63" spans="1:10" ht="16.5">
      <c r="A63" s="149" t="s">
        <v>204</v>
      </c>
      <c r="B63" s="150">
        <v>33</v>
      </c>
      <c r="C63" s="150">
        <v>761.09</v>
      </c>
      <c r="D63" s="150">
        <v>1461.5</v>
      </c>
      <c r="E63" s="150">
        <v>25116</v>
      </c>
      <c r="F63" s="150">
        <v>48229.5</v>
      </c>
      <c r="G63" s="150">
        <v>23113.5</v>
      </c>
      <c r="H63" s="191">
        <f>G63/E63</f>
        <v>0.92026994744386048</v>
      </c>
      <c r="J63" s="188"/>
    </row>
    <row r="64" spans="1:10" ht="16.5">
      <c r="A64" s="149" t="s">
        <v>205</v>
      </c>
      <c r="B64" s="150">
        <v>20</v>
      </c>
      <c r="C64" s="150">
        <v>0</v>
      </c>
      <c r="D64" s="150">
        <v>1044</v>
      </c>
      <c r="E64" s="150">
        <v>0</v>
      </c>
      <c r="F64" s="150">
        <v>20880</v>
      </c>
      <c r="G64" s="150">
        <v>0</v>
      </c>
      <c r="H64" s="191"/>
    </row>
    <row r="65" spans="1:10" ht="16.5">
      <c r="A65" s="149" t="s">
        <v>206</v>
      </c>
      <c r="B65" s="150">
        <v>54</v>
      </c>
      <c r="C65" s="150">
        <v>1278.8599999999999</v>
      </c>
      <c r="D65" s="150">
        <v>1998.5</v>
      </c>
      <c r="E65" s="150">
        <v>69058.3</v>
      </c>
      <c r="F65" s="150">
        <v>107919</v>
      </c>
      <c r="G65" s="150">
        <v>38860.699999999997</v>
      </c>
      <c r="H65" s="191">
        <f>G65/E65</f>
        <v>0.56272309049020897</v>
      </c>
      <c r="J65" s="188"/>
    </row>
    <row r="66" spans="1:10" ht="16.5">
      <c r="A66" s="149" t="s">
        <v>207</v>
      </c>
      <c r="B66" s="150">
        <v>66</v>
      </c>
      <c r="C66" s="150">
        <v>426.28</v>
      </c>
      <c r="D66" s="150">
        <v>1077.55</v>
      </c>
      <c r="E66" s="150">
        <v>28134.5</v>
      </c>
      <c r="F66" s="150">
        <v>71118.3</v>
      </c>
      <c r="G66" s="150">
        <v>42983.8</v>
      </c>
      <c r="H66" s="191">
        <f>G66/E66</f>
        <v>1.5277968330697187</v>
      </c>
    </row>
    <row r="67" spans="1:10" ht="16.5">
      <c r="A67" s="149" t="s">
        <v>208</v>
      </c>
      <c r="B67" s="150">
        <v>10</v>
      </c>
      <c r="C67" s="150">
        <v>5284</v>
      </c>
      <c r="D67" s="150">
        <v>17717.88</v>
      </c>
      <c r="E67" s="150">
        <v>52840</v>
      </c>
      <c r="F67" s="150">
        <v>177178.8</v>
      </c>
      <c r="G67" s="150">
        <v>124338.8</v>
      </c>
      <c r="H67" s="191">
        <f>G67/E67</f>
        <v>2.353118849356548</v>
      </c>
      <c r="J67" s="188"/>
    </row>
    <row r="68" spans="1:10" ht="16.5">
      <c r="A68" s="149" t="s">
        <v>260</v>
      </c>
      <c r="B68" s="150">
        <v>5</v>
      </c>
      <c r="C68" s="150">
        <v>4802</v>
      </c>
      <c r="D68" s="150">
        <v>17517.330000000002</v>
      </c>
      <c r="E68" s="150">
        <v>24010</v>
      </c>
      <c r="F68" s="150">
        <v>87586.65</v>
      </c>
      <c r="G68" s="150">
        <v>63576.65</v>
      </c>
      <c r="H68" s="191">
        <f>G68/E68</f>
        <v>2.6479237817576009</v>
      </c>
      <c r="J68" s="188"/>
    </row>
    <row r="69" spans="1:10" ht="16.5">
      <c r="A69" s="149" t="s">
        <v>261</v>
      </c>
      <c r="B69" s="150">
        <v>10</v>
      </c>
      <c r="C69" s="150">
        <v>5002.45</v>
      </c>
      <c r="D69" s="150">
        <v>17568.18</v>
      </c>
      <c r="E69" s="150">
        <v>50024.5</v>
      </c>
      <c r="F69" s="150">
        <v>175681.8</v>
      </c>
      <c r="G69" s="150">
        <v>125657.3</v>
      </c>
      <c r="H69" s="191">
        <f>G69/E69</f>
        <v>2.5119151615708302</v>
      </c>
      <c r="J69" s="188"/>
    </row>
    <row r="70" spans="1:10" ht="16.5">
      <c r="A70" s="149" t="s">
        <v>211</v>
      </c>
      <c r="B70" s="150">
        <v>35</v>
      </c>
      <c r="C70" s="150">
        <v>749.79</v>
      </c>
      <c r="D70" s="150">
        <v>3101.3</v>
      </c>
      <c r="E70" s="150">
        <v>26242.52</v>
      </c>
      <c r="F70" s="150">
        <v>108545.5</v>
      </c>
      <c r="G70" s="150">
        <v>82302.98</v>
      </c>
      <c r="H70" s="191">
        <f>G70/E70</f>
        <v>3.1362452996129941</v>
      </c>
      <c r="J70" s="188"/>
    </row>
    <row r="71" spans="1:10" ht="16.5">
      <c r="A71" s="149" t="s">
        <v>212</v>
      </c>
      <c r="B71" s="150">
        <v>139</v>
      </c>
      <c r="C71" s="150">
        <v>582.57000000000005</v>
      </c>
      <c r="D71" s="150">
        <v>1595.3</v>
      </c>
      <c r="E71" s="150">
        <v>80977.149999999994</v>
      </c>
      <c r="F71" s="150">
        <v>221746.7</v>
      </c>
      <c r="G71" s="150">
        <v>140769.54999999999</v>
      </c>
      <c r="H71" s="191">
        <f>G71/E71</f>
        <v>1.7383860755781106</v>
      </c>
      <c r="J71" s="188"/>
    </row>
    <row r="72" spans="1:10" ht="16.5">
      <c r="A72" s="149" t="s">
        <v>213</v>
      </c>
      <c r="B72" s="150">
        <v>75</v>
      </c>
      <c r="C72" s="150">
        <v>581.84</v>
      </c>
      <c r="D72" s="150">
        <v>473.7</v>
      </c>
      <c r="E72" s="150">
        <v>43638</v>
      </c>
      <c r="F72" s="150">
        <v>35527.5</v>
      </c>
      <c r="G72" s="150">
        <v>-8110.5</v>
      </c>
      <c r="H72" s="191">
        <f>G72/E72</f>
        <v>-0.18585865530042622</v>
      </c>
      <c r="J72" s="188"/>
    </row>
    <row r="73" spans="1:10" ht="16.5">
      <c r="A73" s="149" t="s">
        <v>214</v>
      </c>
      <c r="B73" s="150">
        <v>46</v>
      </c>
      <c r="C73" s="150">
        <v>794.51</v>
      </c>
      <c r="D73" s="150">
        <v>1133.9000000000001</v>
      </c>
      <c r="E73" s="150">
        <v>36547.300000000003</v>
      </c>
      <c r="F73" s="150">
        <v>52159.4</v>
      </c>
      <c r="G73" s="150">
        <v>15612.1</v>
      </c>
      <c r="H73" s="191">
        <f>G73/E73</f>
        <v>0.42717519488443739</v>
      </c>
    </row>
    <row r="74" spans="1:10" ht="16.5">
      <c r="A74" s="149" t="s">
        <v>215</v>
      </c>
      <c r="B74" s="150">
        <v>1050</v>
      </c>
      <c r="C74" s="150">
        <v>40.479999999999997</v>
      </c>
      <c r="D74" s="150">
        <v>193.13</v>
      </c>
      <c r="E74" s="150">
        <v>42500.25</v>
      </c>
      <c r="F74" s="150">
        <v>202786.5</v>
      </c>
      <c r="G74" s="150">
        <v>160286.25</v>
      </c>
      <c r="H74" s="191">
        <f>G74/E74</f>
        <v>3.7714189916529901</v>
      </c>
      <c r="J74" s="188"/>
    </row>
    <row r="75" spans="1:10" ht="16.5">
      <c r="A75" s="149" t="s">
        <v>216</v>
      </c>
      <c r="B75" s="150">
        <v>33</v>
      </c>
      <c r="C75" s="150">
        <v>3575.9</v>
      </c>
      <c r="D75" s="150">
        <v>3125.05</v>
      </c>
      <c r="E75" s="150">
        <v>118004.55</v>
      </c>
      <c r="F75" s="150">
        <v>103126.65</v>
      </c>
      <c r="G75" s="150">
        <v>-14877.9</v>
      </c>
      <c r="H75" s="191">
        <f>G75/E75</f>
        <v>-0.12607903678290369</v>
      </c>
      <c r="J75" s="188"/>
    </row>
    <row r="76" spans="1:10" ht="16.5">
      <c r="A76" s="149" t="s">
        <v>217</v>
      </c>
      <c r="B76" s="150">
        <v>24</v>
      </c>
      <c r="C76" s="150">
        <v>2584.4</v>
      </c>
      <c r="D76" s="150">
        <v>3977.45</v>
      </c>
      <c r="E76" s="150">
        <v>62025.599999999999</v>
      </c>
      <c r="F76" s="150">
        <v>95458.8</v>
      </c>
      <c r="G76" s="150">
        <v>33433.199999999997</v>
      </c>
      <c r="H76" s="191">
        <f>G76/E76</f>
        <v>0.53902259712118861</v>
      </c>
      <c r="J76" s="188"/>
    </row>
    <row r="77" spans="1:10" ht="16.5">
      <c r="A77" s="149" t="s">
        <v>219</v>
      </c>
      <c r="B77" s="150">
        <v>14</v>
      </c>
      <c r="C77" s="150">
        <v>2306.8200000000002</v>
      </c>
      <c r="D77" s="150">
        <v>3683</v>
      </c>
      <c r="E77" s="150">
        <v>32295.45</v>
      </c>
      <c r="F77" s="150">
        <v>51562</v>
      </c>
      <c r="G77" s="150">
        <v>19266.55</v>
      </c>
      <c r="H77" s="191">
        <f>G77/E77</f>
        <v>0.59657165328242834</v>
      </c>
    </row>
    <row r="78" spans="1:10" ht="16.5">
      <c r="A78" s="149" t="s">
        <v>220</v>
      </c>
      <c r="B78" s="150">
        <v>30</v>
      </c>
      <c r="C78" s="150">
        <v>373.77</v>
      </c>
      <c r="D78" s="150">
        <v>1182.4000000000001</v>
      </c>
      <c r="E78" s="150">
        <v>11213.05</v>
      </c>
      <c r="F78" s="150">
        <v>35472</v>
      </c>
      <c r="G78" s="150">
        <v>24258.95</v>
      </c>
      <c r="H78" s="191">
        <f>G78/E78</f>
        <v>2.16345686499213</v>
      </c>
    </row>
    <row r="79" spans="1:10" ht="16.5">
      <c r="A79" s="149" t="s">
        <v>221</v>
      </c>
      <c r="B79" s="150">
        <v>110</v>
      </c>
      <c r="C79" s="150">
        <v>130.18</v>
      </c>
      <c r="D79" s="150">
        <v>471.25</v>
      </c>
      <c r="E79" s="150">
        <v>14319.65</v>
      </c>
      <c r="F79" s="150">
        <v>51837.5</v>
      </c>
      <c r="G79" s="150">
        <v>37517.85</v>
      </c>
      <c r="H79" s="191">
        <f>G79/E79</f>
        <v>2.6200256291180302</v>
      </c>
    </row>
    <row r="80" spans="1:10" ht="16.5">
      <c r="A80" s="149" t="s">
        <v>222</v>
      </c>
      <c r="B80" s="150">
        <v>54</v>
      </c>
      <c r="C80" s="150">
        <v>896.15</v>
      </c>
      <c r="D80" s="150">
        <v>885.3</v>
      </c>
      <c r="E80" s="150">
        <v>48392.1</v>
      </c>
      <c r="F80" s="150">
        <v>47806.2</v>
      </c>
      <c r="G80" s="150">
        <v>-585.9</v>
      </c>
      <c r="H80" s="191">
        <f>G80/E80</f>
        <v>-1.2107348100206439E-2</v>
      </c>
      <c r="J80" s="188"/>
    </row>
    <row r="81" spans="1:10" ht="16.5">
      <c r="A81" s="149"/>
      <c r="B81" s="150"/>
      <c r="C81" s="150"/>
      <c r="D81" s="150"/>
      <c r="E81" s="150"/>
      <c r="F81" s="150"/>
      <c r="G81" s="150"/>
      <c r="H81" s="191"/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7.25">
      <c r="A104" s="44" t="s">
        <v>11</v>
      </c>
      <c r="B104" s="45">
        <f>SUM(B2:B103)</f>
        <v>17805</v>
      </c>
      <c r="C104" s="45"/>
      <c r="D104" s="45"/>
      <c r="E104" s="45">
        <f>SUM(E2:E103)</f>
        <v>4020945.4200000004</v>
      </c>
      <c r="F104" s="45">
        <f>SUM(F2:F103)</f>
        <v>7273433.8900000015</v>
      </c>
      <c r="G104" s="45">
        <f>SUM(G2:G103)</f>
        <v>3231608.4699999997</v>
      </c>
      <c r="H104" s="176">
        <f>G104/E104</f>
        <v>0.80369369201733643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C51E-A7B5-4595-AD18-63019BE7B253}">
  <dimension ref="A1:J22"/>
  <sheetViews>
    <sheetView workbookViewId="0">
      <pane xSplit="2" ySplit="1" topLeftCell="F8" activePane="bottomRight" state="frozen"/>
      <selection pane="bottomRight" activeCell="F8" sqref="F8"/>
      <selection pane="bottomLeft"/>
      <selection pane="topRight"/>
    </sheetView>
  </sheetViews>
  <sheetFormatPr defaultColWidth="8.7109375" defaultRowHeight="15.7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8.5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70">
        <v>81460.460999999996</v>
      </c>
      <c r="D2" s="214">
        <v>11.89</v>
      </c>
      <c r="E2" s="214">
        <v>8.5938999999999997</v>
      </c>
      <c r="F2" s="170">
        <v>700064.99860000005</v>
      </c>
      <c r="G2" s="170">
        <v>968564.88130000001</v>
      </c>
      <c r="H2" s="170">
        <v>268499.88270000002</v>
      </c>
      <c r="I2" s="192">
        <f>H2/F2</f>
        <v>0.38353564774263804</v>
      </c>
    </row>
    <row r="3" spans="1:9">
      <c r="A3" s="168" t="s">
        <v>234</v>
      </c>
      <c r="B3" s="210" t="s">
        <v>235</v>
      </c>
      <c r="C3" s="170">
        <v>4080.9659999999999</v>
      </c>
      <c r="D3" s="214">
        <v>128.71</v>
      </c>
      <c r="E3" s="214">
        <v>68.607799999999997</v>
      </c>
      <c r="F3" s="170">
        <v>279986.10960000003</v>
      </c>
      <c r="G3" s="170">
        <v>525261.13390000002</v>
      </c>
      <c r="H3" s="170">
        <v>245275.02429999999</v>
      </c>
      <c r="I3" s="192">
        <f t="shared" ref="I3:I22" si="0">H3/F3</f>
        <v>0.87602568802577474</v>
      </c>
    </row>
    <row r="4" spans="1:9">
      <c r="A4" s="168" t="s">
        <v>236</v>
      </c>
      <c r="B4" s="210" t="s">
        <v>237</v>
      </c>
      <c r="C4" s="170">
        <v>14235.332</v>
      </c>
      <c r="D4" s="214">
        <v>116.75</v>
      </c>
      <c r="E4" s="214">
        <v>47.766100000000002</v>
      </c>
      <c r="F4" s="170">
        <v>679966.92570000002</v>
      </c>
      <c r="G4" s="170">
        <v>1661975.0109999999</v>
      </c>
      <c r="H4" s="170">
        <v>982008.08530000004</v>
      </c>
      <c r="I4" s="192">
        <f t="shared" si="0"/>
        <v>1.4441997811717977</v>
      </c>
    </row>
    <row r="5" spans="1:9">
      <c r="A5" s="168" t="s">
        <v>238</v>
      </c>
      <c r="B5" s="210" t="s">
        <v>237</v>
      </c>
      <c r="C5" s="170">
        <v>30844.641</v>
      </c>
      <c r="D5" s="214">
        <v>41.31</v>
      </c>
      <c r="E5" s="214">
        <v>33.229399999999998</v>
      </c>
      <c r="F5" s="170">
        <v>1024948.7568</v>
      </c>
      <c r="G5" s="170">
        <v>1274192.1196999999</v>
      </c>
      <c r="H5" s="170">
        <v>249243.36290000001</v>
      </c>
      <c r="I5" s="192">
        <f t="shared" si="0"/>
        <v>0.24317641369522175</v>
      </c>
    </row>
    <row r="6" spans="1:9">
      <c r="A6" s="168" t="s">
        <v>239</v>
      </c>
      <c r="B6" s="210" t="s">
        <v>233</v>
      </c>
      <c r="C6" s="170">
        <v>16487.02</v>
      </c>
      <c r="D6" s="214">
        <v>34.9056</v>
      </c>
      <c r="E6" s="214">
        <v>28.809200000000001</v>
      </c>
      <c r="F6" s="170">
        <v>474978.31900000002</v>
      </c>
      <c r="G6" s="170">
        <v>575489.32530000003</v>
      </c>
      <c r="H6" s="170">
        <v>100511.00629999999</v>
      </c>
      <c r="I6" s="192">
        <f t="shared" si="0"/>
        <v>0.2116117773788323</v>
      </c>
    </row>
    <row r="7" spans="1:9">
      <c r="A7" s="168" t="s">
        <v>240</v>
      </c>
      <c r="B7" s="210" t="s">
        <v>241</v>
      </c>
      <c r="C7" s="170">
        <v>1246.6859999999999</v>
      </c>
      <c r="D7" s="214">
        <v>782.32500000000005</v>
      </c>
      <c r="E7" s="214">
        <v>381.85559999999998</v>
      </c>
      <c r="F7" s="170">
        <v>476054.04930000001</v>
      </c>
      <c r="G7" s="170">
        <v>975313.625</v>
      </c>
      <c r="H7" s="170">
        <v>499259.57569999999</v>
      </c>
      <c r="I7" s="192">
        <f t="shared" si="0"/>
        <v>1.0487455708739835</v>
      </c>
    </row>
    <row r="8" spans="1:9">
      <c r="A8" s="168" t="s">
        <v>242</v>
      </c>
      <c r="B8" s="210" t="s">
        <v>237</v>
      </c>
      <c r="C8" s="170">
        <v>4306.576</v>
      </c>
      <c r="D8" s="214">
        <v>152.905</v>
      </c>
      <c r="E8" s="214">
        <v>44.3917</v>
      </c>
      <c r="F8" s="170">
        <v>191176.2298</v>
      </c>
      <c r="G8" s="170">
        <v>658497.00329999998</v>
      </c>
      <c r="H8" s="170">
        <v>467320.77350000001</v>
      </c>
      <c r="I8" s="192">
        <f t="shared" si="0"/>
        <v>2.4444502017269096</v>
      </c>
    </row>
    <row r="9" spans="1:9">
      <c r="A9" s="168" t="s">
        <v>243</v>
      </c>
      <c r="B9" s="210" t="s">
        <v>235</v>
      </c>
      <c r="C9" s="170">
        <v>6304.4930000000004</v>
      </c>
      <c r="D9" s="214">
        <v>153.607</v>
      </c>
      <c r="E9" s="214">
        <v>51.311199999999999</v>
      </c>
      <c r="F9" s="170">
        <v>323491.23479999998</v>
      </c>
      <c r="G9" s="170">
        <v>968414.25630000001</v>
      </c>
      <c r="H9" s="170">
        <v>644923.02139999997</v>
      </c>
      <c r="I9" s="192">
        <f t="shared" si="0"/>
        <v>1.9936336816010696</v>
      </c>
    </row>
    <row r="10" spans="1:9">
      <c r="A10" s="168" t="s">
        <v>244</v>
      </c>
      <c r="B10" s="210" t="s">
        <v>233</v>
      </c>
      <c r="C10" s="170">
        <v>13136.35</v>
      </c>
      <c r="D10" s="214">
        <v>48.6877</v>
      </c>
      <c r="E10" s="214">
        <v>29.687100000000001</v>
      </c>
      <c r="F10" s="170">
        <v>389980.446</v>
      </c>
      <c r="G10" s="170">
        <v>639578.6679</v>
      </c>
      <c r="H10" s="170">
        <v>249598.2219</v>
      </c>
      <c r="I10" s="192">
        <f t="shared" si="0"/>
        <v>0.64002753076496555</v>
      </c>
    </row>
    <row r="11" spans="1:9">
      <c r="A11" s="168" t="s">
        <v>245</v>
      </c>
      <c r="B11" s="210" t="s">
        <v>233</v>
      </c>
      <c r="C11" s="170">
        <v>82131.043999999994</v>
      </c>
      <c r="D11" s="214">
        <v>21.210899999999999</v>
      </c>
      <c r="E11" s="214">
        <v>9.9227000000000007</v>
      </c>
      <c r="F11" s="170">
        <v>814959.2439</v>
      </c>
      <c r="G11" s="170">
        <v>1742073.3611999999</v>
      </c>
      <c r="H11" s="170">
        <v>927114.11730000004</v>
      </c>
      <c r="I11" s="192">
        <f t="shared" si="0"/>
        <v>1.1376202236363149</v>
      </c>
    </row>
    <row r="12" spans="1:9">
      <c r="A12" s="168" t="s">
        <v>246</v>
      </c>
      <c r="B12" s="210" t="s">
        <v>241</v>
      </c>
      <c r="C12" s="170">
        <v>84098.658500000005</v>
      </c>
      <c r="D12" s="214">
        <v>16.595300000000002</v>
      </c>
      <c r="E12" s="214">
        <v>13.2042</v>
      </c>
      <c r="F12" s="170">
        <v>1110455.0220000001</v>
      </c>
      <c r="G12" s="170">
        <v>1395642.4674</v>
      </c>
      <c r="H12" s="170">
        <v>285187.44540000003</v>
      </c>
      <c r="I12" s="192">
        <f t="shared" si="0"/>
        <v>0.25682034819056365</v>
      </c>
    </row>
    <row r="13" spans="1:9">
      <c r="A13" s="168" t="s">
        <v>247</v>
      </c>
      <c r="B13" s="210" t="s">
        <v>241</v>
      </c>
      <c r="C13" s="170">
        <v>46779.584000000003</v>
      </c>
      <c r="D13" s="214">
        <v>16.104199999999999</v>
      </c>
      <c r="E13" s="214">
        <v>14.1187</v>
      </c>
      <c r="F13" s="170">
        <v>660466.97759999998</v>
      </c>
      <c r="G13" s="170">
        <v>753347.77670000005</v>
      </c>
      <c r="H13" s="170">
        <v>92880.798999999999</v>
      </c>
      <c r="I13" s="192">
        <f t="shared" si="0"/>
        <v>0.14062898244740343</v>
      </c>
    </row>
    <row r="14" spans="1:9">
      <c r="A14" s="168" t="s">
        <v>248</v>
      </c>
      <c r="B14" s="210" t="s">
        <v>249</v>
      </c>
      <c r="C14" s="170">
        <v>47411.601999999999</v>
      </c>
      <c r="D14" s="214">
        <v>10.369300000000001</v>
      </c>
      <c r="E14" s="214">
        <v>9.5122</v>
      </c>
      <c r="F14" s="170">
        <v>450987.86700000003</v>
      </c>
      <c r="G14" s="170">
        <v>491625.12459999998</v>
      </c>
      <c r="H14" s="170">
        <v>40637.257599999997</v>
      </c>
      <c r="I14" s="192">
        <f t="shared" si="0"/>
        <v>9.0107208139149325E-2</v>
      </c>
    </row>
    <row r="15" spans="1:9">
      <c r="A15" s="168" t="s">
        <v>250</v>
      </c>
      <c r="B15" s="210" t="s">
        <v>251</v>
      </c>
      <c r="C15" s="170">
        <v>19397.659</v>
      </c>
      <c r="D15" s="214">
        <v>93.521199999999993</v>
      </c>
      <c r="E15" s="214">
        <v>44.640599999999999</v>
      </c>
      <c r="F15" s="170">
        <v>865923.00470000005</v>
      </c>
      <c r="G15" s="170">
        <v>1814092.3469</v>
      </c>
      <c r="H15" s="170">
        <v>948169.34219999996</v>
      </c>
      <c r="I15" s="192">
        <f t="shared" si="0"/>
        <v>1.0949811207850912</v>
      </c>
    </row>
    <row r="16" spans="1:9">
      <c r="A16" s="168" t="s">
        <v>252</v>
      </c>
      <c r="B16" s="210" t="s">
        <v>233</v>
      </c>
      <c r="C16" s="170">
        <v>6809.741</v>
      </c>
      <c r="D16" s="214">
        <v>53.19</v>
      </c>
      <c r="E16" s="214">
        <v>35.241999999999997</v>
      </c>
      <c r="F16" s="170">
        <v>239988.8371</v>
      </c>
      <c r="G16" s="170">
        <v>362210.1238</v>
      </c>
      <c r="H16" s="170">
        <v>122221.2867</v>
      </c>
      <c r="I16" s="192">
        <f t="shared" si="0"/>
        <v>0.50927904887956144</v>
      </c>
    </row>
    <row r="17" spans="1:10">
      <c r="A17" s="168" t="s">
        <v>253</v>
      </c>
      <c r="B17" s="210" t="s">
        <v>235</v>
      </c>
      <c r="C17" s="170">
        <v>5481.1360000000004</v>
      </c>
      <c r="D17" s="214">
        <v>217.36269999999999</v>
      </c>
      <c r="E17" s="214">
        <v>200.74350000000001</v>
      </c>
      <c r="F17" s="170">
        <v>1100302.2501999999</v>
      </c>
      <c r="G17" s="170">
        <v>1191394.52</v>
      </c>
      <c r="H17" s="170">
        <v>91092.269799999995</v>
      </c>
      <c r="I17" s="192">
        <f t="shared" si="0"/>
        <v>8.2788406352383923E-2</v>
      </c>
    </row>
    <row r="18" spans="1:10">
      <c r="A18" s="168" t="s">
        <v>254</v>
      </c>
      <c r="B18" s="210" t="s">
        <v>237</v>
      </c>
      <c r="C18" s="170">
        <v>1209.75</v>
      </c>
      <c r="D18" s="214">
        <v>256.27550000000002</v>
      </c>
      <c r="E18" s="214">
        <v>268.63720000000001</v>
      </c>
      <c r="F18" s="170">
        <v>324983.82569999999</v>
      </c>
      <c r="G18" s="170">
        <v>310029.28610000003</v>
      </c>
      <c r="H18" s="170">
        <v>-14954.539500000001</v>
      </c>
      <c r="I18" s="192">
        <f t="shared" si="0"/>
        <v>-4.6016257786948692E-2</v>
      </c>
    </row>
    <row r="19" spans="1:10">
      <c r="A19" s="168" t="s">
        <v>255</v>
      </c>
      <c r="B19" s="210" t="s">
        <v>241</v>
      </c>
      <c r="C19" s="170">
        <v>18996.168000000001</v>
      </c>
      <c r="D19" s="214">
        <v>25.074100000000001</v>
      </c>
      <c r="E19" s="214">
        <v>9.4700000000000006</v>
      </c>
      <c r="F19" s="170">
        <v>179893.71100000001</v>
      </c>
      <c r="G19" s="170">
        <v>476311.81599999999</v>
      </c>
      <c r="H19" s="170">
        <v>296418.10509999999</v>
      </c>
      <c r="I19" s="192">
        <f t="shared" si="0"/>
        <v>1.647740232008444</v>
      </c>
    </row>
    <row r="20" spans="1:10">
      <c r="A20" s="168"/>
      <c r="B20" s="210"/>
      <c r="C20" s="188"/>
      <c r="D20"/>
      <c r="E20"/>
      <c r="F20" s="188"/>
      <c r="G20" s="188"/>
      <c r="H20" s="188"/>
      <c r="I20" s="192"/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484417.86749999993</v>
      </c>
      <c r="D22" s="75"/>
      <c r="E22" s="75"/>
      <c r="F22" s="75">
        <f t="shared" ref="F22:H22" si="1">SUM(F2:F21)</f>
        <v>10288607.808799999</v>
      </c>
      <c r="G22" s="75">
        <f t="shared" si="1"/>
        <v>16784012.846399996</v>
      </c>
      <c r="H22" s="75">
        <f t="shared" si="1"/>
        <v>6495405.0375999995</v>
      </c>
      <c r="I22" s="53">
        <f t="shared" si="0"/>
        <v>0.63132011233282537</v>
      </c>
      <c r="J22" s="202"/>
    </row>
  </sheetData>
  <hyperlinks>
    <hyperlink ref="A2" r:id="rId1" location="/mf/1831632/41287/NULL" xr:uid="{31E5CB95-A98D-4787-AB58-47E29F47ECE7}"/>
    <hyperlink ref="A3" r:id="rId2" location="/mf/1831632/15690/NULL" xr:uid="{B05EB6BD-91F0-4859-951E-D77BBBCB13A3}"/>
    <hyperlink ref="A4" r:id="rId3" location="/mf/1831632/22335/NULL" xr:uid="{3C14D5C7-9F7A-4DCA-839C-8CC5DF90D0A2}"/>
    <hyperlink ref="A5" r:id="rId4" location="/mf/1831632/38817/NULL" xr:uid="{DC918EA8-926E-407B-99D3-D71D40C3EB9C}"/>
    <hyperlink ref="A6" r:id="rId5" location="/mf/1831632/40665/NULL" xr:uid="{AE2F58D1-21E3-4E39-8450-6541E3DBA129}"/>
    <hyperlink ref="A7" r:id="rId6" location="/mf/1831632/16071/NULL" xr:uid="{89BA988A-1E76-4646-9BD4-53DB0765798A}"/>
    <hyperlink ref="A8" r:id="rId7" location="/mf/1831632/16617/NULL" xr:uid="{842E6277-A978-4344-AAA6-BFEC9744C369}"/>
    <hyperlink ref="A9" r:id="rId8" location="/mf/1831632/17134/NULL" xr:uid="{EB80F464-E3BB-4159-8AF7-B78CAF3DD57B}"/>
    <hyperlink ref="A10" r:id="rId9" location="/mf/1831632/38228/NULL" xr:uid="{3FB1C84B-073D-4250-89B1-DD37D9FC293F}"/>
    <hyperlink ref="A11" r:id="rId10" location="/mf/1831632/42135/NULL" xr:uid="{CA48850C-11A9-4F57-9856-A09CE8173D8F}"/>
    <hyperlink ref="A12" r:id="rId11" location="/mf/1831632/41574/NULL" xr:uid="{3B9D51CC-C1B3-4155-99C6-4FDF82AA3712}"/>
    <hyperlink ref="A13" r:id="rId12" location="/mf/1831632/41937/NULL" xr:uid="{CD193581-4965-48DD-8E60-06C4D4E57039}"/>
    <hyperlink ref="A14" r:id="rId13" location="/mf/1831632/44110/NULL" xr:uid="{1FEA0CE7-62B8-4898-86EA-B85FD15EA83A}"/>
    <hyperlink ref="A15" r:id="rId14" location="/mf/1831632/19701/NULL" xr:uid="{15714828-3579-4520-A7C0-D02A6F7CE534}"/>
    <hyperlink ref="A16" r:id="rId15" location="/mf/1831632/17348/NULL" xr:uid="{C27628EB-CB28-4F64-87F0-ED741569DC59}"/>
    <hyperlink ref="A17" r:id="rId16" location="/mf/1831632/17375/NULL" xr:uid="{54CB5F8C-C7CE-469A-B837-F58DF938AC2C}"/>
    <hyperlink ref="A18" r:id="rId17" location="/mf/1831632/17366/NULL" xr:uid="{44AF119B-E09E-40F9-9AE0-00513EFEEC49}"/>
    <hyperlink ref="A19" r:id="rId18" location="/mf/1831632/36491/NULL" xr:uid="{819C74CE-7434-428D-B06E-EB095F2772AB}"/>
  </hyperlink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70D3-1B9A-4DEA-8AEC-EAC283BC39B0}">
  <dimension ref="A1:J104"/>
  <sheetViews>
    <sheetView workbookViewId="0">
      <pane xSplit="1" ySplit="1" topLeftCell="B2" activePane="bottomRight" state="frozen"/>
      <selection pane="bottomRight" activeCell="F33" sqref="F33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143</v>
      </c>
      <c r="B2" s="150">
        <v>100</v>
      </c>
      <c r="C2" s="150">
        <v>109.73</v>
      </c>
      <c r="D2" s="150">
        <v>101.01</v>
      </c>
      <c r="E2" s="150">
        <v>10972.5</v>
      </c>
      <c r="F2" s="150">
        <v>10101</v>
      </c>
      <c r="G2" s="150">
        <f>F2-E2</f>
        <v>-871.5</v>
      </c>
      <c r="H2" s="191">
        <f>G2/E2</f>
        <v>-7.9425837320574164E-2</v>
      </c>
    </row>
    <row r="3" spans="1:10" ht="15.75">
      <c r="A3" s="149" t="s">
        <v>256</v>
      </c>
      <c r="B3" s="150">
        <v>20</v>
      </c>
      <c r="C3" s="150">
        <v>0</v>
      </c>
      <c r="D3" s="150">
        <v>1045</v>
      </c>
      <c r="E3" s="150">
        <v>0</v>
      </c>
      <c r="F3" s="150">
        <v>20900</v>
      </c>
      <c r="G3" s="150">
        <f t="shared" ref="G3:G66" si="0">F3-E3</f>
        <v>20900</v>
      </c>
      <c r="H3" s="191" t="e">
        <f>G3/E3</f>
        <v>#DIV/0!</v>
      </c>
    </row>
    <row r="4" spans="1:10" ht="15.75">
      <c r="A4" s="149" t="s">
        <v>259</v>
      </c>
      <c r="B4" s="150">
        <v>13</v>
      </c>
      <c r="C4" s="150">
        <v>133.75</v>
      </c>
      <c r="D4" s="150">
        <v>1697.65</v>
      </c>
      <c r="E4" s="150">
        <v>1738.75</v>
      </c>
      <c r="F4" s="150">
        <v>22069.45</v>
      </c>
      <c r="G4" s="150">
        <f t="shared" si="0"/>
        <v>20330.7</v>
      </c>
      <c r="H4" s="191">
        <f>G4/E4</f>
        <v>11.692710280373833</v>
      </c>
    </row>
    <row r="5" spans="1:10" ht="15.75">
      <c r="A5" s="149" t="s">
        <v>144</v>
      </c>
      <c r="B5" s="150">
        <v>19</v>
      </c>
      <c r="C5" s="150">
        <v>489.54</v>
      </c>
      <c r="D5" s="150">
        <v>2936.55</v>
      </c>
      <c r="E5" s="150">
        <v>9301.2000000000007</v>
      </c>
      <c r="F5" s="150">
        <v>55794.45</v>
      </c>
      <c r="G5" s="150">
        <f t="shared" si="0"/>
        <v>46493.25</v>
      </c>
      <c r="H5" s="191">
        <f>G5/E5</f>
        <v>4.9986292091343048</v>
      </c>
      <c r="J5" s="188"/>
    </row>
    <row r="6" spans="1:10" ht="15.75">
      <c r="A6" s="149" t="s">
        <v>145</v>
      </c>
      <c r="B6" s="150">
        <v>250</v>
      </c>
      <c r="C6" s="150">
        <v>183.59</v>
      </c>
      <c r="D6" s="150">
        <v>494.2</v>
      </c>
      <c r="E6" s="150">
        <v>45897.5</v>
      </c>
      <c r="F6" s="150">
        <v>123550</v>
      </c>
      <c r="G6" s="150">
        <f t="shared" si="0"/>
        <v>77652.5</v>
      </c>
      <c r="H6" s="191">
        <f>G6/E6</f>
        <v>1.6918677487880605</v>
      </c>
    </row>
    <row r="7" spans="1:10" ht="15.75">
      <c r="A7" s="149" t="s">
        <v>146</v>
      </c>
      <c r="B7" s="150">
        <v>62</v>
      </c>
      <c r="C7" s="150">
        <v>708.24</v>
      </c>
      <c r="D7" s="150">
        <v>1274.4000000000001</v>
      </c>
      <c r="E7" s="150">
        <v>43910.6</v>
      </c>
      <c r="F7" s="150">
        <v>79012.800000000003</v>
      </c>
      <c r="G7" s="150">
        <f t="shared" si="0"/>
        <v>35102.200000000004</v>
      </c>
      <c r="H7" s="191">
        <f>G7/E7</f>
        <v>0.79940151125240844</v>
      </c>
    </row>
    <row r="8" spans="1:10" ht="15.75">
      <c r="A8" s="149" t="s">
        <v>147</v>
      </c>
      <c r="B8" s="150">
        <v>19</v>
      </c>
      <c r="C8" s="150">
        <v>3076.33</v>
      </c>
      <c r="D8" s="150">
        <v>9560.6</v>
      </c>
      <c r="E8" s="150">
        <v>58450.25</v>
      </c>
      <c r="F8" s="150">
        <v>181651.4</v>
      </c>
      <c r="G8" s="150">
        <f t="shared" si="0"/>
        <v>123201.15</v>
      </c>
      <c r="H8" s="191">
        <f>G8/E8</f>
        <v>2.1077950906967891</v>
      </c>
    </row>
    <row r="9" spans="1:10" ht="15.75">
      <c r="A9" s="149" t="s">
        <v>148</v>
      </c>
      <c r="B9" s="150">
        <v>80</v>
      </c>
      <c r="C9" s="150">
        <v>673.1</v>
      </c>
      <c r="D9" s="150">
        <v>973.1</v>
      </c>
      <c r="E9" s="150">
        <v>53848.35</v>
      </c>
      <c r="F9" s="150">
        <v>77848</v>
      </c>
      <c r="G9" s="150">
        <f t="shared" si="0"/>
        <v>23999.65</v>
      </c>
      <c r="H9" s="191">
        <f>G9/E9</f>
        <v>0.44568960794527601</v>
      </c>
      <c r="J9" s="188"/>
    </row>
    <row r="10" spans="1:10" ht="15.75">
      <c r="A10" s="149" t="s">
        <v>149</v>
      </c>
      <c r="B10" s="150">
        <v>15</v>
      </c>
      <c r="C10" s="150">
        <v>2427.4699999999998</v>
      </c>
      <c r="D10" s="150">
        <v>2316.3000000000002</v>
      </c>
      <c r="E10" s="150">
        <v>36412</v>
      </c>
      <c r="F10" s="150">
        <v>34744.5</v>
      </c>
      <c r="G10" s="150">
        <f t="shared" si="0"/>
        <v>-1667.5</v>
      </c>
      <c r="H10" s="191">
        <f>G10/E10</f>
        <v>-4.5795342194880809E-2</v>
      </c>
    </row>
    <row r="11" spans="1:10" ht="15.75">
      <c r="A11" s="149" t="s">
        <v>150</v>
      </c>
      <c r="B11" s="150">
        <v>184</v>
      </c>
      <c r="C11" s="150">
        <v>188.19</v>
      </c>
      <c r="D11" s="150">
        <v>300.75</v>
      </c>
      <c r="E11" s="150">
        <v>34627.15</v>
      </c>
      <c r="F11" s="150">
        <v>55338</v>
      </c>
      <c r="G11" s="150">
        <f t="shared" si="0"/>
        <v>20710.849999999999</v>
      </c>
      <c r="H11" s="191">
        <f>G11/E11</f>
        <v>0.59811015344895546</v>
      </c>
      <c r="J11" s="188"/>
    </row>
    <row r="12" spans="1:10" ht="15.75">
      <c r="A12" s="149" t="s">
        <v>151</v>
      </c>
      <c r="B12" s="150">
        <v>8500</v>
      </c>
      <c r="C12" s="150">
        <v>50.47</v>
      </c>
      <c r="D12" s="150">
        <v>61</v>
      </c>
      <c r="E12" s="150">
        <v>429035.72</v>
      </c>
      <c r="F12" s="150">
        <v>518500</v>
      </c>
      <c r="G12" s="150">
        <f t="shared" si="0"/>
        <v>89464.280000000028</v>
      </c>
      <c r="H12" s="191">
        <f>G12/E12</f>
        <v>0.20852408279664927</v>
      </c>
      <c r="J12" s="188"/>
    </row>
    <row r="13" spans="1:10" ht="15.75">
      <c r="A13" s="149" t="s">
        <v>152</v>
      </c>
      <c r="B13" s="150">
        <v>180</v>
      </c>
      <c r="C13" s="150">
        <v>322.89</v>
      </c>
      <c r="D13" s="150">
        <v>2110.1999999999998</v>
      </c>
      <c r="E13" s="150">
        <v>58120</v>
      </c>
      <c r="F13" s="150">
        <v>379836</v>
      </c>
      <c r="G13" s="150">
        <f t="shared" si="0"/>
        <v>321716</v>
      </c>
      <c r="H13" s="191">
        <f>G13/E13</f>
        <v>5.5353750860289059</v>
      </c>
      <c r="J13" s="188"/>
    </row>
    <row r="14" spans="1:10" ht="15.75">
      <c r="A14" s="149" t="s">
        <v>153</v>
      </c>
      <c r="B14" s="150">
        <v>40</v>
      </c>
      <c r="C14" s="150">
        <v>446.04</v>
      </c>
      <c r="D14" s="150">
        <v>896.65</v>
      </c>
      <c r="E14" s="150">
        <v>17841.599999999999</v>
      </c>
      <c r="F14" s="150">
        <v>35866</v>
      </c>
      <c r="G14" s="150">
        <f t="shared" si="0"/>
        <v>18024.400000000001</v>
      </c>
      <c r="H14" s="191">
        <f>G14/E14</f>
        <v>1.0102457178728368</v>
      </c>
    </row>
    <row r="15" spans="1:10" ht="15.75">
      <c r="A15" s="149" t="s">
        <v>154</v>
      </c>
      <c r="B15" s="150">
        <v>14</v>
      </c>
      <c r="C15" s="150">
        <v>3489.94</v>
      </c>
      <c r="D15" s="150">
        <v>6009.5</v>
      </c>
      <c r="E15" s="150">
        <v>48859.1</v>
      </c>
      <c r="F15" s="150">
        <v>84133</v>
      </c>
      <c r="G15" s="150">
        <f t="shared" si="0"/>
        <v>35273.9</v>
      </c>
      <c r="H15" s="191">
        <v>0</v>
      </c>
      <c r="J15" s="188"/>
    </row>
    <row r="16" spans="1:10" ht="15.75">
      <c r="A16" s="149" t="s">
        <v>155</v>
      </c>
      <c r="B16" s="150">
        <v>180</v>
      </c>
      <c r="C16" s="150">
        <v>155.25</v>
      </c>
      <c r="D16" s="150">
        <v>190.79</v>
      </c>
      <c r="E16" s="150">
        <v>27945</v>
      </c>
      <c r="F16" s="150">
        <v>34342.199999999997</v>
      </c>
      <c r="G16" s="150">
        <f t="shared" si="0"/>
        <v>6397.1999999999971</v>
      </c>
      <c r="H16" s="191">
        <f>G16/E16</f>
        <v>0.22892109500805144</v>
      </c>
      <c r="J16" s="188"/>
    </row>
    <row r="17" spans="1:10" ht="15.75">
      <c r="A17" s="149" t="s">
        <v>156</v>
      </c>
      <c r="B17" s="150">
        <v>88</v>
      </c>
      <c r="C17" s="150">
        <v>373.58</v>
      </c>
      <c r="D17" s="150">
        <v>433.35</v>
      </c>
      <c r="E17" s="150">
        <v>32874.85</v>
      </c>
      <c r="F17" s="150">
        <v>38134.800000000003</v>
      </c>
      <c r="G17" s="150">
        <f t="shared" si="0"/>
        <v>5259.9500000000044</v>
      </c>
      <c r="H17" s="191">
        <f>G17/E17</f>
        <v>0.15999920912186685</v>
      </c>
      <c r="J17" s="188"/>
    </row>
    <row r="18" spans="1:10" ht="15.75">
      <c r="A18" s="149" t="s">
        <v>157</v>
      </c>
      <c r="B18" s="150">
        <v>45</v>
      </c>
      <c r="C18" s="150">
        <v>990.66</v>
      </c>
      <c r="D18" s="150">
        <v>1500.9</v>
      </c>
      <c r="E18" s="150">
        <v>44579.85</v>
      </c>
      <c r="F18" s="150">
        <v>67540.5</v>
      </c>
      <c r="G18" s="150">
        <f t="shared" si="0"/>
        <v>22960.65</v>
      </c>
      <c r="H18" s="191">
        <f>G18/E18</f>
        <v>0.51504547458100469</v>
      </c>
    </row>
    <row r="19" spans="1:10" ht="15.75">
      <c r="A19" s="149" t="s">
        <v>158</v>
      </c>
      <c r="B19" s="150">
        <v>470</v>
      </c>
      <c r="C19" s="150">
        <v>194.39</v>
      </c>
      <c r="D19" s="150">
        <v>400.35</v>
      </c>
      <c r="E19" s="150">
        <v>91363.5</v>
      </c>
      <c r="F19" s="150">
        <v>188164.5</v>
      </c>
      <c r="G19" s="150">
        <f t="shared" si="0"/>
        <v>96801</v>
      </c>
      <c r="H19" s="191">
        <f>G19/E19</f>
        <v>1.0595150142015137</v>
      </c>
    </row>
    <row r="20" spans="1:10" ht="15.75">
      <c r="A20" s="149" t="s">
        <v>159</v>
      </c>
      <c r="B20" s="150">
        <v>65</v>
      </c>
      <c r="C20" s="150">
        <v>909.05</v>
      </c>
      <c r="D20" s="150">
        <v>1655.8</v>
      </c>
      <c r="E20" s="150">
        <v>59088.4</v>
      </c>
      <c r="F20" s="150">
        <v>107627</v>
      </c>
      <c r="G20" s="150">
        <f t="shared" si="0"/>
        <v>48538.6</v>
      </c>
      <c r="H20" s="191">
        <f>G20/E20</f>
        <v>0.8214573418809783</v>
      </c>
    </row>
    <row r="21" spans="1:10" ht="15.75">
      <c r="A21" s="149" t="s">
        <v>160</v>
      </c>
      <c r="B21" s="150">
        <v>21</v>
      </c>
      <c r="C21" s="150">
        <v>1503.03</v>
      </c>
      <c r="D21" s="150">
        <v>2093.65</v>
      </c>
      <c r="E21" s="150">
        <v>31563.7</v>
      </c>
      <c r="F21" s="150">
        <v>43966.65</v>
      </c>
      <c r="G21" s="150">
        <f t="shared" si="0"/>
        <v>12402.95</v>
      </c>
      <c r="H21" s="191">
        <f>G21/E21</f>
        <v>0.39294981260118428</v>
      </c>
      <c r="J21" s="188"/>
    </row>
    <row r="22" spans="1:10" ht="15.75">
      <c r="A22" s="149" t="s">
        <v>161</v>
      </c>
      <c r="B22" s="150">
        <v>66</v>
      </c>
      <c r="C22" s="150">
        <v>557.49</v>
      </c>
      <c r="D22" s="150">
        <v>691.7</v>
      </c>
      <c r="E22" s="150">
        <v>36794.1</v>
      </c>
      <c r="F22" s="150">
        <v>45652.2</v>
      </c>
      <c r="G22" s="150">
        <f t="shared" si="0"/>
        <v>8858.0999999999985</v>
      </c>
      <c r="H22" s="191">
        <f>G22/E22</f>
        <v>0.24074783728913057</v>
      </c>
    </row>
    <row r="23" spans="1:10" ht="15.75">
      <c r="A23" s="149" t="s">
        <v>162</v>
      </c>
      <c r="B23" s="150">
        <v>12</v>
      </c>
      <c r="C23" s="150">
        <v>3474.64</v>
      </c>
      <c r="D23" s="150">
        <v>3716.1</v>
      </c>
      <c r="E23" s="150">
        <v>41695.699999999997</v>
      </c>
      <c r="F23" s="150">
        <v>44593.2</v>
      </c>
      <c r="G23" s="150">
        <f t="shared" si="0"/>
        <v>2897.5</v>
      </c>
      <c r="H23" s="191">
        <f>G23/E23</f>
        <v>6.9491578268262674E-2</v>
      </c>
      <c r="J23" s="188"/>
    </row>
    <row r="24" spans="1:10" ht="15.75">
      <c r="A24" s="149" t="s">
        <v>163</v>
      </c>
      <c r="B24" s="150">
        <v>60</v>
      </c>
      <c r="C24" s="150">
        <v>992.6</v>
      </c>
      <c r="D24" s="150">
        <v>1253.4000000000001</v>
      </c>
      <c r="E24" s="150">
        <v>59555.95</v>
      </c>
      <c r="F24" s="150">
        <v>75204</v>
      </c>
      <c r="G24" s="150">
        <f t="shared" si="0"/>
        <v>15648.050000000003</v>
      </c>
      <c r="H24" s="191">
        <f>G24/E24</f>
        <v>0.26274536801108878</v>
      </c>
      <c r="J24" s="188"/>
    </row>
    <row r="25" spans="1:10" ht="15.75">
      <c r="A25" s="149" t="s">
        <v>164</v>
      </c>
      <c r="B25" s="150">
        <v>7</v>
      </c>
      <c r="C25" s="150">
        <v>3506.83</v>
      </c>
      <c r="D25" s="150">
        <v>7348</v>
      </c>
      <c r="E25" s="150">
        <v>24547.8</v>
      </c>
      <c r="F25" s="150">
        <v>51436</v>
      </c>
      <c r="G25" s="150">
        <f t="shared" si="0"/>
        <v>26888.2</v>
      </c>
      <c r="H25" s="191">
        <f>G25/E25</f>
        <v>1.0953405193133396</v>
      </c>
    </row>
    <row r="26" spans="1:10" ht="15.75">
      <c r="A26" s="149" t="s">
        <v>165</v>
      </c>
      <c r="B26" s="150">
        <v>92</v>
      </c>
      <c r="C26" s="150">
        <v>359.33</v>
      </c>
      <c r="D26" s="150">
        <v>435.69</v>
      </c>
      <c r="E26" s="150">
        <v>33058.28</v>
      </c>
      <c r="F26" s="150">
        <v>40083.480000000003</v>
      </c>
      <c r="G26" s="150">
        <f t="shared" si="0"/>
        <v>7025.2000000000044</v>
      </c>
      <c r="H26" s="191">
        <f>G26/E26</f>
        <v>0.21250954375121769</v>
      </c>
    </row>
    <row r="27" spans="1:10" ht="15.75">
      <c r="A27" s="149" t="s">
        <v>166</v>
      </c>
      <c r="B27" s="150">
        <v>24</v>
      </c>
      <c r="C27" s="150">
        <v>2007.86</v>
      </c>
      <c r="D27" s="150">
        <v>2542.1999999999998</v>
      </c>
      <c r="E27" s="150">
        <v>48188.7</v>
      </c>
      <c r="F27" s="150">
        <v>61012.800000000003</v>
      </c>
      <c r="G27" s="150">
        <f t="shared" si="0"/>
        <v>12824.100000000006</v>
      </c>
      <c r="H27" s="191">
        <f>G27/E27</f>
        <v>0.26612255570289312</v>
      </c>
      <c r="J27" s="188"/>
    </row>
    <row r="28" spans="1:10" ht="15.75">
      <c r="A28" s="149" t="s">
        <v>167</v>
      </c>
      <c r="B28" s="150">
        <v>35</v>
      </c>
      <c r="C28" s="150">
        <v>234.44</v>
      </c>
      <c r="D28" s="150">
        <v>2539.3000000000002</v>
      </c>
      <c r="E28" s="150">
        <v>8205.5300000000007</v>
      </c>
      <c r="F28" s="150">
        <v>88875.5</v>
      </c>
      <c r="G28" s="150">
        <f t="shared" si="0"/>
        <v>80669.97</v>
      </c>
      <c r="H28" s="191">
        <f>G28/E28</f>
        <v>9.8311711735865934</v>
      </c>
      <c r="J28" s="188"/>
    </row>
    <row r="29" spans="1:10" ht="15.75">
      <c r="A29" s="149" t="s">
        <v>168</v>
      </c>
      <c r="B29" s="150">
        <v>42</v>
      </c>
      <c r="C29" s="150">
        <v>664.74</v>
      </c>
      <c r="D29" s="150">
        <v>1501.4</v>
      </c>
      <c r="E29" s="150">
        <v>27918.9</v>
      </c>
      <c r="F29" s="150">
        <v>63058.8</v>
      </c>
      <c r="G29" s="150">
        <f t="shared" si="0"/>
        <v>35139.9</v>
      </c>
      <c r="H29" s="191">
        <f>G29/E29</f>
        <v>1.2586419952075476</v>
      </c>
      <c r="J29" s="188"/>
    </row>
    <row r="30" spans="1:10" ht="15.75">
      <c r="A30" s="149" t="s">
        <v>169</v>
      </c>
      <c r="B30" s="150">
        <v>230</v>
      </c>
      <c r="C30" s="150">
        <v>189.67</v>
      </c>
      <c r="D30" s="150">
        <v>363.2</v>
      </c>
      <c r="E30" s="150">
        <v>43625.2</v>
      </c>
      <c r="F30" s="150">
        <v>83536</v>
      </c>
      <c r="G30" s="150">
        <f t="shared" si="0"/>
        <v>39910.800000000003</v>
      </c>
      <c r="H30" s="191">
        <f>G30/E30</f>
        <v>0.91485655080091333</v>
      </c>
    </row>
    <row r="31" spans="1:10" ht="15.75">
      <c r="A31" s="149" t="s">
        <v>170</v>
      </c>
      <c r="B31" s="150">
        <v>351</v>
      </c>
      <c r="C31" s="150">
        <v>91.3</v>
      </c>
      <c r="D31" s="150">
        <v>266.25</v>
      </c>
      <c r="E31" s="150">
        <v>32046.16</v>
      </c>
      <c r="F31" s="150">
        <v>93453.75</v>
      </c>
      <c r="G31" s="150">
        <f t="shared" si="0"/>
        <v>61407.59</v>
      </c>
      <c r="H31" s="191">
        <f>G31/E31</f>
        <v>1.9162230357709005</v>
      </c>
      <c r="J31" s="188"/>
    </row>
    <row r="32" spans="1:10" ht="15.75">
      <c r="A32" s="149" t="s">
        <v>172</v>
      </c>
      <c r="B32" s="150">
        <v>20</v>
      </c>
      <c r="C32" s="150">
        <v>1600.68</v>
      </c>
      <c r="D32" s="150">
        <v>2022</v>
      </c>
      <c r="E32" s="150">
        <v>32013.55</v>
      </c>
      <c r="F32" s="150">
        <v>40440</v>
      </c>
      <c r="G32" s="150">
        <f t="shared" si="0"/>
        <v>8426.4500000000007</v>
      </c>
      <c r="H32" s="191">
        <f>G32/E32</f>
        <v>0.26321510735298026</v>
      </c>
      <c r="J32" s="188"/>
    </row>
    <row r="33" spans="1:10" ht="15.75">
      <c r="A33" s="149" t="s">
        <v>173</v>
      </c>
      <c r="B33" s="150">
        <v>1200</v>
      </c>
      <c r="C33" s="150">
        <v>81.55</v>
      </c>
      <c r="D33" s="150">
        <v>110.52</v>
      </c>
      <c r="E33" s="150">
        <v>97860.76</v>
      </c>
      <c r="F33" s="150">
        <v>132624</v>
      </c>
      <c r="G33" s="150">
        <f t="shared" si="0"/>
        <v>34763.240000000005</v>
      </c>
      <c r="H33" s="191">
        <f>G33/E33</f>
        <v>0.35523165771449156</v>
      </c>
    </row>
    <row r="34" spans="1:10" ht="15.75">
      <c r="A34" s="149" t="s">
        <v>174</v>
      </c>
      <c r="B34" s="150">
        <v>74</v>
      </c>
      <c r="C34" s="150">
        <v>1149.02</v>
      </c>
      <c r="D34" s="150">
        <v>1635.35</v>
      </c>
      <c r="E34" s="150">
        <v>85027.5</v>
      </c>
      <c r="F34" s="150">
        <v>121015.9</v>
      </c>
      <c r="G34" s="150">
        <f t="shared" si="0"/>
        <v>35988.399999999994</v>
      </c>
      <c r="H34" s="191">
        <f>G34/E34</f>
        <v>0.42325600541001435</v>
      </c>
    </row>
    <row r="35" spans="1:10" ht="15.75">
      <c r="A35" s="149" t="s">
        <v>175</v>
      </c>
      <c r="B35" s="150">
        <v>94</v>
      </c>
      <c r="C35" s="150">
        <v>825.12</v>
      </c>
      <c r="D35" s="150">
        <v>990.75</v>
      </c>
      <c r="E35" s="150">
        <v>77561.5</v>
      </c>
      <c r="F35" s="150">
        <v>93130.5</v>
      </c>
      <c r="G35" s="150">
        <f t="shared" si="0"/>
        <v>15569</v>
      </c>
      <c r="H35" s="191">
        <f>G35/E35</f>
        <v>0.20073103279333174</v>
      </c>
    </row>
    <row r="36" spans="1:10" ht="15.75">
      <c r="A36" s="149" t="s">
        <v>176</v>
      </c>
      <c r="B36" s="150">
        <v>136</v>
      </c>
      <c r="C36" s="150">
        <v>596.66999999999996</v>
      </c>
      <c r="D36" s="150">
        <v>750.1</v>
      </c>
      <c r="E36" s="150">
        <v>81147.75</v>
      </c>
      <c r="F36" s="150">
        <v>102013.6</v>
      </c>
      <c r="G36" s="150">
        <f t="shared" si="0"/>
        <v>20865.850000000006</v>
      </c>
      <c r="H36" s="191">
        <f>G36/E36</f>
        <v>0.25713405485672747</v>
      </c>
      <c r="J36" s="188"/>
    </row>
    <row r="37" spans="1:10" ht="15.75">
      <c r="A37" s="149" t="s">
        <v>177</v>
      </c>
      <c r="B37" s="150">
        <v>10</v>
      </c>
      <c r="C37" s="150">
        <v>3016.79</v>
      </c>
      <c r="D37" s="150">
        <v>5841.5</v>
      </c>
      <c r="E37" s="150">
        <v>30167.85</v>
      </c>
      <c r="F37" s="150">
        <v>58415</v>
      </c>
      <c r="G37" s="150">
        <f t="shared" si="0"/>
        <v>28247.15</v>
      </c>
      <c r="H37" s="191">
        <f>G37/E37</f>
        <v>0.93633288417968141</v>
      </c>
    </row>
    <row r="38" spans="1:10" ht="15.75">
      <c r="A38" s="149" t="s">
        <v>178</v>
      </c>
      <c r="B38" s="150">
        <v>59</v>
      </c>
      <c r="C38" s="150">
        <v>656.47</v>
      </c>
      <c r="D38" s="150">
        <v>1337.25</v>
      </c>
      <c r="E38" s="150">
        <v>38731.699999999997</v>
      </c>
      <c r="F38" s="150">
        <v>78897.75</v>
      </c>
      <c r="G38" s="150">
        <f t="shared" si="0"/>
        <v>40166.050000000003</v>
      </c>
      <c r="H38" s="191">
        <f>G38/E38</f>
        <v>1.0370329729911159</v>
      </c>
      <c r="J38" s="188"/>
    </row>
    <row r="39" spans="1:10" ht="15.75">
      <c r="A39" s="149" t="s">
        <v>179</v>
      </c>
      <c r="B39" s="150">
        <v>54</v>
      </c>
      <c r="C39" s="150">
        <v>1308.5899999999999</v>
      </c>
      <c r="D39" s="150">
        <v>1956.9</v>
      </c>
      <c r="E39" s="150">
        <v>70664.100000000006</v>
      </c>
      <c r="F39" s="150">
        <v>105672.6</v>
      </c>
      <c r="G39" s="150">
        <f t="shared" si="0"/>
        <v>35008.5</v>
      </c>
      <c r="H39" s="191">
        <f>G39/E39</f>
        <v>0.49542129596216461</v>
      </c>
      <c r="J39" s="188"/>
    </row>
    <row r="40" spans="1:10" ht="15.75">
      <c r="A40" s="149" t="s">
        <v>180</v>
      </c>
      <c r="B40" s="150">
        <v>118</v>
      </c>
      <c r="C40" s="150">
        <v>492.05</v>
      </c>
      <c r="D40" s="150">
        <v>674.3</v>
      </c>
      <c r="E40" s="150">
        <v>58062.35</v>
      </c>
      <c r="F40" s="150">
        <v>79567.399999999994</v>
      </c>
      <c r="G40" s="150">
        <f t="shared" si="0"/>
        <v>21505.049999999996</v>
      </c>
      <c r="H40" s="191">
        <f>G40/E40</f>
        <v>0.37037856717821438</v>
      </c>
    </row>
    <row r="41" spans="1:10" ht="15.75">
      <c r="A41" s="149" t="s">
        <v>181</v>
      </c>
      <c r="B41" s="150">
        <v>65</v>
      </c>
      <c r="C41" s="150">
        <v>1576.72</v>
      </c>
      <c r="D41" s="150">
        <v>1629.5</v>
      </c>
      <c r="E41" s="150">
        <v>102486.6</v>
      </c>
      <c r="F41" s="150">
        <v>105917.5</v>
      </c>
      <c r="G41" s="150">
        <f t="shared" si="0"/>
        <v>3430.8999999999942</v>
      </c>
      <c r="H41" s="191">
        <f>G41/E41</f>
        <v>3.3476571571307803E-2</v>
      </c>
      <c r="J41" s="188"/>
    </row>
    <row r="42" spans="1:10" ht="15.75">
      <c r="A42" s="149" t="s">
        <v>182</v>
      </c>
      <c r="B42" s="150">
        <v>788</v>
      </c>
      <c r="C42" s="150">
        <v>206.55</v>
      </c>
      <c r="D42" s="150">
        <v>363.95</v>
      </c>
      <c r="E42" s="150">
        <v>162761.06</v>
      </c>
      <c r="F42" s="150">
        <v>286792.59999999998</v>
      </c>
      <c r="G42" s="150">
        <f t="shared" si="0"/>
        <v>124031.53999999998</v>
      </c>
      <c r="H42" s="191">
        <f>G42/E42</f>
        <v>0.76204676966345619</v>
      </c>
      <c r="J42" s="188"/>
    </row>
    <row r="43" spans="1:10" ht="15.75">
      <c r="A43" s="149" t="s">
        <v>183</v>
      </c>
      <c r="B43" s="150">
        <v>45</v>
      </c>
      <c r="C43" s="150">
        <v>1006.05</v>
      </c>
      <c r="D43" s="150">
        <v>1815</v>
      </c>
      <c r="E43" s="150">
        <v>45272.45</v>
      </c>
      <c r="F43" s="150">
        <v>81675</v>
      </c>
      <c r="G43" s="150">
        <f t="shared" si="0"/>
        <v>36402.550000000003</v>
      </c>
      <c r="H43" s="191">
        <f>G43/E43</f>
        <v>0.80407731412812877</v>
      </c>
      <c r="J43" s="188"/>
    </row>
    <row r="44" spans="1:10" ht="15.75">
      <c r="A44" s="149" t="s">
        <v>184</v>
      </c>
      <c r="B44" s="150">
        <v>304</v>
      </c>
      <c r="C44" s="150">
        <v>108.8</v>
      </c>
      <c r="D44" s="150">
        <v>269.39999999999998</v>
      </c>
      <c r="E44" s="150">
        <v>33076.239999999998</v>
      </c>
      <c r="F44" s="150">
        <v>81897.600000000006</v>
      </c>
      <c r="G44" s="150">
        <f t="shared" si="0"/>
        <v>48821.360000000008</v>
      </c>
      <c r="H44" s="191">
        <f>G44/E44</f>
        <v>1.4760250862855031</v>
      </c>
      <c r="J44" s="188"/>
    </row>
    <row r="45" spans="1:10" ht="15.75">
      <c r="A45" s="149" t="s">
        <v>185</v>
      </c>
      <c r="B45" s="150">
        <v>57</v>
      </c>
      <c r="C45" s="150">
        <v>1778.4</v>
      </c>
      <c r="D45" s="150">
        <v>2217.8000000000002</v>
      </c>
      <c r="E45" s="150">
        <v>101368.55</v>
      </c>
      <c r="F45" s="150">
        <v>126414.6</v>
      </c>
      <c r="G45" s="150">
        <f t="shared" si="0"/>
        <v>25046.050000000003</v>
      </c>
      <c r="H45" s="191">
        <f>G45/E45</f>
        <v>0.24707909899076194</v>
      </c>
      <c r="J45" s="188"/>
    </row>
    <row r="46" spans="1:10" ht="15.75">
      <c r="A46" s="149" t="s">
        <v>186</v>
      </c>
      <c r="B46" s="150">
        <v>80</v>
      </c>
      <c r="C46" s="150">
        <v>814.86</v>
      </c>
      <c r="D46" s="150">
        <v>1163.2</v>
      </c>
      <c r="E46" s="150">
        <v>65188.75</v>
      </c>
      <c r="F46" s="150">
        <v>93056</v>
      </c>
      <c r="G46" s="150">
        <f t="shared" si="0"/>
        <v>27867.25</v>
      </c>
      <c r="H46" s="191">
        <f>G46/E46</f>
        <v>0.42748557074648619</v>
      </c>
    </row>
    <row r="47" spans="1:10" ht="15.75">
      <c r="A47" s="149" t="s">
        <v>187</v>
      </c>
      <c r="B47" s="150">
        <v>40</v>
      </c>
      <c r="C47" s="150">
        <v>1147.69</v>
      </c>
      <c r="D47" s="150">
        <v>1509.8</v>
      </c>
      <c r="E47" s="150">
        <v>45907.6</v>
      </c>
      <c r="F47" s="150">
        <v>60392</v>
      </c>
      <c r="G47" s="150">
        <f t="shared" si="0"/>
        <v>14484.400000000001</v>
      </c>
      <c r="H47" s="191">
        <f>G47/E47</f>
        <v>0.31551202850944077</v>
      </c>
    </row>
    <row r="48" spans="1:10" ht="15.75">
      <c r="A48" s="149" t="s">
        <v>188</v>
      </c>
      <c r="B48" s="150">
        <v>62</v>
      </c>
      <c r="C48" s="150">
        <v>1053.22</v>
      </c>
      <c r="D48" s="150">
        <v>4140.3999999999996</v>
      </c>
      <c r="E48" s="150">
        <v>65299.35</v>
      </c>
      <c r="F48" s="150">
        <v>256704.8</v>
      </c>
      <c r="G48" s="150">
        <f t="shared" si="0"/>
        <v>191405.44999999998</v>
      </c>
      <c r="H48" s="191">
        <f>G48/E48</f>
        <v>2.931199927717504</v>
      </c>
      <c r="J48" s="188"/>
    </row>
    <row r="49" spans="1:10" ht="15.75">
      <c r="A49" s="149" t="s">
        <v>189</v>
      </c>
      <c r="B49" s="150">
        <v>10</v>
      </c>
      <c r="C49" s="150">
        <v>1189.6300000000001</v>
      </c>
      <c r="D49" s="150">
        <v>3761.7</v>
      </c>
      <c r="E49" s="150">
        <v>11896.3</v>
      </c>
      <c r="F49" s="150">
        <v>37617</v>
      </c>
      <c r="G49" s="150">
        <f t="shared" si="0"/>
        <v>25720.7</v>
      </c>
      <c r="H49" s="191">
        <f>G49/E49</f>
        <v>2.1620756033388533</v>
      </c>
    </row>
    <row r="50" spans="1:10" ht="15.75">
      <c r="A50" s="149" t="s">
        <v>190</v>
      </c>
      <c r="B50" s="150">
        <v>28</v>
      </c>
      <c r="C50" s="150">
        <v>2226.31</v>
      </c>
      <c r="D50" s="150">
        <v>2164.6</v>
      </c>
      <c r="E50" s="150">
        <v>62336.7</v>
      </c>
      <c r="F50" s="150">
        <v>60608.800000000003</v>
      </c>
      <c r="G50" s="150">
        <f t="shared" si="0"/>
        <v>-1727.8999999999942</v>
      </c>
      <c r="H50" s="191">
        <f>G50/E50</f>
        <v>-2.7718823742674769E-2</v>
      </c>
      <c r="J50" s="188"/>
    </row>
    <row r="51" spans="1:10" ht="15.75">
      <c r="A51" s="149" t="s">
        <v>191</v>
      </c>
      <c r="B51" s="150">
        <v>73</v>
      </c>
      <c r="C51" s="150">
        <v>523.91</v>
      </c>
      <c r="D51" s="150">
        <v>760.45</v>
      </c>
      <c r="E51" s="150">
        <v>38245.25</v>
      </c>
      <c r="F51" s="150">
        <v>55512.85</v>
      </c>
      <c r="G51" s="150">
        <f t="shared" si="0"/>
        <v>17267.599999999999</v>
      </c>
      <c r="H51" s="191">
        <f>G51/E51</f>
        <v>0.451496591079938</v>
      </c>
    </row>
    <row r="52" spans="1:10" ht="15.75">
      <c r="A52" s="149" t="s">
        <v>192</v>
      </c>
      <c r="B52" s="150">
        <v>73</v>
      </c>
      <c r="C52" s="150">
        <v>735.56</v>
      </c>
      <c r="D52" s="150">
        <v>1673.8</v>
      </c>
      <c r="E52" s="150">
        <v>53696.15</v>
      </c>
      <c r="F52" s="150">
        <v>122187.4</v>
      </c>
      <c r="G52" s="150">
        <f t="shared" si="0"/>
        <v>68491.25</v>
      </c>
      <c r="H52" s="191">
        <f>G52/E52</f>
        <v>1.2755337207602406</v>
      </c>
      <c r="J52" s="188"/>
    </row>
    <row r="53" spans="1:10" ht="15.75">
      <c r="A53" s="149" t="s">
        <v>193</v>
      </c>
      <c r="B53" s="150">
        <v>75</v>
      </c>
      <c r="C53" s="150">
        <v>337.52</v>
      </c>
      <c r="D53" s="150">
        <v>474.01</v>
      </c>
      <c r="E53" s="150">
        <v>25314.17</v>
      </c>
      <c r="F53" s="150">
        <v>35550.75</v>
      </c>
      <c r="G53" s="150">
        <f t="shared" si="0"/>
        <v>10236.580000000002</v>
      </c>
      <c r="H53" s="191">
        <f>G53/E53</f>
        <v>0.40438141957646656</v>
      </c>
      <c r="J53" s="188"/>
    </row>
    <row r="54" spans="1:10" ht="15.75">
      <c r="A54" s="149" t="s">
        <v>194</v>
      </c>
      <c r="B54" s="150">
        <v>285</v>
      </c>
      <c r="C54" s="150">
        <v>51.08</v>
      </c>
      <c r="D54" s="150">
        <v>122.52</v>
      </c>
      <c r="E54" s="150">
        <v>14558.98</v>
      </c>
      <c r="F54" s="150">
        <v>34918.199999999997</v>
      </c>
      <c r="G54" s="150">
        <f t="shared" si="0"/>
        <v>20359.219999999998</v>
      </c>
      <c r="H54" s="191">
        <f>G54/E54</f>
        <v>1.3983960414809278</v>
      </c>
      <c r="J54" s="188"/>
    </row>
    <row r="55" spans="1:10" ht="15.75">
      <c r="A55" s="149" t="s">
        <v>195</v>
      </c>
      <c r="B55" s="150">
        <v>33</v>
      </c>
      <c r="C55" s="150">
        <v>2284.62</v>
      </c>
      <c r="D55" s="150">
        <v>2828.6</v>
      </c>
      <c r="E55" s="150">
        <v>75392.600000000006</v>
      </c>
      <c r="F55" s="150">
        <v>93343.8</v>
      </c>
      <c r="G55" s="150">
        <f t="shared" si="0"/>
        <v>17951.199999999997</v>
      </c>
      <c r="H55" s="191">
        <f>G55/E55</f>
        <v>0.2381029437902393</v>
      </c>
      <c r="J55" s="188"/>
    </row>
    <row r="56" spans="1:10" ht="15.75">
      <c r="A56" s="149" t="s">
        <v>196</v>
      </c>
      <c r="B56" s="150">
        <v>18</v>
      </c>
      <c r="C56" s="150">
        <v>1081.33</v>
      </c>
      <c r="D56" s="150">
        <v>1295</v>
      </c>
      <c r="E56" s="150">
        <v>19463.849999999999</v>
      </c>
      <c r="F56" s="150">
        <v>23310</v>
      </c>
      <c r="G56" s="150">
        <f t="shared" si="0"/>
        <v>3846.1500000000015</v>
      </c>
      <c r="H56" s="191">
        <f>G56/E56</f>
        <v>0.19760479041916176</v>
      </c>
      <c r="J56" s="188"/>
    </row>
    <row r="57" spans="1:10" ht="15.75">
      <c r="A57" s="149" t="s">
        <v>197</v>
      </c>
      <c r="B57" s="150">
        <v>207</v>
      </c>
      <c r="C57" s="150">
        <v>127.65</v>
      </c>
      <c r="D57" s="150">
        <v>157.80000000000001</v>
      </c>
      <c r="E57" s="150">
        <v>26423.5</v>
      </c>
      <c r="F57" s="150">
        <v>32664.6</v>
      </c>
      <c r="G57" s="150">
        <f t="shared" si="0"/>
        <v>6241.0999999999985</v>
      </c>
      <c r="H57" s="191">
        <f>G57/E57</f>
        <v>0.2361950536454292</v>
      </c>
      <c r="J57" s="188"/>
    </row>
    <row r="58" spans="1:10" ht="15.75">
      <c r="A58" s="149" t="s">
        <v>198</v>
      </c>
      <c r="B58" s="150">
        <v>80</v>
      </c>
      <c r="C58" s="150">
        <v>621.89</v>
      </c>
      <c r="D58" s="150">
        <v>1701</v>
      </c>
      <c r="E58" s="150">
        <v>49751.05</v>
      </c>
      <c r="F58" s="150">
        <v>136080</v>
      </c>
      <c r="G58" s="150">
        <f t="shared" si="0"/>
        <v>86328.95</v>
      </c>
      <c r="H58" s="191">
        <f>G58/E58</f>
        <v>1.7352186536766558</v>
      </c>
      <c r="J58" s="188"/>
    </row>
    <row r="59" spans="1:10" ht="15.75">
      <c r="A59" s="149" t="s">
        <v>199</v>
      </c>
      <c r="B59" s="150">
        <v>10</v>
      </c>
      <c r="C59" s="150">
        <v>4342.57</v>
      </c>
      <c r="D59" s="150">
        <v>7691.55</v>
      </c>
      <c r="E59" s="150">
        <v>43425.7</v>
      </c>
      <c r="F59" s="150">
        <v>76915.5</v>
      </c>
      <c r="G59" s="150">
        <f t="shared" si="0"/>
        <v>33489.800000000003</v>
      </c>
      <c r="H59" s="191">
        <f>G59/E59</f>
        <v>0.7711977009006189</v>
      </c>
    </row>
    <row r="60" spans="1:10" ht="15.75">
      <c r="A60" s="149" t="s">
        <v>200</v>
      </c>
      <c r="B60" s="150">
        <v>300</v>
      </c>
      <c r="C60" s="150">
        <v>82.33</v>
      </c>
      <c r="D60" s="150">
        <v>237.94</v>
      </c>
      <c r="E60" s="150">
        <v>24700</v>
      </c>
      <c r="F60" s="150">
        <v>71382</v>
      </c>
      <c r="G60" s="150">
        <f t="shared" si="0"/>
        <v>46682</v>
      </c>
      <c r="H60" s="191">
        <f>G60/E60</f>
        <v>1.8899595141700405</v>
      </c>
      <c r="J60" s="188"/>
    </row>
    <row r="61" spans="1:10" ht="15.75">
      <c r="A61" s="149" t="s">
        <v>201</v>
      </c>
      <c r="B61" s="150">
        <v>16</v>
      </c>
      <c r="C61" s="150">
        <v>2003.97</v>
      </c>
      <c r="D61" s="150">
        <v>6282.5</v>
      </c>
      <c r="E61" s="150">
        <v>32063.45</v>
      </c>
      <c r="F61" s="150">
        <v>100520</v>
      </c>
      <c r="G61" s="150">
        <f t="shared" si="0"/>
        <v>68456.55</v>
      </c>
      <c r="H61" s="191">
        <f>G61/E61</f>
        <v>2.135033815762184</v>
      </c>
    </row>
    <row r="62" spans="1:10" ht="15.75">
      <c r="A62" s="149" t="s">
        <v>202</v>
      </c>
      <c r="B62" s="150">
        <v>31</v>
      </c>
      <c r="C62" s="150">
        <v>603.24</v>
      </c>
      <c r="D62" s="150">
        <v>1869.6</v>
      </c>
      <c r="E62" s="150">
        <v>18700.45</v>
      </c>
      <c r="F62" s="150">
        <v>57957.599999999999</v>
      </c>
      <c r="G62" s="150">
        <f t="shared" si="0"/>
        <v>39257.149999999994</v>
      </c>
      <c r="H62" s="191">
        <f>G62/E62</f>
        <v>2.0992623172169651</v>
      </c>
      <c r="J62" s="188"/>
    </row>
    <row r="63" spans="1:10" ht="15.75">
      <c r="A63" s="149" t="s">
        <v>203</v>
      </c>
      <c r="B63" s="150">
        <v>60</v>
      </c>
      <c r="C63" s="150">
        <v>1249.57</v>
      </c>
      <c r="D63" s="150">
        <v>1469.3</v>
      </c>
      <c r="E63" s="150">
        <v>74974.350000000006</v>
      </c>
      <c r="F63" s="150">
        <v>88158</v>
      </c>
      <c r="G63" s="150">
        <f t="shared" si="0"/>
        <v>13183.649999999994</v>
      </c>
      <c r="H63" s="191">
        <f>G63/E63</f>
        <v>0.17584213801119974</v>
      </c>
      <c r="J63" s="188"/>
    </row>
    <row r="64" spans="1:10" ht="16.5">
      <c r="A64" s="149" t="s">
        <v>204</v>
      </c>
      <c r="B64" s="150">
        <v>33</v>
      </c>
      <c r="C64" s="150">
        <v>761.09</v>
      </c>
      <c r="D64" s="150">
        <v>1604.1</v>
      </c>
      <c r="E64" s="150">
        <v>25116</v>
      </c>
      <c r="F64" s="150">
        <v>52935.3</v>
      </c>
      <c r="G64" s="150">
        <f t="shared" si="0"/>
        <v>27819.300000000003</v>
      </c>
      <c r="H64" s="191"/>
    </row>
    <row r="65" spans="1:10" ht="15.75">
      <c r="A65" s="149" t="s">
        <v>206</v>
      </c>
      <c r="B65" s="150">
        <v>54</v>
      </c>
      <c r="C65" s="150">
        <v>1278.8599999999999</v>
      </c>
      <c r="D65" s="150">
        <v>2040.4</v>
      </c>
      <c r="E65" s="150">
        <v>69058.3</v>
      </c>
      <c r="F65" s="150">
        <v>110181.6</v>
      </c>
      <c r="G65" s="150">
        <f t="shared" si="0"/>
        <v>41123.300000000003</v>
      </c>
      <c r="H65" s="191">
        <f>G65/E65</f>
        <v>0.59548671195207525</v>
      </c>
      <c r="J65" s="188"/>
    </row>
    <row r="66" spans="1:10" ht="15.75">
      <c r="A66" s="149" t="s">
        <v>207</v>
      </c>
      <c r="B66" s="150">
        <v>66</v>
      </c>
      <c r="C66" s="150">
        <v>426.28</v>
      </c>
      <c r="D66" s="150">
        <v>984.7</v>
      </c>
      <c r="E66" s="150">
        <v>28134.5</v>
      </c>
      <c r="F66" s="150">
        <v>64990.2</v>
      </c>
      <c r="G66" s="150">
        <f t="shared" si="0"/>
        <v>36855.699999999997</v>
      </c>
      <c r="H66" s="191">
        <f>G66/E66</f>
        <v>1.3099824059428815</v>
      </c>
    </row>
    <row r="67" spans="1:10" ht="15.75">
      <c r="A67" s="149" t="s">
        <v>262</v>
      </c>
      <c r="B67" s="150">
        <v>10</v>
      </c>
      <c r="C67" s="150">
        <v>5284</v>
      </c>
      <c r="D67" s="150">
        <v>14634.04</v>
      </c>
      <c r="E67" s="150">
        <v>52840</v>
      </c>
      <c r="F67" s="150">
        <v>146340.4</v>
      </c>
      <c r="G67" s="150">
        <f t="shared" ref="G67:G87" si="1">F67-E67</f>
        <v>93500.4</v>
      </c>
      <c r="H67" s="191">
        <f>G67/E67</f>
        <v>1.7695003785011354</v>
      </c>
      <c r="J67" s="188"/>
    </row>
    <row r="68" spans="1:10" ht="15.75">
      <c r="A68" s="149" t="s">
        <v>260</v>
      </c>
      <c r="B68" s="150">
        <v>5</v>
      </c>
      <c r="C68" s="150">
        <v>4802</v>
      </c>
      <c r="D68" s="150">
        <v>14376</v>
      </c>
      <c r="E68" s="150">
        <v>24010</v>
      </c>
      <c r="F68" s="150">
        <v>71880</v>
      </c>
      <c r="G68" s="150">
        <f t="shared" si="1"/>
        <v>47870</v>
      </c>
      <c r="H68" s="191">
        <f>G68/E68</f>
        <v>1.9937526030820492</v>
      </c>
      <c r="J68" s="188"/>
    </row>
    <row r="69" spans="1:10" ht="15.75">
      <c r="A69" s="149" t="s">
        <v>261</v>
      </c>
      <c r="B69" s="150">
        <v>10</v>
      </c>
      <c r="C69" s="150">
        <v>5002.45</v>
      </c>
      <c r="D69" s="150">
        <v>14411</v>
      </c>
      <c r="E69" s="150">
        <v>50024.5</v>
      </c>
      <c r="F69" s="150">
        <v>144110</v>
      </c>
      <c r="G69" s="150">
        <f t="shared" si="1"/>
        <v>94085.5</v>
      </c>
      <c r="H69" s="191">
        <f>G69/E69</f>
        <v>1.8807884136772981</v>
      </c>
      <c r="J69" s="188"/>
    </row>
    <row r="70" spans="1:10" ht="15.75">
      <c r="A70" s="149" t="s">
        <v>211</v>
      </c>
      <c r="B70" s="150">
        <v>35</v>
      </c>
      <c r="C70" s="150">
        <v>749.79</v>
      </c>
      <c r="D70" s="150">
        <v>3091.3</v>
      </c>
      <c r="E70" s="150">
        <v>26242.52</v>
      </c>
      <c r="F70" s="150">
        <v>108195.5</v>
      </c>
      <c r="G70" s="150">
        <f t="shared" si="1"/>
        <v>81952.98</v>
      </c>
      <c r="H70" s="191">
        <f>G70/E70</f>
        <v>3.1229081658316349</v>
      </c>
      <c r="J70" s="188"/>
    </row>
    <row r="71" spans="1:10" ht="15.75">
      <c r="A71" s="149" t="s">
        <v>212</v>
      </c>
      <c r="B71" s="150">
        <v>139</v>
      </c>
      <c r="C71" s="150">
        <v>582.57000000000005</v>
      </c>
      <c r="D71" s="150">
        <v>1726.8</v>
      </c>
      <c r="E71" s="150">
        <v>80977.149999999994</v>
      </c>
      <c r="F71" s="150">
        <v>240025.2</v>
      </c>
      <c r="G71" s="150">
        <f t="shared" si="1"/>
        <v>159048.05000000002</v>
      </c>
      <c r="H71" s="191">
        <f>G71/E71</f>
        <v>1.9641102459150517</v>
      </c>
      <c r="J71" s="188"/>
    </row>
    <row r="72" spans="1:10" ht="15.75">
      <c r="A72" s="149" t="s">
        <v>213</v>
      </c>
      <c r="B72" s="150">
        <v>75</v>
      </c>
      <c r="C72" s="150">
        <v>581.84</v>
      </c>
      <c r="D72" s="150">
        <v>650.20000000000005</v>
      </c>
      <c r="E72" s="150">
        <v>43638</v>
      </c>
      <c r="F72" s="150">
        <v>48765</v>
      </c>
      <c r="G72" s="150">
        <f t="shared" si="1"/>
        <v>5127</v>
      </c>
      <c r="H72" s="191">
        <f>G72/E72</f>
        <v>0.11748934414959439</v>
      </c>
      <c r="J72" s="188"/>
    </row>
    <row r="73" spans="1:10" ht="15.75">
      <c r="A73" s="149" t="s">
        <v>214</v>
      </c>
      <c r="B73" s="150">
        <v>46</v>
      </c>
      <c r="C73" s="150">
        <v>794.51</v>
      </c>
      <c r="D73" s="150">
        <v>1177.1500000000001</v>
      </c>
      <c r="E73" s="150">
        <v>36547.300000000003</v>
      </c>
      <c r="F73" s="150">
        <v>54148.9</v>
      </c>
      <c r="G73" s="150">
        <f t="shared" si="1"/>
        <v>17601.599999999999</v>
      </c>
      <c r="H73" s="191">
        <f>G73/E73</f>
        <v>0.48161150071277486</v>
      </c>
    </row>
    <row r="74" spans="1:10" ht="15.75">
      <c r="A74" s="149" t="s">
        <v>215</v>
      </c>
      <c r="B74" s="150">
        <v>1050</v>
      </c>
      <c r="C74" s="150">
        <v>40.479999999999997</v>
      </c>
      <c r="D74" s="150">
        <v>181.89</v>
      </c>
      <c r="E74" s="150">
        <v>42500.25</v>
      </c>
      <c r="F74" s="150">
        <v>190984.5</v>
      </c>
      <c r="G74" s="150">
        <f t="shared" si="1"/>
        <v>148484.25</v>
      </c>
      <c r="H74" s="191">
        <f>G74/E74</f>
        <v>3.4937265074911323</v>
      </c>
      <c r="J74" s="188"/>
    </row>
    <row r="75" spans="1:10" ht="15.75">
      <c r="A75" s="149" t="s">
        <v>216</v>
      </c>
      <c r="B75" s="150">
        <v>33</v>
      </c>
      <c r="C75" s="150">
        <v>3575.9</v>
      </c>
      <c r="D75" s="150">
        <v>3227.4</v>
      </c>
      <c r="E75" s="150">
        <v>118004.55</v>
      </c>
      <c r="F75" s="150">
        <v>106504.2</v>
      </c>
      <c r="G75" s="150">
        <f t="shared" si="1"/>
        <v>-11500.350000000006</v>
      </c>
      <c r="H75" s="191">
        <f>G75/E75</f>
        <v>-9.7456835350840335E-2</v>
      </c>
      <c r="J75" s="188"/>
    </row>
    <row r="76" spans="1:10" ht="15.75">
      <c r="A76" s="149" t="s">
        <v>217</v>
      </c>
      <c r="B76" s="150">
        <v>24</v>
      </c>
      <c r="C76" s="150">
        <v>2584.4</v>
      </c>
      <c r="D76" s="150">
        <v>4049.3</v>
      </c>
      <c r="E76" s="150">
        <v>62025.599999999999</v>
      </c>
      <c r="F76" s="150">
        <v>97183.2</v>
      </c>
      <c r="G76" s="150">
        <f t="shared" si="1"/>
        <v>35157.599999999999</v>
      </c>
      <c r="H76" s="191">
        <f>G76/E76</f>
        <v>0.56682402104937313</v>
      </c>
      <c r="J76" s="188"/>
    </row>
    <row r="77" spans="1:10" ht="15.75">
      <c r="A77" s="149" t="s">
        <v>219</v>
      </c>
      <c r="B77" s="150">
        <v>14</v>
      </c>
      <c r="C77" s="150">
        <v>2306.8200000000002</v>
      </c>
      <c r="D77" s="150">
        <v>3794.4</v>
      </c>
      <c r="E77" s="150">
        <v>32295.45</v>
      </c>
      <c r="F77" s="150">
        <v>53121.599999999999</v>
      </c>
      <c r="G77" s="150">
        <f t="shared" si="1"/>
        <v>20826.149999999998</v>
      </c>
      <c r="H77" s="191">
        <f>G77/E77</f>
        <v>0.6448632856950437</v>
      </c>
    </row>
    <row r="78" spans="1:10" ht="15.75">
      <c r="A78" s="149" t="s">
        <v>220</v>
      </c>
      <c r="B78" s="150">
        <v>30</v>
      </c>
      <c r="C78" s="150">
        <v>373.77</v>
      </c>
      <c r="D78" s="150">
        <v>1286.7</v>
      </c>
      <c r="E78" s="150">
        <v>11213.05</v>
      </c>
      <c r="F78" s="150">
        <v>38601</v>
      </c>
      <c r="G78" s="150">
        <f t="shared" si="1"/>
        <v>27387.95</v>
      </c>
      <c r="H78" s="191">
        <f>G78/E78</f>
        <v>2.442506722078293</v>
      </c>
    </row>
    <row r="79" spans="1:10" ht="15.75">
      <c r="A79" s="149" t="s">
        <v>221</v>
      </c>
      <c r="B79" s="150">
        <v>110</v>
      </c>
      <c r="C79" s="150">
        <v>130.18</v>
      </c>
      <c r="D79" s="150">
        <v>491.55</v>
      </c>
      <c r="E79" s="150">
        <v>14319.65</v>
      </c>
      <c r="F79" s="150">
        <v>54070.5</v>
      </c>
      <c r="G79" s="150">
        <f t="shared" si="1"/>
        <v>39750.85</v>
      </c>
      <c r="H79" s="191">
        <f>G79/E79</f>
        <v>2.7759651946800377</v>
      </c>
    </row>
    <row r="80" spans="1:10" ht="15.75">
      <c r="A80" s="149" t="s">
        <v>222</v>
      </c>
      <c r="B80" s="150">
        <v>54</v>
      </c>
      <c r="C80" s="150">
        <v>896.15</v>
      </c>
      <c r="D80" s="150">
        <v>914.55</v>
      </c>
      <c r="E80" s="150">
        <v>48392.1</v>
      </c>
      <c r="F80" s="150">
        <v>49385.7</v>
      </c>
      <c r="G80" s="150">
        <f t="shared" si="1"/>
        <v>993.59999999999854</v>
      </c>
      <c r="H80" s="191">
        <f>G80/E80</f>
        <v>2.0532276962562043E-2</v>
      </c>
      <c r="J80" s="188"/>
    </row>
    <row r="81" spans="1:10" ht="16.5">
      <c r="A81" s="149"/>
      <c r="B81" s="150"/>
      <c r="C81" s="150"/>
      <c r="D81" s="150"/>
      <c r="E81" s="150"/>
      <c r="F81" s="150"/>
      <c r="G81" s="150"/>
      <c r="H81" s="191"/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17577</v>
      </c>
      <c r="C104" s="45"/>
      <c r="D104" s="45"/>
      <c r="E104" s="45">
        <f>SUM(E2:E103)</f>
        <v>4020945.4200000004</v>
      </c>
      <c r="F104" s="45">
        <f>SUM(F2:F103)</f>
        <v>7368802.1299999999</v>
      </c>
      <c r="G104" s="45">
        <f>SUM(G2:G103)</f>
        <v>3347856.71</v>
      </c>
      <c r="H104" s="176">
        <f>G104/E104</f>
        <v>0.83260436546786043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4E5F-274A-4088-91BE-C098C082F600}">
  <dimension ref="A1:J22"/>
  <sheetViews>
    <sheetView workbookViewId="0">
      <pane xSplit="2" ySplit="1" topLeftCell="E9" activePane="bottomRight" state="frozen"/>
      <selection pane="bottomRight" activeCell="G9" sqref="G9"/>
      <selection pane="bottomLeft"/>
      <selection pane="topRight"/>
    </sheetView>
  </sheetViews>
  <sheetFormatPr defaultColWidth="8.7109375" defaultRowHeight="1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76822.474000000002</v>
      </c>
      <c r="D2">
        <v>10.53</v>
      </c>
      <c r="E2">
        <v>8.4619</v>
      </c>
      <c r="F2" s="170">
        <v>650067.49879999994</v>
      </c>
      <c r="G2" s="170">
        <v>808940.65119999996</v>
      </c>
      <c r="H2" s="170">
        <v>158873.15239999999</v>
      </c>
      <c r="I2" s="192">
        <f>H2/F2</f>
        <v>0.24439485544697101</v>
      </c>
    </row>
    <row r="3" spans="1:9">
      <c r="A3" s="168" t="s">
        <v>234</v>
      </c>
      <c r="B3" s="210" t="s">
        <v>235</v>
      </c>
      <c r="C3" s="188">
        <v>4080.9659999999999</v>
      </c>
      <c r="D3">
        <v>132.07</v>
      </c>
      <c r="E3">
        <v>68.607799999999997</v>
      </c>
      <c r="F3" s="170">
        <v>279986.10960000003</v>
      </c>
      <c r="G3" s="170">
        <v>538973.17960000003</v>
      </c>
      <c r="H3" s="170">
        <v>258987.07010000001</v>
      </c>
      <c r="I3" s="192">
        <f t="shared" ref="I3:I22" si="0">H3/F3</f>
        <v>0.92499970969988432</v>
      </c>
    </row>
    <row r="4" spans="1:9">
      <c r="A4" s="168" t="s">
        <v>236</v>
      </c>
      <c r="B4" s="210" t="s">
        <v>237</v>
      </c>
      <c r="C4" s="188">
        <v>14235.332</v>
      </c>
      <c r="D4">
        <v>121.63</v>
      </c>
      <c r="E4">
        <v>47.766100000000002</v>
      </c>
      <c r="F4" s="170">
        <v>679966.92570000002</v>
      </c>
      <c r="G4" s="170">
        <v>1731443.4312</v>
      </c>
      <c r="H4" s="170">
        <v>1051476.5055</v>
      </c>
      <c r="I4" s="192">
        <f t="shared" si="0"/>
        <v>1.5463641917841005</v>
      </c>
    </row>
    <row r="5" spans="1:9">
      <c r="A5" s="168" t="s">
        <v>238</v>
      </c>
      <c r="B5" s="210" t="s">
        <v>237</v>
      </c>
      <c r="C5" s="188">
        <v>30844.641</v>
      </c>
      <c r="D5">
        <v>42.69</v>
      </c>
      <c r="E5">
        <v>33.229399999999998</v>
      </c>
      <c r="F5" s="170">
        <v>1024948.7568</v>
      </c>
      <c r="G5" s="170">
        <v>1316757.7242999999</v>
      </c>
      <c r="H5" s="170">
        <v>291808.96750000003</v>
      </c>
      <c r="I5" s="192">
        <f t="shared" si="0"/>
        <v>0.28470590901642628</v>
      </c>
    </row>
    <row r="6" spans="1:9">
      <c r="A6" s="168" t="s">
        <v>239</v>
      </c>
      <c r="B6" s="210" t="s">
        <v>233</v>
      </c>
      <c r="C6" s="188">
        <v>16342.597</v>
      </c>
      <c r="D6">
        <v>34.612099999999998</v>
      </c>
      <c r="E6">
        <v>28.757899999999999</v>
      </c>
      <c r="F6" s="170">
        <v>469978.56809999997</v>
      </c>
      <c r="G6" s="170">
        <v>565651.60160000005</v>
      </c>
      <c r="H6" s="170">
        <v>95673.033500000005</v>
      </c>
      <c r="I6" s="192">
        <f t="shared" si="0"/>
        <v>0.20356892844450541</v>
      </c>
    </row>
    <row r="7" spans="1:9">
      <c r="A7" s="168" t="s">
        <v>240</v>
      </c>
      <c r="B7" s="210" t="s">
        <v>241</v>
      </c>
      <c r="C7" s="188">
        <v>1432.146</v>
      </c>
      <c r="D7">
        <v>810.32619999999997</v>
      </c>
      <c r="E7">
        <v>375.62029999999999</v>
      </c>
      <c r="F7" s="170">
        <v>537943.16399999999</v>
      </c>
      <c r="G7" s="170">
        <v>1160505.426</v>
      </c>
      <c r="H7" s="170">
        <v>622562.26199999999</v>
      </c>
      <c r="I7" s="192">
        <f t="shared" si="0"/>
        <v>1.1573011865617833</v>
      </c>
    </row>
    <row r="8" spans="1:9">
      <c r="A8" s="168" t="s">
        <v>242</v>
      </c>
      <c r="B8" s="210" t="s">
        <v>237</v>
      </c>
      <c r="C8" s="188">
        <v>4306.576</v>
      </c>
      <c r="D8">
        <v>157.89400000000001</v>
      </c>
      <c r="E8">
        <v>44.3917</v>
      </c>
      <c r="F8" s="170">
        <v>191176.2298</v>
      </c>
      <c r="G8" s="170">
        <v>679982.51089999999</v>
      </c>
      <c r="H8" s="170">
        <v>488806.28110000002</v>
      </c>
      <c r="I8" s="192">
        <f t="shared" si="0"/>
        <v>2.5568360753393202</v>
      </c>
    </row>
    <row r="9" spans="1:9">
      <c r="A9" s="168" t="s">
        <v>243</v>
      </c>
      <c r="B9" s="210" t="s">
        <v>235</v>
      </c>
      <c r="C9" s="188">
        <v>6304.4930000000004</v>
      </c>
      <c r="D9">
        <v>158.834</v>
      </c>
      <c r="E9">
        <v>51.311199999999999</v>
      </c>
      <c r="F9" s="170">
        <v>323491.23479999998</v>
      </c>
      <c r="G9" s="170">
        <v>1001367.8412</v>
      </c>
      <c r="H9" s="170">
        <v>677876.60640000005</v>
      </c>
      <c r="I9" s="192">
        <f t="shared" si="0"/>
        <v>2.0955022377008161</v>
      </c>
    </row>
    <row r="10" spans="1:9">
      <c r="A10" s="168" t="s">
        <v>244</v>
      </c>
      <c r="B10" s="210" t="s">
        <v>233</v>
      </c>
      <c r="C10" s="188">
        <v>13136.35</v>
      </c>
      <c r="D10">
        <v>48.9253</v>
      </c>
      <c r="E10">
        <v>29.687100000000001</v>
      </c>
      <c r="F10" s="170">
        <v>389980.446</v>
      </c>
      <c r="G10" s="170">
        <v>642699.86470000003</v>
      </c>
      <c r="H10" s="170">
        <v>252719.41870000001</v>
      </c>
      <c r="I10" s="192">
        <f t="shared" si="0"/>
        <v>0.64803100076458708</v>
      </c>
    </row>
    <row r="11" spans="1:9">
      <c r="A11" s="168" t="s">
        <v>245</v>
      </c>
      <c r="B11" s="210" t="s">
        <v>233</v>
      </c>
      <c r="C11" s="188">
        <v>82131.043999999994</v>
      </c>
      <c r="D11">
        <v>20.407299999999999</v>
      </c>
      <c r="E11">
        <v>9.9227000000000007</v>
      </c>
      <c r="F11" s="170">
        <v>814959.2439</v>
      </c>
      <c r="G11" s="170">
        <v>1676072.8541999999</v>
      </c>
      <c r="H11" s="170">
        <v>861113.61029999994</v>
      </c>
      <c r="I11" s="192">
        <f t="shared" si="0"/>
        <v>1.0566339565388909</v>
      </c>
    </row>
    <row r="12" spans="1:9">
      <c r="A12" s="168" t="s">
        <v>246</v>
      </c>
      <c r="B12" s="210" t="s">
        <v>241</v>
      </c>
      <c r="C12" s="188">
        <v>84098.658500000005</v>
      </c>
      <c r="D12">
        <v>17.117100000000001</v>
      </c>
      <c r="E12">
        <v>13.2042</v>
      </c>
      <c r="F12" s="170">
        <v>1110455.0220000001</v>
      </c>
      <c r="G12" s="170">
        <v>1439525.1473999999</v>
      </c>
      <c r="H12" s="170">
        <v>329070.12540000002</v>
      </c>
      <c r="I12" s="192">
        <f t="shared" si="0"/>
        <v>0.29633809463738908</v>
      </c>
    </row>
    <row r="13" spans="1:9">
      <c r="A13" s="168" t="s">
        <v>247</v>
      </c>
      <c r="B13" s="210" t="s">
        <v>241</v>
      </c>
      <c r="C13" s="188">
        <v>46779.584000000003</v>
      </c>
      <c r="D13">
        <v>16.464500000000001</v>
      </c>
      <c r="E13">
        <v>14.1187</v>
      </c>
      <c r="F13" s="170">
        <v>660466.97759999998</v>
      </c>
      <c r="G13" s="170">
        <v>770202.4608</v>
      </c>
      <c r="H13" s="170">
        <v>109735.4832</v>
      </c>
      <c r="I13" s="192">
        <f t="shared" si="0"/>
        <v>0.16614832674716909</v>
      </c>
    </row>
    <row r="14" spans="1:9">
      <c r="A14" s="168" t="s">
        <v>248</v>
      </c>
      <c r="B14" s="210" t="s">
        <v>249</v>
      </c>
      <c r="C14" s="188">
        <v>47411.601999999999</v>
      </c>
      <c r="D14">
        <v>10.2782</v>
      </c>
      <c r="E14">
        <v>9.5122</v>
      </c>
      <c r="F14" s="170">
        <v>450987.86700000003</v>
      </c>
      <c r="G14" s="170">
        <v>487305.9277</v>
      </c>
      <c r="H14" s="170">
        <v>36318.060700000002</v>
      </c>
      <c r="I14" s="192">
        <f t="shared" si="0"/>
        <v>8.0530017229931375E-2</v>
      </c>
    </row>
    <row r="15" spans="1:9">
      <c r="A15" s="168" t="s">
        <v>250</v>
      </c>
      <c r="B15" s="210" t="s">
        <v>251</v>
      </c>
      <c r="C15" s="188">
        <v>19397.659</v>
      </c>
      <c r="D15">
        <v>95.170900000000003</v>
      </c>
      <c r="E15">
        <v>44.640599999999999</v>
      </c>
      <c r="F15" s="170">
        <v>865923.00470000005</v>
      </c>
      <c r="G15" s="170">
        <v>1846092.6649</v>
      </c>
      <c r="H15" s="170">
        <v>980169.66029999999</v>
      </c>
      <c r="I15" s="192">
        <f t="shared" si="0"/>
        <v>1.1319362749111634</v>
      </c>
    </row>
    <row r="16" spans="1:9">
      <c r="A16" s="168" t="s">
        <v>252</v>
      </c>
      <c r="B16" s="210" t="s">
        <v>233</v>
      </c>
      <c r="C16" s="188">
        <v>6809.741</v>
      </c>
      <c r="D16">
        <v>52.97</v>
      </c>
      <c r="E16">
        <v>35.241999999999997</v>
      </c>
      <c r="F16" s="170">
        <v>239988.8371</v>
      </c>
      <c r="G16" s="170">
        <v>360711.98080000002</v>
      </c>
      <c r="H16" s="170">
        <v>120723.1437</v>
      </c>
      <c r="I16" s="192">
        <f t="shared" si="0"/>
        <v>0.50303649602542289</v>
      </c>
    </row>
    <row r="17" spans="1:10">
      <c r="A17" s="168" t="s">
        <v>253</v>
      </c>
      <c r="B17" s="210" t="s">
        <v>235</v>
      </c>
      <c r="C17" s="188">
        <v>5481.1360000000004</v>
      </c>
      <c r="D17">
        <v>235.50630000000001</v>
      </c>
      <c r="E17">
        <v>200.74350000000001</v>
      </c>
      <c r="F17" s="170">
        <v>1100302.2501999999</v>
      </c>
      <c r="G17" s="170">
        <v>1290842.0592</v>
      </c>
      <c r="H17" s="170">
        <v>190539.8089</v>
      </c>
      <c r="I17" s="192">
        <f t="shared" si="0"/>
        <v>0.17317042554931242</v>
      </c>
    </row>
    <row r="18" spans="1:10">
      <c r="A18" s="168" t="s">
        <v>254</v>
      </c>
      <c r="B18" s="210" t="s">
        <v>237</v>
      </c>
      <c r="C18" s="188">
        <v>1065.8030000000001</v>
      </c>
      <c r="D18">
        <v>276.76639999999998</v>
      </c>
      <c r="E18">
        <v>267.39069999999998</v>
      </c>
      <c r="F18" s="170">
        <v>284985.83419999998</v>
      </c>
      <c r="G18" s="170">
        <v>294978.45939999999</v>
      </c>
      <c r="H18" s="170">
        <v>9992.6252000000004</v>
      </c>
      <c r="I18" s="192">
        <f t="shared" si="0"/>
        <v>3.5063585627162379E-2</v>
      </c>
    </row>
    <row r="19" spans="1:10">
      <c r="A19" s="168" t="s">
        <v>255</v>
      </c>
      <c r="B19" s="210" t="s">
        <v>241</v>
      </c>
      <c r="C19" s="188">
        <v>18996.168000000001</v>
      </c>
      <c r="D19">
        <v>25.637899999999998</v>
      </c>
      <c r="E19">
        <v>9.4700000000000006</v>
      </c>
      <c r="F19" s="170">
        <v>179893.71100000001</v>
      </c>
      <c r="G19" s="170">
        <v>487021.85560000001</v>
      </c>
      <c r="H19" s="170">
        <v>307128.1446</v>
      </c>
      <c r="I19" s="192">
        <f t="shared" si="0"/>
        <v>1.7072756067609278</v>
      </c>
    </row>
    <row r="20" spans="1:10">
      <c r="A20" s="168"/>
      <c r="B20" s="210"/>
      <c r="C20" s="188"/>
      <c r="D20"/>
      <c r="E20"/>
      <c r="F20" s="170"/>
      <c r="G20" s="170"/>
      <c r="H20" s="170"/>
      <c r="I20" s="192"/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479676.9705</v>
      </c>
      <c r="D22" s="75"/>
      <c r="E22" s="75"/>
      <c r="F22" s="75">
        <f t="shared" ref="F22:H22" si="1">SUM(F2:F21)</f>
        <v>10255501.681299997</v>
      </c>
      <c r="G22" s="75">
        <f t="shared" si="1"/>
        <v>17099075.640699998</v>
      </c>
      <c r="H22" s="75">
        <f t="shared" si="1"/>
        <v>6843573.9594999989</v>
      </c>
      <c r="I22" s="53">
        <f t="shared" si="0"/>
        <v>0.66730757520898776</v>
      </c>
      <c r="J22" s="202"/>
    </row>
  </sheetData>
  <hyperlinks>
    <hyperlink ref="A2" r:id="rId1" location="/mf/1831632/41287/NULL" xr:uid="{86DFB981-0772-4C25-8718-8ACBEA6A4E53}"/>
    <hyperlink ref="A3" r:id="rId2" location="/mf/1831632/15690/NULL" xr:uid="{05881445-59D3-4B72-9A4B-E9CBAB3683BC}"/>
    <hyperlink ref="A4" r:id="rId3" location="/mf/1831632/22335/NULL" xr:uid="{ECBC34CC-6110-46D0-A289-82FDA5A33B7F}"/>
    <hyperlink ref="A5" r:id="rId4" location="/mf/1831632/38817/NULL" xr:uid="{6AA31733-08D9-4ADE-A286-370D8FDD7532}"/>
    <hyperlink ref="A6" r:id="rId5" location="/mf/1831632/40665/NULL" xr:uid="{2752C058-C6AE-4BF9-B414-6B2E0E8F29EB}"/>
    <hyperlink ref="A7" r:id="rId6" location="/mf/1831632/16071/NULL" xr:uid="{224500CB-5675-416E-A68C-610F6761CECE}"/>
    <hyperlink ref="A8" r:id="rId7" location="/mf/1831632/16617/NULL" xr:uid="{0AF597F7-0FC4-40C4-83A1-4CBFFE9F4341}"/>
    <hyperlink ref="A9" r:id="rId8" location="/mf/1831632/17134/NULL" xr:uid="{70122B62-E15B-4785-A736-88C175FFC1E5}"/>
    <hyperlink ref="A10" r:id="rId9" location="/mf/1831632/38228/NULL" xr:uid="{D8FD3F88-57EC-434B-9038-E7C7A4C28C1E}"/>
    <hyperlink ref="A11" r:id="rId10" location="/mf/1831632/42135/NULL" xr:uid="{AF0431C5-628F-4002-B427-F99863CC548E}"/>
    <hyperlink ref="A12" r:id="rId11" location="/mf/1831632/41574/NULL" xr:uid="{7020BEAF-E68F-4778-9619-14457289C144}"/>
    <hyperlink ref="A13" r:id="rId12" location="/mf/1831632/41937/NULL" xr:uid="{DC3BDAF0-A0D2-4383-AB61-08EB7D7C1609}"/>
    <hyperlink ref="A14" r:id="rId13" location="/mf/1831632/44110/NULL" xr:uid="{EF85B2B5-2A86-4B40-AA9A-393ABEF096D6}"/>
    <hyperlink ref="A15" r:id="rId14" location="/mf/1831632/19701/NULL" xr:uid="{716554A9-66F8-4203-B6EC-27AA06F3770B}"/>
    <hyperlink ref="A16" r:id="rId15" location="/mf/1831632/17348/NULL" xr:uid="{F30AF3A7-A4F9-4798-BC8F-6701DF5E9430}"/>
    <hyperlink ref="A17" r:id="rId16" location="/mf/1831632/17375/NULL" xr:uid="{205229E7-D70E-4DFB-B3BD-3C636A6B7271}"/>
    <hyperlink ref="A18" r:id="rId17" location="/mf/1831632/17366/NULL" xr:uid="{2D0F265E-51EC-4C8D-83A5-0FB7BA37F416}"/>
    <hyperlink ref="A19" r:id="rId18" location="/mf/1831632/36491/NULL" xr:uid="{AA8AC1A1-36B6-4763-A43C-E2A581071388}"/>
  </hyperlink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CF01-A566-4887-BBA2-E6972F323CFC}">
  <dimension ref="A1:J104"/>
  <sheetViews>
    <sheetView workbookViewId="0">
      <pane xSplit="1" ySplit="1" topLeftCell="B31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258</v>
      </c>
      <c r="B2" s="150">
        <v>100</v>
      </c>
      <c r="C2" s="150">
        <v>109.73</v>
      </c>
      <c r="D2" s="150">
        <v>97.55</v>
      </c>
      <c r="E2" s="150">
        <v>10972.5</v>
      </c>
      <c r="F2" s="150">
        <v>9755</v>
      </c>
      <c r="G2" s="150">
        <v>-1217.5</v>
      </c>
      <c r="H2" s="191">
        <f>G2/E2</f>
        <v>-0.11095921622237412</v>
      </c>
    </row>
    <row r="3" spans="1:10" ht="15.75">
      <c r="A3" s="149" t="s">
        <v>256</v>
      </c>
      <c r="B3" s="150">
        <v>20</v>
      </c>
      <c r="C3" s="150">
        <v>0</v>
      </c>
      <c r="D3" s="150">
        <v>1036</v>
      </c>
      <c r="E3" s="150">
        <v>0</v>
      </c>
      <c r="F3" s="150">
        <v>20720</v>
      </c>
      <c r="G3" s="150">
        <v>0</v>
      </c>
      <c r="H3" s="191" t="e">
        <f>G3/E3</f>
        <v>#DIV/0!</v>
      </c>
    </row>
    <row r="4" spans="1:10" ht="15.75">
      <c r="A4" s="149" t="s">
        <v>259</v>
      </c>
      <c r="B4" s="150">
        <v>13</v>
      </c>
      <c r="C4" s="150">
        <v>133.75</v>
      </c>
      <c r="D4" s="150">
        <v>1591.7</v>
      </c>
      <c r="E4" s="150">
        <v>1738.75</v>
      </c>
      <c r="F4" s="150">
        <v>20692.099999999999</v>
      </c>
      <c r="G4" s="150">
        <v>18953.349999999999</v>
      </c>
      <c r="H4" s="191">
        <f>G4/E4</f>
        <v>10.900560747663551</v>
      </c>
    </row>
    <row r="5" spans="1:10" ht="15.75">
      <c r="A5" s="149" t="s">
        <v>144</v>
      </c>
      <c r="B5" s="150">
        <v>19</v>
      </c>
      <c r="C5" s="150">
        <v>489.54</v>
      </c>
      <c r="D5" s="150">
        <v>2560.8000000000002</v>
      </c>
      <c r="E5" s="150">
        <v>9301.2000000000007</v>
      </c>
      <c r="F5" s="150">
        <v>48655.199999999997</v>
      </c>
      <c r="G5" s="150">
        <v>39354</v>
      </c>
      <c r="H5" s="191">
        <f>G5/E5</f>
        <v>4.2310669591020513</v>
      </c>
      <c r="J5" s="188"/>
    </row>
    <row r="6" spans="1:10" ht="15.75">
      <c r="A6" s="149" t="s">
        <v>145</v>
      </c>
      <c r="B6" s="150">
        <v>250</v>
      </c>
      <c r="C6" s="150">
        <v>183.59</v>
      </c>
      <c r="D6" s="150">
        <v>514</v>
      </c>
      <c r="E6" s="150">
        <v>45897.5</v>
      </c>
      <c r="F6" s="150">
        <v>128500</v>
      </c>
      <c r="G6" s="150">
        <v>82602.5</v>
      </c>
      <c r="H6" s="191">
        <f>G6/E6</f>
        <v>1.7997167601721227</v>
      </c>
    </row>
    <row r="7" spans="1:10" ht="15.75">
      <c r="A7" s="149" t="s">
        <v>146</v>
      </c>
      <c r="B7" s="150">
        <v>62</v>
      </c>
      <c r="C7" s="150">
        <v>708.24</v>
      </c>
      <c r="D7" s="150">
        <v>1280.25</v>
      </c>
      <c r="E7" s="150">
        <v>43910.6</v>
      </c>
      <c r="F7" s="150">
        <v>79375.5</v>
      </c>
      <c r="G7" s="150">
        <v>35464.9</v>
      </c>
      <c r="H7" s="191">
        <f>G7/E7</f>
        <v>0.80766147581677328</v>
      </c>
    </row>
    <row r="8" spans="1:10" ht="15.75">
      <c r="A8" s="149" t="s">
        <v>147</v>
      </c>
      <c r="B8" s="150">
        <v>19</v>
      </c>
      <c r="C8" s="150">
        <v>3076.33</v>
      </c>
      <c r="D8" s="150">
        <v>9088.2000000000007</v>
      </c>
      <c r="E8" s="150">
        <v>58450.25</v>
      </c>
      <c r="F8" s="150">
        <v>172675.8</v>
      </c>
      <c r="G8" s="150">
        <v>114225.55</v>
      </c>
      <c r="H8" s="191">
        <f>G8/E8</f>
        <v>1.954235439540464</v>
      </c>
    </row>
    <row r="9" spans="1:10" ht="15.75">
      <c r="A9" s="149" t="s">
        <v>148</v>
      </c>
      <c r="B9" s="150">
        <v>80</v>
      </c>
      <c r="C9" s="150">
        <v>673.1</v>
      </c>
      <c r="D9" s="150">
        <v>1037.6500000000001</v>
      </c>
      <c r="E9" s="150">
        <v>53848.35</v>
      </c>
      <c r="F9" s="150">
        <v>83012</v>
      </c>
      <c r="G9" s="150">
        <v>29163.65</v>
      </c>
      <c r="H9" s="191">
        <f>G9/E9</f>
        <v>0.54158855378112802</v>
      </c>
      <c r="J9" s="188"/>
    </row>
    <row r="10" spans="1:10" ht="15.75">
      <c r="A10" s="149" t="s">
        <v>149</v>
      </c>
      <c r="B10" s="150">
        <v>15</v>
      </c>
      <c r="C10" s="150">
        <v>2427.4699999999998</v>
      </c>
      <c r="D10" s="150">
        <v>2308.9</v>
      </c>
      <c r="E10" s="150">
        <v>36412</v>
      </c>
      <c r="F10" s="150">
        <v>34633.5</v>
      </c>
      <c r="G10" s="150">
        <v>-1778.5</v>
      </c>
      <c r="H10" s="191">
        <f>G10/E10</f>
        <v>-4.8843787762276172E-2</v>
      </c>
    </row>
    <row r="11" spans="1:10" ht="15.75">
      <c r="A11" s="149" t="s">
        <v>150</v>
      </c>
      <c r="B11" s="150">
        <v>184</v>
      </c>
      <c r="C11" s="150">
        <v>188.19</v>
      </c>
      <c r="D11" s="150">
        <v>289.85000000000002</v>
      </c>
      <c r="E11" s="150">
        <v>34627.15</v>
      </c>
      <c r="F11" s="150">
        <v>53332.4</v>
      </c>
      <c r="G11" s="150">
        <v>18705.25</v>
      </c>
      <c r="H11" s="191">
        <f>G11/E11</f>
        <v>0.54019028421339899</v>
      </c>
      <c r="J11" s="188"/>
    </row>
    <row r="12" spans="1:10" ht="15.75">
      <c r="A12" s="149" t="s">
        <v>151</v>
      </c>
      <c r="B12" s="150">
        <v>8500</v>
      </c>
      <c r="C12" s="150">
        <v>50.47</v>
      </c>
      <c r="D12" s="150">
        <v>61.07</v>
      </c>
      <c r="E12" s="150">
        <v>429035.72</v>
      </c>
      <c r="F12" s="150">
        <v>519095</v>
      </c>
      <c r="G12" s="150">
        <v>90059.28</v>
      </c>
      <c r="H12" s="191">
        <f>G12/E12</f>
        <v>0.20991091371133389</v>
      </c>
      <c r="J12" s="188"/>
    </row>
    <row r="13" spans="1:10" ht="15.75">
      <c r="A13" s="149" t="s">
        <v>152</v>
      </c>
      <c r="B13" s="150">
        <v>180</v>
      </c>
      <c r="C13" s="150">
        <v>322.89</v>
      </c>
      <c r="D13" s="150">
        <v>2101.6</v>
      </c>
      <c r="E13" s="150">
        <v>58120</v>
      </c>
      <c r="F13" s="150">
        <v>378288</v>
      </c>
      <c r="G13" s="150">
        <v>320168</v>
      </c>
      <c r="H13" s="191">
        <f>G13/E13</f>
        <v>5.5087405368203717</v>
      </c>
      <c r="J13" s="188"/>
    </row>
    <row r="14" spans="1:10" ht="15.75">
      <c r="A14" s="149" t="s">
        <v>153</v>
      </c>
      <c r="B14" s="150">
        <v>40</v>
      </c>
      <c r="C14" s="150">
        <v>446.04</v>
      </c>
      <c r="D14" s="150">
        <v>894.1</v>
      </c>
      <c r="E14" s="150">
        <v>17841.599999999999</v>
      </c>
      <c r="F14" s="150">
        <v>35764</v>
      </c>
      <c r="G14" s="150">
        <v>17922.400000000001</v>
      </c>
      <c r="H14" s="191">
        <f>G14/E14</f>
        <v>1.0045287418168776</v>
      </c>
    </row>
    <row r="15" spans="1:10" ht="15.75">
      <c r="A15" s="149" t="s">
        <v>154</v>
      </c>
      <c r="B15" s="150">
        <v>14</v>
      </c>
      <c r="C15" s="150">
        <v>3489.94</v>
      </c>
      <c r="D15" s="150">
        <v>5846</v>
      </c>
      <c r="E15" s="150">
        <v>48859.1</v>
      </c>
      <c r="F15" s="150">
        <v>81844</v>
      </c>
      <c r="G15" s="150">
        <v>32984.9</v>
      </c>
      <c r="H15" s="191">
        <v>0</v>
      </c>
      <c r="J15" s="188"/>
    </row>
    <row r="16" spans="1:10" ht="15.75">
      <c r="A16" s="149" t="s">
        <v>155</v>
      </c>
      <c r="B16" s="150">
        <v>180</v>
      </c>
      <c r="C16" s="150">
        <v>155.25</v>
      </c>
      <c r="D16" s="150">
        <v>192.25</v>
      </c>
      <c r="E16" s="150">
        <v>27945</v>
      </c>
      <c r="F16" s="150">
        <v>34605</v>
      </c>
      <c r="G16" s="150">
        <v>6660</v>
      </c>
      <c r="H16" s="191">
        <f>G16/E16</f>
        <v>0.23832528180354268</v>
      </c>
      <c r="J16" s="188"/>
    </row>
    <row r="17" spans="1:10" ht="15.75">
      <c r="A17" s="149" t="s">
        <v>156</v>
      </c>
      <c r="B17" s="150">
        <v>88</v>
      </c>
      <c r="C17" s="150">
        <v>373.58</v>
      </c>
      <c r="D17" s="150">
        <v>410.35</v>
      </c>
      <c r="E17" s="150">
        <v>32874.85</v>
      </c>
      <c r="F17" s="150">
        <v>36110.800000000003</v>
      </c>
      <c r="G17" s="150">
        <v>3235.95</v>
      </c>
      <c r="H17" s="191">
        <f>G17/E17</f>
        <v>9.8432388284661373E-2</v>
      </c>
      <c r="J17" s="188"/>
    </row>
    <row r="18" spans="1:10" ht="15.75">
      <c r="A18" s="149" t="s">
        <v>157</v>
      </c>
      <c r="B18" s="150">
        <v>45</v>
      </c>
      <c r="C18" s="150">
        <v>990.66</v>
      </c>
      <c r="D18" s="150">
        <v>1531.3</v>
      </c>
      <c r="E18" s="150">
        <v>44579.85</v>
      </c>
      <c r="F18" s="150">
        <v>68908.5</v>
      </c>
      <c r="G18" s="150">
        <v>24328.65</v>
      </c>
      <c r="H18" s="191">
        <f>G18/E18</f>
        <v>0.54573198429335235</v>
      </c>
    </row>
    <row r="19" spans="1:10" ht="15.75">
      <c r="A19" s="149" t="s">
        <v>158</v>
      </c>
      <c r="B19" s="150">
        <v>470</v>
      </c>
      <c r="C19" s="150">
        <v>194.39</v>
      </c>
      <c r="D19" s="150">
        <v>376.15</v>
      </c>
      <c r="E19" s="150">
        <v>91363.5</v>
      </c>
      <c r="F19" s="150">
        <v>176790.5</v>
      </c>
      <c r="G19" s="150">
        <v>85427</v>
      </c>
      <c r="H19" s="191">
        <f>G19/E19</f>
        <v>0.9350232861044071</v>
      </c>
    </row>
    <row r="20" spans="1:10" ht="15.75">
      <c r="A20" s="149" t="s">
        <v>159</v>
      </c>
      <c r="B20" s="150">
        <v>65</v>
      </c>
      <c r="C20" s="150">
        <v>909.05</v>
      </c>
      <c r="D20" s="150">
        <v>1908.7</v>
      </c>
      <c r="E20" s="150">
        <v>59088.4</v>
      </c>
      <c r="F20" s="150">
        <v>124065.5</v>
      </c>
      <c r="G20" s="150">
        <v>64977.1</v>
      </c>
      <c r="H20" s="191">
        <f>G20/E20</f>
        <v>1.0996591547579557</v>
      </c>
    </row>
    <row r="21" spans="1:10" ht="15.75">
      <c r="A21" s="149" t="s">
        <v>160</v>
      </c>
      <c r="B21" s="150">
        <v>21</v>
      </c>
      <c r="C21" s="150">
        <v>1503.03</v>
      </c>
      <c r="D21" s="150">
        <v>2169.5</v>
      </c>
      <c r="E21" s="150">
        <v>31563.7</v>
      </c>
      <c r="F21" s="150">
        <v>45559.5</v>
      </c>
      <c r="G21" s="150">
        <v>13995.8</v>
      </c>
      <c r="H21" s="191">
        <f>G21/E21</f>
        <v>0.44341442859994229</v>
      </c>
      <c r="J21" s="188"/>
    </row>
    <row r="22" spans="1:10" ht="15.75">
      <c r="A22" s="149" t="s">
        <v>161</v>
      </c>
      <c r="B22" s="150">
        <v>66</v>
      </c>
      <c r="C22" s="150">
        <v>557.49</v>
      </c>
      <c r="D22" s="150">
        <v>724.3</v>
      </c>
      <c r="E22" s="150">
        <v>36794.1</v>
      </c>
      <c r="F22" s="150">
        <v>47803.8</v>
      </c>
      <c r="G22" s="150">
        <v>11009.7</v>
      </c>
      <c r="H22" s="191">
        <f>G22/E22</f>
        <v>0.29922460394465422</v>
      </c>
    </row>
    <row r="23" spans="1:10" ht="15.75">
      <c r="A23" s="149" t="s">
        <v>162</v>
      </c>
      <c r="B23" s="150">
        <v>12</v>
      </c>
      <c r="C23" s="150">
        <v>3474.64</v>
      </c>
      <c r="D23" s="150">
        <v>3996.5</v>
      </c>
      <c r="E23" s="150">
        <v>41695.699999999997</v>
      </c>
      <c r="F23" s="150">
        <v>47958</v>
      </c>
      <c r="G23" s="150">
        <v>6262.3</v>
      </c>
      <c r="H23" s="191">
        <f>G23/E23</f>
        <v>0.15019054722669245</v>
      </c>
      <c r="J23" s="188"/>
    </row>
    <row r="24" spans="1:10" ht="15.75">
      <c r="A24" s="149" t="s">
        <v>163</v>
      </c>
      <c r="B24" s="150">
        <v>60</v>
      </c>
      <c r="C24" s="150">
        <v>992.6</v>
      </c>
      <c r="D24" s="150">
        <v>1258.8</v>
      </c>
      <c r="E24" s="150">
        <v>59555.95</v>
      </c>
      <c r="F24" s="150">
        <v>75528</v>
      </c>
      <c r="G24" s="150">
        <v>15972.05</v>
      </c>
      <c r="H24" s="191">
        <f>G24/E24</f>
        <v>0.26818563048696226</v>
      </c>
      <c r="J24" s="188"/>
    </row>
    <row r="25" spans="1:10" ht="15.75">
      <c r="A25" s="149" t="s">
        <v>164</v>
      </c>
      <c r="B25" s="150">
        <v>7</v>
      </c>
      <c r="C25" s="150">
        <v>3506.83</v>
      </c>
      <c r="D25" s="150">
        <v>7047.8</v>
      </c>
      <c r="E25" s="150">
        <v>24547.8</v>
      </c>
      <c r="F25" s="150">
        <v>49334.6</v>
      </c>
      <c r="G25" s="150">
        <v>24786.799999999999</v>
      </c>
      <c r="H25" s="191">
        <f>G25/E25</f>
        <v>1.0097361066979527</v>
      </c>
    </row>
    <row r="26" spans="1:10" ht="15.75">
      <c r="A26" s="149" t="s">
        <v>165</v>
      </c>
      <c r="B26" s="150">
        <v>92</v>
      </c>
      <c r="C26" s="150">
        <v>359.33</v>
      </c>
      <c r="D26" s="150">
        <v>426.81</v>
      </c>
      <c r="E26" s="150">
        <v>33058.28</v>
      </c>
      <c r="F26" s="150">
        <v>39266.519999999997</v>
      </c>
      <c r="G26" s="150">
        <v>6208.24</v>
      </c>
      <c r="H26" s="191">
        <f>G26/E26</f>
        <v>0.18779682427518915</v>
      </c>
    </row>
    <row r="27" spans="1:10" ht="15.75">
      <c r="A27" s="149" t="s">
        <v>166</v>
      </c>
      <c r="B27" s="150">
        <v>24</v>
      </c>
      <c r="C27" s="150">
        <v>2007.86</v>
      </c>
      <c r="D27" s="150">
        <v>2643.6</v>
      </c>
      <c r="E27" s="150">
        <v>48188.7</v>
      </c>
      <c r="F27" s="150">
        <v>63446.400000000001</v>
      </c>
      <c r="G27" s="150">
        <v>15257.7</v>
      </c>
      <c r="H27" s="191">
        <f>G27/E27</f>
        <v>0.31662402181424282</v>
      </c>
      <c r="J27" s="188"/>
    </row>
    <row r="28" spans="1:10" ht="15.75">
      <c r="A28" s="149" t="s">
        <v>167</v>
      </c>
      <c r="B28" s="150">
        <v>35</v>
      </c>
      <c r="C28" s="150">
        <v>234.44</v>
      </c>
      <c r="D28" s="150">
        <v>3159.6</v>
      </c>
      <c r="E28" s="150">
        <v>8205.5300000000007</v>
      </c>
      <c r="F28" s="150">
        <v>110586</v>
      </c>
      <c r="G28" s="150">
        <v>102380.47</v>
      </c>
      <c r="H28" s="191">
        <f>G28/E28</f>
        <v>12.477008797725436</v>
      </c>
      <c r="J28" s="188"/>
    </row>
    <row r="29" spans="1:10" ht="15.75">
      <c r="A29" s="149" t="s">
        <v>168</v>
      </c>
      <c r="B29" s="150">
        <v>42</v>
      </c>
      <c r="C29" s="150">
        <v>664.74</v>
      </c>
      <c r="D29" s="150">
        <v>1595.4</v>
      </c>
      <c r="E29" s="150">
        <v>27918.9</v>
      </c>
      <c r="F29" s="150">
        <v>67006.8</v>
      </c>
      <c r="G29" s="150">
        <v>39087.9</v>
      </c>
      <c r="H29" s="191">
        <f>G29/E29</f>
        <v>1.4000515779633151</v>
      </c>
      <c r="J29" s="188"/>
    </row>
    <row r="30" spans="1:10" ht="15.75">
      <c r="A30" s="149" t="s">
        <v>169</v>
      </c>
      <c r="B30" s="150">
        <v>230</v>
      </c>
      <c r="C30" s="150">
        <v>189.67</v>
      </c>
      <c r="D30" s="150">
        <v>374.5</v>
      </c>
      <c r="E30" s="150">
        <v>43625.2</v>
      </c>
      <c r="F30" s="150">
        <v>86135</v>
      </c>
      <c r="G30" s="150">
        <v>42509.8</v>
      </c>
      <c r="H30" s="191">
        <f>G30/E30</f>
        <v>0.97443220890677873</v>
      </c>
    </row>
    <row r="31" spans="1:10" ht="15.75">
      <c r="A31" s="149" t="s">
        <v>170</v>
      </c>
      <c r="B31" s="150">
        <v>351</v>
      </c>
      <c r="C31" s="150">
        <v>91.3</v>
      </c>
      <c r="D31" s="150">
        <v>257.95</v>
      </c>
      <c r="E31" s="150">
        <v>32046.16</v>
      </c>
      <c r="F31" s="150">
        <v>90540.45</v>
      </c>
      <c r="G31" s="150">
        <v>58494.29</v>
      </c>
      <c r="H31" s="191">
        <f>G31/E31</f>
        <v>1.825313547707432</v>
      </c>
      <c r="J31" s="188"/>
    </row>
    <row r="32" spans="1:10" ht="15.75">
      <c r="A32" s="149" t="s">
        <v>172</v>
      </c>
      <c r="B32" s="150">
        <v>20</v>
      </c>
      <c r="C32" s="150">
        <v>1600.68</v>
      </c>
      <c r="D32" s="150">
        <v>2114.6</v>
      </c>
      <c r="E32" s="150">
        <v>32013.55</v>
      </c>
      <c r="F32" s="150">
        <v>42292</v>
      </c>
      <c r="G32" s="150">
        <v>10278.450000000001</v>
      </c>
      <c r="H32" s="191">
        <f>G32/E32</f>
        <v>0.32106561128022354</v>
      </c>
      <c r="J32" s="188"/>
    </row>
    <row r="33" spans="1:10" ht="15.75">
      <c r="A33" s="149" t="s">
        <v>173</v>
      </c>
      <c r="B33" s="150">
        <v>1200</v>
      </c>
      <c r="C33" s="150">
        <v>81.55</v>
      </c>
      <c r="D33" s="150">
        <v>104.62</v>
      </c>
      <c r="E33" s="150">
        <v>97860.76</v>
      </c>
      <c r="F33" s="150">
        <v>125544</v>
      </c>
      <c r="G33" s="150">
        <v>27683.24</v>
      </c>
      <c r="H33" s="191">
        <f>G33/E33</f>
        <v>0.28288396697511858</v>
      </c>
    </row>
    <row r="34" spans="1:10" ht="15.75">
      <c r="A34" s="149" t="s">
        <v>174</v>
      </c>
      <c r="B34" s="150">
        <v>74</v>
      </c>
      <c r="C34" s="150">
        <v>1149.02</v>
      </c>
      <c r="D34" s="150">
        <v>1624</v>
      </c>
      <c r="E34" s="150">
        <v>85027.5</v>
      </c>
      <c r="F34" s="150">
        <v>120176</v>
      </c>
      <c r="G34" s="150">
        <v>35148.5</v>
      </c>
      <c r="H34" s="191">
        <f>G34/E34</f>
        <v>0.41337802475669638</v>
      </c>
    </row>
    <row r="35" spans="1:10" ht="15.75">
      <c r="A35" s="149" t="s">
        <v>175</v>
      </c>
      <c r="B35" s="150">
        <v>94</v>
      </c>
      <c r="C35" s="150">
        <v>825.12</v>
      </c>
      <c r="D35" s="150">
        <v>1007.6</v>
      </c>
      <c r="E35" s="150">
        <v>77561.5</v>
      </c>
      <c r="F35" s="150">
        <v>94714.4</v>
      </c>
      <c r="G35" s="150">
        <v>17152.900000000001</v>
      </c>
      <c r="H35" s="191">
        <f>G35/E35</f>
        <v>0.22115224692663243</v>
      </c>
    </row>
    <row r="36" spans="1:10" ht="15.75">
      <c r="A36" s="149" t="s">
        <v>176</v>
      </c>
      <c r="B36" s="150">
        <v>136</v>
      </c>
      <c r="C36" s="150">
        <v>596.66999999999996</v>
      </c>
      <c r="D36" s="150">
        <v>765.55</v>
      </c>
      <c r="E36" s="150">
        <v>81147.75</v>
      </c>
      <c r="F36" s="150">
        <v>104114.8</v>
      </c>
      <c r="G36" s="150">
        <v>22967.05</v>
      </c>
      <c r="H36" s="191">
        <f>G36/E36</f>
        <v>0.28302756391890099</v>
      </c>
      <c r="J36" s="188"/>
    </row>
    <row r="37" spans="1:10" ht="15.75">
      <c r="A37" s="149" t="s">
        <v>177</v>
      </c>
      <c r="B37" s="150">
        <v>10</v>
      </c>
      <c r="C37" s="150">
        <v>3016.79</v>
      </c>
      <c r="D37" s="150">
        <v>6174.5</v>
      </c>
      <c r="E37" s="150">
        <v>30167.85</v>
      </c>
      <c r="F37" s="150">
        <v>61745</v>
      </c>
      <c r="G37" s="150">
        <v>31577.15</v>
      </c>
      <c r="H37" s="191">
        <f>G37/E37</f>
        <v>1.0467152945934166</v>
      </c>
    </row>
    <row r="38" spans="1:10" ht="15.75">
      <c r="A38" s="149" t="s">
        <v>178</v>
      </c>
      <c r="B38" s="150">
        <v>59</v>
      </c>
      <c r="C38" s="150">
        <v>656.47</v>
      </c>
      <c r="D38" s="150">
        <v>1388.8</v>
      </c>
      <c r="E38" s="150">
        <v>38731.699999999997</v>
      </c>
      <c r="F38" s="150">
        <v>81939.199999999997</v>
      </c>
      <c r="G38" s="150">
        <v>43207.5</v>
      </c>
      <c r="H38" s="191">
        <f>G38/E38</f>
        <v>1.1155590898411381</v>
      </c>
      <c r="J38" s="188"/>
    </row>
    <row r="39" spans="1:10" ht="15.75">
      <c r="A39" s="149" t="s">
        <v>179</v>
      </c>
      <c r="B39" s="150">
        <v>54</v>
      </c>
      <c r="C39" s="150">
        <v>1308.5899999999999</v>
      </c>
      <c r="D39" s="150">
        <v>1967.9</v>
      </c>
      <c r="E39" s="150">
        <v>70664.100000000006</v>
      </c>
      <c r="F39" s="150">
        <v>106266.6</v>
      </c>
      <c r="G39" s="150">
        <v>35602.5</v>
      </c>
      <c r="H39" s="191">
        <f>G39/E39</f>
        <v>0.50382726165054104</v>
      </c>
      <c r="J39" s="188"/>
    </row>
    <row r="40" spans="1:10" ht="15.75">
      <c r="A40" s="149" t="s">
        <v>180</v>
      </c>
      <c r="B40" s="150">
        <v>118</v>
      </c>
      <c r="C40" s="150">
        <v>492.05</v>
      </c>
      <c r="D40" s="150">
        <v>619.75</v>
      </c>
      <c r="E40" s="150">
        <v>58062.35</v>
      </c>
      <c r="F40" s="150">
        <v>73130.5</v>
      </c>
      <c r="G40" s="150">
        <v>15068.15</v>
      </c>
      <c r="H40" s="191">
        <f>G40/E40</f>
        <v>0.25951670919279018</v>
      </c>
    </row>
    <row r="41" spans="1:10" ht="15.75">
      <c r="A41" s="149" t="s">
        <v>181</v>
      </c>
      <c r="B41" s="150">
        <v>65</v>
      </c>
      <c r="C41" s="150">
        <v>1576.72</v>
      </c>
      <c r="D41" s="150">
        <v>1560.1</v>
      </c>
      <c r="E41" s="150">
        <v>102486.6</v>
      </c>
      <c r="F41" s="150">
        <v>101406.5</v>
      </c>
      <c r="G41" s="150">
        <v>-1080.0999999999999</v>
      </c>
      <c r="H41" s="191">
        <f>G41/E41</f>
        <v>-1.0538938749065731E-2</v>
      </c>
      <c r="J41" s="188"/>
    </row>
    <row r="42" spans="1:10" ht="15.75">
      <c r="A42" s="149" t="s">
        <v>182</v>
      </c>
      <c r="B42" s="150">
        <v>788</v>
      </c>
      <c r="C42" s="150">
        <v>206.55</v>
      </c>
      <c r="D42" s="150">
        <v>404.4</v>
      </c>
      <c r="E42" s="150">
        <v>162761.06</v>
      </c>
      <c r="F42" s="150">
        <v>318667.2</v>
      </c>
      <c r="G42" s="150">
        <v>155906.14000000001</v>
      </c>
      <c r="H42" s="191">
        <f>G42/E42</f>
        <v>0.95788353799121251</v>
      </c>
      <c r="J42" s="188"/>
    </row>
    <row r="43" spans="1:10" ht="15.75">
      <c r="A43" s="149" t="s">
        <v>183</v>
      </c>
      <c r="B43" s="150">
        <v>45</v>
      </c>
      <c r="C43" s="150">
        <v>1006.05</v>
      </c>
      <c r="D43" s="150">
        <v>1771.3</v>
      </c>
      <c r="E43" s="150">
        <v>45272.45</v>
      </c>
      <c r="F43" s="150">
        <v>79708.5</v>
      </c>
      <c r="G43" s="150">
        <v>34436.050000000003</v>
      </c>
      <c r="H43" s="191">
        <f>G43/E43</f>
        <v>0.76064030111027803</v>
      </c>
      <c r="J43" s="188"/>
    </row>
    <row r="44" spans="1:10" ht="15.75">
      <c r="A44" s="149" t="s">
        <v>184</v>
      </c>
      <c r="B44" s="150">
        <v>304</v>
      </c>
      <c r="C44" s="150">
        <v>108.8</v>
      </c>
      <c r="D44" s="150">
        <v>248.2</v>
      </c>
      <c r="E44" s="150">
        <v>33076.239999999998</v>
      </c>
      <c r="F44" s="150">
        <v>75452.800000000003</v>
      </c>
      <c r="G44" s="150">
        <v>42376.56</v>
      </c>
      <c r="H44" s="191">
        <f>G44/E44</f>
        <v>1.2811782717745428</v>
      </c>
      <c r="J44" s="188"/>
    </row>
    <row r="45" spans="1:10" ht="15.75">
      <c r="A45" s="149" t="s">
        <v>185</v>
      </c>
      <c r="B45" s="150">
        <v>57</v>
      </c>
      <c r="C45" s="150">
        <v>1778.4</v>
      </c>
      <c r="D45" s="150">
        <v>2124.4</v>
      </c>
      <c r="E45" s="150">
        <v>101368.55</v>
      </c>
      <c r="F45" s="150">
        <v>121090.8</v>
      </c>
      <c r="G45" s="150">
        <v>19722.25</v>
      </c>
      <c r="H45" s="191">
        <f>G45/E45</f>
        <v>0.19455985115699098</v>
      </c>
      <c r="J45" s="188"/>
    </row>
    <row r="46" spans="1:10" ht="15.75">
      <c r="A46" s="149" t="s">
        <v>186</v>
      </c>
      <c r="B46" s="150">
        <v>80</v>
      </c>
      <c r="C46" s="150">
        <v>814.86</v>
      </c>
      <c r="D46" s="150">
        <v>1222.4000000000001</v>
      </c>
      <c r="E46" s="150">
        <v>65188.75</v>
      </c>
      <c r="F46" s="150">
        <v>97792</v>
      </c>
      <c r="G46" s="150">
        <v>32603.25</v>
      </c>
      <c r="H46" s="191">
        <f>G46/E46</f>
        <v>0.50013614312285481</v>
      </c>
    </row>
    <row r="47" spans="1:10" ht="15.75">
      <c r="A47" s="149" t="s">
        <v>187</v>
      </c>
      <c r="B47" s="150">
        <v>20</v>
      </c>
      <c r="C47" s="150">
        <v>2295.38</v>
      </c>
      <c r="D47" s="150">
        <v>3055</v>
      </c>
      <c r="E47" s="150">
        <v>45907.6</v>
      </c>
      <c r="F47" s="150">
        <v>61100</v>
      </c>
      <c r="G47" s="150">
        <v>15192.4</v>
      </c>
      <c r="H47" s="191">
        <f>G47/E47</f>
        <v>0.33093431153011704</v>
      </c>
    </row>
    <row r="48" spans="1:10" ht="15.75">
      <c r="A48" s="149" t="s">
        <v>188</v>
      </c>
      <c r="B48" s="150">
        <v>62</v>
      </c>
      <c r="C48" s="150">
        <v>1053.22</v>
      </c>
      <c r="D48" s="150">
        <v>4069.6</v>
      </c>
      <c r="E48" s="150">
        <v>65299.35</v>
      </c>
      <c r="F48" s="150">
        <v>252315.2</v>
      </c>
      <c r="G48" s="150">
        <v>187015.85</v>
      </c>
      <c r="H48" s="191">
        <f>G48/E48</f>
        <v>2.8639772065112443</v>
      </c>
      <c r="J48" s="188"/>
    </row>
    <row r="49" spans="1:10" ht="15.75">
      <c r="A49" s="149" t="s">
        <v>189</v>
      </c>
      <c r="B49" s="150">
        <v>10</v>
      </c>
      <c r="C49" s="150">
        <v>1189.6300000000001</v>
      </c>
      <c r="D49" s="150">
        <v>3757.8</v>
      </c>
      <c r="E49" s="150">
        <v>11896.3</v>
      </c>
      <c r="F49" s="150">
        <v>37578</v>
      </c>
      <c r="G49" s="150">
        <v>25681.7</v>
      </c>
      <c r="H49" s="191">
        <f>G49/E49</f>
        <v>2.1587972731017211</v>
      </c>
    </row>
    <row r="50" spans="1:10" ht="15.75">
      <c r="A50" s="149" t="s">
        <v>190</v>
      </c>
      <c r="B50" s="150">
        <v>28</v>
      </c>
      <c r="C50" s="150">
        <v>2226.31</v>
      </c>
      <c r="D50" s="150">
        <v>2253</v>
      </c>
      <c r="E50" s="150">
        <v>62336.7</v>
      </c>
      <c r="F50" s="150">
        <v>63084</v>
      </c>
      <c r="G50" s="150">
        <v>747.3</v>
      </c>
      <c r="H50" s="191">
        <f>G50/E50</f>
        <v>1.1988122566642122E-2</v>
      </c>
      <c r="J50" s="188"/>
    </row>
    <row r="51" spans="1:10" ht="15.75">
      <c r="A51" s="149" t="s">
        <v>191</v>
      </c>
      <c r="B51" s="150">
        <v>73</v>
      </c>
      <c r="C51" s="150">
        <v>523.91</v>
      </c>
      <c r="D51" s="150">
        <v>717.4</v>
      </c>
      <c r="E51" s="150">
        <v>38245.25</v>
      </c>
      <c r="F51" s="150">
        <v>52370.2</v>
      </c>
      <c r="G51" s="150">
        <v>14124.95</v>
      </c>
      <c r="H51" s="191">
        <f>G51/E51</f>
        <v>0.36932560252580388</v>
      </c>
    </row>
    <row r="52" spans="1:10" ht="15.75">
      <c r="A52" s="149" t="s">
        <v>192</v>
      </c>
      <c r="B52" s="150">
        <v>73</v>
      </c>
      <c r="C52" s="150">
        <v>735.56</v>
      </c>
      <c r="D52" s="150">
        <v>1702.1</v>
      </c>
      <c r="E52" s="150">
        <v>53696.15</v>
      </c>
      <c r="F52" s="150">
        <v>124253.3</v>
      </c>
      <c r="G52" s="150">
        <v>70557.149999999994</v>
      </c>
      <c r="H52" s="191">
        <f>G52/E52</f>
        <v>1.3140076150710991</v>
      </c>
      <c r="J52" s="188"/>
    </row>
    <row r="53" spans="1:10" ht="15.75">
      <c r="A53" s="149" t="s">
        <v>193</v>
      </c>
      <c r="B53" s="150">
        <v>75</v>
      </c>
      <c r="C53" s="150">
        <v>337.52</v>
      </c>
      <c r="D53" s="150">
        <v>462.68</v>
      </c>
      <c r="E53" s="150">
        <v>25314.17</v>
      </c>
      <c r="F53" s="150">
        <v>34701</v>
      </c>
      <c r="G53" s="150">
        <v>9386.83</v>
      </c>
      <c r="H53" s="191">
        <f>G53/E53</f>
        <v>0.37081326387552904</v>
      </c>
      <c r="J53" s="188"/>
    </row>
    <row r="54" spans="1:10" ht="15.75">
      <c r="A54" s="149" t="s">
        <v>194</v>
      </c>
      <c r="B54" s="150">
        <v>285</v>
      </c>
      <c r="C54" s="150">
        <v>51.08</v>
      </c>
      <c r="D54" s="150">
        <v>116.31</v>
      </c>
      <c r="E54" s="150">
        <v>14558.98</v>
      </c>
      <c r="F54" s="150">
        <v>33148.35</v>
      </c>
      <c r="G54" s="150">
        <v>18589.37</v>
      </c>
      <c r="H54" s="191">
        <f>G54/E54</f>
        <v>1.2768318934430847</v>
      </c>
      <c r="J54" s="188"/>
    </row>
    <row r="55" spans="1:10" ht="15.75">
      <c r="A55" s="149" t="s">
        <v>195</v>
      </c>
      <c r="B55" s="150">
        <v>33</v>
      </c>
      <c r="C55" s="150">
        <v>2284.62</v>
      </c>
      <c r="D55" s="150">
        <v>2811.4</v>
      </c>
      <c r="E55" s="150">
        <v>75392.600000000006</v>
      </c>
      <c r="F55" s="150">
        <v>92776.2</v>
      </c>
      <c r="G55" s="150">
        <v>17383.599999999999</v>
      </c>
      <c r="H55" s="191">
        <f>G55/E55</f>
        <v>0.23057435345113442</v>
      </c>
      <c r="J55" s="188"/>
    </row>
    <row r="56" spans="1:10" ht="15.75">
      <c r="A56" s="149" t="s">
        <v>196</v>
      </c>
      <c r="B56" s="150">
        <v>18</v>
      </c>
      <c r="C56" s="150">
        <v>1081.33</v>
      </c>
      <c r="D56" s="150">
        <v>1261.0999999999999</v>
      </c>
      <c r="E56" s="150">
        <v>19463.849999999999</v>
      </c>
      <c r="F56" s="150">
        <v>22699.8</v>
      </c>
      <c r="G56" s="150">
        <v>3235.95</v>
      </c>
      <c r="H56" s="191">
        <f>G56/E56</f>
        <v>0.16625436385915429</v>
      </c>
      <c r="J56" s="188"/>
    </row>
    <row r="57" spans="1:10" ht="15.75">
      <c r="A57" s="149" t="s">
        <v>197</v>
      </c>
      <c r="B57" s="150">
        <v>207</v>
      </c>
      <c r="C57" s="150">
        <v>127.65</v>
      </c>
      <c r="D57" s="150">
        <v>162.44999999999999</v>
      </c>
      <c r="E57" s="150">
        <v>26423.5</v>
      </c>
      <c r="F57" s="150">
        <v>33627.15</v>
      </c>
      <c r="G57" s="150">
        <v>7203.65</v>
      </c>
      <c r="H57" s="191">
        <f>G57/E57</f>
        <v>0.27262285465589342</v>
      </c>
      <c r="J57" s="188"/>
    </row>
    <row r="58" spans="1:10" ht="15.75">
      <c r="A58" s="149" t="s">
        <v>198</v>
      </c>
      <c r="B58" s="150">
        <v>80</v>
      </c>
      <c r="C58" s="150">
        <v>621.89</v>
      </c>
      <c r="D58" s="150">
        <v>1647.2</v>
      </c>
      <c r="E58" s="150">
        <v>49751.05</v>
      </c>
      <c r="F58" s="150">
        <v>131776</v>
      </c>
      <c r="G58" s="150">
        <v>82024.95</v>
      </c>
      <c r="H58" s="191">
        <f>G58/E58</f>
        <v>1.6487079167173355</v>
      </c>
      <c r="J58" s="188"/>
    </row>
    <row r="59" spans="1:10" ht="15.75">
      <c r="A59" s="149" t="s">
        <v>199</v>
      </c>
      <c r="B59" s="150">
        <v>10</v>
      </c>
      <c r="C59" s="150">
        <v>4342.57</v>
      </c>
      <c r="D59" s="150">
        <v>8111.45</v>
      </c>
      <c r="E59" s="150">
        <v>43425.7</v>
      </c>
      <c r="F59" s="150">
        <v>81114.5</v>
      </c>
      <c r="G59" s="150">
        <v>37688.800000000003</v>
      </c>
      <c r="H59" s="191">
        <f>G59/E59</f>
        <v>0.86789159414816586</v>
      </c>
    </row>
    <row r="60" spans="1:10" ht="15.75">
      <c r="A60" s="149" t="s">
        <v>200</v>
      </c>
      <c r="B60" s="150">
        <v>300</v>
      </c>
      <c r="C60" s="150">
        <v>82.33</v>
      </c>
      <c r="D60" s="150">
        <v>243.25</v>
      </c>
      <c r="E60" s="150">
        <v>24700</v>
      </c>
      <c r="F60" s="150">
        <v>72975</v>
      </c>
      <c r="G60" s="150">
        <v>48275</v>
      </c>
      <c r="H60" s="191">
        <f>G60/E60</f>
        <v>1.9544534412955465</v>
      </c>
      <c r="J60" s="188"/>
    </row>
    <row r="61" spans="1:10" ht="15.75">
      <c r="A61" s="149" t="s">
        <v>201</v>
      </c>
      <c r="B61" s="150">
        <v>16</v>
      </c>
      <c r="C61" s="150">
        <v>2003.97</v>
      </c>
      <c r="D61" s="150">
        <v>6353</v>
      </c>
      <c r="E61" s="150">
        <v>32063.45</v>
      </c>
      <c r="F61" s="150">
        <v>101648</v>
      </c>
      <c r="G61" s="150">
        <v>69584.55</v>
      </c>
      <c r="H61" s="191">
        <f>G61/E61</f>
        <v>2.1702140599342865</v>
      </c>
    </row>
    <row r="62" spans="1:10" ht="15.75">
      <c r="A62" s="149" t="s">
        <v>202</v>
      </c>
      <c r="B62" s="150">
        <v>31</v>
      </c>
      <c r="C62" s="150">
        <v>603.24</v>
      </c>
      <c r="D62" s="150">
        <v>1736.8</v>
      </c>
      <c r="E62" s="150">
        <v>18700.45</v>
      </c>
      <c r="F62" s="150">
        <v>53840.800000000003</v>
      </c>
      <c r="G62" s="150">
        <v>35140.35</v>
      </c>
      <c r="H62" s="191">
        <f>G62/E62</f>
        <v>1.8791178821900005</v>
      </c>
      <c r="J62" s="188"/>
    </row>
    <row r="63" spans="1:10" ht="15.75">
      <c r="A63" s="149" t="s">
        <v>203</v>
      </c>
      <c r="B63" s="150">
        <v>60</v>
      </c>
      <c r="C63" s="150">
        <v>1249.57</v>
      </c>
      <c r="D63" s="150">
        <v>1469.8</v>
      </c>
      <c r="E63" s="150">
        <v>74974.350000000006</v>
      </c>
      <c r="F63" s="150">
        <v>88188</v>
      </c>
      <c r="G63" s="150">
        <v>13213.65</v>
      </c>
      <c r="H63" s="191">
        <f>G63/E63</f>
        <v>0.17624227485800142</v>
      </c>
      <c r="J63" s="188"/>
    </row>
    <row r="64" spans="1:10" ht="16.5">
      <c r="A64" s="149" t="s">
        <v>204</v>
      </c>
      <c r="B64" s="150">
        <v>33</v>
      </c>
      <c r="C64" s="150">
        <v>761.09</v>
      </c>
      <c r="D64" s="150">
        <v>1677.3</v>
      </c>
      <c r="E64" s="150">
        <v>25116</v>
      </c>
      <c r="F64" s="150">
        <v>55350.9</v>
      </c>
      <c r="G64" s="150">
        <v>30234.9</v>
      </c>
      <c r="H64" s="191"/>
    </row>
    <row r="65" spans="1:10" ht="15.75">
      <c r="A65" s="149" t="s">
        <v>206</v>
      </c>
      <c r="B65" s="150">
        <v>54</v>
      </c>
      <c r="C65" s="150">
        <v>1278.8599999999999</v>
      </c>
      <c r="D65" s="150">
        <v>1967.65</v>
      </c>
      <c r="E65" s="150">
        <v>69058.3</v>
      </c>
      <c r="F65" s="150">
        <v>106253.1</v>
      </c>
      <c r="G65" s="150">
        <v>37194.800000000003</v>
      </c>
      <c r="H65" s="191">
        <f>G65/E65</f>
        <v>0.53859999449740292</v>
      </c>
      <c r="J65" s="188"/>
    </row>
    <row r="66" spans="1:10" ht="15.75">
      <c r="A66" s="149" t="s">
        <v>207</v>
      </c>
      <c r="B66" s="150">
        <v>66</v>
      </c>
      <c r="C66" s="150">
        <v>426.28</v>
      </c>
      <c r="D66" s="150">
        <v>979.55</v>
      </c>
      <c r="E66" s="150">
        <v>28134.5</v>
      </c>
      <c r="F66" s="150">
        <v>64650.3</v>
      </c>
      <c r="G66" s="150">
        <v>36515.800000000003</v>
      </c>
      <c r="H66" s="191">
        <f>G66/E66</f>
        <v>1.297901153388189</v>
      </c>
    </row>
    <row r="67" spans="1:10" ht="15.75">
      <c r="A67" s="149" t="s">
        <v>208</v>
      </c>
      <c r="B67" s="150">
        <v>10</v>
      </c>
      <c r="C67" s="150">
        <v>5284</v>
      </c>
      <c r="D67" s="150">
        <v>13174.99</v>
      </c>
      <c r="E67" s="150">
        <v>52840</v>
      </c>
      <c r="F67" s="150">
        <v>131749.9</v>
      </c>
      <c r="G67" s="150">
        <v>78909.899999999994</v>
      </c>
      <c r="H67" s="191">
        <f>G67/E67</f>
        <v>1.4933743376230129</v>
      </c>
      <c r="J67" s="188"/>
    </row>
    <row r="68" spans="1:10" ht="15.75">
      <c r="A68" s="149" t="s">
        <v>260</v>
      </c>
      <c r="B68" s="150">
        <v>5</v>
      </c>
      <c r="C68" s="150">
        <v>4802</v>
      </c>
      <c r="D68" s="150">
        <v>13100</v>
      </c>
      <c r="E68" s="150">
        <v>24010</v>
      </c>
      <c r="F68" s="150">
        <v>65500</v>
      </c>
      <c r="G68" s="150">
        <v>41490</v>
      </c>
      <c r="H68" s="191">
        <f>G68/E68</f>
        <v>1.7280299875052061</v>
      </c>
      <c r="J68" s="188"/>
    </row>
    <row r="69" spans="1:10" ht="15.75">
      <c r="A69" s="149" t="s">
        <v>210</v>
      </c>
      <c r="B69" s="150">
        <v>10</v>
      </c>
      <c r="C69" s="150">
        <v>5002.45</v>
      </c>
      <c r="D69" s="150">
        <v>13122.71</v>
      </c>
      <c r="E69" s="150">
        <v>50024.5</v>
      </c>
      <c r="F69" s="150">
        <v>131227.1</v>
      </c>
      <c r="G69" s="150">
        <v>81202.600000000006</v>
      </c>
      <c r="H69" s="191">
        <f>G69/E69</f>
        <v>1.6232566042639107</v>
      </c>
      <c r="J69" s="188"/>
    </row>
    <row r="70" spans="1:10" ht="15.75">
      <c r="A70" s="149" t="s">
        <v>211</v>
      </c>
      <c r="B70" s="150">
        <v>35</v>
      </c>
      <c r="C70" s="150">
        <v>749.79</v>
      </c>
      <c r="D70" s="150">
        <v>3300</v>
      </c>
      <c r="E70" s="150">
        <v>26242.52</v>
      </c>
      <c r="F70" s="150">
        <v>115500</v>
      </c>
      <c r="G70" s="150">
        <v>89257.48</v>
      </c>
      <c r="H70" s="191">
        <f>G70/E70</f>
        <v>3.4012541478486056</v>
      </c>
      <c r="J70" s="188"/>
    </row>
    <row r="71" spans="1:10" ht="15.75">
      <c r="A71" s="149" t="s">
        <v>212</v>
      </c>
      <c r="B71" s="150">
        <v>139</v>
      </c>
      <c r="C71" s="150">
        <v>582.57000000000005</v>
      </c>
      <c r="D71" s="150">
        <v>1831.6</v>
      </c>
      <c r="E71" s="150">
        <v>80977.149999999994</v>
      </c>
      <c r="F71" s="150">
        <v>254592.4</v>
      </c>
      <c r="G71" s="150">
        <v>173615.25</v>
      </c>
      <c r="H71" s="191">
        <f>G71/E71</f>
        <v>2.1440029687387123</v>
      </c>
      <c r="J71" s="188"/>
    </row>
    <row r="72" spans="1:10" ht="15.75">
      <c r="A72" s="149" t="s">
        <v>213</v>
      </c>
      <c r="B72" s="150">
        <v>75</v>
      </c>
      <c r="C72" s="150">
        <v>581.84</v>
      </c>
      <c r="D72" s="150">
        <v>648.85</v>
      </c>
      <c r="E72" s="150">
        <v>43638</v>
      </c>
      <c r="F72" s="150">
        <v>48663.75</v>
      </c>
      <c r="G72" s="150">
        <v>5025.75</v>
      </c>
      <c r="H72" s="191">
        <f>G72/E72</f>
        <v>0.11516911865805032</v>
      </c>
      <c r="J72" s="188"/>
    </row>
    <row r="73" spans="1:10" ht="15.75">
      <c r="A73" s="149" t="s">
        <v>214</v>
      </c>
      <c r="B73" s="150">
        <v>46</v>
      </c>
      <c r="C73" s="150">
        <v>794.51</v>
      </c>
      <c r="D73" s="150">
        <v>1172.4000000000001</v>
      </c>
      <c r="E73" s="150">
        <v>36547.300000000003</v>
      </c>
      <c r="F73" s="150">
        <v>53930.400000000001</v>
      </c>
      <c r="G73" s="150">
        <v>17383.099999999999</v>
      </c>
      <c r="H73" s="191">
        <f>G73/E73</f>
        <v>0.47563294689347768</v>
      </c>
    </row>
    <row r="74" spans="1:10" ht="15.75">
      <c r="A74" s="149" t="s">
        <v>215</v>
      </c>
      <c r="B74" s="150">
        <v>1050</v>
      </c>
      <c r="C74" s="150">
        <v>40.479999999999997</v>
      </c>
      <c r="D74" s="150">
        <v>167.96</v>
      </c>
      <c r="E74" s="150">
        <v>42500.25</v>
      </c>
      <c r="F74" s="150">
        <v>176358</v>
      </c>
      <c r="G74" s="150">
        <v>133857.75</v>
      </c>
      <c r="H74" s="191">
        <f>G74/E74</f>
        <v>3.149575590731819</v>
      </c>
      <c r="J74" s="188"/>
    </row>
    <row r="75" spans="1:10" ht="15.75">
      <c r="A75" s="149" t="s">
        <v>216</v>
      </c>
      <c r="B75" s="150">
        <v>33</v>
      </c>
      <c r="C75" s="150">
        <v>3575.9</v>
      </c>
      <c r="D75" s="150">
        <v>3139.65</v>
      </c>
      <c r="E75" s="150">
        <v>118004.55</v>
      </c>
      <c r="F75" s="150">
        <v>103608.45</v>
      </c>
      <c r="G75" s="150">
        <v>-14396.1</v>
      </c>
      <c r="H75" s="191">
        <f>G75/E75</f>
        <v>-0.12199614336904806</v>
      </c>
      <c r="J75" s="188"/>
    </row>
    <row r="76" spans="1:10" ht="15.75">
      <c r="A76" s="149" t="s">
        <v>217</v>
      </c>
      <c r="B76" s="150">
        <v>24</v>
      </c>
      <c r="C76" s="150">
        <v>2584.4</v>
      </c>
      <c r="D76" s="150">
        <v>3898.35</v>
      </c>
      <c r="E76" s="150">
        <v>62025.599999999999</v>
      </c>
      <c r="F76" s="150">
        <v>93560.4</v>
      </c>
      <c r="G76" s="150">
        <v>31534.799999999999</v>
      </c>
      <c r="H76" s="191">
        <f>G76/E76</f>
        <v>0.50841587989475312</v>
      </c>
      <c r="J76" s="188"/>
    </row>
    <row r="77" spans="1:10" ht="15.75">
      <c r="A77" s="149" t="s">
        <v>219</v>
      </c>
      <c r="B77" s="150">
        <v>14</v>
      </c>
      <c r="C77" s="150">
        <v>2306.8200000000002</v>
      </c>
      <c r="D77" s="150">
        <v>3533.2</v>
      </c>
      <c r="E77" s="150">
        <v>32295.45</v>
      </c>
      <c r="F77" s="150">
        <v>49464.800000000003</v>
      </c>
      <c r="G77" s="150">
        <v>17169.349999999999</v>
      </c>
      <c r="H77" s="191">
        <f>G77/E77</f>
        <v>0.53163371310819318</v>
      </c>
    </row>
    <row r="78" spans="1:10" ht="15.75">
      <c r="A78" s="149" t="s">
        <v>220</v>
      </c>
      <c r="B78" s="150">
        <v>30</v>
      </c>
      <c r="C78" s="150">
        <v>373.77</v>
      </c>
      <c r="D78" s="150">
        <v>1306.8</v>
      </c>
      <c r="E78" s="150">
        <v>11213.05</v>
      </c>
      <c r="F78" s="150">
        <v>39204</v>
      </c>
      <c r="G78" s="150">
        <v>27990.95</v>
      </c>
      <c r="H78" s="191">
        <f>G78/E78</f>
        <v>2.4962833484199218</v>
      </c>
    </row>
    <row r="79" spans="1:10" ht="15.75">
      <c r="A79" s="149" t="s">
        <v>221</v>
      </c>
      <c r="B79" s="150">
        <v>110</v>
      </c>
      <c r="C79" s="150">
        <v>130.18</v>
      </c>
      <c r="D79" s="150">
        <v>481.55</v>
      </c>
      <c r="E79" s="150">
        <v>14319.65</v>
      </c>
      <c r="F79" s="150">
        <v>52970.5</v>
      </c>
      <c r="G79" s="150">
        <v>38650.85</v>
      </c>
      <c r="H79" s="191">
        <f>G79/E79</f>
        <v>2.6991476746987533</v>
      </c>
    </row>
    <row r="80" spans="1:10" ht="15.75">
      <c r="A80" s="149" t="s">
        <v>222</v>
      </c>
      <c r="B80" s="150">
        <v>54</v>
      </c>
      <c r="C80" s="150">
        <v>896.15</v>
      </c>
      <c r="D80" s="150">
        <v>942.5</v>
      </c>
      <c r="E80" s="150">
        <v>48392.1</v>
      </c>
      <c r="F80" s="150">
        <v>50895</v>
      </c>
      <c r="G80" s="150">
        <v>2502.9</v>
      </c>
      <c r="H80" s="191">
        <f>G80/E80</f>
        <v>5.1721252022540874E-2</v>
      </c>
      <c r="J80" s="188"/>
    </row>
    <row r="81" spans="1:10" ht="16.5">
      <c r="A81" s="149"/>
      <c r="B81" s="150"/>
      <c r="C81" s="150"/>
      <c r="D81" s="150"/>
      <c r="E81" s="150"/>
      <c r="F81" s="150"/>
      <c r="G81" s="150"/>
      <c r="H81" s="191"/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17557</v>
      </c>
      <c r="C104" s="45"/>
      <c r="D104" s="45"/>
      <c r="E104" s="45">
        <f>SUM(E2:E103)</f>
        <v>4020945.4200000004</v>
      </c>
      <c r="F104" s="45">
        <f>SUM(F2:F103)</f>
        <v>7364702.6700000009</v>
      </c>
      <c r="G104" s="45">
        <f>SUM(G2:G103)</f>
        <v>3323037.2499999995</v>
      </c>
      <c r="H104" s="176">
        <f>G104/E104</f>
        <v>0.82643182209620725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252E-808D-483F-AA2F-1C0C8B7235D6}">
  <dimension ref="A1:J22"/>
  <sheetViews>
    <sheetView workbookViewId="0">
      <pane xSplit="2" ySplit="1" topLeftCell="C20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76822.474000000002</v>
      </c>
      <c r="D2">
        <v>10.37</v>
      </c>
      <c r="E2">
        <v>8.4619</v>
      </c>
      <c r="F2" s="188">
        <v>650067.49879999994</v>
      </c>
      <c r="G2" s="188">
        <v>796649.05539999995</v>
      </c>
      <c r="H2" s="188">
        <v>146581.55660000001</v>
      </c>
      <c r="I2" s="192">
        <f>H2/F2</f>
        <v>0.22548667156962013</v>
      </c>
    </row>
    <row r="3" spans="1:9">
      <c r="A3" s="168" t="s">
        <v>234</v>
      </c>
      <c r="B3" s="210" t="s">
        <v>235</v>
      </c>
      <c r="C3" s="188">
        <v>4080.9659999999999</v>
      </c>
      <c r="D3">
        <v>134.18</v>
      </c>
      <c r="E3">
        <v>68.607799999999997</v>
      </c>
      <c r="F3" s="188">
        <v>279986.10960000003</v>
      </c>
      <c r="G3" s="188">
        <v>547584.01789999998</v>
      </c>
      <c r="H3" s="188">
        <v>267597.90830000001</v>
      </c>
      <c r="I3" s="192">
        <f t="shared" ref="I3:I22" si="0">H3/F3</f>
        <v>0.95575422895907824</v>
      </c>
    </row>
    <row r="4" spans="1:9">
      <c r="A4" s="168" t="s">
        <v>236</v>
      </c>
      <c r="B4" s="210" t="s">
        <v>237</v>
      </c>
      <c r="C4" s="188">
        <v>14235.332</v>
      </c>
      <c r="D4">
        <v>123.14</v>
      </c>
      <c r="E4">
        <v>47.766100000000002</v>
      </c>
      <c r="F4" s="188">
        <v>679966.92570000002</v>
      </c>
      <c r="G4" s="188">
        <v>1752938.7825</v>
      </c>
      <c r="H4" s="188">
        <v>1072971.8568</v>
      </c>
      <c r="I4" s="192">
        <f t="shared" si="0"/>
        <v>1.5779765401021768</v>
      </c>
    </row>
    <row r="5" spans="1:9">
      <c r="A5" s="168" t="s">
        <v>238</v>
      </c>
      <c r="B5" s="210" t="s">
        <v>237</v>
      </c>
      <c r="C5" s="188">
        <v>30844.641</v>
      </c>
      <c r="D5">
        <v>42.64</v>
      </c>
      <c r="E5">
        <v>33.229399999999998</v>
      </c>
      <c r="F5" s="188">
        <v>1024948.7568</v>
      </c>
      <c r="G5" s="188">
        <v>1315215.4922</v>
      </c>
      <c r="H5" s="188">
        <v>290266.73540000001</v>
      </c>
      <c r="I5" s="192">
        <f t="shared" si="0"/>
        <v>0.2832012171088864</v>
      </c>
    </row>
    <row r="6" spans="1:9">
      <c r="A6" s="168" t="s">
        <v>239</v>
      </c>
      <c r="B6" s="210" t="s">
        <v>233</v>
      </c>
      <c r="C6" s="188">
        <v>16196.151</v>
      </c>
      <c r="D6">
        <v>34.210500000000003</v>
      </c>
      <c r="E6">
        <v>28.709199999999999</v>
      </c>
      <c r="F6" s="188">
        <v>464978.8284</v>
      </c>
      <c r="G6" s="188">
        <v>554078.42379999999</v>
      </c>
      <c r="H6" s="188">
        <v>89099.595400000006</v>
      </c>
      <c r="I6" s="192">
        <f t="shared" si="0"/>
        <v>0.19162075767318959</v>
      </c>
    </row>
    <row r="7" spans="1:9">
      <c r="A7" s="168" t="s">
        <v>240</v>
      </c>
      <c r="B7" s="210" t="s">
        <v>241</v>
      </c>
      <c r="C7" s="188">
        <v>1432.146</v>
      </c>
      <c r="D7">
        <v>815.13059999999996</v>
      </c>
      <c r="E7">
        <v>375.62029999999999</v>
      </c>
      <c r="F7" s="188">
        <v>537943.16399999999</v>
      </c>
      <c r="G7" s="188">
        <v>1167386.0282999999</v>
      </c>
      <c r="H7" s="188">
        <v>629442.86419999995</v>
      </c>
      <c r="I7" s="192">
        <f t="shared" si="0"/>
        <v>1.1700917612181052</v>
      </c>
    </row>
    <row r="8" spans="1:9">
      <c r="A8" s="168" t="s">
        <v>242</v>
      </c>
      <c r="B8" s="210" t="s">
        <v>237</v>
      </c>
      <c r="C8" s="188">
        <v>4306.576</v>
      </c>
      <c r="D8">
        <v>160.65</v>
      </c>
      <c r="E8">
        <v>44.3917</v>
      </c>
      <c r="F8" s="188">
        <v>191176.2298</v>
      </c>
      <c r="G8" s="188">
        <v>691851.43440000003</v>
      </c>
      <c r="H8" s="188">
        <v>500675.2046</v>
      </c>
      <c r="I8" s="192">
        <f t="shared" si="0"/>
        <v>2.6189197533803443</v>
      </c>
    </row>
    <row r="9" spans="1:9">
      <c r="A9" s="168" t="s">
        <v>243</v>
      </c>
      <c r="B9" s="210" t="s">
        <v>235</v>
      </c>
      <c r="C9" s="188">
        <v>6053.4319999999998</v>
      </c>
      <c r="D9">
        <v>159.59399999999999</v>
      </c>
      <c r="E9">
        <v>46.831800000000001</v>
      </c>
      <c r="F9" s="188">
        <v>283493.20049999998</v>
      </c>
      <c r="G9" s="188">
        <v>966091.42660000001</v>
      </c>
      <c r="H9" s="188">
        <v>682598.22609999997</v>
      </c>
      <c r="I9" s="192">
        <f t="shared" si="0"/>
        <v>2.4078116332105823</v>
      </c>
    </row>
    <row r="10" spans="1:9">
      <c r="A10" s="168" t="s">
        <v>244</v>
      </c>
      <c r="B10" s="210" t="s">
        <v>233</v>
      </c>
      <c r="C10" s="188">
        <v>13136.35</v>
      </c>
      <c r="D10">
        <v>48.961799999999997</v>
      </c>
      <c r="E10">
        <v>29.687100000000001</v>
      </c>
      <c r="F10" s="188">
        <v>389980.446</v>
      </c>
      <c r="G10" s="188">
        <v>643179.34140000003</v>
      </c>
      <c r="H10" s="188">
        <v>253198.89540000001</v>
      </c>
      <c r="I10" s="192">
        <f t="shared" si="0"/>
        <v>0.64926048984517548</v>
      </c>
    </row>
    <row r="11" spans="1:9">
      <c r="A11" s="168" t="s">
        <v>246</v>
      </c>
      <c r="B11" s="210" t="s">
        <v>241</v>
      </c>
      <c r="C11" s="188">
        <v>84098.658500000005</v>
      </c>
      <c r="D11">
        <v>17.166699999999999</v>
      </c>
      <c r="E11">
        <v>13.2042</v>
      </c>
      <c r="F11" s="188">
        <v>1110455.0220000001</v>
      </c>
      <c r="G11" s="188">
        <v>1443696.4409</v>
      </c>
      <c r="H11" s="188">
        <v>333241.41879999998</v>
      </c>
      <c r="I11" s="192">
        <f t="shared" si="0"/>
        <v>0.30009447676666001</v>
      </c>
    </row>
    <row r="12" spans="1:9">
      <c r="A12" s="168" t="s">
        <v>247</v>
      </c>
      <c r="B12" s="210" t="s">
        <v>241</v>
      </c>
      <c r="C12" s="188">
        <v>46779.584000000003</v>
      </c>
      <c r="D12">
        <v>16.414200000000001</v>
      </c>
      <c r="E12">
        <v>14.1187</v>
      </c>
      <c r="F12" s="188">
        <v>660466.97759999998</v>
      </c>
      <c r="G12" s="188">
        <v>767849.44770000002</v>
      </c>
      <c r="H12" s="188">
        <v>107382.47010000001</v>
      </c>
      <c r="I12" s="192">
        <f t="shared" si="0"/>
        <v>0.16258567610784364</v>
      </c>
    </row>
    <row r="13" spans="1:9">
      <c r="A13" s="168" t="s">
        <v>263</v>
      </c>
      <c r="B13" s="210" t="s">
        <v>233</v>
      </c>
      <c r="C13" s="188">
        <v>82131.043999999994</v>
      </c>
      <c r="D13">
        <v>20.0899</v>
      </c>
      <c r="E13">
        <v>9.9227000000000007</v>
      </c>
      <c r="F13" s="188">
        <v>814959.2439</v>
      </c>
      <c r="G13" s="188">
        <v>1650004.4609000001</v>
      </c>
      <c r="H13" s="188">
        <v>835045.21699999995</v>
      </c>
      <c r="I13" s="192">
        <f t="shared" si="0"/>
        <v>1.0246465982812567</v>
      </c>
    </row>
    <row r="14" spans="1:9">
      <c r="A14" s="168" t="s">
        <v>248</v>
      </c>
      <c r="B14" s="210" t="s">
        <v>249</v>
      </c>
      <c r="C14" s="188">
        <v>42535.843000000001</v>
      </c>
      <c r="D14">
        <v>10.151</v>
      </c>
      <c r="E14">
        <v>9.4270999999999994</v>
      </c>
      <c r="F14" s="188">
        <v>400990.37150000001</v>
      </c>
      <c r="G14" s="188">
        <v>431781.34230000002</v>
      </c>
      <c r="H14" s="188">
        <v>30790.970799999999</v>
      </c>
      <c r="I14" s="192">
        <f t="shared" si="0"/>
        <v>7.6787307098719199E-2</v>
      </c>
    </row>
    <row r="15" spans="1:9">
      <c r="A15" s="168" t="s">
        <v>250</v>
      </c>
      <c r="B15" s="210" t="s">
        <v>251</v>
      </c>
      <c r="C15" s="188">
        <v>19397.659</v>
      </c>
      <c r="D15">
        <v>95.001900000000006</v>
      </c>
      <c r="E15">
        <v>44.640599999999999</v>
      </c>
      <c r="F15" s="188">
        <v>865923.00470000005</v>
      </c>
      <c r="G15" s="188">
        <v>1842814.4606000001</v>
      </c>
      <c r="H15" s="188">
        <v>976891.45589999994</v>
      </c>
      <c r="I15" s="192">
        <f t="shared" si="0"/>
        <v>1.1281504828924658</v>
      </c>
    </row>
    <row r="16" spans="1:9">
      <c r="A16" s="168" t="s">
        <v>252</v>
      </c>
      <c r="B16" s="210" t="s">
        <v>233</v>
      </c>
      <c r="C16" s="188">
        <v>6809.741</v>
      </c>
      <c r="D16">
        <v>53.69</v>
      </c>
      <c r="E16">
        <v>35.241999999999997</v>
      </c>
      <c r="F16" s="188">
        <v>239988.8371</v>
      </c>
      <c r="G16" s="188">
        <v>365614.99430000002</v>
      </c>
      <c r="H16" s="188">
        <v>125626.1572</v>
      </c>
      <c r="I16" s="192">
        <f t="shared" si="0"/>
        <v>0.52346666919200635</v>
      </c>
    </row>
    <row r="17" spans="1:10">
      <c r="A17" s="168" t="s">
        <v>253</v>
      </c>
      <c r="B17" s="210" t="s">
        <v>235</v>
      </c>
      <c r="C17" s="188">
        <v>5481.1360000000004</v>
      </c>
      <c r="D17">
        <v>240.0428</v>
      </c>
      <c r="E17">
        <v>200.74350000000001</v>
      </c>
      <c r="F17" s="188">
        <v>1100302.2501999999</v>
      </c>
      <c r="G17" s="188">
        <v>1315707.2326</v>
      </c>
      <c r="H17" s="188">
        <v>215404.98240000001</v>
      </c>
      <c r="I17" s="192">
        <f t="shared" si="0"/>
        <v>0.19576891927726789</v>
      </c>
    </row>
    <row r="18" spans="1:10">
      <c r="A18" s="168" t="s">
        <v>254</v>
      </c>
      <c r="B18" s="210" t="s">
        <v>237</v>
      </c>
      <c r="C18">
        <v>920.50099999999998</v>
      </c>
      <c r="D18">
        <v>280.14640000000003</v>
      </c>
      <c r="E18">
        <v>266.14609999999999</v>
      </c>
      <c r="F18" s="188">
        <v>244987.75349999999</v>
      </c>
      <c r="G18" s="188">
        <v>257875.04130000001</v>
      </c>
      <c r="H18" s="188">
        <v>12887.287899999999</v>
      </c>
      <c r="I18" s="192">
        <f t="shared" si="0"/>
        <v>5.2603804540784935E-2</v>
      </c>
    </row>
    <row r="19" spans="1:10">
      <c r="A19" s="168" t="s">
        <v>255</v>
      </c>
      <c r="B19" s="210" t="s">
        <v>241</v>
      </c>
      <c r="C19" s="188">
        <v>18996.168000000001</v>
      </c>
      <c r="D19">
        <v>25.560300000000002</v>
      </c>
      <c r="E19">
        <v>9.4700000000000006</v>
      </c>
      <c r="F19" s="188">
        <v>179893.71100000001</v>
      </c>
      <c r="G19" s="188">
        <v>485547.75290000002</v>
      </c>
      <c r="H19" s="188">
        <v>305654.04200000002</v>
      </c>
      <c r="I19" s="192">
        <f t="shared" si="0"/>
        <v>1.6990813091848442</v>
      </c>
    </row>
    <row r="20" spans="1:10">
      <c r="A20" s="168"/>
      <c r="B20" s="210"/>
      <c r="C20" s="188"/>
      <c r="D20"/>
      <c r="E20"/>
      <c r="F20" s="188"/>
      <c r="G20" s="188"/>
      <c r="H20" s="188"/>
      <c r="I20" s="192"/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474258.40249999997</v>
      </c>
      <c r="D22" s="75"/>
      <c r="E22" s="75"/>
      <c r="F22" s="75">
        <f t="shared" ref="F22:H22" si="1">SUM(F2:F21)</f>
        <v>10120508.331099998</v>
      </c>
      <c r="G22" s="75">
        <f t="shared" si="1"/>
        <v>16995865.175999999</v>
      </c>
      <c r="H22" s="75">
        <f t="shared" si="1"/>
        <v>6875356.8448999999</v>
      </c>
      <c r="I22" s="53">
        <f t="shared" si="0"/>
        <v>0.67934896350732188</v>
      </c>
      <c r="J22" s="202"/>
    </row>
  </sheetData>
  <hyperlinks>
    <hyperlink ref="A2" r:id="rId1" location="/mf/1831632/41287/NULL" xr:uid="{0081D3CF-13BC-4334-B028-F291F1656085}"/>
    <hyperlink ref="A3" r:id="rId2" location="/mf/1831632/15690/NULL" xr:uid="{F2F7B00A-BEDB-478C-BA70-012452B9565D}"/>
    <hyperlink ref="A4" r:id="rId3" location="/mf/1831632/22335/NULL" xr:uid="{BA65A914-8C90-47C8-82A8-821DAD79B99C}"/>
    <hyperlink ref="A5" r:id="rId4" location="/mf/1831632/38817/NULL" xr:uid="{240E86FF-A070-45D8-886E-DCE954A7A373}"/>
    <hyperlink ref="A6" r:id="rId5" location="/mf/1831632/40665/NULL" xr:uid="{95954F96-1FB9-4477-B13D-CC8A1B0BBFCF}"/>
    <hyperlink ref="A7" r:id="rId6" location="/mf/1831632/16071/NULL" xr:uid="{5408AF30-A5E1-46CF-9278-B879A8C7CBA1}"/>
    <hyperlink ref="A8" r:id="rId7" location="/mf/1831632/16617/NULL" xr:uid="{A1BFEA7B-B1F3-415D-9682-21549E7D3A33}"/>
    <hyperlink ref="A9" r:id="rId8" location="/mf/1831632/17134/NULL" xr:uid="{9DE90F21-F99E-4BF2-B9C5-50DA457443B9}"/>
    <hyperlink ref="A10" r:id="rId9" location="/mf/1831632/38228/NULL" xr:uid="{25F8A4CA-6C3C-448F-AF00-9409B7E9825E}"/>
    <hyperlink ref="A11" r:id="rId10" location="/mf/1831632/41574/NULL" xr:uid="{374AFFDA-8C25-44BC-BA29-E0F11BD606CB}"/>
    <hyperlink ref="A12" r:id="rId11" location="/mf/1831632/41937/NULL" xr:uid="{3A155B53-DE31-4F62-9AEE-AD1672099885}"/>
    <hyperlink ref="A13" r:id="rId12" location="/mf/1831632/42135/NULL" xr:uid="{8C79C7DA-3E53-4915-8DCC-96188F8E7B67}"/>
    <hyperlink ref="A14" r:id="rId13" location="/mf/1831632/44110/NULL" xr:uid="{3C1C0C79-E32F-4917-8892-53557497C599}"/>
    <hyperlink ref="A15" r:id="rId14" location="/mf/1831632/19701/NULL" xr:uid="{E436BEF4-A6E6-41E0-8C27-A888F1E30B45}"/>
    <hyperlink ref="A16" r:id="rId15" location="/mf/1831632/17348/NULL" xr:uid="{33C63064-AE27-4F59-9004-75005EFDF380}"/>
    <hyperlink ref="A17" r:id="rId16" location="/mf/1831632/17375/NULL" xr:uid="{56900E6B-852B-4581-A57F-62BECF0ED3F1}"/>
    <hyperlink ref="A18" r:id="rId17" location="/mf/1831632/17366/NULL" xr:uid="{25815535-9E37-4BE9-812A-BEDB5BEC77B3}"/>
    <hyperlink ref="A19" r:id="rId18" location="/mf/1831632/36491/NULL" xr:uid="{010E5D7D-7661-4010-BA7E-1A8AEB3070AC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3C00-AE13-4620-B061-1A49C96E4400}">
  <dimension ref="A1:J104"/>
  <sheetViews>
    <sheetView workbookViewId="0">
      <pane xSplit="1" ySplit="1" topLeftCell="E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258</v>
      </c>
      <c r="B2" s="150">
        <v>100</v>
      </c>
      <c r="C2" s="150">
        <v>109.73</v>
      </c>
      <c r="D2" s="150">
        <v>97.55</v>
      </c>
      <c r="E2" s="150">
        <v>10972.5</v>
      </c>
      <c r="F2" s="150">
        <v>9755</v>
      </c>
      <c r="G2" s="150">
        <v>-1217.5</v>
      </c>
      <c r="H2" s="191">
        <f>G2/E2</f>
        <v>-0.11095921622237412</v>
      </c>
    </row>
    <row r="3" spans="1:10" ht="15.75">
      <c r="A3" s="149" t="s">
        <v>256</v>
      </c>
      <c r="B3" s="150">
        <v>20</v>
      </c>
      <c r="C3" s="150">
        <v>0</v>
      </c>
      <c r="D3" s="150">
        <v>1104.93</v>
      </c>
      <c r="E3" s="150">
        <v>0</v>
      </c>
      <c r="F3" s="150">
        <v>22098.6</v>
      </c>
      <c r="G3" s="150">
        <v>0</v>
      </c>
      <c r="H3" s="191" t="e">
        <f>G3/E3</f>
        <v>#DIV/0!</v>
      </c>
    </row>
    <row r="4" spans="1:10" ht="15.75">
      <c r="A4" s="149" t="s">
        <v>264</v>
      </c>
      <c r="B4" s="150">
        <v>13</v>
      </c>
      <c r="C4" s="150">
        <v>133.75</v>
      </c>
      <c r="D4" s="150">
        <v>1571.15</v>
      </c>
      <c r="E4" s="150">
        <v>1738.75</v>
      </c>
      <c r="F4" s="150">
        <v>20424.95</v>
      </c>
      <c r="G4" s="150">
        <v>18686.2</v>
      </c>
      <c r="H4" s="191">
        <f>G4/E4</f>
        <v>10.746915887850468</v>
      </c>
    </row>
    <row r="5" spans="1:10" ht="15.75">
      <c r="A5" s="149" t="s">
        <v>144</v>
      </c>
      <c r="B5" s="150">
        <v>19</v>
      </c>
      <c r="C5" s="150">
        <v>489.54</v>
      </c>
      <c r="D5" s="150">
        <v>2465.3000000000002</v>
      </c>
      <c r="E5" s="150">
        <v>9301.2000000000007</v>
      </c>
      <c r="F5" s="150">
        <v>46840.7</v>
      </c>
      <c r="G5" s="150">
        <v>37539.5</v>
      </c>
      <c r="H5" s="191">
        <f>G5/E5</f>
        <v>4.0359846041371004</v>
      </c>
      <c r="J5" s="188"/>
    </row>
    <row r="6" spans="1:10" ht="15.75">
      <c r="A6" s="149" t="s">
        <v>145</v>
      </c>
      <c r="B6" s="150">
        <v>250</v>
      </c>
      <c r="C6" s="150">
        <v>183.59</v>
      </c>
      <c r="D6" s="150">
        <v>501.55</v>
      </c>
      <c r="E6" s="150">
        <v>45897.5</v>
      </c>
      <c r="F6" s="150">
        <v>125387.5</v>
      </c>
      <c r="G6" s="150">
        <v>79490</v>
      </c>
      <c r="H6" s="191">
        <f>G6/E6</f>
        <v>1.7319026090745684</v>
      </c>
    </row>
    <row r="7" spans="1:10" ht="15.75">
      <c r="A7" s="149" t="s">
        <v>146</v>
      </c>
      <c r="B7" s="150">
        <v>62</v>
      </c>
      <c r="C7" s="150">
        <v>708.24</v>
      </c>
      <c r="D7" s="150">
        <v>1233</v>
      </c>
      <c r="E7" s="150">
        <v>43910.6</v>
      </c>
      <c r="F7" s="150">
        <v>76446</v>
      </c>
      <c r="G7" s="150">
        <v>32535.4</v>
      </c>
      <c r="H7" s="191">
        <f>G7/E7</f>
        <v>0.74094637741228775</v>
      </c>
    </row>
    <row r="8" spans="1:10" ht="15.75">
      <c r="A8" s="149" t="s">
        <v>147</v>
      </c>
      <c r="B8" s="150">
        <v>19</v>
      </c>
      <c r="C8" s="150">
        <v>3076.33</v>
      </c>
      <c r="D8" s="150">
        <v>8903.1</v>
      </c>
      <c r="E8" s="150">
        <v>58450.25</v>
      </c>
      <c r="F8" s="150">
        <v>169158.9</v>
      </c>
      <c r="G8" s="150">
        <v>110708.65</v>
      </c>
      <c r="H8" s="191">
        <f>G8/E8</f>
        <v>1.8940663213587623</v>
      </c>
    </row>
    <row r="9" spans="1:10" ht="15.75">
      <c r="A9" s="149" t="s">
        <v>148</v>
      </c>
      <c r="B9" s="150">
        <v>80</v>
      </c>
      <c r="C9" s="150">
        <v>673.1</v>
      </c>
      <c r="D9" s="150">
        <v>1042.8</v>
      </c>
      <c r="E9" s="150">
        <v>53848.35</v>
      </c>
      <c r="F9" s="150">
        <v>83424</v>
      </c>
      <c r="G9" s="150">
        <v>29575.65</v>
      </c>
      <c r="H9" s="191">
        <f>G9/E9</f>
        <v>0.54923967029630438</v>
      </c>
      <c r="J9" s="188"/>
    </row>
    <row r="10" spans="1:10" ht="15.75">
      <c r="A10" s="149" t="s">
        <v>149</v>
      </c>
      <c r="B10" s="150">
        <v>15</v>
      </c>
      <c r="C10" s="150">
        <v>2427.4699999999998</v>
      </c>
      <c r="D10" s="150">
        <v>2285</v>
      </c>
      <c r="E10" s="150">
        <v>36412</v>
      </c>
      <c r="F10" s="150">
        <v>34275</v>
      </c>
      <c r="G10" s="150">
        <v>-2137</v>
      </c>
      <c r="H10" s="191">
        <f>G10/E10</f>
        <v>-5.8689443040755795E-2</v>
      </c>
    </row>
    <row r="11" spans="1:10" ht="15.75">
      <c r="A11" s="149" t="s">
        <v>150</v>
      </c>
      <c r="B11" s="150">
        <v>184</v>
      </c>
      <c r="C11" s="150">
        <v>188.19</v>
      </c>
      <c r="D11" s="150">
        <v>278.39999999999998</v>
      </c>
      <c r="E11" s="150">
        <v>34627.15</v>
      </c>
      <c r="F11" s="150">
        <v>51225.599999999999</v>
      </c>
      <c r="G11" s="150">
        <v>16598.45</v>
      </c>
      <c r="H11" s="191">
        <f>G11/E11</f>
        <v>0.47934785276870895</v>
      </c>
      <c r="J11" s="188"/>
    </row>
    <row r="12" spans="1:10" ht="15.75">
      <c r="A12" s="149" t="s">
        <v>151</v>
      </c>
      <c r="B12" s="150">
        <v>8500</v>
      </c>
      <c r="C12" s="150">
        <v>50.47</v>
      </c>
      <c r="D12" s="150">
        <v>59.21</v>
      </c>
      <c r="E12" s="150">
        <v>429035.72</v>
      </c>
      <c r="F12" s="150">
        <v>503285</v>
      </c>
      <c r="G12" s="150">
        <v>74249.279999999999</v>
      </c>
      <c r="H12" s="191">
        <f>G12/E12</f>
        <v>0.17306083512114098</v>
      </c>
      <c r="J12" s="188"/>
    </row>
    <row r="13" spans="1:10" ht="15.75">
      <c r="A13" s="149" t="s">
        <v>152</v>
      </c>
      <c r="B13" s="150">
        <v>180</v>
      </c>
      <c r="C13" s="150">
        <v>322.89</v>
      </c>
      <c r="D13" s="150">
        <v>2056.65</v>
      </c>
      <c r="E13" s="150">
        <v>58120</v>
      </c>
      <c r="F13" s="150">
        <v>370197</v>
      </c>
      <c r="G13" s="150">
        <v>312077</v>
      </c>
      <c r="H13" s="191">
        <f>G13/E13</f>
        <v>5.3695285615966961</v>
      </c>
      <c r="J13" s="188"/>
    </row>
    <row r="14" spans="1:10" ht="15.75">
      <c r="A14" s="149" t="s">
        <v>153</v>
      </c>
      <c r="B14" s="150">
        <v>40</v>
      </c>
      <c r="C14" s="150">
        <v>446.04</v>
      </c>
      <c r="D14" s="150">
        <v>1039.05</v>
      </c>
      <c r="E14" s="150">
        <v>17841.599999999999</v>
      </c>
      <c r="F14" s="150">
        <v>41562</v>
      </c>
      <c r="G14" s="150">
        <v>23720.400000000001</v>
      </c>
      <c r="H14" s="191">
        <f>G14/E14</f>
        <v>1.3294995964487493</v>
      </c>
    </row>
    <row r="15" spans="1:10" ht="15.75">
      <c r="A15" s="149" t="s">
        <v>154</v>
      </c>
      <c r="B15" s="150">
        <v>14</v>
      </c>
      <c r="C15" s="150">
        <v>3489.94</v>
      </c>
      <c r="D15" s="150">
        <v>5845.6</v>
      </c>
      <c r="E15" s="150">
        <v>48859.1</v>
      </c>
      <c r="F15" s="150">
        <v>81838.399999999994</v>
      </c>
      <c r="G15" s="150">
        <v>32979.300000000003</v>
      </c>
      <c r="H15" s="191">
        <v>0</v>
      </c>
      <c r="J15" s="188"/>
    </row>
    <row r="16" spans="1:10" ht="15.75">
      <c r="A16" s="149" t="s">
        <v>155</v>
      </c>
      <c r="B16" s="150">
        <v>180</v>
      </c>
      <c r="C16" s="150">
        <v>155.25</v>
      </c>
      <c r="D16" s="150">
        <v>195.1</v>
      </c>
      <c r="E16" s="150">
        <v>27945</v>
      </c>
      <c r="F16" s="150">
        <v>35118</v>
      </c>
      <c r="G16" s="150">
        <v>7173</v>
      </c>
      <c r="H16" s="191">
        <f>G16/E16</f>
        <v>0.25668276972624798</v>
      </c>
      <c r="J16" s="188"/>
    </row>
    <row r="17" spans="1:10" ht="15.75">
      <c r="A17" s="149" t="s">
        <v>156</v>
      </c>
      <c r="B17" s="150">
        <v>88</v>
      </c>
      <c r="C17" s="150">
        <v>373.58</v>
      </c>
      <c r="D17" s="150">
        <v>431.05</v>
      </c>
      <c r="E17" s="150">
        <v>32874.85</v>
      </c>
      <c r="F17" s="150">
        <v>37932.400000000001</v>
      </c>
      <c r="G17" s="150">
        <v>5057.55</v>
      </c>
      <c r="H17" s="191">
        <f>G17/E17</f>
        <v>0.15384252703814619</v>
      </c>
      <c r="J17" s="188"/>
    </row>
    <row r="18" spans="1:10" ht="15.75">
      <c r="A18" s="149" t="s">
        <v>157</v>
      </c>
      <c r="B18" s="150">
        <v>45</v>
      </c>
      <c r="C18" s="150">
        <v>990.66</v>
      </c>
      <c r="D18" s="150">
        <v>1501.65</v>
      </c>
      <c r="E18" s="150">
        <v>44579.85</v>
      </c>
      <c r="F18" s="150">
        <v>67574.25</v>
      </c>
      <c r="G18" s="150">
        <v>22994.400000000001</v>
      </c>
      <c r="H18" s="191">
        <f>G18/E18</f>
        <v>0.51580254307719753</v>
      </c>
    </row>
    <row r="19" spans="1:10" ht="15.75">
      <c r="A19" s="149" t="s">
        <v>158</v>
      </c>
      <c r="B19" s="150">
        <v>470</v>
      </c>
      <c r="C19" s="150">
        <v>194.39</v>
      </c>
      <c r="D19" s="150">
        <v>388.7</v>
      </c>
      <c r="E19" s="150">
        <v>91363.5</v>
      </c>
      <c r="F19" s="150">
        <v>182689</v>
      </c>
      <c r="G19" s="150">
        <v>91325.5</v>
      </c>
      <c r="H19" s="191">
        <f>G19/E19</f>
        <v>0.99958407898121238</v>
      </c>
    </row>
    <row r="20" spans="1:10" ht="15.75">
      <c r="A20" s="149" t="s">
        <v>159</v>
      </c>
      <c r="B20" s="150">
        <v>65</v>
      </c>
      <c r="C20" s="150">
        <v>909.05</v>
      </c>
      <c r="D20" s="150">
        <v>1779.65</v>
      </c>
      <c r="E20" s="150">
        <v>59088.4</v>
      </c>
      <c r="F20" s="150">
        <v>115677.25</v>
      </c>
      <c r="G20" s="150">
        <v>56588.85</v>
      </c>
      <c r="H20" s="191">
        <f>G20/E20</f>
        <v>0.95769812687431033</v>
      </c>
    </row>
    <row r="21" spans="1:10" ht="15.75">
      <c r="A21" s="149" t="s">
        <v>160</v>
      </c>
      <c r="B21" s="150">
        <v>21</v>
      </c>
      <c r="C21" s="150">
        <v>1503.03</v>
      </c>
      <c r="D21" s="150">
        <v>2244.1999999999998</v>
      </c>
      <c r="E21" s="150">
        <v>31563.7</v>
      </c>
      <c r="F21" s="150">
        <v>47128.2</v>
      </c>
      <c r="G21" s="150">
        <v>15564.5</v>
      </c>
      <c r="H21" s="191">
        <f>G21/E21</f>
        <v>0.49311392517353797</v>
      </c>
      <c r="J21" s="188"/>
    </row>
    <row r="22" spans="1:10" ht="15.75">
      <c r="A22" s="149" t="s">
        <v>161</v>
      </c>
      <c r="B22" s="150">
        <v>66</v>
      </c>
      <c r="C22" s="150">
        <v>557.49</v>
      </c>
      <c r="D22" s="150">
        <v>756.25</v>
      </c>
      <c r="E22" s="150">
        <v>36794.1</v>
      </c>
      <c r="F22" s="150">
        <v>49912.5</v>
      </c>
      <c r="G22" s="150">
        <v>13118.4</v>
      </c>
      <c r="H22" s="191">
        <f>G22/E22</f>
        <v>0.35653542279876393</v>
      </c>
    </row>
    <row r="23" spans="1:10" ht="15.75">
      <c r="A23" s="149" t="s">
        <v>162</v>
      </c>
      <c r="B23" s="150">
        <v>12</v>
      </c>
      <c r="C23" s="150">
        <v>3474.64</v>
      </c>
      <c r="D23" s="150">
        <v>4153.5</v>
      </c>
      <c r="E23" s="150">
        <v>41695.699999999997</v>
      </c>
      <c r="F23" s="150">
        <v>49842</v>
      </c>
      <c r="G23" s="150">
        <v>8146.3</v>
      </c>
      <c r="H23" s="191">
        <f>G23/E23</f>
        <v>0.19537506265634108</v>
      </c>
      <c r="J23" s="188"/>
    </row>
    <row r="24" spans="1:10" ht="15.75">
      <c r="A24" s="149" t="s">
        <v>163</v>
      </c>
      <c r="B24" s="150">
        <v>60</v>
      </c>
      <c r="C24" s="150">
        <v>992.6</v>
      </c>
      <c r="D24" s="150">
        <v>1199.0999999999999</v>
      </c>
      <c r="E24" s="150">
        <v>59555.95</v>
      </c>
      <c r="F24" s="150">
        <v>71946</v>
      </c>
      <c r="G24" s="150">
        <v>12390.05</v>
      </c>
      <c r="H24" s="191">
        <f>G24/E24</f>
        <v>0.20804050644813826</v>
      </c>
      <c r="J24" s="188"/>
    </row>
    <row r="25" spans="1:10" ht="15.75">
      <c r="A25" s="149" t="s">
        <v>164</v>
      </c>
      <c r="B25" s="150">
        <v>7</v>
      </c>
      <c r="C25" s="150">
        <v>3506.83</v>
      </c>
      <c r="D25" s="150">
        <v>7007</v>
      </c>
      <c r="E25" s="150">
        <v>24547.8</v>
      </c>
      <c r="F25" s="150">
        <v>49049</v>
      </c>
      <c r="G25" s="150">
        <v>24501.200000000001</v>
      </c>
      <c r="H25" s="191">
        <f>G25/E25</f>
        <v>0.99810166287813984</v>
      </c>
    </row>
    <row r="26" spans="1:10" ht="15.75">
      <c r="A26" s="149" t="s">
        <v>165</v>
      </c>
      <c r="B26" s="150">
        <v>92</v>
      </c>
      <c r="C26" s="150">
        <v>359.33</v>
      </c>
      <c r="D26" s="150">
        <v>428.95</v>
      </c>
      <c r="E26" s="150">
        <v>33058.28</v>
      </c>
      <c r="F26" s="150">
        <v>39463.4</v>
      </c>
      <c r="G26" s="150">
        <v>6405.12</v>
      </c>
      <c r="H26" s="191">
        <f>G26/E26</f>
        <v>0.1937523670317996</v>
      </c>
    </row>
    <row r="27" spans="1:10" ht="15.75">
      <c r="A27" s="149" t="s">
        <v>166</v>
      </c>
      <c r="B27" s="150">
        <v>24</v>
      </c>
      <c r="C27" s="150">
        <v>2007.86</v>
      </c>
      <c r="D27" s="150">
        <v>2842.9</v>
      </c>
      <c r="E27" s="150">
        <v>48188.7</v>
      </c>
      <c r="F27" s="150">
        <v>68229.600000000006</v>
      </c>
      <c r="G27" s="150">
        <v>20040.900000000001</v>
      </c>
      <c r="H27" s="191">
        <f>G27/E27</f>
        <v>0.4158838067845782</v>
      </c>
      <c r="J27" s="188"/>
    </row>
    <row r="28" spans="1:10" ht="15.75">
      <c r="A28" s="149" t="s">
        <v>167</v>
      </c>
      <c r="B28" s="150">
        <v>35</v>
      </c>
      <c r="C28" s="150">
        <v>234.44</v>
      </c>
      <c r="D28" s="150">
        <v>3185.6</v>
      </c>
      <c r="E28" s="150">
        <v>8205.5300000000007</v>
      </c>
      <c r="F28" s="150">
        <v>111496</v>
      </c>
      <c r="G28" s="150">
        <v>103290.47</v>
      </c>
      <c r="H28" s="191">
        <f>G28/E28</f>
        <v>12.58790961705094</v>
      </c>
      <c r="J28" s="188"/>
    </row>
    <row r="29" spans="1:10" ht="15.75">
      <c r="A29" s="149" t="s">
        <v>168</v>
      </c>
      <c r="B29" s="150">
        <v>42</v>
      </c>
      <c r="C29" s="150">
        <v>664.74</v>
      </c>
      <c r="D29" s="150">
        <v>1591.7</v>
      </c>
      <c r="E29" s="150">
        <v>27918.9</v>
      </c>
      <c r="F29" s="150">
        <v>66851.399999999994</v>
      </c>
      <c r="G29" s="150">
        <v>38932.5</v>
      </c>
      <c r="H29" s="191">
        <f>G29/E29</f>
        <v>1.394485456088886</v>
      </c>
      <c r="J29" s="188"/>
    </row>
    <row r="30" spans="1:10" ht="15.75">
      <c r="A30" s="149" t="s">
        <v>169</v>
      </c>
      <c r="B30" s="150">
        <v>230</v>
      </c>
      <c r="C30" s="150">
        <v>189.67</v>
      </c>
      <c r="D30" s="150">
        <v>381.9</v>
      </c>
      <c r="E30" s="150">
        <v>43625.2</v>
      </c>
      <c r="F30" s="150">
        <v>87837</v>
      </c>
      <c r="G30" s="150">
        <v>44211.8</v>
      </c>
      <c r="H30" s="191">
        <f>G30/E30</f>
        <v>1.0134463566929208</v>
      </c>
    </row>
    <row r="31" spans="1:10" ht="15.75">
      <c r="A31" s="149" t="s">
        <v>170</v>
      </c>
      <c r="B31" s="150">
        <v>351</v>
      </c>
      <c r="C31" s="150">
        <v>91.3</v>
      </c>
      <c r="D31" s="150">
        <v>236.75</v>
      </c>
      <c r="E31" s="150">
        <v>32046.16</v>
      </c>
      <c r="F31" s="150">
        <v>83099.25</v>
      </c>
      <c r="G31" s="150">
        <v>51053.09</v>
      </c>
      <c r="H31" s="191">
        <f>G31/E31</f>
        <v>1.5931109998826691</v>
      </c>
      <c r="J31" s="188"/>
    </row>
    <row r="32" spans="1:10" ht="15.75">
      <c r="A32" s="149" t="s">
        <v>172</v>
      </c>
      <c r="B32" s="150">
        <v>20</v>
      </c>
      <c r="C32" s="150">
        <v>1600.68</v>
      </c>
      <c r="D32" s="150">
        <v>2289.9</v>
      </c>
      <c r="E32" s="150">
        <v>32013.55</v>
      </c>
      <c r="F32" s="150">
        <v>45798</v>
      </c>
      <c r="G32" s="150">
        <v>13784.45</v>
      </c>
      <c r="H32" s="191">
        <f>G32/E32</f>
        <v>0.43058173804529648</v>
      </c>
      <c r="J32" s="188"/>
    </row>
    <row r="33" spans="1:10" ht="15.75">
      <c r="A33" s="149" t="s">
        <v>173</v>
      </c>
      <c r="B33" s="150">
        <v>1200</v>
      </c>
      <c r="C33" s="150">
        <v>81.55</v>
      </c>
      <c r="D33" s="150">
        <v>100.02</v>
      </c>
      <c r="E33" s="150">
        <v>97860.76</v>
      </c>
      <c r="F33" s="150">
        <v>120024</v>
      </c>
      <c r="G33" s="150">
        <v>22163.24</v>
      </c>
      <c r="H33" s="191">
        <f>G33/E33</f>
        <v>0.22647729283933624</v>
      </c>
    </row>
    <row r="34" spans="1:10" ht="15.75">
      <c r="A34" s="149" t="s">
        <v>174</v>
      </c>
      <c r="B34" s="150">
        <v>74</v>
      </c>
      <c r="C34" s="150">
        <v>1149.02</v>
      </c>
      <c r="D34" s="150">
        <v>1541.5</v>
      </c>
      <c r="E34" s="150">
        <v>85027.5</v>
      </c>
      <c r="F34" s="150">
        <v>114071</v>
      </c>
      <c r="G34" s="150">
        <v>29043.5</v>
      </c>
      <c r="H34" s="191">
        <f>G34/E34</f>
        <v>0.34157772485372379</v>
      </c>
    </row>
    <row r="35" spans="1:10" ht="15.75">
      <c r="A35" s="149" t="s">
        <v>175</v>
      </c>
      <c r="B35" s="150">
        <v>94</v>
      </c>
      <c r="C35" s="150">
        <v>825.12</v>
      </c>
      <c r="D35" s="150">
        <v>987.65</v>
      </c>
      <c r="E35" s="150">
        <v>77561.5</v>
      </c>
      <c r="F35" s="150">
        <v>92839.1</v>
      </c>
      <c r="G35" s="150">
        <v>15277.6</v>
      </c>
      <c r="H35" s="191">
        <f>G35/E35</f>
        <v>0.19697401416940105</v>
      </c>
    </row>
    <row r="36" spans="1:10" ht="15.75">
      <c r="A36" s="149" t="s">
        <v>176</v>
      </c>
      <c r="B36" s="150">
        <v>136</v>
      </c>
      <c r="C36" s="150">
        <v>596.66999999999996</v>
      </c>
      <c r="D36" s="150">
        <v>731.85</v>
      </c>
      <c r="E36" s="150">
        <v>81147.75</v>
      </c>
      <c r="F36" s="150">
        <v>99531.6</v>
      </c>
      <c r="G36" s="150">
        <v>18383.849999999999</v>
      </c>
      <c r="H36" s="191">
        <f>G36/E36</f>
        <v>0.22654787101305948</v>
      </c>
      <c r="J36" s="188"/>
    </row>
    <row r="37" spans="1:10" ht="15.75">
      <c r="A37" s="149" t="s">
        <v>177</v>
      </c>
      <c r="B37" s="150">
        <v>10</v>
      </c>
      <c r="C37" s="150">
        <v>3016.79</v>
      </c>
      <c r="D37" s="150">
        <v>5553.65</v>
      </c>
      <c r="E37" s="150">
        <v>30167.85</v>
      </c>
      <c r="F37" s="150">
        <v>55536.5</v>
      </c>
      <c r="G37" s="150">
        <v>25368.65</v>
      </c>
      <c r="H37" s="191">
        <f>G37/E37</f>
        <v>0.84091673752024099</v>
      </c>
    </row>
    <row r="38" spans="1:10" ht="15.75">
      <c r="A38" s="149" t="s">
        <v>178</v>
      </c>
      <c r="B38" s="150">
        <v>59</v>
      </c>
      <c r="C38" s="150">
        <v>656.47</v>
      </c>
      <c r="D38" s="150">
        <v>1345.3</v>
      </c>
      <c r="E38" s="150">
        <v>38731.699999999997</v>
      </c>
      <c r="F38" s="150">
        <v>79372.7</v>
      </c>
      <c r="G38" s="150">
        <v>40641</v>
      </c>
      <c r="H38" s="191">
        <f>G38/E38</f>
        <v>1.0492955382800135</v>
      </c>
      <c r="J38" s="188"/>
    </row>
    <row r="39" spans="1:10" ht="15.75">
      <c r="A39" s="149" t="s">
        <v>179</v>
      </c>
      <c r="B39" s="150">
        <v>54</v>
      </c>
      <c r="C39" s="150">
        <v>1308.5899999999999</v>
      </c>
      <c r="D39" s="150">
        <v>1995.85</v>
      </c>
      <c r="E39" s="150">
        <v>70664.100000000006</v>
      </c>
      <c r="F39" s="150">
        <v>107775.9</v>
      </c>
      <c r="G39" s="150">
        <v>37111.800000000003</v>
      </c>
      <c r="H39" s="191">
        <f>G39/E39</f>
        <v>0.52518605628600656</v>
      </c>
      <c r="J39" s="188"/>
    </row>
    <row r="40" spans="1:10" ht="15.75">
      <c r="A40" s="149" t="s">
        <v>180</v>
      </c>
      <c r="B40" s="150">
        <v>118</v>
      </c>
      <c r="C40" s="150">
        <v>492.05</v>
      </c>
      <c r="D40" s="150">
        <v>591.5</v>
      </c>
      <c r="E40" s="150">
        <v>58062.35</v>
      </c>
      <c r="F40" s="150">
        <v>69797</v>
      </c>
      <c r="G40" s="150">
        <v>11734.65</v>
      </c>
      <c r="H40" s="191">
        <f>G40/E40</f>
        <v>0.20210428961280416</v>
      </c>
    </row>
    <row r="41" spans="1:10" ht="15.75">
      <c r="A41" s="149" t="s">
        <v>181</v>
      </c>
      <c r="B41" s="150">
        <v>65</v>
      </c>
      <c r="C41" s="150">
        <v>1576.72</v>
      </c>
      <c r="D41" s="150">
        <v>1482.5</v>
      </c>
      <c r="E41" s="150">
        <v>102486.6</v>
      </c>
      <c r="F41" s="150">
        <v>96362.5</v>
      </c>
      <c r="G41" s="150">
        <v>-6124.1</v>
      </c>
      <c r="H41" s="191">
        <f>G41/E41</f>
        <v>-5.9755128963201044E-2</v>
      </c>
      <c r="J41" s="188"/>
    </row>
    <row r="42" spans="1:10" ht="15.75">
      <c r="A42" s="149" t="s">
        <v>182</v>
      </c>
      <c r="B42" s="150">
        <v>788</v>
      </c>
      <c r="C42" s="150">
        <v>206.55</v>
      </c>
      <c r="D42" s="150">
        <v>420.35</v>
      </c>
      <c r="E42" s="150">
        <v>162761.06</v>
      </c>
      <c r="F42" s="150">
        <v>331235.8</v>
      </c>
      <c r="G42" s="150">
        <v>168474.74</v>
      </c>
      <c r="H42" s="191">
        <f>G42/E42</f>
        <v>1.0351047111637144</v>
      </c>
      <c r="J42" s="188"/>
    </row>
    <row r="43" spans="1:10" ht="15.75">
      <c r="A43" s="149" t="s">
        <v>183</v>
      </c>
      <c r="B43" s="150">
        <v>45</v>
      </c>
      <c r="C43" s="150">
        <v>1006.05</v>
      </c>
      <c r="D43" s="150">
        <v>1682.3</v>
      </c>
      <c r="E43" s="150">
        <v>45272.45</v>
      </c>
      <c r="F43" s="150">
        <v>75703.5</v>
      </c>
      <c r="G43" s="150">
        <v>30431.05</v>
      </c>
      <c r="H43" s="191">
        <f>G43/E43</f>
        <v>0.67217590388856807</v>
      </c>
      <c r="J43" s="188"/>
    </row>
    <row r="44" spans="1:10" ht="15.75">
      <c r="A44" s="149" t="s">
        <v>184</v>
      </c>
      <c r="B44" s="150">
        <v>304</v>
      </c>
      <c r="C44" s="150">
        <v>108.8</v>
      </c>
      <c r="D44" s="150">
        <v>243.15</v>
      </c>
      <c r="E44" s="150">
        <v>33076.239999999998</v>
      </c>
      <c r="F44" s="150">
        <v>73917.600000000006</v>
      </c>
      <c r="G44" s="150">
        <v>40841.360000000001</v>
      </c>
      <c r="H44" s="191">
        <f>G44/E44</f>
        <v>1.2347642900160358</v>
      </c>
      <c r="J44" s="188"/>
    </row>
    <row r="45" spans="1:10" ht="15.75">
      <c r="A45" s="149" t="s">
        <v>185</v>
      </c>
      <c r="B45" s="150">
        <v>57</v>
      </c>
      <c r="C45" s="150">
        <v>1778.4</v>
      </c>
      <c r="D45" s="150">
        <v>2102.1999999999998</v>
      </c>
      <c r="E45" s="150">
        <v>101368.55</v>
      </c>
      <c r="F45" s="150">
        <v>119825.4</v>
      </c>
      <c r="G45" s="150">
        <v>18456.849999999999</v>
      </c>
      <c r="H45" s="191">
        <f>G45/E45</f>
        <v>0.18207668946630881</v>
      </c>
      <c r="J45" s="188"/>
    </row>
    <row r="46" spans="1:10" ht="15.75">
      <c r="A46" s="149" t="s">
        <v>186</v>
      </c>
      <c r="B46" s="150">
        <v>80</v>
      </c>
      <c r="C46" s="150">
        <v>814.86</v>
      </c>
      <c r="D46" s="150">
        <v>1166.7</v>
      </c>
      <c r="E46" s="150">
        <v>65188.75</v>
      </c>
      <c r="F46" s="150">
        <v>93336</v>
      </c>
      <c r="G46" s="150">
        <v>28147.25</v>
      </c>
      <c r="H46" s="191">
        <f>G46/E46</f>
        <v>0.43178079039711609</v>
      </c>
    </row>
    <row r="47" spans="1:10" ht="15.75">
      <c r="A47" s="149" t="s">
        <v>187</v>
      </c>
      <c r="B47" s="150">
        <v>20</v>
      </c>
      <c r="C47" s="150">
        <v>2295.38</v>
      </c>
      <c r="D47" s="150">
        <v>3136.1</v>
      </c>
      <c r="E47" s="150">
        <v>45907.6</v>
      </c>
      <c r="F47" s="150">
        <v>62722</v>
      </c>
      <c r="G47" s="150">
        <v>16814.400000000001</v>
      </c>
      <c r="H47" s="191">
        <f>G47/E47</f>
        <v>0.36626615200968909</v>
      </c>
    </row>
    <row r="48" spans="1:10" ht="15.75">
      <c r="A48" s="149" t="s">
        <v>188</v>
      </c>
      <c r="B48" s="150">
        <v>62</v>
      </c>
      <c r="C48" s="150">
        <v>1053.22</v>
      </c>
      <c r="D48" s="150">
        <v>4031.2</v>
      </c>
      <c r="E48" s="150">
        <v>65299.35</v>
      </c>
      <c r="F48" s="150">
        <v>249934.4</v>
      </c>
      <c r="G48" s="150">
        <v>184635.05</v>
      </c>
      <c r="H48" s="191">
        <f>G48/E48</f>
        <v>2.827517425518018</v>
      </c>
      <c r="J48" s="188"/>
    </row>
    <row r="49" spans="1:10" ht="15.75">
      <c r="A49" s="149" t="s">
        <v>189</v>
      </c>
      <c r="B49" s="150">
        <v>10</v>
      </c>
      <c r="C49" s="150">
        <v>1189.6300000000001</v>
      </c>
      <c r="D49" s="150">
        <v>3487.2</v>
      </c>
      <c r="E49" s="150">
        <v>11896.3</v>
      </c>
      <c r="F49" s="150">
        <v>34872</v>
      </c>
      <c r="G49" s="150">
        <v>22975.7</v>
      </c>
      <c r="H49" s="191">
        <f>G49/E49</f>
        <v>1.9313315904945236</v>
      </c>
    </row>
    <row r="50" spans="1:10" ht="15.75">
      <c r="A50" s="149" t="s">
        <v>190</v>
      </c>
      <c r="B50" s="150">
        <v>28</v>
      </c>
      <c r="C50" s="150">
        <v>2226.31</v>
      </c>
      <c r="D50" s="150">
        <v>2384</v>
      </c>
      <c r="E50" s="150">
        <v>62336.7</v>
      </c>
      <c r="F50" s="150">
        <v>66752</v>
      </c>
      <c r="G50" s="150">
        <v>4415.3</v>
      </c>
      <c r="H50" s="191">
        <f>G50/E50</f>
        <v>7.0829864269362997E-2</v>
      </c>
      <c r="J50" s="188"/>
    </row>
    <row r="51" spans="1:10" ht="15.75">
      <c r="A51" s="149" t="s">
        <v>191</v>
      </c>
      <c r="B51" s="150">
        <v>73</v>
      </c>
      <c r="C51" s="150">
        <v>523.91</v>
      </c>
      <c r="D51" s="150">
        <v>721.35</v>
      </c>
      <c r="E51" s="150">
        <v>38245.25</v>
      </c>
      <c r="F51" s="150">
        <v>52658.55</v>
      </c>
      <c r="G51" s="150">
        <v>14413.3</v>
      </c>
      <c r="H51" s="191">
        <f>G51/E51</f>
        <v>0.37686510089488234</v>
      </c>
    </row>
    <row r="52" spans="1:10" ht="15.75">
      <c r="A52" s="149" t="s">
        <v>192</v>
      </c>
      <c r="B52" s="150">
        <v>73</v>
      </c>
      <c r="C52" s="150">
        <v>735.56</v>
      </c>
      <c r="D52" s="150">
        <v>1546.5</v>
      </c>
      <c r="E52" s="150">
        <v>53696.15</v>
      </c>
      <c r="F52" s="150">
        <v>112894.5</v>
      </c>
      <c r="G52" s="150">
        <v>59198.35</v>
      </c>
      <c r="H52" s="191">
        <f>G52/E52</f>
        <v>1.1024691714396655</v>
      </c>
      <c r="J52" s="188"/>
    </row>
    <row r="53" spans="1:10" ht="15.75">
      <c r="A53" s="149" t="s">
        <v>265</v>
      </c>
      <c r="B53" s="150">
        <v>75</v>
      </c>
      <c r="C53" s="150">
        <v>337.52</v>
      </c>
      <c r="D53" s="150">
        <v>464.89</v>
      </c>
      <c r="E53" s="150">
        <v>25314.17</v>
      </c>
      <c r="F53" s="150">
        <v>34866.75</v>
      </c>
      <c r="G53" s="150">
        <v>9552.58</v>
      </c>
      <c r="H53" s="191">
        <f>G53/E53</f>
        <v>0.37736098003608259</v>
      </c>
      <c r="J53" s="188"/>
    </row>
    <row r="54" spans="1:10" ht="15.75">
      <c r="A54" s="149" t="s">
        <v>194</v>
      </c>
      <c r="B54" s="150">
        <v>285</v>
      </c>
      <c r="C54" s="150">
        <v>51.08</v>
      </c>
      <c r="D54" s="150">
        <v>105.39</v>
      </c>
      <c r="E54" s="150">
        <v>14558.98</v>
      </c>
      <c r="F54" s="150">
        <v>30036.15</v>
      </c>
      <c r="G54" s="150">
        <v>15477.17</v>
      </c>
      <c r="H54" s="191">
        <f>G54/E54</f>
        <v>1.0630669181494858</v>
      </c>
      <c r="J54" s="188"/>
    </row>
    <row r="55" spans="1:10" ht="15.75">
      <c r="A55" s="149" t="s">
        <v>195</v>
      </c>
      <c r="B55" s="150">
        <v>33</v>
      </c>
      <c r="C55" s="150">
        <v>2284.62</v>
      </c>
      <c r="D55" s="150">
        <v>2764.4</v>
      </c>
      <c r="E55" s="150">
        <v>75392.600000000006</v>
      </c>
      <c r="F55" s="150">
        <v>91225.2</v>
      </c>
      <c r="G55" s="150">
        <v>15832.6</v>
      </c>
      <c r="H55" s="191">
        <f>G55/E55</f>
        <v>0.21000204264078967</v>
      </c>
      <c r="J55" s="188"/>
    </row>
    <row r="56" spans="1:10" ht="15.75">
      <c r="A56" s="149" t="s">
        <v>196</v>
      </c>
      <c r="B56" s="150">
        <v>18</v>
      </c>
      <c r="C56" s="150">
        <v>1081.33</v>
      </c>
      <c r="D56" s="150">
        <v>1271.5999999999999</v>
      </c>
      <c r="E56" s="150">
        <v>19463.849999999999</v>
      </c>
      <c r="F56" s="150">
        <v>22888.799999999999</v>
      </c>
      <c r="G56" s="150">
        <v>3424.95</v>
      </c>
      <c r="H56" s="191">
        <f>G56/E56</f>
        <v>0.17596467297066098</v>
      </c>
      <c r="J56" s="188"/>
    </row>
    <row r="57" spans="1:10" ht="15.75">
      <c r="A57" s="149" t="s">
        <v>197</v>
      </c>
      <c r="B57" s="150">
        <v>207</v>
      </c>
      <c r="C57" s="150">
        <v>127.65</v>
      </c>
      <c r="D57" s="150">
        <v>162.97999999999999</v>
      </c>
      <c r="E57" s="150">
        <v>26423.5</v>
      </c>
      <c r="F57" s="150">
        <v>33736.86</v>
      </c>
      <c r="G57" s="150">
        <v>7313.36</v>
      </c>
      <c r="H57" s="191">
        <f>G57/E57</f>
        <v>0.27677484057751622</v>
      </c>
      <c r="J57" s="188"/>
    </row>
    <row r="58" spans="1:10" ht="15.75">
      <c r="A58" s="149" t="s">
        <v>198</v>
      </c>
      <c r="B58" s="150">
        <v>80</v>
      </c>
      <c r="C58" s="150">
        <v>621.89</v>
      </c>
      <c r="D58" s="150">
        <v>1774</v>
      </c>
      <c r="E58" s="150">
        <v>49751.05</v>
      </c>
      <c r="F58" s="150">
        <v>141920</v>
      </c>
      <c r="G58" s="150">
        <v>92168.95</v>
      </c>
      <c r="H58" s="191">
        <f>G58/E58</f>
        <v>1.8526031108891168</v>
      </c>
      <c r="J58" s="188"/>
    </row>
    <row r="59" spans="1:10" ht="15.75">
      <c r="A59" s="149" t="s">
        <v>199</v>
      </c>
      <c r="B59" s="150">
        <v>10</v>
      </c>
      <c r="C59" s="150">
        <v>4342.57</v>
      </c>
      <c r="D59" s="150">
        <v>8515</v>
      </c>
      <c r="E59" s="150">
        <v>43425.7</v>
      </c>
      <c r="F59" s="150">
        <v>85150</v>
      </c>
      <c r="G59" s="150">
        <v>41724.300000000003</v>
      </c>
      <c r="H59" s="191">
        <f>G59/E59</f>
        <v>0.96082043582486887</v>
      </c>
    </row>
    <row r="60" spans="1:10" ht="15.75">
      <c r="A60" s="149" t="s">
        <v>200</v>
      </c>
      <c r="B60" s="150">
        <v>300</v>
      </c>
      <c r="C60" s="150">
        <v>82.33</v>
      </c>
      <c r="D60" s="150">
        <v>255.45</v>
      </c>
      <c r="E60" s="150">
        <v>24700</v>
      </c>
      <c r="F60" s="150">
        <v>76635</v>
      </c>
      <c r="G60" s="150">
        <v>51935</v>
      </c>
      <c r="H60" s="191">
        <f>G60/E60</f>
        <v>2.1026315789473684</v>
      </c>
      <c r="J60" s="188"/>
    </row>
    <row r="61" spans="1:10" ht="15.75">
      <c r="A61" s="149" t="s">
        <v>201</v>
      </c>
      <c r="B61" s="150">
        <v>16</v>
      </c>
      <c r="C61" s="150">
        <v>2003.97</v>
      </c>
      <c r="D61" s="150">
        <v>5916.6</v>
      </c>
      <c r="E61" s="150">
        <v>32063.45</v>
      </c>
      <c r="F61" s="150">
        <v>94665.600000000006</v>
      </c>
      <c r="G61" s="150">
        <v>62602.15</v>
      </c>
      <c r="H61" s="191">
        <f>G61/E61</f>
        <v>1.9524458534561939</v>
      </c>
    </row>
    <row r="62" spans="1:10" ht="15.75">
      <c r="A62" s="149" t="s">
        <v>202</v>
      </c>
      <c r="B62" s="150">
        <v>31</v>
      </c>
      <c r="C62" s="150">
        <v>603.24</v>
      </c>
      <c r="D62" s="150">
        <v>1682.6</v>
      </c>
      <c r="E62" s="150">
        <v>18700.45</v>
      </c>
      <c r="F62" s="150">
        <v>52160.6</v>
      </c>
      <c r="G62" s="150">
        <v>33460.15</v>
      </c>
      <c r="H62" s="191">
        <f>G62/E62</f>
        <v>1.7892697769305017</v>
      </c>
      <c r="J62" s="188"/>
    </row>
    <row r="63" spans="1:10" ht="15.75">
      <c r="A63" s="149" t="s">
        <v>203</v>
      </c>
      <c r="B63" s="150">
        <v>60</v>
      </c>
      <c r="C63" s="150">
        <v>1249.57</v>
      </c>
      <c r="D63" s="150">
        <v>1445.6</v>
      </c>
      <c r="E63" s="150">
        <v>74974.350000000006</v>
      </c>
      <c r="F63" s="150">
        <v>86736</v>
      </c>
      <c r="G63" s="150">
        <v>11761.65</v>
      </c>
      <c r="H63" s="191">
        <f>G63/E63</f>
        <v>0.15687565147280369</v>
      </c>
      <c r="J63" s="188"/>
    </row>
    <row r="64" spans="1:10" ht="16.5">
      <c r="A64" s="149" t="s">
        <v>204</v>
      </c>
      <c r="B64" s="150">
        <v>33</v>
      </c>
      <c r="C64" s="150">
        <v>761.09</v>
      </c>
      <c r="D64" s="150">
        <v>1748.6</v>
      </c>
      <c r="E64" s="150">
        <v>25116</v>
      </c>
      <c r="F64" s="150">
        <v>57703.8</v>
      </c>
      <c r="G64" s="150">
        <v>32587.8</v>
      </c>
      <c r="H64" s="191"/>
    </row>
    <row r="65" spans="1:10" ht="15.75">
      <c r="A65" s="149" t="s">
        <v>206</v>
      </c>
      <c r="B65" s="150">
        <v>54</v>
      </c>
      <c r="C65" s="150">
        <v>1278.8599999999999</v>
      </c>
      <c r="D65" s="150">
        <v>1955.7</v>
      </c>
      <c r="E65" s="150">
        <v>69058.3</v>
      </c>
      <c r="F65" s="150">
        <v>105607.8</v>
      </c>
      <c r="G65" s="150">
        <v>36549.5</v>
      </c>
      <c r="H65" s="191">
        <f>G65/E65</f>
        <v>0.52925571582271791</v>
      </c>
      <c r="J65" s="188"/>
    </row>
    <row r="66" spans="1:10" ht="15.75">
      <c r="A66" s="149" t="s">
        <v>207</v>
      </c>
      <c r="B66" s="150">
        <v>66</v>
      </c>
      <c r="C66" s="150">
        <v>426.28</v>
      </c>
      <c r="D66" s="150">
        <v>937</v>
      </c>
      <c r="E66" s="150">
        <v>28134.5</v>
      </c>
      <c r="F66" s="150">
        <v>61842</v>
      </c>
      <c r="G66" s="150">
        <v>33707.5</v>
      </c>
      <c r="H66" s="191">
        <f>G66/E66</f>
        <v>1.1980842026693206</v>
      </c>
    </row>
    <row r="67" spans="1:10" ht="15.75">
      <c r="A67" s="149" t="s">
        <v>262</v>
      </c>
      <c r="B67" s="150">
        <v>10</v>
      </c>
      <c r="C67" s="150">
        <v>5284</v>
      </c>
      <c r="D67" s="150">
        <v>12453.21</v>
      </c>
      <c r="E67" s="150">
        <v>52840</v>
      </c>
      <c r="F67" s="150">
        <v>124532.1</v>
      </c>
      <c r="G67" s="150">
        <v>71692.100000000006</v>
      </c>
      <c r="H67" s="191">
        <f>G67/E67</f>
        <v>1.3567770628311886</v>
      </c>
      <c r="J67" s="188"/>
    </row>
    <row r="68" spans="1:10" ht="15.75">
      <c r="A68" s="149" t="s">
        <v>260</v>
      </c>
      <c r="B68" s="150">
        <v>5</v>
      </c>
      <c r="C68" s="150">
        <v>4802</v>
      </c>
      <c r="D68" s="150">
        <v>12379.99</v>
      </c>
      <c r="E68" s="150">
        <v>24010</v>
      </c>
      <c r="F68" s="150">
        <v>61899.95</v>
      </c>
      <c r="G68" s="150">
        <v>37889.949999999997</v>
      </c>
      <c r="H68" s="191">
        <f>G68/E68</f>
        <v>1.5780903790087462</v>
      </c>
      <c r="J68" s="188"/>
    </row>
    <row r="69" spans="1:10" ht="15.75">
      <c r="A69" s="149" t="s">
        <v>210</v>
      </c>
      <c r="B69" s="150">
        <v>10</v>
      </c>
      <c r="C69" s="150">
        <v>5002.45</v>
      </c>
      <c r="D69" s="150">
        <v>12360.85</v>
      </c>
      <c r="E69" s="150">
        <v>50024.5</v>
      </c>
      <c r="F69" s="150">
        <v>123608.5</v>
      </c>
      <c r="G69" s="150">
        <v>73584</v>
      </c>
      <c r="H69" s="191">
        <f>G69/E69</f>
        <v>1.4709592299773111</v>
      </c>
      <c r="J69" s="188"/>
    </row>
    <row r="70" spans="1:10" ht="15.75">
      <c r="A70" s="149" t="s">
        <v>211</v>
      </c>
      <c r="B70" s="150">
        <v>35</v>
      </c>
      <c r="C70" s="150">
        <v>749.79</v>
      </c>
      <c r="D70" s="150">
        <v>3096.5</v>
      </c>
      <c r="E70" s="150">
        <v>26242.52</v>
      </c>
      <c r="F70" s="150">
        <v>108377.5</v>
      </c>
      <c r="G70" s="150">
        <v>82134.98</v>
      </c>
      <c r="H70" s="191">
        <f>G70/E70</f>
        <v>3.1298434753979416</v>
      </c>
      <c r="J70" s="188"/>
    </row>
    <row r="71" spans="1:10" ht="15.75">
      <c r="A71" s="149" t="s">
        <v>212</v>
      </c>
      <c r="B71" s="150">
        <v>139</v>
      </c>
      <c r="C71" s="150">
        <v>582.57000000000005</v>
      </c>
      <c r="D71" s="150">
        <v>1690.7</v>
      </c>
      <c r="E71" s="150">
        <v>80977.149999999994</v>
      </c>
      <c r="F71" s="150">
        <v>235007.3</v>
      </c>
      <c r="G71" s="150">
        <v>154030.15</v>
      </c>
      <c r="H71" s="191">
        <f>G71/E71</f>
        <v>1.9021433824233134</v>
      </c>
      <c r="J71" s="188"/>
    </row>
    <row r="72" spans="1:10" ht="15.75">
      <c r="A72" s="149" t="s">
        <v>213</v>
      </c>
      <c r="B72" s="150">
        <v>75</v>
      </c>
      <c r="C72" s="150">
        <v>581.84</v>
      </c>
      <c r="D72" s="150">
        <v>652.6</v>
      </c>
      <c r="E72" s="150">
        <v>43638</v>
      </c>
      <c r="F72" s="150">
        <v>48945</v>
      </c>
      <c r="G72" s="150">
        <v>5307</v>
      </c>
      <c r="H72" s="191">
        <f>G72/E72</f>
        <v>0.12161418946789496</v>
      </c>
      <c r="J72" s="188"/>
    </row>
    <row r="73" spans="1:10" ht="15.75">
      <c r="A73" s="149" t="s">
        <v>214</v>
      </c>
      <c r="B73" s="150">
        <v>46</v>
      </c>
      <c r="C73" s="150">
        <v>794.51</v>
      </c>
      <c r="D73" s="150">
        <v>1165.0999999999999</v>
      </c>
      <c r="E73" s="150">
        <v>36547.300000000003</v>
      </c>
      <c r="F73" s="150">
        <v>53594.6</v>
      </c>
      <c r="G73" s="150">
        <v>17047.3</v>
      </c>
      <c r="H73" s="191">
        <f>G73/E73</f>
        <v>0.46644485365539995</v>
      </c>
    </row>
    <row r="74" spans="1:10" ht="15.75">
      <c r="A74" s="149" t="s">
        <v>215</v>
      </c>
      <c r="B74" s="150">
        <v>1050</v>
      </c>
      <c r="C74" s="150">
        <v>40.479999999999997</v>
      </c>
      <c r="D74" s="150">
        <v>182.95</v>
      </c>
      <c r="E74" s="150">
        <v>42500.25</v>
      </c>
      <c r="F74" s="150">
        <v>192097.5</v>
      </c>
      <c r="G74" s="150">
        <v>149597.25</v>
      </c>
      <c r="H74" s="191">
        <f>G74/E74</f>
        <v>3.5199145887377132</v>
      </c>
      <c r="J74" s="188"/>
    </row>
    <row r="75" spans="1:10" ht="15.75">
      <c r="A75" s="149" t="s">
        <v>216</v>
      </c>
      <c r="B75" s="150">
        <v>33</v>
      </c>
      <c r="C75" s="150">
        <v>3575.9</v>
      </c>
      <c r="D75" s="150">
        <v>3058</v>
      </c>
      <c r="E75" s="150">
        <v>118004.55</v>
      </c>
      <c r="F75" s="150">
        <v>100914</v>
      </c>
      <c r="G75" s="150">
        <v>-17090.55</v>
      </c>
      <c r="H75" s="191">
        <f>G75/E75</f>
        <v>-0.14482958496091888</v>
      </c>
      <c r="J75" s="188"/>
    </row>
    <row r="76" spans="1:10" ht="15.75">
      <c r="A76" s="149" t="s">
        <v>217</v>
      </c>
      <c r="B76" s="150">
        <v>24</v>
      </c>
      <c r="C76" s="150">
        <v>2584.4</v>
      </c>
      <c r="D76" s="150">
        <v>3746.7</v>
      </c>
      <c r="E76" s="150">
        <v>62025.599999999999</v>
      </c>
      <c r="F76" s="150">
        <v>89920.8</v>
      </c>
      <c r="G76" s="150">
        <v>27895.200000000001</v>
      </c>
      <c r="H76" s="191">
        <f>G76/E76</f>
        <v>0.44973688283547442</v>
      </c>
      <c r="J76" s="188"/>
    </row>
    <row r="77" spans="1:10" ht="15.75">
      <c r="A77" s="149" t="s">
        <v>219</v>
      </c>
      <c r="B77" s="150">
        <v>14</v>
      </c>
      <c r="C77" s="150">
        <v>2306.8200000000002</v>
      </c>
      <c r="D77" s="150">
        <v>3508.7</v>
      </c>
      <c r="E77" s="150">
        <v>32295.45</v>
      </c>
      <c r="F77" s="150">
        <v>49121.8</v>
      </c>
      <c r="G77" s="150">
        <v>16826.349999999999</v>
      </c>
      <c r="H77" s="191">
        <f>G77/E77</f>
        <v>0.52101302195820154</v>
      </c>
    </row>
    <row r="78" spans="1:10" ht="15.75">
      <c r="A78" s="149" t="s">
        <v>220</v>
      </c>
      <c r="B78" s="150">
        <v>30</v>
      </c>
      <c r="C78" s="150">
        <v>373.77</v>
      </c>
      <c r="D78" s="150">
        <v>1235.2</v>
      </c>
      <c r="E78" s="150">
        <v>11213.05</v>
      </c>
      <c r="F78" s="150">
        <v>37056</v>
      </c>
      <c r="G78" s="150">
        <v>25842.95</v>
      </c>
      <c r="H78" s="191">
        <f>G78/E78</f>
        <v>2.3047208386656619</v>
      </c>
    </row>
    <row r="79" spans="1:10" ht="15.75">
      <c r="A79" s="149" t="s">
        <v>221</v>
      </c>
      <c r="B79" s="150">
        <v>110</v>
      </c>
      <c r="C79" s="150">
        <v>130.18</v>
      </c>
      <c r="D79" s="150">
        <v>469.7</v>
      </c>
      <c r="E79" s="150">
        <v>14319.65</v>
      </c>
      <c r="F79" s="150">
        <v>51667</v>
      </c>
      <c r="G79" s="150">
        <v>37347.35</v>
      </c>
      <c r="H79" s="191">
        <f>G79/E79</f>
        <v>2.6081189135209311</v>
      </c>
    </row>
    <row r="80" spans="1:10" ht="15.75">
      <c r="A80" s="149" t="s">
        <v>222</v>
      </c>
      <c r="B80" s="150">
        <v>54</v>
      </c>
      <c r="C80" s="150">
        <v>896.15</v>
      </c>
      <c r="D80" s="150">
        <v>974</v>
      </c>
      <c r="E80" s="150">
        <v>48392.1</v>
      </c>
      <c r="F80" s="150">
        <v>52596</v>
      </c>
      <c r="G80" s="150">
        <v>4203.8999999999996</v>
      </c>
      <c r="H80" s="191">
        <f>G80/E80</f>
        <v>8.687161747475311E-2</v>
      </c>
      <c r="J80" s="188"/>
    </row>
    <row r="81" spans="1:10" ht="16.5">
      <c r="A81" s="149"/>
      <c r="B81" s="150"/>
      <c r="C81" s="150"/>
      <c r="D81" s="150"/>
      <c r="E81" s="150"/>
      <c r="F81" s="150"/>
      <c r="G81" s="150"/>
      <c r="H81" s="191"/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17557</v>
      </c>
      <c r="C104" s="45"/>
      <c r="D104" s="45"/>
      <c r="E104" s="45">
        <f>SUM(E2:E103)</f>
        <v>4020945.4200000004</v>
      </c>
      <c r="F104" s="45">
        <f>SUM(F2:F103)</f>
        <v>7259236.5599999987</v>
      </c>
      <c r="G104" s="45">
        <f>SUM(G2:G103)</f>
        <v>3216192.540000001</v>
      </c>
      <c r="H104" s="176">
        <f>G104/E104</f>
        <v>0.79985978521439383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23BE-E5F6-45A6-ACF0-D0BAE78E7E6F}">
  <dimension ref="A1:M22"/>
  <sheetViews>
    <sheetView workbookViewId="0">
      <pane xSplit="2" ySplit="1" topLeftCell="C6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5.140625" style="22" bestFit="1" customWidth="1"/>
    <col min="11" max="11" width="9" style="22" bestFit="1" customWidth="1"/>
    <col min="12" max="12" width="12.28515625" style="22" bestFit="1" customWidth="1"/>
    <col min="13" max="13" width="12" style="22" bestFit="1" customWidth="1"/>
    <col min="14" max="16384" width="8.7109375" style="22"/>
  </cols>
  <sheetData>
    <row r="1" spans="1:13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13">
      <c r="A2" s="168" t="s">
        <v>232</v>
      </c>
      <c r="B2" s="210" t="s">
        <v>233</v>
      </c>
      <c r="C2" s="188">
        <v>72096.812000000005</v>
      </c>
      <c r="D2">
        <v>10.6</v>
      </c>
      <c r="E2">
        <v>8.3231000000000002</v>
      </c>
      <c r="F2" s="188">
        <v>600069.99479999999</v>
      </c>
      <c r="G2" s="188">
        <v>764226.20719999995</v>
      </c>
      <c r="H2" s="188">
        <v>164156.21239999999</v>
      </c>
      <c r="I2" s="192">
        <f>H2/F2</f>
        <v>0.27356177416388289</v>
      </c>
      <c r="J2" s="213"/>
      <c r="K2" s="212"/>
      <c r="L2" s="213"/>
      <c r="M2" s="213"/>
    </row>
    <row r="3" spans="1:13">
      <c r="A3" s="168" t="s">
        <v>234</v>
      </c>
      <c r="B3" s="210" t="s">
        <v>235</v>
      </c>
      <c r="C3" s="188">
        <v>4080.9659999999999</v>
      </c>
      <c r="D3">
        <v>133.76</v>
      </c>
      <c r="E3">
        <v>68.607799999999997</v>
      </c>
      <c r="F3" s="188">
        <v>279986.10960000003</v>
      </c>
      <c r="G3" s="188">
        <v>545870.0122</v>
      </c>
      <c r="H3" s="188">
        <v>265883.90259999997</v>
      </c>
      <c r="I3" s="192">
        <f t="shared" ref="I3:I22" si="0">H3/F3</f>
        <v>0.94963247633910464</v>
      </c>
      <c r="J3" s="213"/>
      <c r="K3" s="212"/>
      <c r="L3" s="213"/>
      <c r="M3" s="213"/>
    </row>
    <row r="4" spans="1:13">
      <c r="A4" s="168" t="s">
        <v>236</v>
      </c>
      <c r="B4" s="210" t="s">
        <v>237</v>
      </c>
      <c r="C4" s="188">
        <v>14235.332</v>
      </c>
      <c r="D4">
        <v>125.15</v>
      </c>
      <c r="E4">
        <v>47.766100000000002</v>
      </c>
      <c r="F4" s="188">
        <v>679966.92570000002</v>
      </c>
      <c r="G4" s="188">
        <v>1781551.7997999999</v>
      </c>
      <c r="H4" s="188">
        <v>1101584.8740999999</v>
      </c>
      <c r="I4" s="192">
        <f t="shared" si="0"/>
        <v>1.6200565534359781</v>
      </c>
      <c r="J4" s="213"/>
      <c r="K4" s="212"/>
      <c r="L4" s="213"/>
      <c r="M4" s="213"/>
    </row>
    <row r="5" spans="1:13">
      <c r="A5" s="168" t="s">
        <v>238</v>
      </c>
      <c r="B5" s="210" t="s">
        <v>237</v>
      </c>
      <c r="C5" s="188">
        <v>30844.641</v>
      </c>
      <c r="D5">
        <v>43.48</v>
      </c>
      <c r="E5">
        <v>33.229399999999998</v>
      </c>
      <c r="F5" s="188">
        <v>1024948.7568</v>
      </c>
      <c r="G5" s="188">
        <v>1341124.9907</v>
      </c>
      <c r="H5" s="188">
        <v>316176.23389999999</v>
      </c>
      <c r="I5" s="192">
        <f t="shared" si="0"/>
        <v>0.30848004039454241</v>
      </c>
      <c r="J5" s="213"/>
      <c r="K5" s="212"/>
      <c r="L5" s="213"/>
      <c r="M5" s="213"/>
    </row>
    <row r="6" spans="1:13">
      <c r="A6" s="168" t="s">
        <v>239</v>
      </c>
      <c r="B6" s="210" t="s">
        <v>233</v>
      </c>
      <c r="C6" s="188">
        <v>16047.156999999999</v>
      </c>
      <c r="D6">
        <v>35.936500000000002</v>
      </c>
      <c r="E6">
        <v>28.664200000000001</v>
      </c>
      <c r="F6" s="188">
        <v>459979.06660000002</v>
      </c>
      <c r="G6" s="188">
        <v>576678.65749999997</v>
      </c>
      <c r="H6" s="188">
        <v>116699.591</v>
      </c>
      <c r="I6" s="192">
        <f t="shared" si="0"/>
        <v>0.25370630855573806</v>
      </c>
      <c r="J6" s="213"/>
      <c r="K6" s="212"/>
      <c r="L6" s="213"/>
      <c r="M6" s="213"/>
    </row>
    <row r="7" spans="1:13">
      <c r="A7" s="168" t="s">
        <v>240</v>
      </c>
      <c r="B7" s="210" t="s">
        <v>241</v>
      </c>
      <c r="C7" s="188">
        <v>1556.317</v>
      </c>
      <c r="D7">
        <v>798.10940000000005</v>
      </c>
      <c r="E7">
        <v>372.27620000000002</v>
      </c>
      <c r="F7" s="188">
        <v>579379.77179999999</v>
      </c>
      <c r="G7" s="188">
        <v>1242111.2271</v>
      </c>
      <c r="H7" s="188">
        <v>662731.45530000003</v>
      </c>
      <c r="I7" s="192">
        <f t="shared" si="0"/>
        <v>1.1438636410122596</v>
      </c>
      <c r="J7" s="213"/>
      <c r="K7" s="212"/>
      <c r="L7" s="213"/>
      <c r="M7" s="213"/>
    </row>
    <row r="8" spans="1:13">
      <c r="A8" s="168" t="s">
        <v>242</v>
      </c>
      <c r="B8" s="210" t="s">
        <v>237</v>
      </c>
      <c r="C8" s="188">
        <v>4306.576</v>
      </c>
      <c r="D8">
        <v>163.989</v>
      </c>
      <c r="E8">
        <v>44.3917</v>
      </c>
      <c r="F8" s="188">
        <v>191176.2298</v>
      </c>
      <c r="G8" s="188">
        <v>706231.09169999999</v>
      </c>
      <c r="H8" s="188">
        <v>515054.86180000001</v>
      </c>
      <c r="I8" s="192">
        <f t="shared" si="0"/>
        <v>2.6941365165472053</v>
      </c>
      <c r="J8" s="213"/>
      <c r="K8" s="212"/>
      <c r="L8" s="213"/>
      <c r="M8" s="213"/>
    </row>
    <row r="9" spans="1:13">
      <c r="A9" s="168" t="s">
        <v>243</v>
      </c>
      <c r="B9" s="210" t="s">
        <v>235</v>
      </c>
      <c r="C9" s="188">
        <v>6053.4319999999998</v>
      </c>
      <c r="D9">
        <v>160.77099999999999</v>
      </c>
      <c r="E9">
        <v>46.831800000000001</v>
      </c>
      <c r="F9" s="188">
        <v>283493.20049999998</v>
      </c>
      <c r="G9" s="188">
        <v>973216.31610000005</v>
      </c>
      <c r="H9" s="188">
        <v>689723.11549999996</v>
      </c>
      <c r="I9" s="192">
        <f t="shared" si="0"/>
        <v>2.4329441210001792</v>
      </c>
      <c r="J9" s="213"/>
      <c r="K9" s="212"/>
      <c r="L9" s="213"/>
      <c r="M9" s="213"/>
    </row>
    <row r="10" spans="1:13">
      <c r="A10" s="168" t="s">
        <v>244</v>
      </c>
      <c r="B10" s="210" t="s">
        <v>233</v>
      </c>
      <c r="C10" s="188">
        <v>13136.35</v>
      </c>
      <c r="D10">
        <v>51.677199999999999</v>
      </c>
      <c r="E10">
        <v>29.687100000000001</v>
      </c>
      <c r="F10" s="188">
        <v>389980.446</v>
      </c>
      <c r="G10" s="188">
        <v>678849.78619999997</v>
      </c>
      <c r="H10" s="188">
        <v>288869.34019999998</v>
      </c>
      <c r="I10" s="192">
        <f t="shared" si="0"/>
        <v>0.74072775484748277</v>
      </c>
      <c r="J10" s="213"/>
      <c r="K10" s="212"/>
      <c r="L10" s="213"/>
      <c r="M10" s="213"/>
    </row>
    <row r="11" spans="1:13">
      <c r="A11" s="168" t="s">
        <v>246</v>
      </c>
      <c r="B11" s="210" t="s">
        <v>241</v>
      </c>
      <c r="C11" s="188">
        <v>84098.658500000005</v>
      </c>
      <c r="D11">
        <v>16.844899999999999</v>
      </c>
      <c r="E11">
        <v>13.2042</v>
      </c>
      <c r="F11" s="188">
        <v>1110455.0220000001</v>
      </c>
      <c r="G11" s="188">
        <v>1416633.4926</v>
      </c>
      <c r="H11" s="188">
        <v>306178.4705</v>
      </c>
      <c r="I11" s="192">
        <f t="shared" si="0"/>
        <v>0.27572343267767219</v>
      </c>
      <c r="J11" s="213"/>
      <c r="K11" s="212"/>
      <c r="L11" s="213"/>
      <c r="M11" s="213"/>
    </row>
    <row r="12" spans="1:13">
      <c r="A12" s="168" t="s">
        <v>247</v>
      </c>
      <c r="B12" s="210" t="s">
        <v>241</v>
      </c>
      <c r="C12" s="188">
        <v>46779.584000000003</v>
      </c>
      <c r="D12">
        <v>16.572800000000001</v>
      </c>
      <c r="E12">
        <v>14.1187</v>
      </c>
      <c r="F12" s="188">
        <v>660466.97759999998</v>
      </c>
      <c r="G12" s="188">
        <v>775268.68969999999</v>
      </c>
      <c r="H12" s="188">
        <v>114801.7121</v>
      </c>
      <c r="I12" s="192">
        <f t="shared" si="0"/>
        <v>0.1738190038163083</v>
      </c>
      <c r="J12" s="213"/>
      <c r="K12" s="212"/>
      <c r="L12" s="213"/>
      <c r="M12" s="213"/>
    </row>
    <row r="13" spans="1:13">
      <c r="A13" s="168" t="s">
        <v>263</v>
      </c>
      <c r="B13" s="210" t="s">
        <v>233</v>
      </c>
      <c r="C13" s="188">
        <v>82131.043999999994</v>
      </c>
      <c r="D13">
        <v>20.343699999999998</v>
      </c>
      <c r="E13">
        <v>9.9227000000000007</v>
      </c>
      <c r="F13" s="188">
        <v>814959.2439</v>
      </c>
      <c r="G13" s="188">
        <v>1670849.3197999999</v>
      </c>
      <c r="H13" s="188">
        <v>855890.07590000005</v>
      </c>
      <c r="I13" s="192">
        <f t="shared" si="0"/>
        <v>1.0502243913500815</v>
      </c>
      <c r="J13" s="213"/>
      <c r="K13" s="212"/>
      <c r="L13" s="213"/>
      <c r="M13" s="213"/>
    </row>
    <row r="14" spans="1:13">
      <c r="A14" s="168" t="s">
        <v>248</v>
      </c>
      <c r="B14" s="210" t="s">
        <v>249</v>
      </c>
      <c r="C14" s="188">
        <v>37376.514999999999</v>
      </c>
      <c r="D14">
        <v>9.6949000000000005</v>
      </c>
      <c r="E14">
        <v>9.3907000000000007</v>
      </c>
      <c r="F14" s="188">
        <v>350992.87170000002</v>
      </c>
      <c r="G14" s="188">
        <v>362361.57530000003</v>
      </c>
      <c r="H14" s="188">
        <v>11368.703600000001</v>
      </c>
      <c r="I14" s="192">
        <f t="shared" si="0"/>
        <v>3.2390126742280506E-2</v>
      </c>
      <c r="J14" s="213"/>
      <c r="K14" s="212"/>
      <c r="L14" s="213"/>
      <c r="M14" s="213"/>
    </row>
    <row r="15" spans="1:13">
      <c r="A15" s="168" t="s">
        <v>250</v>
      </c>
      <c r="B15" s="210" t="s">
        <v>251</v>
      </c>
      <c r="C15" s="188">
        <v>19397.659</v>
      </c>
      <c r="D15">
        <v>94.801199999999994</v>
      </c>
      <c r="E15">
        <v>44.640599999999999</v>
      </c>
      <c r="F15" s="188">
        <v>865923.00470000005</v>
      </c>
      <c r="G15" s="188">
        <v>1838921.3504000001</v>
      </c>
      <c r="H15" s="188">
        <v>972998.34569999995</v>
      </c>
      <c r="I15" s="192">
        <f t="shared" si="0"/>
        <v>1.1236545748511397</v>
      </c>
      <c r="J15" s="213"/>
      <c r="K15" s="212"/>
      <c r="L15" s="213"/>
      <c r="M15" s="213"/>
    </row>
    <row r="16" spans="1:13">
      <c r="A16" s="168" t="s">
        <v>252</v>
      </c>
      <c r="B16" s="210" t="s">
        <v>233</v>
      </c>
      <c r="C16" s="188">
        <v>6809.741</v>
      </c>
      <c r="D16">
        <v>55.15</v>
      </c>
      <c r="E16">
        <v>35.241999999999997</v>
      </c>
      <c r="F16" s="188">
        <v>239988.8371</v>
      </c>
      <c r="G16" s="188">
        <v>375557.21610000002</v>
      </c>
      <c r="H16" s="188">
        <v>135568.37899999999</v>
      </c>
      <c r="I16" s="192">
        <f t="shared" si="0"/>
        <v>0.56489452025433384</v>
      </c>
      <c r="J16" s="213"/>
      <c r="K16" s="212"/>
      <c r="L16" s="213"/>
      <c r="M16" s="213"/>
    </row>
    <row r="17" spans="1:13">
      <c r="A17" s="168" t="s">
        <v>253</v>
      </c>
      <c r="B17" s="210" t="s">
        <v>235</v>
      </c>
      <c r="C17" s="188">
        <v>5481.1360000000004</v>
      </c>
      <c r="D17">
        <v>241.24100000000001</v>
      </c>
      <c r="E17">
        <v>200.74350000000001</v>
      </c>
      <c r="F17" s="188">
        <v>1100302.2501999999</v>
      </c>
      <c r="G17" s="188">
        <v>1322274.7298000001</v>
      </c>
      <c r="H17" s="188">
        <v>221972.47949999999</v>
      </c>
      <c r="I17" s="192">
        <f t="shared" si="0"/>
        <v>0.20173773111856533</v>
      </c>
      <c r="J17" s="213"/>
      <c r="K17" s="212"/>
      <c r="L17" s="213"/>
      <c r="M17" s="213"/>
    </row>
    <row r="18" spans="1:13">
      <c r="A18" s="168" t="s">
        <v>254</v>
      </c>
      <c r="B18" s="210" t="s">
        <v>237</v>
      </c>
      <c r="C18">
        <v>777.81899999999996</v>
      </c>
      <c r="D18">
        <v>284.11779999999999</v>
      </c>
      <c r="E18">
        <v>263.54430000000002</v>
      </c>
      <c r="F18" s="188">
        <v>204989.79399999999</v>
      </c>
      <c r="G18" s="188">
        <v>220992.2231</v>
      </c>
      <c r="H18" s="188">
        <v>16002.429099999999</v>
      </c>
      <c r="I18" s="192">
        <f t="shared" si="0"/>
        <v>7.8064516226598088E-2</v>
      </c>
      <c r="J18" s="213"/>
      <c r="K18" s="212"/>
      <c r="L18" s="213"/>
      <c r="M18" s="213"/>
    </row>
    <row r="19" spans="1:13">
      <c r="A19" s="168" t="s">
        <v>255</v>
      </c>
      <c r="B19" s="210" t="s">
        <v>241</v>
      </c>
      <c r="C19" s="188">
        <v>18996.168000000001</v>
      </c>
      <c r="D19">
        <v>25.806999999999999</v>
      </c>
      <c r="E19">
        <v>9.4700000000000006</v>
      </c>
      <c r="F19" s="188">
        <v>179893.71100000001</v>
      </c>
      <c r="G19" s="188">
        <v>490234.10759999999</v>
      </c>
      <c r="H19" s="188">
        <v>310340.39659999998</v>
      </c>
      <c r="I19" s="192">
        <f t="shared" si="0"/>
        <v>1.7251319953036044</v>
      </c>
      <c r="J19" s="213"/>
      <c r="K19" s="212"/>
      <c r="L19" s="213"/>
      <c r="M19" s="213"/>
    </row>
    <row r="20" spans="1:13">
      <c r="A20" s="168"/>
      <c r="B20" s="210"/>
      <c r="C20" s="188"/>
      <c r="D20"/>
      <c r="E20"/>
      <c r="F20" s="188"/>
      <c r="G20" s="188"/>
      <c r="H20" s="188"/>
      <c r="I20" s="192"/>
      <c r="J20" s="213"/>
    </row>
    <row r="21" spans="1:13">
      <c r="A21" s="168"/>
      <c r="B21"/>
      <c r="C21"/>
      <c r="D21"/>
      <c r="E21"/>
      <c r="F21" s="188"/>
      <c r="G21" s="188"/>
      <c r="H21"/>
      <c r="I21" s="192"/>
      <c r="J21" s="213"/>
    </row>
    <row r="22" spans="1:13">
      <c r="A22" s="74" t="s">
        <v>11</v>
      </c>
      <c r="B22" s="75"/>
      <c r="C22" s="75">
        <f>SUM(C2:C21)</f>
        <v>464205.90750000003</v>
      </c>
      <c r="D22" s="75"/>
      <c r="E22" s="75"/>
      <c r="F22" s="75">
        <f t="shared" ref="F22:H22" si="1">SUM(F2:F21)</f>
        <v>10016952.213799998</v>
      </c>
      <c r="G22" s="75">
        <f t="shared" si="1"/>
        <v>17082952.792900003</v>
      </c>
      <c r="H22" s="75">
        <f t="shared" si="1"/>
        <v>7066000.5788000003</v>
      </c>
      <c r="I22" s="53">
        <f t="shared" si="0"/>
        <v>0.70540424152821879</v>
      </c>
      <c r="J22" s="213"/>
      <c r="K22" s="212"/>
      <c r="L22" s="213"/>
      <c r="M22" s="213"/>
    </row>
  </sheetData>
  <hyperlinks>
    <hyperlink ref="A2" r:id="rId1" location="/mf/1831632/41287/NULL" xr:uid="{243A984E-9DA3-40E4-9666-7FE8C9DB4179}"/>
    <hyperlink ref="A3" r:id="rId2" location="/mf/1831632/15690/NULL" xr:uid="{E3FD9D8F-0260-4DD5-8AF9-FD6222A13AE6}"/>
    <hyperlink ref="A4" r:id="rId3" location="/mf/1831632/22335/NULL" xr:uid="{3D8CEC4C-8E36-4C46-88D6-6AFB21821319}"/>
    <hyperlink ref="A5" r:id="rId4" location="/mf/1831632/38817/NULL" xr:uid="{8ED0DF35-F551-414B-ADB2-A4360600DC5D}"/>
    <hyperlink ref="A6" r:id="rId5" location="/mf/1831632/40665/NULL" xr:uid="{84A3547F-545B-4C71-92B7-45FBD0364086}"/>
    <hyperlink ref="A7" r:id="rId6" location="/mf/1831632/16071/NULL" xr:uid="{B5AF69F5-85D0-47F1-9E9A-BDE05322D691}"/>
    <hyperlink ref="A8" r:id="rId7" location="/mf/1831632/16617/NULL" xr:uid="{68C7454C-DC70-4097-A042-FDA3FAF750B8}"/>
    <hyperlink ref="A9" r:id="rId8" location="/mf/1831632/17134/NULL" xr:uid="{8DF8E9C1-088F-4827-B1DD-DB56B7F66793}"/>
    <hyperlink ref="A10" r:id="rId9" location="/mf/1831632/38228/NULL" xr:uid="{613917F9-1813-48D9-83EE-9571B80493A0}"/>
    <hyperlink ref="A11" r:id="rId10" location="/mf/1831632/41574/NULL" xr:uid="{098D7DFC-6D06-4A08-827C-EFC624FAFE3C}"/>
    <hyperlink ref="A12" r:id="rId11" location="/mf/1831632/41937/NULL" xr:uid="{5E09CE91-5438-4C88-8195-36D1123212D7}"/>
    <hyperlink ref="A13" r:id="rId12" location="/mf/1831632/42135/NULL" xr:uid="{3F0427FA-EC8C-4157-A194-8E18A6D4574A}"/>
    <hyperlink ref="A14" r:id="rId13" location="/mf/1831632/44110/NULL" xr:uid="{4716EB80-A223-4C9D-878E-907AE442B3D9}"/>
    <hyperlink ref="A15" r:id="rId14" location="/mf/1831632/19701/NULL" xr:uid="{AB97FF56-B8C8-4509-B799-476A85651943}"/>
    <hyperlink ref="A16" r:id="rId15" location="/mf/1831632/17348/NULL" xr:uid="{8294ABA9-8121-4CD5-A9F7-F054EC0FF2B9}"/>
    <hyperlink ref="A17" r:id="rId16" location="/mf/1831632/17375/NULL" xr:uid="{C8604BE2-F2D9-457E-A7C2-306002CC5CAE}"/>
    <hyperlink ref="A18" r:id="rId17" location="/mf/1831632/17366/NULL" xr:uid="{7C7668EF-423B-495E-B468-633CA29397A1}"/>
    <hyperlink ref="A19" r:id="rId18" location="/mf/1831632/36491/NULL" xr:uid="{CC001286-55BF-44C8-BE15-D1312567AEA2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9C-C056-4465-BF92-A5EAF1FDADB9}">
  <dimension ref="A1:J104"/>
  <sheetViews>
    <sheetView workbookViewId="0">
      <pane xSplit="1" ySplit="1" topLeftCell="E57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258</v>
      </c>
      <c r="B2" s="150">
        <v>100</v>
      </c>
      <c r="C2" s="150">
        <v>109.73</v>
      </c>
      <c r="D2" s="150">
        <v>97.55</v>
      </c>
      <c r="E2" s="150">
        <v>10972.5</v>
      </c>
      <c r="F2" s="150">
        <v>9755</v>
      </c>
      <c r="G2" s="150">
        <v>-1217.5</v>
      </c>
      <c r="H2" s="191">
        <f>G2/E2</f>
        <v>-0.11095921622237412</v>
      </c>
    </row>
    <row r="3" spans="1:10" ht="15.75">
      <c r="A3" s="149" t="s">
        <v>256</v>
      </c>
      <c r="B3" s="150">
        <v>20</v>
      </c>
      <c r="C3" s="150">
        <v>0</v>
      </c>
      <c r="D3" s="150">
        <v>1093.51</v>
      </c>
      <c r="E3" s="150">
        <v>0</v>
      </c>
      <c r="F3" s="150">
        <v>21870.2</v>
      </c>
      <c r="G3" s="150">
        <v>0</v>
      </c>
      <c r="H3" s="191" t="e">
        <f>G3/E3</f>
        <v>#DIV/0!</v>
      </c>
    </row>
    <row r="4" spans="1:10" ht="15.75">
      <c r="A4" s="149" t="s">
        <v>259</v>
      </c>
      <c r="B4" s="150">
        <v>13</v>
      </c>
      <c r="C4" s="150">
        <v>133.75</v>
      </c>
      <c r="D4" s="150">
        <v>1434.6</v>
      </c>
      <c r="E4" s="150">
        <v>1738.75</v>
      </c>
      <c r="F4" s="150">
        <v>18649.8</v>
      </c>
      <c r="G4" s="150">
        <v>16911.05</v>
      </c>
      <c r="H4" s="191">
        <f>G4/E4</f>
        <v>9.7259813084112139</v>
      </c>
    </row>
    <row r="5" spans="1:10" ht="15.75">
      <c r="A5" s="149" t="s">
        <v>144</v>
      </c>
      <c r="B5" s="150">
        <v>19</v>
      </c>
      <c r="C5" s="150">
        <v>489.54</v>
      </c>
      <c r="D5" s="150">
        <v>2403.1999999999998</v>
      </c>
      <c r="E5" s="150">
        <v>9301.2000000000007</v>
      </c>
      <c r="F5" s="150">
        <v>45660.800000000003</v>
      </c>
      <c r="G5" s="150">
        <v>36359.599999999999</v>
      </c>
      <c r="H5" s="191">
        <f>G5/E5</f>
        <v>3.9091300047305721</v>
      </c>
      <c r="J5" s="188"/>
    </row>
    <row r="6" spans="1:10" ht="15.75">
      <c r="A6" s="149" t="s">
        <v>145</v>
      </c>
      <c r="B6" s="150">
        <v>250</v>
      </c>
      <c r="C6" s="150">
        <v>183.59</v>
      </c>
      <c r="D6" s="150">
        <v>473.15</v>
      </c>
      <c r="E6" s="150">
        <v>45897.5</v>
      </c>
      <c r="F6" s="150">
        <v>118287.5</v>
      </c>
      <c r="G6" s="150">
        <v>72390</v>
      </c>
      <c r="H6" s="191">
        <f>G6/E6</f>
        <v>1.5772100876954083</v>
      </c>
    </row>
    <row r="7" spans="1:10" ht="15.75">
      <c r="A7" s="149" t="s">
        <v>146</v>
      </c>
      <c r="B7" s="150">
        <v>62</v>
      </c>
      <c r="C7" s="150">
        <v>708.24</v>
      </c>
      <c r="D7" s="150">
        <v>1184.5</v>
      </c>
      <c r="E7" s="150">
        <v>43910.6</v>
      </c>
      <c r="F7" s="150">
        <v>73439</v>
      </c>
      <c r="G7" s="150">
        <v>29528.400000000001</v>
      </c>
      <c r="H7" s="191">
        <f>G7/E7</f>
        <v>0.67246632931456196</v>
      </c>
    </row>
    <row r="8" spans="1:10" ht="15.75">
      <c r="A8" s="149" t="s">
        <v>147</v>
      </c>
      <c r="B8" s="150">
        <v>19</v>
      </c>
      <c r="C8" s="150">
        <v>3076.33</v>
      </c>
      <c r="D8" s="150">
        <v>8685</v>
      </c>
      <c r="E8" s="150">
        <v>58450.25</v>
      </c>
      <c r="F8" s="150">
        <v>165015</v>
      </c>
      <c r="G8" s="150">
        <v>106564.75</v>
      </c>
      <c r="H8" s="191">
        <f>G8/E8</f>
        <v>1.8231701318642777</v>
      </c>
    </row>
    <row r="9" spans="1:10" ht="15.75">
      <c r="A9" s="149" t="s">
        <v>148</v>
      </c>
      <c r="B9" s="150">
        <v>80</v>
      </c>
      <c r="C9" s="150">
        <v>673.1</v>
      </c>
      <c r="D9" s="150">
        <v>989.75</v>
      </c>
      <c r="E9" s="150">
        <v>53848.35</v>
      </c>
      <c r="F9" s="150">
        <v>79180</v>
      </c>
      <c r="G9" s="150">
        <v>25331.65</v>
      </c>
      <c r="H9" s="191">
        <f>G9/E9</f>
        <v>0.47042574192152598</v>
      </c>
      <c r="J9" s="188"/>
    </row>
    <row r="10" spans="1:10" ht="15.75">
      <c r="A10" s="149" t="s">
        <v>149</v>
      </c>
      <c r="B10" s="150">
        <v>15</v>
      </c>
      <c r="C10" s="150">
        <v>2427.4699999999998</v>
      </c>
      <c r="D10" s="150">
        <v>2302.0500000000002</v>
      </c>
      <c r="E10" s="150">
        <v>36412</v>
      </c>
      <c r="F10" s="150">
        <v>34530.75</v>
      </c>
      <c r="G10" s="150">
        <v>-1881.25</v>
      </c>
      <c r="H10" s="191">
        <f>G10/E10</f>
        <v>-5.1665659672635394E-2</v>
      </c>
    </row>
    <row r="11" spans="1:10" ht="15.75">
      <c r="A11" s="149" t="s">
        <v>150</v>
      </c>
      <c r="B11" s="150">
        <v>184</v>
      </c>
      <c r="C11" s="150">
        <v>188.19</v>
      </c>
      <c r="D11" s="150">
        <v>263.95</v>
      </c>
      <c r="E11" s="150">
        <v>34627.15</v>
      </c>
      <c r="F11" s="150">
        <v>48566.8</v>
      </c>
      <c r="G11" s="150">
        <v>13939.65</v>
      </c>
      <c r="H11" s="191">
        <f>G11/E11</f>
        <v>0.4025641729105629</v>
      </c>
      <c r="J11" s="188"/>
    </row>
    <row r="12" spans="1:10" ht="15.75">
      <c r="A12" s="149" t="s">
        <v>151</v>
      </c>
      <c r="B12" s="150">
        <v>8500</v>
      </c>
      <c r="C12" s="150">
        <v>50.47</v>
      </c>
      <c r="D12" s="150">
        <v>56.84</v>
      </c>
      <c r="E12" s="150">
        <v>429035.72</v>
      </c>
      <c r="F12" s="150">
        <v>483140</v>
      </c>
      <c r="G12" s="150">
        <v>54104.28</v>
      </c>
      <c r="H12" s="191">
        <f>G12/E12</f>
        <v>0.12610670272395968</v>
      </c>
      <c r="J12" s="188"/>
    </row>
    <row r="13" spans="1:10" ht="15.75">
      <c r="A13" s="149" t="s">
        <v>152</v>
      </c>
      <c r="B13" s="150">
        <v>180</v>
      </c>
      <c r="C13" s="150">
        <v>322.89</v>
      </c>
      <c r="D13" s="150">
        <v>1896.7</v>
      </c>
      <c r="E13" s="150">
        <v>58120</v>
      </c>
      <c r="F13" s="150">
        <v>341406</v>
      </c>
      <c r="G13" s="150">
        <v>283286</v>
      </c>
      <c r="H13" s="191">
        <f>G13/E13</f>
        <v>4.8741569167240195</v>
      </c>
      <c r="J13" s="188"/>
    </row>
    <row r="14" spans="1:10" ht="15.75">
      <c r="A14" s="149" t="s">
        <v>153</v>
      </c>
      <c r="B14" s="150">
        <v>40</v>
      </c>
      <c r="C14" s="150">
        <v>446.04</v>
      </c>
      <c r="D14" s="150">
        <v>896.75</v>
      </c>
      <c r="E14" s="150">
        <v>17841.599999999999</v>
      </c>
      <c r="F14" s="150">
        <v>35870</v>
      </c>
      <c r="G14" s="150">
        <v>18028.400000000001</v>
      </c>
      <c r="H14" s="191">
        <f>G14/E14</f>
        <v>1.0104699130122861</v>
      </c>
    </row>
    <row r="15" spans="1:10" ht="15.75">
      <c r="A15" s="149" t="s">
        <v>154</v>
      </c>
      <c r="B15" s="150">
        <v>14</v>
      </c>
      <c r="C15" s="150">
        <v>3489.94</v>
      </c>
      <c r="D15" s="150">
        <v>5976</v>
      </c>
      <c r="E15" s="150">
        <v>48859.1</v>
      </c>
      <c r="F15" s="150">
        <v>83664</v>
      </c>
      <c r="G15" s="150">
        <v>34804.9</v>
      </c>
      <c r="H15" s="191">
        <v>0</v>
      </c>
      <c r="J15" s="188"/>
    </row>
    <row r="16" spans="1:10" ht="15.75">
      <c r="A16" s="149" t="s">
        <v>155</v>
      </c>
      <c r="B16" s="150">
        <v>180</v>
      </c>
      <c r="C16" s="150">
        <v>155.25</v>
      </c>
      <c r="D16" s="150">
        <v>202.65</v>
      </c>
      <c r="E16" s="150">
        <v>27945</v>
      </c>
      <c r="F16" s="150">
        <v>36477</v>
      </c>
      <c r="G16" s="150">
        <v>8532</v>
      </c>
      <c r="H16" s="191">
        <f>G16/E16</f>
        <v>0.30531400966183575</v>
      </c>
      <c r="J16" s="188"/>
    </row>
    <row r="17" spans="1:10" ht="15.75">
      <c r="A17" s="149" t="s">
        <v>156</v>
      </c>
      <c r="B17" s="150">
        <v>88</v>
      </c>
      <c r="C17" s="150">
        <v>373.58</v>
      </c>
      <c r="D17" s="150">
        <v>412.3</v>
      </c>
      <c r="E17" s="150">
        <v>32874.85</v>
      </c>
      <c r="F17" s="150">
        <v>36282.400000000001</v>
      </c>
      <c r="G17" s="150">
        <v>3407.55</v>
      </c>
      <c r="H17" s="191">
        <f>G17/E17</f>
        <v>0.10365218396433749</v>
      </c>
      <c r="J17" s="188"/>
    </row>
    <row r="18" spans="1:10" ht="15.75">
      <c r="A18" s="149" t="s">
        <v>157</v>
      </c>
      <c r="B18" s="150">
        <v>45</v>
      </c>
      <c r="C18" s="150">
        <v>990.66</v>
      </c>
      <c r="D18" s="150">
        <v>1517.7</v>
      </c>
      <c r="E18" s="150">
        <v>44579.85</v>
      </c>
      <c r="F18" s="150">
        <v>68296.5</v>
      </c>
      <c r="G18" s="150">
        <v>23716.65</v>
      </c>
      <c r="H18" s="191">
        <f>G18/E18</f>
        <v>0.53200380889572307</v>
      </c>
    </row>
    <row r="19" spans="1:10" ht="15.75">
      <c r="A19" s="149" t="s">
        <v>158</v>
      </c>
      <c r="B19" s="150">
        <v>470</v>
      </c>
      <c r="C19" s="150">
        <v>194.39</v>
      </c>
      <c r="D19" s="150">
        <v>383.35</v>
      </c>
      <c r="E19" s="150">
        <v>91363.5</v>
      </c>
      <c r="F19" s="150">
        <v>180174.5</v>
      </c>
      <c r="G19" s="150">
        <v>88811</v>
      </c>
      <c r="H19" s="191">
        <f>G19/E19</f>
        <v>0.97206214735643881</v>
      </c>
    </row>
    <row r="20" spans="1:10" ht="15.75">
      <c r="A20" s="149" t="s">
        <v>159</v>
      </c>
      <c r="B20" s="150">
        <v>65</v>
      </c>
      <c r="C20" s="150">
        <v>909.05</v>
      </c>
      <c r="D20" s="150">
        <v>1613.1</v>
      </c>
      <c r="E20" s="150">
        <v>59088.4</v>
      </c>
      <c r="F20" s="150">
        <v>104851.5</v>
      </c>
      <c r="G20" s="150">
        <v>45763.1</v>
      </c>
      <c r="H20" s="191">
        <f>G20/E20</f>
        <v>0.77448534737782704</v>
      </c>
    </row>
    <row r="21" spans="1:10" ht="15.75">
      <c r="A21" s="149" t="s">
        <v>160</v>
      </c>
      <c r="B21" s="150">
        <v>21</v>
      </c>
      <c r="C21" s="150">
        <v>1503.03</v>
      </c>
      <c r="D21" s="150">
        <v>2212.1999999999998</v>
      </c>
      <c r="E21" s="150">
        <v>31563.7</v>
      </c>
      <c r="F21" s="150">
        <v>46456.2</v>
      </c>
      <c r="G21" s="150">
        <v>14892.5</v>
      </c>
      <c r="H21" s="191">
        <f>G21/E21</f>
        <v>0.47182364551684369</v>
      </c>
      <c r="J21" s="188"/>
    </row>
    <row r="22" spans="1:10" ht="15.75">
      <c r="A22" s="149" t="s">
        <v>161</v>
      </c>
      <c r="B22" s="150">
        <v>66</v>
      </c>
      <c r="C22" s="150">
        <v>557.49</v>
      </c>
      <c r="D22" s="150">
        <v>729.2</v>
      </c>
      <c r="E22" s="150">
        <v>36794.1</v>
      </c>
      <c r="F22" s="150">
        <v>48127.199999999997</v>
      </c>
      <c r="G22" s="150">
        <v>11333.1</v>
      </c>
      <c r="H22" s="191">
        <f>G22/E22</f>
        <v>0.30801405660146602</v>
      </c>
    </row>
    <row r="23" spans="1:10" ht="15.75">
      <c r="A23" s="149" t="s">
        <v>162</v>
      </c>
      <c r="B23" s="150">
        <v>12</v>
      </c>
      <c r="C23" s="150">
        <v>3474.64</v>
      </c>
      <c r="D23" s="150">
        <v>4418.3999999999996</v>
      </c>
      <c r="E23" s="150">
        <v>41695.699999999997</v>
      </c>
      <c r="F23" s="150">
        <v>53020.800000000003</v>
      </c>
      <c r="G23" s="150">
        <v>11325.1</v>
      </c>
      <c r="H23" s="191">
        <f>G23/E23</f>
        <v>0.27161313996407305</v>
      </c>
      <c r="J23" s="188"/>
    </row>
    <row r="24" spans="1:10" ht="15.75">
      <c r="A24" s="149" t="s">
        <v>163</v>
      </c>
      <c r="B24" s="150">
        <v>60</v>
      </c>
      <c r="C24" s="150">
        <v>992.6</v>
      </c>
      <c r="D24" s="150">
        <v>1248</v>
      </c>
      <c r="E24" s="150">
        <v>59555.95</v>
      </c>
      <c r="F24" s="150">
        <v>74880</v>
      </c>
      <c r="G24" s="150">
        <v>15324.05</v>
      </c>
      <c r="H24" s="191">
        <f>G24/E24</f>
        <v>0.25730510553521518</v>
      </c>
      <c r="J24" s="188"/>
    </row>
    <row r="25" spans="1:10" ht="15.75">
      <c r="A25" s="149" t="s">
        <v>164</v>
      </c>
      <c r="B25" s="150">
        <v>7</v>
      </c>
      <c r="C25" s="150">
        <v>3506.83</v>
      </c>
      <c r="D25" s="150">
        <v>6941</v>
      </c>
      <c r="E25" s="150">
        <v>24547.8</v>
      </c>
      <c r="F25" s="150">
        <v>48587</v>
      </c>
      <c r="G25" s="150">
        <v>24039.200000000001</v>
      </c>
      <c r="H25" s="191">
        <f>G25/E25</f>
        <v>0.97928123905197217</v>
      </c>
    </row>
    <row r="26" spans="1:10" ht="15.75">
      <c r="A26" s="149" t="s">
        <v>165</v>
      </c>
      <c r="B26" s="150">
        <v>92</v>
      </c>
      <c r="C26" s="150">
        <v>359.33</v>
      </c>
      <c r="D26" s="150">
        <v>427.48</v>
      </c>
      <c r="E26" s="150">
        <v>33058.28</v>
      </c>
      <c r="F26" s="150">
        <v>39328.160000000003</v>
      </c>
      <c r="G26" s="150">
        <v>6269.88</v>
      </c>
      <c r="H26" s="191">
        <f>G26/E26</f>
        <v>0.18966141009151113</v>
      </c>
    </row>
    <row r="27" spans="1:10" ht="15.75">
      <c r="A27" s="149" t="s">
        <v>166</v>
      </c>
      <c r="B27" s="150">
        <v>24</v>
      </c>
      <c r="C27" s="150">
        <v>2007.86</v>
      </c>
      <c r="D27" s="150">
        <v>2893.4</v>
      </c>
      <c r="E27" s="150">
        <v>48188.7</v>
      </c>
      <c r="F27" s="150">
        <v>69441.600000000006</v>
      </c>
      <c r="G27" s="150">
        <v>21252.9</v>
      </c>
      <c r="H27" s="191">
        <f>G27/E27</f>
        <v>0.44103493142583228</v>
      </c>
      <c r="J27" s="188"/>
    </row>
    <row r="28" spans="1:10" ht="15.75">
      <c r="A28" s="149" t="s">
        <v>167</v>
      </c>
      <c r="B28" s="150">
        <v>35</v>
      </c>
      <c r="C28" s="150">
        <v>234.44</v>
      </c>
      <c r="D28" s="150">
        <v>3358.95</v>
      </c>
      <c r="E28" s="150">
        <v>8205.5300000000007</v>
      </c>
      <c r="F28" s="150">
        <v>117563.25</v>
      </c>
      <c r="G28" s="150">
        <v>109357.72</v>
      </c>
      <c r="H28" s="191">
        <f>G28/E28</f>
        <v>13.327319502823094</v>
      </c>
      <c r="J28" s="188"/>
    </row>
    <row r="29" spans="1:10" ht="15.75">
      <c r="A29" s="149" t="s">
        <v>168</v>
      </c>
      <c r="B29" s="150">
        <v>42</v>
      </c>
      <c r="C29" s="150">
        <v>664.74</v>
      </c>
      <c r="D29" s="150">
        <v>1593.3</v>
      </c>
      <c r="E29" s="150">
        <v>27918.9</v>
      </c>
      <c r="F29" s="150">
        <v>66918.600000000006</v>
      </c>
      <c r="G29" s="150">
        <v>38999.699999999997</v>
      </c>
      <c r="H29" s="191">
        <f>G29/E29</f>
        <v>1.3968924277102606</v>
      </c>
      <c r="J29" s="188"/>
    </row>
    <row r="30" spans="1:10" ht="15.75">
      <c r="A30" s="149" t="s">
        <v>169</v>
      </c>
      <c r="B30" s="150">
        <v>230</v>
      </c>
      <c r="C30" s="150">
        <v>189.67</v>
      </c>
      <c r="D30" s="150">
        <v>398.05</v>
      </c>
      <c r="E30" s="150">
        <v>43625.2</v>
      </c>
      <c r="F30" s="150">
        <v>91551.5</v>
      </c>
      <c r="G30" s="150">
        <v>47926.3</v>
      </c>
      <c r="H30" s="191">
        <f>G30/E30</f>
        <v>1.0985920981451089</v>
      </c>
    </row>
    <row r="31" spans="1:10" ht="15.75">
      <c r="A31" s="149" t="s">
        <v>170</v>
      </c>
      <c r="B31" s="150">
        <v>351</v>
      </c>
      <c r="C31" s="150">
        <v>91.3</v>
      </c>
      <c r="D31" s="150">
        <v>192.4</v>
      </c>
      <c r="E31" s="150">
        <v>32046.16</v>
      </c>
      <c r="F31" s="150">
        <v>67532.399999999994</v>
      </c>
      <c r="G31" s="150">
        <v>35486.239999999998</v>
      </c>
      <c r="H31" s="191">
        <f>G31/E31</f>
        <v>1.107347651013413</v>
      </c>
      <c r="J31" s="188"/>
    </row>
    <row r="32" spans="1:10" ht="15.75">
      <c r="A32" s="149" t="s">
        <v>172</v>
      </c>
      <c r="B32" s="150">
        <v>20</v>
      </c>
      <c r="C32" s="150">
        <v>1600.68</v>
      </c>
      <c r="D32" s="150">
        <v>2033.45</v>
      </c>
      <c r="E32" s="150">
        <v>32013.55</v>
      </c>
      <c r="F32" s="150">
        <v>40669</v>
      </c>
      <c r="G32" s="150">
        <v>8655.4500000000007</v>
      </c>
      <c r="H32" s="191">
        <f>G32/E32</f>
        <v>0.2703683284109385</v>
      </c>
      <c r="J32" s="188"/>
    </row>
    <row r="33" spans="1:10" ht="15.75">
      <c r="A33" s="149" t="s">
        <v>173</v>
      </c>
      <c r="B33" s="150">
        <v>1200</v>
      </c>
      <c r="C33" s="150">
        <v>81.55</v>
      </c>
      <c r="D33" s="150">
        <v>97.07</v>
      </c>
      <c r="E33" s="150">
        <v>97860.76</v>
      </c>
      <c r="F33" s="150">
        <v>116484</v>
      </c>
      <c r="G33" s="150">
        <v>18623.240000000002</v>
      </c>
      <c r="H33" s="191">
        <f>G33/E33</f>
        <v>0.19030344746964975</v>
      </c>
    </row>
    <row r="34" spans="1:10" ht="15.75">
      <c r="A34" s="149" t="s">
        <v>174</v>
      </c>
      <c r="B34" s="150">
        <v>74</v>
      </c>
      <c r="C34" s="150">
        <v>1149.02</v>
      </c>
      <c r="D34" s="150">
        <v>1393.5</v>
      </c>
      <c r="E34" s="150">
        <v>85027.5</v>
      </c>
      <c r="F34" s="150">
        <v>103119</v>
      </c>
      <c r="G34" s="150">
        <v>18091.5</v>
      </c>
      <c r="H34" s="191">
        <f>G34/E34</f>
        <v>0.21277233836111847</v>
      </c>
    </row>
    <row r="35" spans="1:10" ht="15.75">
      <c r="A35" s="149" t="s">
        <v>175</v>
      </c>
      <c r="B35" s="150">
        <v>94</v>
      </c>
      <c r="C35" s="150">
        <v>825.12</v>
      </c>
      <c r="D35" s="150">
        <v>965.15</v>
      </c>
      <c r="E35" s="150">
        <v>77561.5</v>
      </c>
      <c r="F35" s="150">
        <v>90724.1</v>
      </c>
      <c r="G35" s="150">
        <v>13162.6</v>
      </c>
      <c r="H35" s="191">
        <f>G35/E35</f>
        <v>0.16970533060861381</v>
      </c>
    </row>
    <row r="36" spans="1:10" ht="15.75">
      <c r="A36" s="149" t="s">
        <v>176</v>
      </c>
      <c r="B36" s="150">
        <v>136</v>
      </c>
      <c r="C36" s="150">
        <v>596.66999999999996</v>
      </c>
      <c r="D36" s="150">
        <v>759.3</v>
      </c>
      <c r="E36" s="150">
        <v>81147.75</v>
      </c>
      <c r="F36" s="150">
        <v>103264.8</v>
      </c>
      <c r="G36" s="150">
        <v>22117.05</v>
      </c>
      <c r="H36" s="191">
        <f>G36/E36</f>
        <v>0.27255284342449421</v>
      </c>
      <c r="J36" s="188"/>
    </row>
    <row r="37" spans="1:10" ht="15.75">
      <c r="A37" s="149" t="s">
        <v>177</v>
      </c>
      <c r="B37" s="150">
        <v>10</v>
      </c>
      <c r="C37" s="150">
        <v>3016.79</v>
      </c>
      <c r="D37" s="150">
        <v>5550.7</v>
      </c>
      <c r="E37" s="150">
        <v>30167.85</v>
      </c>
      <c r="F37" s="150">
        <v>55507</v>
      </c>
      <c r="G37" s="150">
        <v>25339.15</v>
      </c>
      <c r="H37" s="191">
        <f>G37/E37</f>
        <v>0.83993887532588507</v>
      </c>
    </row>
    <row r="38" spans="1:10" ht="15.75">
      <c r="A38" s="149" t="s">
        <v>178</v>
      </c>
      <c r="B38" s="150">
        <v>59</v>
      </c>
      <c r="C38" s="150">
        <v>656.47</v>
      </c>
      <c r="D38" s="150">
        <v>1365.2</v>
      </c>
      <c r="E38" s="150">
        <v>38731.699999999997</v>
      </c>
      <c r="F38" s="150">
        <v>80546.8</v>
      </c>
      <c r="G38" s="150">
        <v>41815.1</v>
      </c>
      <c r="H38" s="191">
        <f>G38/E38</f>
        <v>1.0796092089941831</v>
      </c>
      <c r="J38" s="188"/>
    </row>
    <row r="39" spans="1:10" ht="15.75">
      <c r="A39" s="149" t="s">
        <v>179</v>
      </c>
      <c r="B39" s="150">
        <v>54</v>
      </c>
      <c r="C39" s="150">
        <v>1308.5899999999999</v>
      </c>
      <c r="D39" s="150">
        <v>1911.6</v>
      </c>
      <c r="E39" s="150">
        <v>70664.100000000006</v>
      </c>
      <c r="F39" s="150">
        <v>103226.4</v>
      </c>
      <c r="G39" s="150">
        <v>32562.3</v>
      </c>
      <c r="H39" s="191">
        <f>G39/E39</f>
        <v>0.46080400090003265</v>
      </c>
      <c r="J39" s="188"/>
    </row>
    <row r="40" spans="1:10" ht="15.75">
      <c r="A40" s="149" t="s">
        <v>180</v>
      </c>
      <c r="B40" s="150">
        <v>118</v>
      </c>
      <c r="C40" s="150">
        <v>492.05</v>
      </c>
      <c r="D40" s="150">
        <v>601.70000000000005</v>
      </c>
      <c r="E40" s="150">
        <v>58062.35</v>
      </c>
      <c r="F40" s="150">
        <v>71000.600000000006</v>
      </c>
      <c r="G40" s="150">
        <v>12938.25</v>
      </c>
      <c r="H40" s="191">
        <f>G40/E40</f>
        <v>0.22283372960274603</v>
      </c>
    </row>
    <row r="41" spans="1:10" ht="15.75">
      <c r="A41" s="149" t="s">
        <v>181</v>
      </c>
      <c r="B41" s="150">
        <v>65</v>
      </c>
      <c r="C41" s="150">
        <v>1576.72</v>
      </c>
      <c r="D41" s="150">
        <v>1446.6</v>
      </c>
      <c r="E41" s="150">
        <v>102486.6</v>
      </c>
      <c r="F41" s="150">
        <v>94029</v>
      </c>
      <c r="G41" s="150">
        <v>-8457.6</v>
      </c>
      <c r="H41" s="191">
        <f>G41/E41</f>
        <v>-8.2523959229791985E-2</v>
      </c>
      <c r="J41" s="188"/>
    </row>
    <row r="42" spans="1:10" ht="15.75">
      <c r="A42" s="149" t="s">
        <v>182</v>
      </c>
      <c r="B42" s="150">
        <v>788</v>
      </c>
      <c r="C42" s="150">
        <v>206.55</v>
      </c>
      <c r="D42" s="150">
        <v>404.35</v>
      </c>
      <c r="E42" s="150">
        <v>162761.06</v>
      </c>
      <c r="F42" s="150">
        <v>318627.8</v>
      </c>
      <c r="G42" s="150">
        <v>155866.74</v>
      </c>
      <c r="H42" s="191">
        <f>G42/E42</f>
        <v>0.9576414653480384</v>
      </c>
      <c r="J42" s="188"/>
    </row>
    <row r="43" spans="1:10" ht="15.75">
      <c r="A43" s="149" t="s">
        <v>183</v>
      </c>
      <c r="B43" s="150">
        <v>45</v>
      </c>
      <c r="C43" s="150">
        <v>1006.05</v>
      </c>
      <c r="D43" s="150">
        <v>1668.4</v>
      </c>
      <c r="E43" s="150">
        <v>45272.45</v>
      </c>
      <c r="F43" s="150">
        <v>75078</v>
      </c>
      <c r="G43" s="150">
        <v>29805.55</v>
      </c>
      <c r="H43" s="191">
        <f>G43/E43</f>
        <v>0.65835955421012116</v>
      </c>
      <c r="J43" s="188"/>
    </row>
    <row r="44" spans="1:10" ht="15.75">
      <c r="A44" s="149" t="s">
        <v>184</v>
      </c>
      <c r="B44" s="150">
        <v>304</v>
      </c>
      <c r="C44" s="150">
        <v>108.8</v>
      </c>
      <c r="D44" s="150">
        <v>209.6</v>
      </c>
      <c r="E44" s="150">
        <v>33076.239999999998</v>
      </c>
      <c r="F44" s="150">
        <v>63718.400000000001</v>
      </c>
      <c r="G44" s="150">
        <v>30642.16</v>
      </c>
      <c r="H44" s="191">
        <f>G44/E44</f>
        <v>0.92641001516496435</v>
      </c>
      <c r="J44" s="188"/>
    </row>
    <row r="45" spans="1:10" ht="15.75">
      <c r="A45" s="149" t="s">
        <v>185</v>
      </c>
      <c r="B45" s="150">
        <v>57</v>
      </c>
      <c r="C45" s="150">
        <v>1778.4</v>
      </c>
      <c r="D45" s="150">
        <v>2100.9</v>
      </c>
      <c r="E45" s="150">
        <v>101368.55</v>
      </c>
      <c r="F45" s="150">
        <v>119751.3</v>
      </c>
      <c r="G45" s="150">
        <v>18382.75</v>
      </c>
      <c r="H45" s="191">
        <f>G45/E45</f>
        <v>0.18134569351144905</v>
      </c>
      <c r="J45" s="188"/>
    </row>
    <row r="46" spans="1:10" ht="15.75">
      <c r="A46" s="149" t="s">
        <v>186</v>
      </c>
      <c r="B46" s="150">
        <v>80</v>
      </c>
      <c r="C46" s="150">
        <v>814.86</v>
      </c>
      <c r="D46" s="150">
        <v>1157.7</v>
      </c>
      <c r="E46" s="150">
        <v>65188.75</v>
      </c>
      <c r="F46" s="150">
        <v>92616</v>
      </c>
      <c r="G46" s="150">
        <v>27427.25</v>
      </c>
      <c r="H46" s="191">
        <f>G46/E46</f>
        <v>0.42073593986692487</v>
      </c>
    </row>
    <row r="47" spans="1:10" ht="15.75">
      <c r="A47" s="149" t="s">
        <v>187</v>
      </c>
      <c r="B47" s="150">
        <v>20</v>
      </c>
      <c r="C47" s="150">
        <v>2295.38</v>
      </c>
      <c r="D47" s="150">
        <v>3127.7</v>
      </c>
      <c r="E47" s="150">
        <v>45907.6</v>
      </c>
      <c r="F47" s="150">
        <v>62554</v>
      </c>
      <c r="G47" s="150">
        <v>16646.400000000001</v>
      </c>
      <c r="H47" s="191">
        <f>G47/E47</f>
        <v>0.36260662722512182</v>
      </c>
    </row>
    <row r="48" spans="1:10" ht="15.75">
      <c r="A48" s="149" t="s">
        <v>188</v>
      </c>
      <c r="B48" s="150">
        <v>62</v>
      </c>
      <c r="C48" s="150">
        <v>1053.22</v>
      </c>
      <c r="D48" s="150">
        <v>3733.1</v>
      </c>
      <c r="E48" s="150">
        <v>65299.35</v>
      </c>
      <c r="F48" s="150">
        <v>231452.2</v>
      </c>
      <c r="G48" s="150">
        <v>166152.85</v>
      </c>
      <c r="H48" s="191">
        <f>G48/E48</f>
        <v>2.5444793860888355</v>
      </c>
      <c r="J48" s="188"/>
    </row>
    <row r="49" spans="1:10" ht="15.75">
      <c r="A49" s="149" t="s">
        <v>189</v>
      </c>
      <c r="B49" s="150">
        <v>10</v>
      </c>
      <c r="C49" s="150">
        <v>1189.6300000000001</v>
      </c>
      <c r="D49" s="150">
        <v>3462</v>
      </c>
      <c r="E49" s="150">
        <v>11896.3</v>
      </c>
      <c r="F49" s="150">
        <v>34620</v>
      </c>
      <c r="G49" s="150">
        <v>22723.7</v>
      </c>
      <c r="H49" s="191">
        <f>G49/E49</f>
        <v>1.9101485335776671</v>
      </c>
    </row>
    <row r="50" spans="1:10" ht="15.75">
      <c r="A50" s="149" t="s">
        <v>190</v>
      </c>
      <c r="B50" s="150">
        <v>28</v>
      </c>
      <c r="C50" s="150">
        <v>2226.31</v>
      </c>
      <c r="D50" s="150">
        <v>2455</v>
      </c>
      <c r="E50" s="150">
        <v>62336.7</v>
      </c>
      <c r="F50" s="150">
        <v>68740</v>
      </c>
      <c r="G50" s="150">
        <v>6403.3</v>
      </c>
      <c r="H50" s="191">
        <f>G50/E50</f>
        <v>0.10272118992503614</v>
      </c>
      <c r="J50" s="188"/>
    </row>
    <row r="51" spans="1:10" ht="15.75">
      <c r="A51" s="149" t="s">
        <v>191</v>
      </c>
      <c r="B51" s="150">
        <v>73</v>
      </c>
      <c r="C51" s="150">
        <v>523.91</v>
      </c>
      <c r="D51" s="150">
        <v>710.95</v>
      </c>
      <c r="E51" s="150">
        <v>38245.25</v>
      </c>
      <c r="F51" s="150">
        <v>51899.35</v>
      </c>
      <c r="G51" s="150">
        <v>13654.1</v>
      </c>
      <c r="H51" s="191">
        <f>G51/E51</f>
        <v>0.35701426974591616</v>
      </c>
    </row>
    <row r="52" spans="1:10" ht="15.75">
      <c r="A52" s="149" t="s">
        <v>192</v>
      </c>
      <c r="B52" s="150">
        <v>73</v>
      </c>
      <c r="C52" s="150">
        <v>735.56</v>
      </c>
      <c r="D52" s="150">
        <v>1600</v>
      </c>
      <c r="E52" s="150">
        <v>53696.15</v>
      </c>
      <c r="F52" s="150">
        <v>116800</v>
      </c>
      <c r="G52" s="150">
        <v>63103.85</v>
      </c>
      <c r="H52" s="191">
        <f>G52/E52</f>
        <v>1.1752025052075428</v>
      </c>
      <c r="J52" s="188"/>
    </row>
    <row r="53" spans="1:10" ht="15.75">
      <c r="A53" s="149" t="s">
        <v>193</v>
      </c>
      <c r="B53" s="150">
        <v>75</v>
      </c>
      <c r="C53" s="150">
        <v>337.52</v>
      </c>
      <c r="D53" s="150">
        <v>457.31</v>
      </c>
      <c r="E53" s="150">
        <v>25314.17</v>
      </c>
      <c r="F53" s="150">
        <v>34298.25</v>
      </c>
      <c r="G53" s="150">
        <v>8984.08</v>
      </c>
      <c r="H53" s="191">
        <f>G53/E53</f>
        <v>0.35490320243563195</v>
      </c>
      <c r="J53" s="188"/>
    </row>
    <row r="54" spans="1:10" ht="15.75">
      <c r="A54" s="149" t="s">
        <v>194</v>
      </c>
      <c r="B54" s="150">
        <v>285</v>
      </c>
      <c r="C54" s="150">
        <v>51.08</v>
      </c>
      <c r="D54" s="150">
        <v>106.67</v>
      </c>
      <c r="E54" s="150">
        <v>14558.98</v>
      </c>
      <c r="F54" s="150">
        <v>30400.95</v>
      </c>
      <c r="G54" s="150">
        <v>15841.97</v>
      </c>
      <c r="H54" s="191">
        <f>G54/E54</f>
        <v>1.0881236185502006</v>
      </c>
      <c r="J54" s="188"/>
    </row>
    <row r="55" spans="1:10" ht="15.75">
      <c r="A55" s="149" t="s">
        <v>195</v>
      </c>
      <c r="B55" s="150">
        <v>33</v>
      </c>
      <c r="C55" s="150">
        <v>2284.62</v>
      </c>
      <c r="D55" s="150">
        <v>2739</v>
      </c>
      <c r="E55" s="150">
        <v>75392.600000000006</v>
      </c>
      <c r="F55" s="150">
        <v>90387</v>
      </c>
      <c r="G55" s="150">
        <v>14994.4</v>
      </c>
      <c r="H55" s="191">
        <f>G55/E55</f>
        <v>0.19888424062839055</v>
      </c>
      <c r="J55" s="188"/>
    </row>
    <row r="56" spans="1:10" ht="15.75">
      <c r="A56" s="149" t="s">
        <v>196</v>
      </c>
      <c r="B56" s="150">
        <v>18</v>
      </c>
      <c r="C56" s="150">
        <v>1081.33</v>
      </c>
      <c r="D56" s="150">
        <v>1169.9000000000001</v>
      </c>
      <c r="E56" s="150">
        <v>19463.849999999999</v>
      </c>
      <c r="F56" s="150">
        <v>21058.2</v>
      </c>
      <c r="G56" s="150">
        <v>1594.35</v>
      </c>
      <c r="H56" s="191">
        <f>G56/E56</f>
        <v>8.1913393290638806E-2</v>
      </c>
      <c r="J56" s="188"/>
    </row>
    <row r="57" spans="1:10" ht="15.75">
      <c r="A57" s="149" t="s">
        <v>266</v>
      </c>
      <c r="B57" s="150">
        <v>207</v>
      </c>
      <c r="C57" s="150">
        <v>127.65</v>
      </c>
      <c r="D57" s="150">
        <v>163.55000000000001</v>
      </c>
      <c r="E57" s="150">
        <v>26423.5</v>
      </c>
      <c r="F57" s="150">
        <v>33854.85</v>
      </c>
      <c r="G57" s="150">
        <v>7431.35</v>
      </c>
      <c r="H57" s="191">
        <f>G57/E57</f>
        <v>0.28124018392718603</v>
      </c>
      <c r="J57" s="188"/>
    </row>
    <row r="58" spans="1:10" ht="15.75">
      <c r="A58" s="149" t="s">
        <v>198</v>
      </c>
      <c r="B58" s="150">
        <v>80</v>
      </c>
      <c r="C58" s="150">
        <v>621.89</v>
      </c>
      <c r="D58" s="150">
        <v>1607.6</v>
      </c>
      <c r="E58" s="150">
        <v>49751.05</v>
      </c>
      <c r="F58" s="150">
        <v>128608</v>
      </c>
      <c r="G58" s="150">
        <v>78856.95</v>
      </c>
      <c r="H58" s="191">
        <f>G58/E58</f>
        <v>1.5850308686952335</v>
      </c>
      <c r="J58" s="188"/>
    </row>
    <row r="59" spans="1:10" ht="15.75">
      <c r="A59" s="149" t="s">
        <v>199</v>
      </c>
      <c r="B59" s="150">
        <v>10</v>
      </c>
      <c r="C59" s="150">
        <v>4342.57</v>
      </c>
      <c r="D59" s="150">
        <v>8962</v>
      </c>
      <c r="E59" s="150">
        <v>43425.7</v>
      </c>
      <c r="F59" s="150">
        <v>89620</v>
      </c>
      <c r="G59" s="150">
        <v>46194.3</v>
      </c>
      <c r="H59" s="191">
        <f>G59/E59</f>
        <v>1.0637548732662918</v>
      </c>
    </row>
    <row r="60" spans="1:10" ht="15.75">
      <c r="A60" s="149" t="s">
        <v>200</v>
      </c>
      <c r="B60" s="150">
        <v>300</v>
      </c>
      <c r="C60" s="150">
        <v>82.33</v>
      </c>
      <c r="D60" s="150">
        <v>243.66</v>
      </c>
      <c r="E60" s="150">
        <v>24700</v>
      </c>
      <c r="F60" s="150">
        <v>73098</v>
      </c>
      <c r="G60" s="150">
        <v>48398</v>
      </c>
      <c r="H60" s="191">
        <f>G60/E60</f>
        <v>1.9594331983805668</v>
      </c>
      <c r="J60" s="188"/>
    </row>
    <row r="61" spans="1:10" ht="15.75">
      <c r="A61" s="149" t="s">
        <v>201</v>
      </c>
      <c r="B61" s="150">
        <v>16</v>
      </c>
      <c r="C61" s="150">
        <v>2003.97</v>
      </c>
      <c r="D61" s="150">
        <v>5074.8999999999996</v>
      </c>
      <c r="E61" s="150">
        <v>32063.45</v>
      </c>
      <c r="F61" s="150">
        <v>81198.399999999994</v>
      </c>
      <c r="G61" s="150">
        <v>49134.95</v>
      </c>
      <c r="H61" s="191">
        <f>G61/E61</f>
        <v>1.5324286687801842</v>
      </c>
    </row>
    <row r="62" spans="1:10" ht="15.75">
      <c r="A62" s="149" t="s">
        <v>202</v>
      </c>
      <c r="B62" s="150">
        <v>31</v>
      </c>
      <c r="C62" s="150">
        <v>603.24</v>
      </c>
      <c r="D62" s="150">
        <v>1560.8</v>
      </c>
      <c r="E62" s="150">
        <v>18700.45</v>
      </c>
      <c r="F62" s="150">
        <v>48384.800000000003</v>
      </c>
      <c r="G62" s="150">
        <v>29684.35</v>
      </c>
      <c r="H62" s="191">
        <f>G62/E62</f>
        <v>1.5873601972145055</v>
      </c>
      <c r="J62" s="188"/>
    </row>
    <row r="63" spans="1:10" ht="15.75">
      <c r="A63" s="149" t="s">
        <v>203</v>
      </c>
      <c r="B63" s="150">
        <v>60</v>
      </c>
      <c r="C63" s="150">
        <v>1249.57</v>
      </c>
      <c r="D63" s="150">
        <v>1489.6</v>
      </c>
      <c r="E63" s="150">
        <v>74974.350000000006</v>
      </c>
      <c r="F63" s="150">
        <v>89376</v>
      </c>
      <c r="G63" s="150">
        <v>14401.65</v>
      </c>
      <c r="H63" s="191">
        <f>G63/E63</f>
        <v>0.19208769399134501</v>
      </c>
      <c r="J63" s="188"/>
    </row>
    <row r="64" spans="1:10" ht="16.5">
      <c r="A64" s="149" t="s">
        <v>204</v>
      </c>
      <c r="B64" s="150">
        <v>33</v>
      </c>
      <c r="C64" s="150">
        <v>761.09</v>
      </c>
      <c r="D64" s="150">
        <v>1532.6</v>
      </c>
      <c r="E64" s="150">
        <v>25116</v>
      </c>
      <c r="F64" s="150">
        <v>50575.8</v>
      </c>
      <c r="G64" s="150">
        <v>25459.8</v>
      </c>
      <c r="H64" s="191"/>
    </row>
    <row r="65" spans="1:10" ht="15.75">
      <c r="A65" s="149" t="s">
        <v>206</v>
      </c>
      <c r="B65" s="150">
        <v>54</v>
      </c>
      <c r="C65" s="150">
        <v>1278.8599999999999</v>
      </c>
      <c r="D65" s="150">
        <v>1788.65</v>
      </c>
      <c r="E65" s="150">
        <v>69058.3</v>
      </c>
      <c r="F65" s="150">
        <v>96587.1</v>
      </c>
      <c r="G65" s="150">
        <v>27528.799999999999</v>
      </c>
      <c r="H65" s="191">
        <f>G65/E65</f>
        <v>0.39863130137869013</v>
      </c>
      <c r="J65" s="188"/>
    </row>
    <row r="66" spans="1:10" ht="15.75">
      <c r="A66" s="149" t="s">
        <v>207</v>
      </c>
      <c r="B66" s="150">
        <v>66</v>
      </c>
      <c r="C66" s="150">
        <v>426.28</v>
      </c>
      <c r="D66" s="150">
        <v>867.3</v>
      </c>
      <c r="E66" s="150">
        <v>28134.5</v>
      </c>
      <c r="F66" s="150">
        <v>57241.8</v>
      </c>
      <c r="G66" s="150">
        <v>29107.3</v>
      </c>
      <c r="H66" s="191">
        <f>G66/E66</f>
        <v>1.0345767651815387</v>
      </c>
    </row>
    <row r="67" spans="1:10" ht="15.75">
      <c r="A67" s="149" t="s">
        <v>208</v>
      </c>
      <c r="B67" s="150">
        <v>10</v>
      </c>
      <c r="C67" s="150">
        <v>5284</v>
      </c>
      <c r="D67" s="150">
        <v>12525</v>
      </c>
      <c r="E67" s="150">
        <v>52840</v>
      </c>
      <c r="F67" s="150">
        <v>125250</v>
      </c>
      <c r="G67" s="150">
        <v>72410</v>
      </c>
      <c r="H67" s="191">
        <f>G67/E67</f>
        <v>1.3703633610900832</v>
      </c>
      <c r="J67" s="188"/>
    </row>
    <row r="68" spans="1:10" ht="15.75">
      <c r="A68" s="149" t="s">
        <v>209</v>
      </c>
      <c r="B68" s="150">
        <v>5</v>
      </c>
      <c r="C68" s="150">
        <v>4802</v>
      </c>
      <c r="D68" s="150">
        <v>12493.37</v>
      </c>
      <c r="E68" s="150">
        <v>24010</v>
      </c>
      <c r="F68" s="150">
        <v>62466.85</v>
      </c>
      <c r="G68" s="150">
        <v>38456.85</v>
      </c>
      <c r="H68" s="191">
        <f>G68/E68</f>
        <v>1.6017013744273219</v>
      </c>
      <c r="J68" s="188"/>
    </row>
    <row r="69" spans="1:10" ht="15.75">
      <c r="A69" s="149" t="s">
        <v>210</v>
      </c>
      <c r="B69" s="150">
        <v>10</v>
      </c>
      <c r="C69" s="150">
        <v>5002.45</v>
      </c>
      <c r="D69" s="150">
        <v>12659.07</v>
      </c>
      <c r="E69" s="150">
        <v>50024.5</v>
      </c>
      <c r="F69" s="150">
        <v>126590.7</v>
      </c>
      <c r="G69" s="150">
        <v>76566.2</v>
      </c>
      <c r="H69" s="191">
        <f>G69/E69</f>
        <v>1.5305740187308219</v>
      </c>
      <c r="J69" s="188"/>
    </row>
    <row r="70" spans="1:10" ht="15.75">
      <c r="A70" s="149" t="s">
        <v>211</v>
      </c>
      <c r="B70" s="150">
        <v>35</v>
      </c>
      <c r="C70" s="150">
        <v>749.79</v>
      </c>
      <c r="D70" s="150">
        <v>3169</v>
      </c>
      <c r="E70" s="150">
        <v>26242.52</v>
      </c>
      <c r="F70" s="150">
        <v>110915</v>
      </c>
      <c r="G70" s="150">
        <v>84672.48</v>
      </c>
      <c r="H70" s="191">
        <f>G70/E70</f>
        <v>3.2265376953127975</v>
      </c>
      <c r="J70" s="188"/>
    </row>
    <row r="71" spans="1:10" ht="15.75">
      <c r="A71" s="149" t="s">
        <v>212</v>
      </c>
      <c r="B71" s="150">
        <v>139</v>
      </c>
      <c r="C71" s="150">
        <v>582.57000000000005</v>
      </c>
      <c r="D71" s="150">
        <v>1627.5</v>
      </c>
      <c r="E71" s="150">
        <v>80977.149999999994</v>
      </c>
      <c r="F71" s="150">
        <v>226222.5</v>
      </c>
      <c r="G71" s="150">
        <v>145245.35</v>
      </c>
      <c r="H71" s="191">
        <f>G71/E71</f>
        <v>1.7936584579724035</v>
      </c>
      <c r="J71" s="188"/>
    </row>
    <row r="72" spans="1:10" ht="15.75">
      <c r="A72" s="149" t="s">
        <v>213</v>
      </c>
      <c r="B72" s="150">
        <v>75</v>
      </c>
      <c r="C72" s="150">
        <v>581.84</v>
      </c>
      <c r="D72" s="150">
        <v>635.5</v>
      </c>
      <c r="E72" s="150">
        <v>43638</v>
      </c>
      <c r="F72" s="150">
        <v>47662.5</v>
      </c>
      <c r="G72" s="150">
        <v>4024.5</v>
      </c>
      <c r="H72" s="191">
        <f>G72/E72</f>
        <v>9.2224666575003431E-2</v>
      </c>
      <c r="J72" s="188"/>
    </row>
    <row r="73" spans="1:10" ht="15.75">
      <c r="A73" s="149" t="s">
        <v>214</v>
      </c>
      <c r="B73" s="150">
        <v>46</v>
      </c>
      <c r="C73" s="150">
        <v>794.51</v>
      </c>
      <c r="D73" s="150">
        <v>1137.5</v>
      </c>
      <c r="E73" s="150">
        <v>36547.300000000003</v>
      </c>
      <c r="F73" s="150">
        <v>52325</v>
      </c>
      <c r="G73" s="150">
        <v>15777.7</v>
      </c>
      <c r="H73" s="191">
        <f>G73/E73</f>
        <v>0.43170630935801002</v>
      </c>
    </row>
    <row r="74" spans="1:10" ht="15.75">
      <c r="A74" s="149" t="s">
        <v>215</v>
      </c>
      <c r="B74" s="150">
        <v>1050</v>
      </c>
      <c r="C74" s="150">
        <v>40.479999999999997</v>
      </c>
      <c r="D74" s="150">
        <v>173.21</v>
      </c>
      <c r="E74" s="150">
        <v>42500.25</v>
      </c>
      <c r="F74" s="150">
        <v>181870.5</v>
      </c>
      <c r="G74" s="150">
        <v>139370.25</v>
      </c>
      <c r="H74" s="191">
        <f>G74/E74</f>
        <v>3.2792807101134698</v>
      </c>
      <c r="J74" s="188"/>
    </row>
    <row r="75" spans="1:10" ht="15.75">
      <c r="A75" s="149" t="s">
        <v>216</v>
      </c>
      <c r="B75" s="150">
        <v>33</v>
      </c>
      <c r="C75" s="150">
        <v>3575.9</v>
      </c>
      <c r="D75" s="150">
        <v>2902.15</v>
      </c>
      <c r="E75" s="150">
        <v>118004.55</v>
      </c>
      <c r="F75" s="150">
        <v>95770.95</v>
      </c>
      <c r="G75" s="150">
        <v>-22233.599999999999</v>
      </c>
      <c r="H75" s="191">
        <f>G75/E75</f>
        <v>-0.18841307390265882</v>
      </c>
      <c r="J75" s="188"/>
    </row>
    <row r="76" spans="1:10" ht="15.75">
      <c r="A76" s="149" t="s">
        <v>217</v>
      </c>
      <c r="B76" s="150">
        <v>24</v>
      </c>
      <c r="C76" s="150">
        <v>2584.4</v>
      </c>
      <c r="D76" s="150">
        <v>3453.3</v>
      </c>
      <c r="E76" s="150">
        <v>62025.599999999999</v>
      </c>
      <c r="F76" s="150">
        <v>82879.199999999997</v>
      </c>
      <c r="G76" s="150">
        <v>20853.599999999999</v>
      </c>
      <c r="H76" s="191">
        <f>G76/E76</f>
        <v>0.33620956508280453</v>
      </c>
      <c r="J76" s="188"/>
    </row>
    <row r="77" spans="1:10" ht="15.75">
      <c r="A77" s="149" t="s">
        <v>219</v>
      </c>
      <c r="B77" s="150">
        <v>14</v>
      </c>
      <c r="C77" s="150">
        <v>2306.8200000000002</v>
      </c>
      <c r="D77" s="150">
        <v>3456.1</v>
      </c>
      <c r="E77" s="150">
        <v>32295.45</v>
      </c>
      <c r="F77" s="150">
        <v>48385.4</v>
      </c>
      <c r="G77" s="150">
        <v>16089.95</v>
      </c>
      <c r="H77" s="191">
        <f>G77/E77</f>
        <v>0.49821104830556628</v>
      </c>
    </row>
    <row r="78" spans="1:10" ht="15.75">
      <c r="A78" s="149" t="s">
        <v>220</v>
      </c>
      <c r="B78" s="150">
        <v>30</v>
      </c>
      <c r="C78" s="150">
        <v>373.77</v>
      </c>
      <c r="D78" s="150">
        <v>1315.3</v>
      </c>
      <c r="E78" s="150">
        <v>11213.05</v>
      </c>
      <c r="F78" s="150">
        <v>39459</v>
      </c>
      <c r="G78" s="150">
        <v>28245.95</v>
      </c>
      <c r="H78" s="191">
        <f>G78/E78</f>
        <v>2.5190247078181227</v>
      </c>
    </row>
    <row r="79" spans="1:10" ht="15.75">
      <c r="A79" s="149" t="s">
        <v>221</v>
      </c>
      <c r="B79" s="150">
        <v>110</v>
      </c>
      <c r="C79" s="150">
        <v>130.18</v>
      </c>
      <c r="D79" s="150">
        <v>443.45</v>
      </c>
      <c r="E79" s="150">
        <v>14319.65</v>
      </c>
      <c r="F79" s="150">
        <v>48779.5</v>
      </c>
      <c r="G79" s="150">
        <v>34459.85</v>
      </c>
      <c r="H79" s="191">
        <f>G79/E79</f>
        <v>2.4064729235700595</v>
      </c>
    </row>
    <row r="80" spans="1:10" ht="15.75">
      <c r="A80" s="149" t="s">
        <v>222</v>
      </c>
      <c r="B80" s="150">
        <v>54</v>
      </c>
      <c r="C80" s="150">
        <v>896.15</v>
      </c>
      <c r="D80" s="150">
        <v>988.75</v>
      </c>
      <c r="E80" s="150">
        <v>48392.1</v>
      </c>
      <c r="F80" s="150">
        <v>53392.5</v>
      </c>
      <c r="G80" s="150">
        <v>5000.3999999999996</v>
      </c>
      <c r="H80" s="191">
        <f>G80/E80</f>
        <v>0.10333091558332869</v>
      </c>
      <c r="J80" s="188"/>
    </row>
    <row r="81" spans="1:10" ht="16.5">
      <c r="A81" s="149"/>
      <c r="B81" s="150"/>
      <c r="C81" s="150"/>
      <c r="D81" s="150"/>
      <c r="E81" s="150"/>
      <c r="F81" s="150"/>
      <c r="G81" s="150"/>
      <c r="H81" s="191"/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17557</v>
      </c>
      <c r="C104" s="45"/>
      <c r="D104" s="45"/>
      <c r="E104" s="45">
        <f>SUM(E2:E103)</f>
        <v>4020945.4200000004</v>
      </c>
      <c r="F104" s="45">
        <f>SUM(F2:F103)</f>
        <v>7029609.959999999</v>
      </c>
      <c r="G104" s="45">
        <f>SUM(G2:G103)</f>
        <v>2986794.3400000008</v>
      </c>
      <c r="H104" s="176">
        <f>G104/E104</f>
        <v>0.74280897351747699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235E-76B8-4F04-8A1F-9D0A4D94C088}">
  <dimension ref="A1:J22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72096.812000000005</v>
      </c>
      <c r="D2">
        <v>10.65</v>
      </c>
      <c r="E2">
        <v>8.3231000000000002</v>
      </c>
      <c r="F2" s="188">
        <v>600069.99479999999</v>
      </c>
      <c r="G2" s="188">
        <v>767831.04779999994</v>
      </c>
      <c r="H2" s="188">
        <v>167761.05300000001</v>
      </c>
      <c r="I2" s="192">
        <f>H2/F2</f>
        <v>0.27956914102314656</v>
      </c>
    </row>
    <row r="3" spans="1:9">
      <c r="A3" s="168" t="s">
        <v>234</v>
      </c>
      <c r="B3" s="210" t="s">
        <v>235</v>
      </c>
      <c r="C3" s="188">
        <v>4080.9659999999999</v>
      </c>
      <c r="D3">
        <v>131.55000000000001</v>
      </c>
      <c r="E3">
        <v>68.607799999999997</v>
      </c>
      <c r="F3" s="188">
        <v>279986.10960000003</v>
      </c>
      <c r="G3" s="188">
        <v>536851.0773</v>
      </c>
      <c r="H3" s="188">
        <v>256864.96770000001</v>
      </c>
      <c r="I3" s="192">
        <f t="shared" ref="I3:I22" si="0">H3/F3</f>
        <v>0.91742039655812979</v>
      </c>
    </row>
    <row r="4" spans="1:9">
      <c r="A4" s="168" t="s">
        <v>236</v>
      </c>
      <c r="B4" s="210" t="s">
        <v>237</v>
      </c>
      <c r="C4" s="188">
        <v>14235.332</v>
      </c>
      <c r="D4">
        <v>122.21</v>
      </c>
      <c r="E4">
        <v>47.766100000000002</v>
      </c>
      <c r="F4" s="188">
        <v>679966.92570000002</v>
      </c>
      <c r="G4" s="188">
        <v>1739699.9236999999</v>
      </c>
      <c r="H4" s="188">
        <v>1059732.9979999999</v>
      </c>
      <c r="I4" s="192">
        <f t="shared" si="0"/>
        <v>1.5585066831141017</v>
      </c>
    </row>
    <row r="5" spans="1:9">
      <c r="A5" s="168" t="s">
        <v>238</v>
      </c>
      <c r="B5" s="210" t="s">
        <v>237</v>
      </c>
      <c r="C5" s="188">
        <v>30844.641</v>
      </c>
      <c r="D5">
        <v>42.66</v>
      </c>
      <c r="E5">
        <v>33.229399999999998</v>
      </c>
      <c r="F5" s="188">
        <v>1024948.7568</v>
      </c>
      <c r="G5" s="188">
        <v>1315832.3851000001</v>
      </c>
      <c r="H5" s="188">
        <v>290883.62819999998</v>
      </c>
      <c r="I5" s="192">
        <f t="shared" si="0"/>
        <v>0.283803093832876</v>
      </c>
    </row>
    <row r="6" spans="1:9">
      <c r="A6" s="168" t="s">
        <v>239</v>
      </c>
      <c r="B6" s="210" t="s">
        <v>233</v>
      </c>
      <c r="C6" s="188">
        <v>14603.335999999999</v>
      </c>
      <c r="D6">
        <v>34.214100000000002</v>
      </c>
      <c r="E6">
        <v>28.074400000000001</v>
      </c>
      <c r="F6" s="188">
        <v>409979.5453</v>
      </c>
      <c r="G6" s="188">
        <v>499639.99819999997</v>
      </c>
      <c r="H6" s="188">
        <v>89660.452900000004</v>
      </c>
      <c r="I6" s="192">
        <f t="shared" si="0"/>
        <v>0.21869494204739293</v>
      </c>
    </row>
    <row r="7" spans="1:9">
      <c r="A7" s="168" t="s">
        <v>240</v>
      </c>
      <c r="B7" s="210" t="s">
        <v>241</v>
      </c>
      <c r="C7" s="188">
        <v>1556.317</v>
      </c>
      <c r="D7">
        <v>771.36590000000001</v>
      </c>
      <c r="E7">
        <v>372.27620000000002</v>
      </c>
      <c r="F7" s="188">
        <v>579379.77179999999</v>
      </c>
      <c r="G7" s="188">
        <v>1200489.8633999999</v>
      </c>
      <c r="H7" s="188">
        <v>621110.09160000004</v>
      </c>
      <c r="I7" s="192">
        <f t="shared" si="0"/>
        <v>1.0720258487284662</v>
      </c>
    </row>
    <row r="8" spans="1:9">
      <c r="A8" s="168" t="s">
        <v>242</v>
      </c>
      <c r="B8" s="210" t="s">
        <v>237</v>
      </c>
      <c r="C8" s="188">
        <v>4306.576</v>
      </c>
      <c r="D8">
        <v>160.874</v>
      </c>
      <c r="E8">
        <v>44.3917</v>
      </c>
      <c r="F8" s="188">
        <v>191176.2298</v>
      </c>
      <c r="G8" s="188">
        <v>692816.10739999998</v>
      </c>
      <c r="H8" s="188">
        <v>501639.87760000001</v>
      </c>
      <c r="I8" s="192">
        <f t="shared" si="0"/>
        <v>2.6239657415819591</v>
      </c>
    </row>
    <row r="9" spans="1:9">
      <c r="A9" s="168" t="s">
        <v>243</v>
      </c>
      <c r="B9" s="210" t="s">
        <v>235</v>
      </c>
      <c r="C9" s="188">
        <v>5805.7370000000001</v>
      </c>
      <c r="D9">
        <v>159.42400000000001</v>
      </c>
      <c r="E9">
        <v>41.940399999999997</v>
      </c>
      <c r="F9" s="188">
        <v>243495.1642</v>
      </c>
      <c r="G9" s="188">
        <v>925573.81550000003</v>
      </c>
      <c r="H9" s="188">
        <v>682078.65130000003</v>
      </c>
      <c r="I9" s="192">
        <f t="shared" si="0"/>
        <v>2.8011999890879147</v>
      </c>
    </row>
    <row r="10" spans="1:9">
      <c r="A10" s="168" t="s">
        <v>244</v>
      </c>
      <c r="B10" s="210" t="s">
        <v>233</v>
      </c>
      <c r="C10" s="188">
        <v>13136.35</v>
      </c>
      <c r="D10">
        <v>48.538699999999999</v>
      </c>
      <c r="E10">
        <v>29.687100000000001</v>
      </c>
      <c r="F10" s="188">
        <v>389980.446</v>
      </c>
      <c r="G10" s="188">
        <v>637621.3517</v>
      </c>
      <c r="H10" s="188">
        <v>247640.90580000001</v>
      </c>
      <c r="I10" s="192">
        <f t="shared" si="0"/>
        <v>0.63500851988871265</v>
      </c>
    </row>
    <row r="11" spans="1:9">
      <c r="A11" s="168" t="s">
        <v>246</v>
      </c>
      <c r="B11" s="210" t="s">
        <v>241</v>
      </c>
      <c r="C11" s="188">
        <v>81746.4715</v>
      </c>
      <c r="D11">
        <v>16.2879</v>
      </c>
      <c r="E11">
        <v>13.094799999999999</v>
      </c>
      <c r="F11" s="188">
        <v>1070457.023</v>
      </c>
      <c r="G11" s="188">
        <v>1331478.3530999999</v>
      </c>
      <c r="H11" s="188">
        <v>261021.3302</v>
      </c>
      <c r="I11" s="192">
        <f t="shared" si="0"/>
        <v>0.24384101798732372</v>
      </c>
    </row>
    <row r="12" spans="1:9">
      <c r="A12" s="168" t="s">
        <v>247</v>
      </c>
      <c r="B12" s="210" t="s">
        <v>241</v>
      </c>
      <c r="C12" s="188">
        <v>46779.584000000003</v>
      </c>
      <c r="D12">
        <v>16.218699999999998</v>
      </c>
      <c r="E12">
        <v>14.1187</v>
      </c>
      <c r="F12" s="188">
        <v>660466.97759999998</v>
      </c>
      <c r="G12" s="188">
        <v>758704.03899999999</v>
      </c>
      <c r="H12" s="188">
        <v>98237.061400000006</v>
      </c>
      <c r="I12" s="192">
        <f t="shared" si="0"/>
        <v>0.14873879350784971</v>
      </c>
    </row>
    <row r="13" spans="1:9">
      <c r="A13" s="168" t="s">
        <v>263</v>
      </c>
      <c r="B13" s="210" t="s">
        <v>233</v>
      </c>
      <c r="C13" s="188">
        <v>82131.043999999994</v>
      </c>
      <c r="D13">
        <v>19.588699999999999</v>
      </c>
      <c r="E13">
        <v>9.9227000000000007</v>
      </c>
      <c r="F13" s="188">
        <v>814959.2439</v>
      </c>
      <c r="G13" s="188">
        <v>1608840.3816</v>
      </c>
      <c r="H13" s="188">
        <v>793881.13769999996</v>
      </c>
      <c r="I13" s="192">
        <f t="shared" si="0"/>
        <v>0.97413599961253228</v>
      </c>
    </row>
    <row r="14" spans="1:9">
      <c r="A14" s="168" t="s">
        <v>248</v>
      </c>
      <c r="B14" s="210" t="s">
        <v>249</v>
      </c>
      <c r="C14" s="188">
        <v>32167.357</v>
      </c>
      <c r="D14">
        <v>9.1519999999999992</v>
      </c>
      <c r="E14">
        <v>9.3567999999999998</v>
      </c>
      <c r="F14" s="188">
        <v>300984.95490000001</v>
      </c>
      <c r="G14" s="188">
        <v>294395.65130000003</v>
      </c>
      <c r="H14" s="188">
        <v>-6589.3036000000002</v>
      </c>
      <c r="I14" s="192">
        <f t="shared" si="0"/>
        <v>-2.1892468353407388E-2</v>
      </c>
    </row>
    <row r="15" spans="1:9">
      <c r="A15" s="168" t="s">
        <v>250</v>
      </c>
      <c r="B15" s="210" t="s">
        <v>251</v>
      </c>
      <c r="C15" s="188">
        <v>19397.659</v>
      </c>
      <c r="D15">
        <v>92.474199999999996</v>
      </c>
      <c r="E15">
        <v>44.640599999999999</v>
      </c>
      <c r="F15" s="188">
        <v>865923.00470000005</v>
      </c>
      <c r="G15" s="188">
        <v>1793782.9979000001</v>
      </c>
      <c r="H15" s="188">
        <v>927859.99320000003</v>
      </c>
      <c r="I15" s="192">
        <f t="shared" si="0"/>
        <v>1.0715271313544303</v>
      </c>
    </row>
    <row r="16" spans="1:9">
      <c r="A16" s="168" t="s">
        <v>252</v>
      </c>
      <c r="B16" s="210" t="s">
        <v>233</v>
      </c>
      <c r="C16" s="188">
        <v>6809.741</v>
      </c>
      <c r="D16">
        <v>54.7</v>
      </c>
      <c r="E16">
        <v>35.241999999999997</v>
      </c>
      <c r="F16" s="188">
        <v>239988.8371</v>
      </c>
      <c r="G16" s="188">
        <v>372492.83270000003</v>
      </c>
      <c r="H16" s="188">
        <v>132503.99559999999</v>
      </c>
      <c r="I16" s="192">
        <f t="shared" si="0"/>
        <v>0.55212566218147652</v>
      </c>
    </row>
    <row r="17" spans="1:10">
      <c r="A17" s="168" t="s">
        <v>253</v>
      </c>
      <c r="B17" s="210" t="s">
        <v>235</v>
      </c>
      <c r="C17" s="188">
        <v>5481.1360000000004</v>
      </c>
      <c r="D17">
        <v>233.37889999999999</v>
      </c>
      <c r="E17">
        <v>200.74350000000001</v>
      </c>
      <c r="F17" s="188">
        <v>1100302.2501999999</v>
      </c>
      <c r="G17" s="188">
        <v>1279181.4904</v>
      </c>
      <c r="H17" s="188">
        <v>178879.2402</v>
      </c>
      <c r="I17" s="192">
        <f t="shared" si="0"/>
        <v>0.16257282048408558</v>
      </c>
    </row>
    <row r="18" spans="1:10">
      <c r="A18" s="168" t="s">
        <v>254</v>
      </c>
      <c r="B18" s="210" t="s">
        <v>237</v>
      </c>
      <c r="C18">
        <v>634.64200000000005</v>
      </c>
      <c r="D18">
        <v>279.05919999999998</v>
      </c>
      <c r="E18">
        <v>259.97629999999998</v>
      </c>
      <c r="F18" s="188">
        <v>164991.853</v>
      </c>
      <c r="G18" s="188">
        <v>177102.6888</v>
      </c>
      <c r="H18" s="188">
        <v>12110.835800000001</v>
      </c>
      <c r="I18" s="192">
        <f t="shared" si="0"/>
        <v>7.340262915890762E-2</v>
      </c>
    </row>
    <row r="19" spans="1:10">
      <c r="A19" s="168" t="s">
        <v>255</v>
      </c>
      <c r="B19" s="210" t="s">
        <v>241</v>
      </c>
      <c r="C19" s="188">
        <v>18996.168000000001</v>
      </c>
      <c r="D19">
        <v>25.2544</v>
      </c>
      <c r="E19">
        <v>9.4700000000000006</v>
      </c>
      <c r="F19" s="188">
        <v>179893.71100000001</v>
      </c>
      <c r="G19" s="188">
        <v>479736.82510000002</v>
      </c>
      <c r="H19" s="188">
        <v>299843.11420000001</v>
      </c>
      <c r="I19" s="192">
        <f t="shared" si="0"/>
        <v>1.6667793028073115</v>
      </c>
    </row>
    <row r="20" spans="1:10">
      <c r="A20" s="168"/>
      <c r="B20" s="210"/>
      <c r="C20" s="188"/>
      <c r="D20"/>
      <c r="E20"/>
      <c r="F20" s="188"/>
      <c r="G20" s="188"/>
      <c r="H20" s="188"/>
      <c r="I20" s="192"/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454809.86950000003</v>
      </c>
      <c r="D22" s="75"/>
      <c r="E22" s="75"/>
      <c r="F22" s="75">
        <f t="shared" ref="F22:H22" si="1">SUM(F2:F21)</f>
        <v>9796950.7993999999</v>
      </c>
      <c r="G22" s="75">
        <f t="shared" si="1"/>
        <v>16412070.830000002</v>
      </c>
      <c r="H22" s="75">
        <f t="shared" si="1"/>
        <v>6615120.0307999998</v>
      </c>
      <c r="I22" s="53">
        <f t="shared" si="0"/>
        <v>0.67522233868982307</v>
      </c>
      <c r="J22" s="202"/>
    </row>
  </sheetData>
  <hyperlinks>
    <hyperlink ref="A2" r:id="rId1" location="/mf/1831632/41287/NULL" xr:uid="{A0A05943-B982-4948-9422-7E1FB45AF990}"/>
    <hyperlink ref="A3" r:id="rId2" location="/mf/1831632/15690/NULL" xr:uid="{89D9D719-8FAA-4110-B21B-7C156418D812}"/>
    <hyperlink ref="A4" r:id="rId3" location="/mf/1831632/22335/NULL" xr:uid="{AD278D52-A56E-4213-BC9E-40C814A34DAB}"/>
    <hyperlink ref="A5" r:id="rId4" location="/mf/1831632/38817/NULL" xr:uid="{4304D9CC-E691-42F5-A35E-DEAEC76CDD21}"/>
    <hyperlink ref="A6" r:id="rId5" location="/mf/1831632/40665/NULL" xr:uid="{A0A9BA8B-27DE-465C-8EB1-7875BE9A33BA}"/>
    <hyperlink ref="A7" r:id="rId6" location="/mf/1831632/16071/NULL" xr:uid="{B56049E4-D703-4BD7-AA5F-3EC2EE1E9F8F}"/>
    <hyperlink ref="A8" r:id="rId7" location="/mf/1831632/16617/NULL" xr:uid="{5293019C-96F5-4F4F-BE62-8EDA173C3687}"/>
    <hyperlink ref="A9" r:id="rId8" location="/mf/1831632/17134/NULL" xr:uid="{839E2D9C-7B9E-4C87-B6F5-4FF9199970FD}"/>
    <hyperlink ref="A10" r:id="rId9" location="/mf/1831632/38228/NULL" xr:uid="{19F232F2-8388-4628-88FB-0B93A905D8C6}"/>
    <hyperlink ref="A11" r:id="rId10" location="/mf/1831632/41574/NULL" xr:uid="{74306195-036C-46A7-BE10-CD9E72970B58}"/>
    <hyperlink ref="A12" r:id="rId11" location="/mf/1831632/41937/NULL" xr:uid="{97843CEB-73D2-41A7-B77A-FE4DCC6EB585}"/>
    <hyperlink ref="A13" r:id="rId12" location="/mf/1831632/42135/NULL" xr:uid="{0E447C49-1BFF-4B11-B890-461764530EED}"/>
    <hyperlink ref="A14" r:id="rId13" location="/mf/1831632/44110/NULL" xr:uid="{A3358CEA-4754-4B03-B179-C8753DC4154F}"/>
    <hyperlink ref="A15" r:id="rId14" location="/mf/1831632/19701/NULL" xr:uid="{ECE2F77D-C71C-4657-8460-CFA4B1F22EB6}"/>
    <hyperlink ref="A16" r:id="rId15" location="/mf/1831632/17348/NULL" xr:uid="{0948053B-C8BD-4CC8-B884-554F33553016}"/>
    <hyperlink ref="A17" r:id="rId16" location="/mf/1831632/17375/NULL" xr:uid="{E1D837BB-F11B-44B2-BA4E-F56082C2852C}"/>
    <hyperlink ref="A18" r:id="rId17" location="/mf/1831632/17366/NULL" xr:uid="{C6D373FE-AC90-47CC-B8A0-3777CB0B0832}"/>
    <hyperlink ref="A19" r:id="rId18" location="/mf/1831632/36491/NULL" xr:uid="{6CB2B681-9622-4641-8070-76080F7F363F}"/>
  </hyperlink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7D24-B19A-44BA-B278-4507466DC065}">
  <dimension ref="A1:J104"/>
  <sheetViews>
    <sheetView workbookViewId="0">
      <pane xSplit="1" ySplit="1" topLeftCell="B60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143</v>
      </c>
      <c r="B2" s="150">
        <v>100</v>
      </c>
      <c r="C2" s="150">
        <v>109.73</v>
      </c>
      <c r="D2" s="150">
        <v>104.5</v>
      </c>
      <c r="E2" s="150">
        <v>10972.5</v>
      </c>
      <c r="F2" s="150">
        <v>10450</v>
      </c>
      <c r="G2" s="150">
        <v>-522.5</v>
      </c>
      <c r="H2" s="191">
        <f>G2/E2</f>
        <v>-4.7619047619047616E-2</v>
      </c>
    </row>
    <row r="3" spans="1:10" ht="15.75">
      <c r="A3" s="149" t="s">
        <v>264</v>
      </c>
      <c r="B3" s="150">
        <v>13</v>
      </c>
      <c r="C3" s="150">
        <v>133.75</v>
      </c>
      <c r="D3" s="150">
        <v>1430</v>
      </c>
      <c r="E3" s="150">
        <v>1738.75</v>
      </c>
      <c r="F3" s="150">
        <v>18590</v>
      </c>
      <c r="G3" s="150">
        <v>16851.25</v>
      </c>
      <c r="H3" s="191">
        <f>G3/E3</f>
        <v>9.6915887850467293</v>
      </c>
    </row>
    <row r="4" spans="1:10" ht="15.75">
      <c r="A4" s="149" t="s">
        <v>144</v>
      </c>
      <c r="B4" s="150">
        <v>19</v>
      </c>
      <c r="C4" s="150">
        <v>489.54</v>
      </c>
      <c r="D4" s="150">
        <v>2449.3000000000002</v>
      </c>
      <c r="E4" s="150">
        <v>9301.2000000000007</v>
      </c>
      <c r="F4" s="150">
        <v>46536.7</v>
      </c>
      <c r="G4" s="150">
        <v>37235.5</v>
      </c>
      <c r="H4" s="191">
        <f>G4/E4</f>
        <v>4.0033006493785743</v>
      </c>
    </row>
    <row r="5" spans="1:10" ht="15.75">
      <c r="A5" s="149" t="s">
        <v>145</v>
      </c>
      <c r="B5" s="150">
        <v>250</v>
      </c>
      <c r="C5" s="150">
        <v>183.59</v>
      </c>
      <c r="D5" s="150">
        <v>467.6</v>
      </c>
      <c r="E5" s="150">
        <v>45897.5</v>
      </c>
      <c r="F5" s="150">
        <v>116900</v>
      </c>
      <c r="G5" s="150">
        <v>71002.5</v>
      </c>
      <c r="H5" s="191">
        <f>G5/E5</f>
        <v>1.5469796829892695</v>
      </c>
      <c r="J5" s="188"/>
    </row>
    <row r="6" spans="1:10" ht="15.75">
      <c r="A6" s="149" t="s">
        <v>146</v>
      </c>
      <c r="B6" s="150">
        <v>62</v>
      </c>
      <c r="C6" s="150">
        <v>708.24</v>
      </c>
      <c r="D6" s="150">
        <v>1061.4000000000001</v>
      </c>
      <c r="E6" s="150">
        <v>43910.6</v>
      </c>
      <c r="F6" s="150">
        <v>65806.8</v>
      </c>
      <c r="G6" s="150">
        <v>21896.2</v>
      </c>
      <c r="H6" s="191">
        <f>G6/E6</f>
        <v>0.49865408352425156</v>
      </c>
    </row>
    <row r="7" spans="1:10" ht="15.75">
      <c r="A7" s="149" t="s">
        <v>147</v>
      </c>
      <c r="B7" s="150">
        <v>19</v>
      </c>
      <c r="C7" s="150">
        <v>3076.33</v>
      </c>
      <c r="D7" s="150">
        <v>8967</v>
      </c>
      <c r="E7" s="150">
        <v>58450.25</v>
      </c>
      <c r="F7" s="150">
        <v>170373</v>
      </c>
      <c r="G7" s="150">
        <v>111922.75</v>
      </c>
      <c r="H7" s="191">
        <f>G7/E7</f>
        <v>1.9148378321735151</v>
      </c>
    </row>
    <row r="8" spans="1:10" ht="15.75">
      <c r="A8" s="149" t="s">
        <v>148</v>
      </c>
      <c r="B8" s="150">
        <v>80</v>
      </c>
      <c r="C8" s="150">
        <v>673.1</v>
      </c>
      <c r="D8" s="150">
        <v>889.35</v>
      </c>
      <c r="E8" s="150">
        <v>53848.35</v>
      </c>
      <c r="F8" s="150">
        <v>71148</v>
      </c>
      <c r="G8" s="150">
        <v>17299.650000000001</v>
      </c>
      <c r="H8" s="191">
        <f>G8/E8</f>
        <v>0.3212661112178925</v>
      </c>
    </row>
    <row r="9" spans="1:10" ht="15.75">
      <c r="A9" s="149" t="s">
        <v>149</v>
      </c>
      <c r="B9" s="150">
        <v>15</v>
      </c>
      <c r="C9" s="150">
        <v>2427.4699999999998</v>
      </c>
      <c r="D9" s="150">
        <v>2332.5</v>
      </c>
      <c r="E9" s="150">
        <v>36412</v>
      </c>
      <c r="F9" s="150">
        <v>34987.5</v>
      </c>
      <c r="G9" s="150">
        <v>-1424.5</v>
      </c>
      <c r="H9" s="191">
        <f>G9/E9</f>
        <v>-3.9121718114907174E-2</v>
      </c>
      <c r="J9" s="188"/>
    </row>
    <row r="10" spans="1:10" ht="15.75">
      <c r="A10" s="149" t="s">
        <v>150</v>
      </c>
      <c r="B10" s="150">
        <v>184</v>
      </c>
      <c r="C10" s="150">
        <v>188.19</v>
      </c>
      <c r="D10" s="150">
        <v>234.42</v>
      </c>
      <c r="E10" s="150">
        <v>34627.15</v>
      </c>
      <c r="F10" s="150">
        <v>43133.279999999999</v>
      </c>
      <c r="G10" s="150">
        <v>8506.1299999999992</v>
      </c>
      <c r="H10" s="191">
        <f>G10/E10</f>
        <v>0.2456491510274452</v>
      </c>
    </row>
    <row r="11" spans="1:10" ht="15.75">
      <c r="A11" s="149" t="s">
        <v>151</v>
      </c>
      <c r="B11" s="150">
        <v>8500</v>
      </c>
      <c r="C11" s="150">
        <v>50.47</v>
      </c>
      <c r="D11" s="150">
        <v>55.37</v>
      </c>
      <c r="E11" s="150">
        <v>429035.72</v>
      </c>
      <c r="F11" s="150">
        <v>470645</v>
      </c>
      <c r="G11" s="150">
        <v>41609.279999999999</v>
      </c>
      <c r="H11" s="191">
        <f>G11/E11</f>
        <v>9.6983253515581416E-2</v>
      </c>
      <c r="J11" s="188"/>
    </row>
    <row r="12" spans="1:10" ht="15.75">
      <c r="A12" s="149" t="s">
        <v>152</v>
      </c>
      <c r="B12" s="150">
        <v>180</v>
      </c>
      <c r="C12" s="150">
        <v>322.89</v>
      </c>
      <c r="D12" s="150">
        <v>1900.15</v>
      </c>
      <c r="E12" s="150">
        <v>58120</v>
      </c>
      <c r="F12" s="150">
        <v>342027</v>
      </c>
      <c r="G12" s="150">
        <v>283907</v>
      </c>
      <c r="H12" s="191">
        <f>G12/E12</f>
        <v>4.8848417068134893</v>
      </c>
      <c r="J12" s="188"/>
    </row>
    <row r="13" spans="1:10" ht="15.75">
      <c r="A13" s="149" t="s">
        <v>153</v>
      </c>
      <c r="B13" s="150">
        <v>40</v>
      </c>
      <c r="C13" s="150">
        <v>446.04</v>
      </c>
      <c r="D13" s="150">
        <v>927.25</v>
      </c>
      <c r="E13" s="150">
        <v>17841.599999999999</v>
      </c>
      <c r="F13" s="150">
        <v>37090</v>
      </c>
      <c r="G13" s="150">
        <v>19248.400000000001</v>
      </c>
      <c r="H13" s="191">
        <f>G13/E13</f>
        <v>1.0788494305443459</v>
      </c>
      <c r="J13" s="188"/>
    </row>
    <row r="14" spans="1:10" ht="15.75">
      <c r="A14" s="149" t="s">
        <v>154</v>
      </c>
      <c r="B14" s="150">
        <v>14</v>
      </c>
      <c r="C14" s="150">
        <v>3489.94</v>
      </c>
      <c r="D14" s="150">
        <v>5845.1</v>
      </c>
      <c r="E14" s="150">
        <v>48859.1</v>
      </c>
      <c r="F14" s="150">
        <v>81831.399999999994</v>
      </c>
      <c r="G14" s="150">
        <v>32972.300000000003</v>
      </c>
      <c r="H14" s="191">
        <f>G14/E14</f>
        <v>0.67484460417813685</v>
      </c>
    </row>
    <row r="15" spans="1:10" ht="15.75">
      <c r="A15" s="149" t="s">
        <v>155</v>
      </c>
      <c r="B15" s="150">
        <v>180</v>
      </c>
      <c r="C15" s="150">
        <v>155.25</v>
      </c>
      <c r="D15" s="150">
        <v>199.33</v>
      </c>
      <c r="E15" s="150">
        <v>27945</v>
      </c>
      <c r="F15" s="150">
        <v>35879.4</v>
      </c>
      <c r="G15" s="150">
        <v>7934.4</v>
      </c>
      <c r="H15" s="191">
        <v>0</v>
      </c>
      <c r="J15" s="188"/>
    </row>
    <row r="16" spans="1:10" ht="15.75">
      <c r="A16" s="149" t="s">
        <v>156</v>
      </c>
      <c r="B16" s="150">
        <v>88</v>
      </c>
      <c r="C16" s="150">
        <v>373.58</v>
      </c>
      <c r="D16" s="150">
        <v>387.15</v>
      </c>
      <c r="E16" s="150">
        <v>32874.85</v>
      </c>
      <c r="F16" s="150">
        <v>34069.199999999997</v>
      </c>
      <c r="G16" s="150">
        <v>1194.3499999999999</v>
      </c>
      <c r="H16" s="191">
        <f>G16/E16</f>
        <v>3.6330203788002072E-2</v>
      </c>
      <c r="J16" s="188"/>
    </row>
    <row r="17" spans="1:10" ht="15.75">
      <c r="A17" s="149" t="s">
        <v>157</v>
      </c>
      <c r="B17" s="150">
        <v>45</v>
      </c>
      <c r="C17" s="150">
        <v>990.66</v>
      </c>
      <c r="D17" s="150">
        <v>1587.6</v>
      </c>
      <c r="E17" s="150">
        <v>44579.85</v>
      </c>
      <c r="F17" s="150">
        <v>71442</v>
      </c>
      <c r="G17" s="150">
        <v>26862.15</v>
      </c>
      <c r="H17" s="191">
        <f>G17/E17</f>
        <v>0.60256259274089086</v>
      </c>
      <c r="J17" s="188"/>
    </row>
    <row r="18" spans="1:10" ht="15.75">
      <c r="A18" s="149" t="s">
        <v>158</v>
      </c>
      <c r="B18" s="150">
        <v>470</v>
      </c>
      <c r="C18" s="150">
        <v>194.39</v>
      </c>
      <c r="D18" s="150">
        <v>377.9</v>
      </c>
      <c r="E18" s="150">
        <v>91363.5</v>
      </c>
      <c r="F18" s="150">
        <v>177613</v>
      </c>
      <c r="G18" s="150">
        <v>86249.5</v>
      </c>
      <c r="H18" s="191">
        <f>G18/E18</f>
        <v>0.94402578710316487</v>
      </c>
    </row>
    <row r="19" spans="1:10" ht="15.75">
      <c r="A19" s="149" t="s">
        <v>159</v>
      </c>
      <c r="B19" s="150">
        <v>65</v>
      </c>
      <c r="C19" s="150">
        <v>909.05</v>
      </c>
      <c r="D19" s="150">
        <v>1764.6</v>
      </c>
      <c r="E19" s="150">
        <v>59088.4</v>
      </c>
      <c r="F19" s="150">
        <v>114699</v>
      </c>
      <c r="G19" s="150">
        <v>55610.6</v>
      </c>
      <c r="H19" s="191">
        <f>G19/E19</f>
        <v>0.9411424238936914</v>
      </c>
    </row>
    <row r="20" spans="1:10" ht="15.75">
      <c r="A20" s="149" t="s">
        <v>160</v>
      </c>
      <c r="B20" s="150">
        <v>21</v>
      </c>
      <c r="C20" s="150">
        <v>1503.03</v>
      </c>
      <c r="D20" s="150">
        <v>2360.4</v>
      </c>
      <c r="E20" s="150">
        <v>31563.7</v>
      </c>
      <c r="F20" s="150">
        <v>49568.4</v>
      </c>
      <c r="G20" s="150">
        <v>18004.7</v>
      </c>
      <c r="H20" s="191">
        <f>G20/E20</f>
        <v>0.57042425317690892</v>
      </c>
    </row>
    <row r="21" spans="1:10" ht="15.75">
      <c r="A21" s="149" t="s">
        <v>161</v>
      </c>
      <c r="B21" s="150">
        <v>66</v>
      </c>
      <c r="C21" s="150">
        <v>557.49</v>
      </c>
      <c r="D21" s="150">
        <v>748.5</v>
      </c>
      <c r="E21" s="150">
        <v>36794.1</v>
      </c>
      <c r="F21" s="150">
        <v>49401</v>
      </c>
      <c r="G21" s="150">
        <v>12606.9</v>
      </c>
      <c r="H21" s="191">
        <f>G21/E21</f>
        <v>0.34263373747421461</v>
      </c>
      <c r="J21" s="188"/>
    </row>
    <row r="22" spans="1:10" ht="15.75">
      <c r="A22" s="149" t="s">
        <v>162</v>
      </c>
      <c r="B22" s="150">
        <v>12</v>
      </c>
      <c r="C22" s="150">
        <v>3474.64</v>
      </c>
      <c r="D22" s="150">
        <v>4734.8999999999996</v>
      </c>
      <c r="E22" s="150">
        <v>41695.699999999997</v>
      </c>
      <c r="F22" s="150">
        <v>56818.8</v>
      </c>
      <c r="G22" s="150">
        <v>15123.1</v>
      </c>
      <c r="H22" s="191">
        <f>G22/E22</f>
        <v>0.36270166947670868</v>
      </c>
    </row>
    <row r="23" spans="1:10" ht="15.75">
      <c r="A23" s="149" t="s">
        <v>163</v>
      </c>
      <c r="B23" s="150">
        <v>60</v>
      </c>
      <c r="C23" s="150">
        <v>992.6</v>
      </c>
      <c r="D23" s="150">
        <v>1280.3</v>
      </c>
      <c r="E23" s="150">
        <v>59555.95</v>
      </c>
      <c r="F23" s="150">
        <v>76818</v>
      </c>
      <c r="G23" s="150">
        <v>17262.05</v>
      </c>
      <c r="H23" s="191">
        <f>G23/E23</f>
        <v>0.2898459347890513</v>
      </c>
      <c r="J23" s="188"/>
    </row>
    <row r="24" spans="1:10" ht="15.75">
      <c r="A24" s="149" t="s">
        <v>164</v>
      </c>
      <c r="B24" s="150">
        <v>7</v>
      </c>
      <c r="C24" s="150">
        <v>3506.83</v>
      </c>
      <c r="D24" s="150">
        <v>6280</v>
      </c>
      <c r="E24" s="150">
        <v>24547.8</v>
      </c>
      <c r="F24" s="150">
        <v>43960</v>
      </c>
      <c r="G24" s="150">
        <v>19412.2</v>
      </c>
      <c r="H24" s="191">
        <f>G24/E24</f>
        <v>0.79079184285353477</v>
      </c>
      <c r="J24" s="188"/>
    </row>
    <row r="25" spans="1:10" ht="15.75">
      <c r="A25" s="149" t="s">
        <v>165</v>
      </c>
      <c r="B25" s="150">
        <v>92</v>
      </c>
      <c r="C25" s="150">
        <v>359.33</v>
      </c>
      <c r="D25" s="150">
        <v>385.72</v>
      </c>
      <c r="E25" s="150">
        <v>33058.28</v>
      </c>
      <c r="F25" s="150">
        <v>35486.239999999998</v>
      </c>
      <c r="G25" s="150">
        <v>2427.96</v>
      </c>
      <c r="H25" s="191">
        <f>G25/E25</f>
        <v>7.3444837420458667E-2</v>
      </c>
    </row>
    <row r="26" spans="1:10" ht="15.75">
      <c r="A26" s="149" t="s">
        <v>166</v>
      </c>
      <c r="B26" s="150">
        <v>24</v>
      </c>
      <c r="C26" s="150">
        <v>2007.86</v>
      </c>
      <c r="D26" s="150">
        <v>2939.9</v>
      </c>
      <c r="E26" s="150">
        <v>48188.7</v>
      </c>
      <c r="F26" s="150">
        <v>70557.600000000006</v>
      </c>
      <c r="G26" s="150">
        <v>22368.9</v>
      </c>
      <c r="H26" s="191">
        <f>G26/E26</f>
        <v>0.46419388777867016</v>
      </c>
    </row>
    <row r="27" spans="1:10" ht="15.75">
      <c r="A27" s="149" t="s">
        <v>167</v>
      </c>
      <c r="B27" s="150">
        <v>35</v>
      </c>
      <c r="C27" s="150">
        <v>234.44</v>
      </c>
      <c r="D27" s="150">
        <v>3493.25</v>
      </c>
      <c r="E27" s="150">
        <v>8205.5300000000007</v>
      </c>
      <c r="F27" s="150">
        <v>122263.75</v>
      </c>
      <c r="G27" s="150">
        <v>114058.22</v>
      </c>
      <c r="H27" s="191">
        <f>G27/E27</f>
        <v>13.900164888800601</v>
      </c>
      <c r="J27" s="188"/>
    </row>
    <row r="28" spans="1:10" ht="15.75">
      <c r="A28" s="149" t="s">
        <v>168</v>
      </c>
      <c r="B28" s="150">
        <v>42</v>
      </c>
      <c r="C28" s="150">
        <v>664.74</v>
      </c>
      <c r="D28" s="150">
        <v>1772.2</v>
      </c>
      <c r="E28" s="150">
        <v>27918.9</v>
      </c>
      <c r="F28" s="150">
        <v>74432.399999999994</v>
      </c>
      <c r="G28" s="150">
        <v>46513.5</v>
      </c>
      <c r="H28" s="191">
        <f>G28/E28</f>
        <v>1.6660219421252269</v>
      </c>
      <c r="J28" s="188"/>
    </row>
    <row r="29" spans="1:10" ht="15.75">
      <c r="A29" s="149" t="s">
        <v>169</v>
      </c>
      <c r="B29" s="150">
        <v>230</v>
      </c>
      <c r="C29" s="150">
        <v>189.67</v>
      </c>
      <c r="D29" s="150">
        <v>412.25</v>
      </c>
      <c r="E29" s="150">
        <v>43625.2</v>
      </c>
      <c r="F29" s="150">
        <v>94817.5</v>
      </c>
      <c r="G29" s="150">
        <v>51192.3</v>
      </c>
      <c r="H29" s="191">
        <f>G29/E29</f>
        <v>1.1734570844374355</v>
      </c>
      <c r="J29" s="188"/>
    </row>
    <row r="30" spans="1:10" ht="15.75">
      <c r="A30" s="149" t="s">
        <v>170</v>
      </c>
      <c r="B30" s="150">
        <v>351</v>
      </c>
      <c r="C30" s="150">
        <v>91.3</v>
      </c>
      <c r="D30" s="150">
        <v>193.58</v>
      </c>
      <c r="E30" s="150">
        <v>32046.16</v>
      </c>
      <c r="F30" s="150">
        <v>67946.58</v>
      </c>
      <c r="G30" s="150">
        <v>35900.42</v>
      </c>
      <c r="H30" s="191">
        <f>G30/E30</f>
        <v>1.1202721324489424</v>
      </c>
    </row>
    <row r="31" spans="1:10" ht="15.75">
      <c r="A31" s="149" t="s">
        <v>172</v>
      </c>
      <c r="B31" s="150">
        <v>20</v>
      </c>
      <c r="C31" s="150">
        <v>1600.68</v>
      </c>
      <c r="D31" s="150">
        <v>1952.2</v>
      </c>
      <c r="E31" s="150">
        <v>32013.55</v>
      </c>
      <c r="F31" s="150">
        <v>39044</v>
      </c>
      <c r="G31" s="150">
        <v>7030.45</v>
      </c>
      <c r="H31" s="191">
        <f>G31/E31</f>
        <v>0.21960857199529574</v>
      </c>
      <c r="J31" s="188"/>
    </row>
    <row r="32" spans="1:10" ht="15.75">
      <c r="A32" s="149" t="s">
        <v>173</v>
      </c>
      <c r="B32" s="150">
        <v>1200</v>
      </c>
      <c r="C32" s="150">
        <v>81.55</v>
      </c>
      <c r="D32" s="150">
        <v>86.61</v>
      </c>
      <c r="E32" s="150">
        <v>97860.76</v>
      </c>
      <c r="F32" s="150">
        <v>103932</v>
      </c>
      <c r="G32" s="150">
        <v>6071.24</v>
      </c>
      <c r="H32" s="191">
        <f>G32/E32</f>
        <v>6.2039575413066483E-2</v>
      </c>
      <c r="J32" s="188"/>
    </row>
    <row r="33" spans="1:10" ht="15.75">
      <c r="A33" s="149" t="s">
        <v>174</v>
      </c>
      <c r="B33" s="150">
        <v>74</v>
      </c>
      <c r="C33" s="150">
        <v>1149.02</v>
      </c>
      <c r="D33" s="150">
        <v>1468.8</v>
      </c>
      <c r="E33" s="150">
        <v>85027.5</v>
      </c>
      <c r="F33" s="150">
        <v>108691.2</v>
      </c>
      <c r="G33" s="150">
        <v>23663.7</v>
      </c>
      <c r="H33" s="191">
        <f>G33/E33</f>
        <v>0.27830643027255891</v>
      </c>
    </row>
    <row r="34" spans="1:10" ht="15.75">
      <c r="A34" s="149" t="s">
        <v>175</v>
      </c>
      <c r="B34" s="150">
        <v>94</v>
      </c>
      <c r="C34" s="150">
        <v>825.12</v>
      </c>
      <c r="D34" s="150">
        <v>950.6</v>
      </c>
      <c r="E34" s="150">
        <v>77561.5</v>
      </c>
      <c r="F34" s="150">
        <v>89356.4</v>
      </c>
      <c r="G34" s="150">
        <v>11794.9</v>
      </c>
      <c r="H34" s="191">
        <f>G34/E34</f>
        <v>0.15207158190597139</v>
      </c>
    </row>
    <row r="35" spans="1:10" ht="15.75">
      <c r="A35" s="149" t="s">
        <v>176</v>
      </c>
      <c r="B35" s="150">
        <v>136</v>
      </c>
      <c r="C35" s="150">
        <v>596.66999999999996</v>
      </c>
      <c r="D35" s="150">
        <v>781.8</v>
      </c>
      <c r="E35" s="150">
        <v>81147.75</v>
      </c>
      <c r="F35" s="150">
        <v>106324.8</v>
      </c>
      <c r="G35" s="150">
        <v>25177.05</v>
      </c>
      <c r="H35" s="191">
        <f>G35/E35</f>
        <v>0.31026183720435868</v>
      </c>
    </row>
    <row r="36" spans="1:10" ht="15.75">
      <c r="A36" s="149" t="s">
        <v>177</v>
      </c>
      <c r="B36" s="150">
        <v>10</v>
      </c>
      <c r="C36" s="150">
        <v>3016.79</v>
      </c>
      <c r="D36" s="150">
        <v>5244</v>
      </c>
      <c r="E36" s="150">
        <v>30167.85</v>
      </c>
      <c r="F36" s="150">
        <v>52440</v>
      </c>
      <c r="G36" s="150">
        <v>22272.15</v>
      </c>
      <c r="H36" s="191">
        <f>G36/E36</f>
        <v>0.7382743549838654</v>
      </c>
      <c r="J36" s="188"/>
    </row>
    <row r="37" spans="1:10" ht="15.75">
      <c r="A37" s="149" t="s">
        <v>178</v>
      </c>
      <c r="B37" s="150">
        <v>59</v>
      </c>
      <c r="C37" s="150">
        <v>656.47</v>
      </c>
      <c r="D37" s="150">
        <v>1410.7</v>
      </c>
      <c r="E37" s="150">
        <v>38731.699999999997</v>
      </c>
      <c r="F37" s="150">
        <v>83231.3</v>
      </c>
      <c r="G37" s="150">
        <v>44499.6</v>
      </c>
      <c r="H37" s="191">
        <f>G37/E37</f>
        <v>1.1489193606270833</v>
      </c>
    </row>
    <row r="38" spans="1:10" ht="15.75">
      <c r="A38" s="149" t="s">
        <v>179</v>
      </c>
      <c r="B38" s="150">
        <v>54</v>
      </c>
      <c r="C38" s="150">
        <v>1308.5899999999999</v>
      </c>
      <c r="D38" s="150">
        <v>1840.4</v>
      </c>
      <c r="E38" s="150">
        <v>70664.100000000006</v>
      </c>
      <c r="F38" s="150">
        <v>99381.6</v>
      </c>
      <c r="G38" s="150">
        <v>28717.5</v>
      </c>
      <c r="H38" s="191">
        <f>G38/E38</f>
        <v>0.40639447753526892</v>
      </c>
      <c r="J38" s="188"/>
    </row>
    <row r="39" spans="1:10" ht="15.75">
      <c r="A39" s="149" t="s">
        <v>180</v>
      </c>
      <c r="B39" s="150">
        <v>118</v>
      </c>
      <c r="C39" s="150">
        <v>492.05</v>
      </c>
      <c r="D39" s="150">
        <v>608.79999999999995</v>
      </c>
      <c r="E39" s="150">
        <v>58062.35</v>
      </c>
      <c r="F39" s="150">
        <v>71838.399999999994</v>
      </c>
      <c r="G39" s="150">
        <v>13776.05</v>
      </c>
      <c r="H39" s="191">
        <f>G39/E39</f>
        <v>0.23726304567417611</v>
      </c>
      <c r="J39" s="188"/>
    </row>
    <row r="40" spans="1:10" ht="15.75">
      <c r="A40" s="149" t="s">
        <v>181</v>
      </c>
      <c r="B40" s="150">
        <v>65</v>
      </c>
      <c r="C40" s="150">
        <v>1576.72</v>
      </c>
      <c r="D40" s="150">
        <v>1499.4</v>
      </c>
      <c r="E40" s="150">
        <v>102486.6</v>
      </c>
      <c r="F40" s="150">
        <v>97461</v>
      </c>
      <c r="G40" s="150">
        <v>-5025.6000000000004</v>
      </c>
      <c r="H40" s="191">
        <f>G40/E40</f>
        <v>-4.9036654548009206E-2</v>
      </c>
    </row>
    <row r="41" spans="1:10" ht="15.75">
      <c r="A41" s="149" t="s">
        <v>182</v>
      </c>
      <c r="B41" s="150">
        <v>788</v>
      </c>
      <c r="C41" s="150">
        <v>206.55</v>
      </c>
      <c r="D41" s="150">
        <v>405.7</v>
      </c>
      <c r="E41" s="150">
        <v>162761.06</v>
      </c>
      <c r="F41" s="150">
        <v>319691.59999999998</v>
      </c>
      <c r="G41" s="150">
        <v>156930.54</v>
      </c>
      <c r="H41" s="191">
        <f>G41/E41</f>
        <v>0.96417742671373619</v>
      </c>
      <c r="J41" s="188"/>
    </row>
    <row r="42" spans="1:10" ht="15.75">
      <c r="A42" s="149" t="s">
        <v>183</v>
      </c>
      <c r="B42" s="150">
        <v>45</v>
      </c>
      <c r="C42" s="150">
        <v>1006.05</v>
      </c>
      <c r="D42" s="150">
        <v>1716</v>
      </c>
      <c r="E42" s="150">
        <v>45272.45</v>
      </c>
      <c r="F42" s="150">
        <v>77220</v>
      </c>
      <c r="G42" s="150">
        <v>31947.55</v>
      </c>
      <c r="H42" s="191">
        <f>G42/E42</f>
        <v>0.70567309699386715</v>
      </c>
      <c r="J42" s="188"/>
    </row>
    <row r="43" spans="1:10" ht="15.75">
      <c r="A43" s="149" t="s">
        <v>184</v>
      </c>
      <c r="B43" s="150">
        <v>304</v>
      </c>
      <c r="C43" s="150">
        <v>108.8</v>
      </c>
      <c r="D43" s="150">
        <v>209.1</v>
      </c>
      <c r="E43" s="150">
        <v>33076.239999999998</v>
      </c>
      <c r="F43" s="150">
        <v>63566.400000000001</v>
      </c>
      <c r="G43" s="150">
        <v>30490.16</v>
      </c>
      <c r="H43" s="191">
        <f>G43/E43</f>
        <v>0.92181457142649836</v>
      </c>
      <c r="J43" s="188"/>
    </row>
    <row r="44" spans="1:10" ht="15.75">
      <c r="A44" s="149" t="s">
        <v>185</v>
      </c>
      <c r="B44" s="150">
        <v>57</v>
      </c>
      <c r="C44" s="150">
        <v>1778.4</v>
      </c>
      <c r="D44" s="150">
        <v>1967.65</v>
      </c>
      <c r="E44" s="150">
        <v>101368.55</v>
      </c>
      <c r="F44" s="150">
        <v>112156.05</v>
      </c>
      <c r="G44" s="150">
        <v>10787.5</v>
      </c>
      <c r="H44" s="191">
        <f>G44/E44</f>
        <v>0.10641860813832298</v>
      </c>
      <c r="J44" s="188"/>
    </row>
    <row r="45" spans="1:10" ht="15.75">
      <c r="A45" s="149" t="s">
        <v>186</v>
      </c>
      <c r="B45" s="150">
        <v>80</v>
      </c>
      <c r="C45" s="150">
        <v>814.86</v>
      </c>
      <c r="D45" s="150">
        <v>1225.5</v>
      </c>
      <c r="E45" s="150">
        <v>65188.75</v>
      </c>
      <c r="F45" s="150">
        <v>98040</v>
      </c>
      <c r="G45" s="150">
        <v>32851.25</v>
      </c>
      <c r="H45" s="191">
        <f>G45/E45</f>
        <v>0.50394048052769846</v>
      </c>
      <c r="J45" s="188"/>
    </row>
    <row r="46" spans="1:10" ht="15.75">
      <c r="A46" s="149" t="s">
        <v>187</v>
      </c>
      <c r="B46" s="150">
        <v>20</v>
      </c>
      <c r="C46" s="150">
        <v>2295.38</v>
      </c>
      <c r="D46" s="150">
        <v>3279.95</v>
      </c>
      <c r="E46" s="150">
        <v>45907.6</v>
      </c>
      <c r="F46" s="150">
        <v>65599</v>
      </c>
      <c r="G46" s="150">
        <v>19691.400000000001</v>
      </c>
      <c r="H46" s="191">
        <f>G46/E46</f>
        <v>0.42893551394540341</v>
      </c>
    </row>
    <row r="47" spans="1:10" ht="15.75">
      <c r="A47" s="149" t="s">
        <v>188</v>
      </c>
      <c r="B47" s="150">
        <v>62</v>
      </c>
      <c r="C47" s="150">
        <v>1053.22</v>
      </c>
      <c r="D47" s="150">
        <v>3598.4</v>
      </c>
      <c r="E47" s="150">
        <v>65299.35</v>
      </c>
      <c r="F47" s="150">
        <v>223100.79999999999</v>
      </c>
      <c r="G47" s="150">
        <v>157801.45000000001</v>
      </c>
      <c r="H47" s="191">
        <f>G47/E47</f>
        <v>2.4165853105735358</v>
      </c>
    </row>
    <row r="48" spans="1:10" ht="15.75">
      <c r="A48" s="149" t="s">
        <v>189</v>
      </c>
      <c r="B48" s="150">
        <v>10</v>
      </c>
      <c r="C48" s="150">
        <v>1189.6300000000001</v>
      </c>
      <c r="D48" s="150">
        <v>3315.4</v>
      </c>
      <c r="E48" s="150">
        <v>11896.3</v>
      </c>
      <c r="F48" s="150">
        <v>33154</v>
      </c>
      <c r="G48" s="150">
        <v>21257.7</v>
      </c>
      <c r="H48" s="191">
        <f>G48/E48</f>
        <v>1.7869169405613512</v>
      </c>
      <c r="J48" s="188"/>
    </row>
    <row r="49" spans="1:10" ht="15.75">
      <c r="A49" s="149" t="s">
        <v>190</v>
      </c>
      <c r="B49" s="150">
        <v>28</v>
      </c>
      <c r="C49" s="150">
        <v>2226.31</v>
      </c>
      <c r="D49" s="150">
        <v>2517.75</v>
      </c>
      <c r="E49" s="150">
        <v>62336.7</v>
      </c>
      <c r="F49" s="150">
        <v>70497</v>
      </c>
      <c r="G49" s="150">
        <v>8160.3</v>
      </c>
      <c r="H49" s="191">
        <f>G49/E49</f>
        <v>0.13090683337424022</v>
      </c>
    </row>
    <row r="50" spans="1:10" ht="15.75">
      <c r="A50" s="149" t="s">
        <v>191</v>
      </c>
      <c r="B50" s="150">
        <v>73</v>
      </c>
      <c r="C50" s="150">
        <v>523.91</v>
      </c>
      <c r="D50" s="150">
        <v>730.6</v>
      </c>
      <c r="E50" s="150">
        <v>38245.25</v>
      </c>
      <c r="F50" s="150">
        <v>53333.8</v>
      </c>
      <c r="G50" s="150">
        <v>15088.55</v>
      </c>
      <c r="H50" s="191">
        <f>G50/E50</f>
        <v>0.39452088821487635</v>
      </c>
      <c r="J50" s="188"/>
    </row>
    <row r="51" spans="1:10" ht="15.75">
      <c r="A51" s="149" t="s">
        <v>192</v>
      </c>
      <c r="B51" s="150">
        <v>73</v>
      </c>
      <c r="C51" s="150">
        <v>735.56</v>
      </c>
      <c r="D51" s="150">
        <v>1629.2</v>
      </c>
      <c r="E51" s="150">
        <v>53696.15</v>
      </c>
      <c r="F51" s="150">
        <v>118931.6</v>
      </c>
      <c r="G51" s="150">
        <v>65235.45</v>
      </c>
      <c r="H51" s="191">
        <f>G51/E51</f>
        <v>1.2148999509275804</v>
      </c>
    </row>
    <row r="52" spans="1:10" ht="15.75">
      <c r="A52" s="149" t="s">
        <v>265</v>
      </c>
      <c r="B52" s="150">
        <v>75</v>
      </c>
      <c r="C52" s="150">
        <v>337.52</v>
      </c>
      <c r="D52" s="150">
        <v>431.63</v>
      </c>
      <c r="E52" s="150">
        <v>25314.17</v>
      </c>
      <c r="F52" s="150">
        <v>32372.25</v>
      </c>
      <c r="G52" s="150">
        <v>7058.08</v>
      </c>
      <c r="H52" s="191">
        <f>G52/E52</f>
        <v>0.27881933320349828</v>
      </c>
      <c r="J52" s="188"/>
    </row>
    <row r="53" spans="1:10" ht="15.75">
      <c r="A53" s="149" t="s">
        <v>194</v>
      </c>
      <c r="B53" s="150">
        <v>285</v>
      </c>
      <c r="C53" s="150">
        <v>51.08</v>
      </c>
      <c r="D53" s="150">
        <v>96.75</v>
      </c>
      <c r="E53" s="150">
        <v>14558.98</v>
      </c>
      <c r="F53" s="150">
        <v>27573.75</v>
      </c>
      <c r="G53" s="150">
        <v>13014.77</v>
      </c>
      <c r="H53" s="191">
        <f>G53/E53</f>
        <v>0.89393419044466038</v>
      </c>
      <c r="J53" s="188"/>
    </row>
    <row r="54" spans="1:10" ht="15.75">
      <c r="A54" s="149" t="s">
        <v>195</v>
      </c>
      <c r="B54" s="150">
        <v>33</v>
      </c>
      <c r="C54" s="150">
        <v>2284.62</v>
      </c>
      <c r="D54" s="150">
        <v>2921.5</v>
      </c>
      <c r="E54" s="150">
        <v>75392.600000000006</v>
      </c>
      <c r="F54" s="150">
        <v>96409.5</v>
      </c>
      <c r="G54" s="150">
        <v>21016.9</v>
      </c>
      <c r="H54" s="191">
        <f>G54/E54</f>
        <v>0.2787660857962187</v>
      </c>
      <c r="J54" s="188"/>
    </row>
    <row r="55" spans="1:10" ht="15.75">
      <c r="A55" s="149" t="s">
        <v>196</v>
      </c>
      <c r="B55" s="150">
        <v>18</v>
      </c>
      <c r="C55" s="150">
        <v>1081.33</v>
      </c>
      <c r="D55" s="150">
        <v>1174.4000000000001</v>
      </c>
      <c r="E55" s="150">
        <v>19463.849999999999</v>
      </c>
      <c r="F55" s="150">
        <v>21139.200000000001</v>
      </c>
      <c r="G55" s="150">
        <v>1675.35</v>
      </c>
      <c r="H55" s="191">
        <f>G55/E55</f>
        <v>8.6074954338427392E-2</v>
      </c>
      <c r="J55" s="188"/>
    </row>
    <row r="56" spans="1:10" ht="15.75">
      <c r="A56" s="149" t="s">
        <v>266</v>
      </c>
      <c r="B56" s="150">
        <v>207</v>
      </c>
      <c r="C56" s="150">
        <v>127.65</v>
      </c>
      <c r="D56" s="150">
        <v>146.78</v>
      </c>
      <c r="E56" s="150">
        <v>26423.5</v>
      </c>
      <c r="F56" s="150">
        <v>30383.46</v>
      </c>
      <c r="G56" s="150">
        <v>3959.96</v>
      </c>
      <c r="H56" s="191">
        <f>G56/E56</f>
        <v>0.14986508221847977</v>
      </c>
      <c r="J56" s="188"/>
    </row>
    <row r="57" spans="1:10" ht="15.75">
      <c r="A57" s="149" t="s">
        <v>198</v>
      </c>
      <c r="B57" s="150">
        <v>80</v>
      </c>
      <c r="C57" s="150">
        <v>621.89</v>
      </c>
      <c r="D57" s="150">
        <v>1638.2</v>
      </c>
      <c r="E57" s="150">
        <v>49751.05</v>
      </c>
      <c r="F57" s="150">
        <v>131056</v>
      </c>
      <c r="G57" s="150">
        <v>81304.95</v>
      </c>
      <c r="H57" s="191">
        <f>G57/E57</f>
        <v>1.634235860348676</v>
      </c>
      <c r="J57" s="188"/>
    </row>
    <row r="58" spans="1:10" ht="15.75">
      <c r="A58" s="149" t="s">
        <v>199</v>
      </c>
      <c r="B58" s="150">
        <v>10</v>
      </c>
      <c r="C58" s="150">
        <v>4342.57</v>
      </c>
      <c r="D58" s="150">
        <v>8472.5</v>
      </c>
      <c r="E58" s="150">
        <v>43425.7</v>
      </c>
      <c r="F58" s="150">
        <v>84725</v>
      </c>
      <c r="G58" s="150">
        <v>41299.300000000003</v>
      </c>
      <c r="H58" s="191">
        <f>G58/E58</f>
        <v>0.9510336045245098</v>
      </c>
      <c r="J58" s="188"/>
    </row>
    <row r="59" spans="1:10" ht="15.75">
      <c r="A59" s="149" t="s">
        <v>200</v>
      </c>
      <c r="B59" s="150">
        <v>300</v>
      </c>
      <c r="C59" s="150">
        <v>82.33</v>
      </c>
      <c r="D59" s="150">
        <v>238.7</v>
      </c>
      <c r="E59" s="150">
        <v>24700</v>
      </c>
      <c r="F59" s="150">
        <v>71610</v>
      </c>
      <c r="G59" s="150">
        <v>46910</v>
      </c>
      <c r="H59" s="191">
        <f>G59/E59</f>
        <v>1.8991902834008096</v>
      </c>
    </row>
    <row r="60" spans="1:10" ht="15.75">
      <c r="A60" s="149" t="s">
        <v>201</v>
      </c>
      <c r="B60" s="150">
        <v>16</v>
      </c>
      <c r="C60" s="150">
        <v>2003.97</v>
      </c>
      <c r="D60" s="150">
        <v>5410</v>
      </c>
      <c r="E60" s="150">
        <v>32063.45</v>
      </c>
      <c r="F60" s="150">
        <v>86560</v>
      </c>
      <c r="G60" s="150">
        <v>54496.55</v>
      </c>
      <c r="H60" s="191">
        <f>G60/E60</f>
        <v>1.6996471059726885</v>
      </c>
      <c r="J60" s="188"/>
    </row>
    <row r="61" spans="1:10" ht="15.75">
      <c r="A61" s="149" t="s">
        <v>202</v>
      </c>
      <c r="B61" s="150">
        <v>31</v>
      </c>
      <c r="C61" s="150">
        <v>603.24</v>
      </c>
      <c r="D61" s="150">
        <v>1515</v>
      </c>
      <c r="E61" s="150">
        <v>18700.45</v>
      </c>
      <c r="F61" s="150">
        <v>46965</v>
      </c>
      <c r="G61" s="150">
        <v>28264.55</v>
      </c>
      <c r="H61" s="191">
        <f>G61/E61</f>
        <v>1.5114368905561095</v>
      </c>
    </row>
    <row r="62" spans="1:10" ht="15.75">
      <c r="A62" s="149" t="s">
        <v>203</v>
      </c>
      <c r="B62" s="150">
        <v>30</v>
      </c>
      <c r="C62" s="150">
        <v>2499.15</v>
      </c>
      <c r="D62" s="150">
        <v>3120</v>
      </c>
      <c r="E62" s="150">
        <v>74974.350000000006</v>
      </c>
      <c r="F62" s="150">
        <v>93600</v>
      </c>
      <c r="G62" s="150">
        <v>18625.650000000001</v>
      </c>
      <c r="H62" s="191">
        <f>G62/E62</f>
        <v>0.24842696202101119</v>
      </c>
      <c r="J62" s="188"/>
    </row>
    <row r="63" spans="1:10" ht="15.75">
      <c r="A63" s="149" t="s">
        <v>204</v>
      </c>
      <c r="B63" s="150">
        <v>33</v>
      </c>
      <c r="C63" s="150">
        <v>761.09</v>
      </c>
      <c r="D63" s="150">
        <v>1578.2</v>
      </c>
      <c r="E63" s="150">
        <v>25116</v>
      </c>
      <c r="F63" s="150">
        <v>52080.6</v>
      </c>
      <c r="G63" s="150">
        <v>26964.6</v>
      </c>
      <c r="H63" s="191">
        <f>G63/E63</f>
        <v>1.0736024844720495</v>
      </c>
      <c r="J63" s="188"/>
    </row>
    <row r="64" spans="1:10" ht="16.5">
      <c r="A64" s="149" t="s">
        <v>205</v>
      </c>
      <c r="B64" s="150">
        <v>20</v>
      </c>
      <c r="C64" s="150">
        <v>0</v>
      </c>
      <c r="D64" s="150">
        <v>1115</v>
      </c>
      <c r="E64" s="150">
        <v>0</v>
      </c>
      <c r="F64" s="150">
        <v>22300</v>
      </c>
      <c r="G64" s="150">
        <v>0</v>
      </c>
      <c r="H64" s="191"/>
    </row>
    <row r="65" spans="1:10" ht="15.75">
      <c r="A65" s="149" t="s">
        <v>206</v>
      </c>
      <c r="B65" s="150">
        <v>54</v>
      </c>
      <c r="C65" s="150">
        <v>1278.8599999999999</v>
      </c>
      <c r="D65" s="150">
        <v>1809.8</v>
      </c>
      <c r="E65" s="150">
        <v>69058.3</v>
      </c>
      <c r="F65" s="150">
        <v>97729.2</v>
      </c>
      <c r="G65" s="150">
        <v>28670.9</v>
      </c>
      <c r="H65" s="191">
        <f>G65/E65</f>
        <v>0.4151695017108733</v>
      </c>
      <c r="J65" s="188"/>
    </row>
    <row r="66" spans="1:10" ht="15.75">
      <c r="A66" s="149" t="s">
        <v>207</v>
      </c>
      <c r="B66" s="150">
        <v>66</v>
      </c>
      <c r="C66" s="150">
        <v>426.28</v>
      </c>
      <c r="D66" s="150">
        <v>806.05</v>
      </c>
      <c r="E66" s="150">
        <v>28134.5</v>
      </c>
      <c r="F66" s="150">
        <v>53199.3</v>
      </c>
      <c r="G66" s="150">
        <v>25064.799999999999</v>
      </c>
      <c r="H66" s="191">
        <f>G66/E66</f>
        <v>0.89089196538058257</v>
      </c>
    </row>
    <row r="67" spans="1:10" ht="15.75">
      <c r="A67" s="149" t="s">
        <v>208</v>
      </c>
      <c r="B67" s="150">
        <v>10</v>
      </c>
      <c r="C67" s="150">
        <v>5284</v>
      </c>
      <c r="D67" s="150">
        <v>11140</v>
      </c>
      <c r="E67" s="150">
        <v>52840</v>
      </c>
      <c r="F67" s="150">
        <v>111400</v>
      </c>
      <c r="G67" s="150">
        <v>58560</v>
      </c>
      <c r="H67" s="191">
        <f>G67/E67</f>
        <v>1.1082513247539743</v>
      </c>
      <c r="J67" s="188"/>
    </row>
    <row r="68" spans="1:10" ht="15.75">
      <c r="A68" s="149" t="s">
        <v>209</v>
      </c>
      <c r="B68" s="150">
        <v>5</v>
      </c>
      <c r="C68" s="150">
        <v>4802</v>
      </c>
      <c r="D68" s="150">
        <v>11026.77</v>
      </c>
      <c r="E68" s="150">
        <v>24010</v>
      </c>
      <c r="F68" s="150">
        <v>55133.85</v>
      </c>
      <c r="G68" s="150">
        <v>31123.85</v>
      </c>
      <c r="H68" s="191">
        <f>G68/E68</f>
        <v>1.2962869637650978</v>
      </c>
      <c r="J68" s="188"/>
    </row>
    <row r="69" spans="1:10" ht="15.75">
      <c r="A69" s="149" t="s">
        <v>210</v>
      </c>
      <c r="B69" s="150">
        <v>10</v>
      </c>
      <c r="C69" s="150">
        <v>5002.45</v>
      </c>
      <c r="D69" s="150">
        <v>11139.08</v>
      </c>
      <c r="E69" s="150">
        <v>50024.5</v>
      </c>
      <c r="F69" s="150">
        <v>111390.8</v>
      </c>
      <c r="G69" s="150">
        <v>61366.3</v>
      </c>
      <c r="H69" s="191">
        <f>G69/E69</f>
        <v>1.2267249047966498</v>
      </c>
      <c r="J69" s="188"/>
    </row>
    <row r="70" spans="1:10" ht="15.75">
      <c r="A70" s="149" t="s">
        <v>211</v>
      </c>
      <c r="B70" s="150">
        <v>35</v>
      </c>
      <c r="C70" s="150">
        <v>749.79</v>
      </c>
      <c r="D70" s="150">
        <v>3138.9</v>
      </c>
      <c r="E70" s="150">
        <v>26242.52</v>
      </c>
      <c r="F70" s="150">
        <v>109861.5</v>
      </c>
      <c r="G70" s="150">
        <v>83618.98</v>
      </c>
      <c r="H70" s="191">
        <f>G70/E70</f>
        <v>3.1863929226309056</v>
      </c>
      <c r="J70" s="188"/>
    </row>
    <row r="71" spans="1:10" ht="15.75">
      <c r="A71" s="149" t="s">
        <v>212</v>
      </c>
      <c r="B71" s="150">
        <v>139</v>
      </c>
      <c r="C71" s="150">
        <v>582.57000000000005</v>
      </c>
      <c r="D71" s="150">
        <v>1563.3</v>
      </c>
      <c r="E71" s="150">
        <v>80977.149999999994</v>
      </c>
      <c r="F71" s="150">
        <v>217298.7</v>
      </c>
      <c r="G71" s="150">
        <v>136321.54999999999</v>
      </c>
      <c r="H71" s="191">
        <f>G71/E71</f>
        <v>1.6834569999067639</v>
      </c>
      <c r="J71" s="188"/>
    </row>
    <row r="72" spans="1:10" ht="15.75">
      <c r="A72" s="149" t="s">
        <v>213</v>
      </c>
      <c r="B72" s="150">
        <v>75</v>
      </c>
      <c r="C72" s="150">
        <v>581.84</v>
      </c>
      <c r="D72" s="150">
        <v>635.15</v>
      </c>
      <c r="E72" s="150">
        <v>43638</v>
      </c>
      <c r="F72" s="150">
        <v>47636.25</v>
      </c>
      <c r="G72" s="150">
        <v>3998.25</v>
      </c>
      <c r="H72" s="191">
        <f>G72/E72</f>
        <v>9.1623126632751267E-2</v>
      </c>
      <c r="J72" s="188"/>
    </row>
    <row r="73" spans="1:10" ht="15.75">
      <c r="A73" s="149" t="s">
        <v>214</v>
      </c>
      <c r="B73" s="150">
        <v>46</v>
      </c>
      <c r="C73" s="150">
        <v>794.51</v>
      </c>
      <c r="D73" s="150">
        <v>1075.7</v>
      </c>
      <c r="E73" s="150">
        <v>36547.300000000003</v>
      </c>
      <c r="F73" s="150">
        <v>49482.2</v>
      </c>
      <c r="G73" s="150">
        <v>12934.9</v>
      </c>
      <c r="H73" s="191">
        <f>G73/E73</f>
        <v>0.35392217756168032</v>
      </c>
    </row>
    <row r="74" spans="1:10" ht="15.75">
      <c r="A74" s="149" t="s">
        <v>267</v>
      </c>
      <c r="B74" s="150">
        <v>570</v>
      </c>
      <c r="C74" s="150">
        <v>202.51</v>
      </c>
      <c r="D74" s="150">
        <v>690.15</v>
      </c>
      <c r="E74" s="150">
        <v>115432.73</v>
      </c>
      <c r="F74" s="150">
        <v>393385.5</v>
      </c>
      <c r="G74" s="150">
        <v>277952.77</v>
      </c>
      <c r="H74" s="191">
        <f>G74/E74</f>
        <v>2.4079199201127794</v>
      </c>
      <c r="J74" s="188"/>
    </row>
    <row r="75" spans="1:10" ht="15.75">
      <c r="A75" s="149" t="s">
        <v>215</v>
      </c>
      <c r="B75" s="150">
        <v>1050</v>
      </c>
      <c r="C75" s="150">
        <v>40.479999999999997</v>
      </c>
      <c r="D75" s="150">
        <v>156.16999999999999</v>
      </c>
      <c r="E75" s="150">
        <v>42500.25</v>
      </c>
      <c r="F75" s="150">
        <v>163978.5</v>
      </c>
      <c r="G75" s="150">
        <v>121478.25</v>
      </c>
      <c r="H75" s="191">
        <f>G75/E75</f>
        <v>2.8582949512061693</v>
      </c>
      <c r="J75" s="188"/>
    </row>
    <row r="76" spans="1:10" ht="15.75">
      <c r="A76" s="149" t="s">
        <v>216</v>
      </c>
      <c r="B76" s="150">
        <v>33</v>
      </c>
      <c r="C76" s="150">
        <v>3575.9</v>
      </c>
      <c r="D76" s="150">
        <v>3112.6</v>
      </c>
      <c r="E76" s="150">
        <v>118004.55</v>
      </c>
      <c r="F76" s="150">
        <v>102715.8</v>
      </c>
      <c r="G76" s="150">
        <v>-15288.75</v>
      </c>
      <c r="H76" s="191">
        <f>G76/E76</f>
        <v>-0.12956068219403405</v>
      </c>
      <c r="J76" s="188"/>
    </row>
    <row r="77" spans="1:10" ht="15.75">
      <c r="A77" s="149" t="s">
        <v>217</v>
      </c>
      <c r="B77" s="150">
        <v>24</v>
      </c>
      <c r="C77" s="150">
        <v>2584.4</v>
      </c>
      <c r="D77" s="150">
        <v>3618.6</v>
      </c>
      <c r="E77" s="150">
        <v>62025.599999999999</v>
      </c>
      <c r="F77" s="150">
        <v>86846.399999999994</v>
      </c>
      <c r="G77" s="150">
        <v>24820.799999999999</v>
      </c>
      <c r="H77" s="191">
        <f>G77/E77</f>
        <v>0.40017025228292835</v>
      </c>
    </row>
    <row r="78" spans="1:10" ht="15.75">
      <c r="A78" s="149" t="s">
        <v>219</v>
      </c>
      <c r="B78" s="150">
        <v>14</v>
      </c>
      <c r="C78" s="150">
        <v>2306.8200000000002</v>
      </c>
      <c r="D78" s="150">
        <v>3356</v>
      </c>
      <c r="E78" s="150">
        <v>32295.45</v>
      </c>
      <c r="F78" s="150">
        <v>46984</v>
      </c>
      <c r="G78" s="150">
        <v>14688.55</v>
      </c>
      <c r="H78" s="191">
        <f>G78/E78</f>
        <v>0.4548179387498858</v>
      </c>
    </row>
    <row r="79" spans="1:10" ht="15.75">
      <c r="A79" s="149" t="s">
        <v>220</v>
      </c>
      <c r="B79" s="150">
        <v>30</v>
      </c>
      <c r="C79" s="150">
        <v>373.77</v>
      </c>
      <c r="D79" s="150">
        <v>1314.6</v>
      </c>
      <c r="E79" s="150">
        <v>11213.05</v>
      </c>
      <c r="F79" s="150">
        <v>39438</v>
      </c>
      <c r="G79" s="150">
        <v>28224.95</v>
      </c>
      <c r="H79" s="191">
        <f>G79/E79</f>
        <v>2.51715188998533</v>
      </c>
    </row>
    <row r="80" spans="1:10" ht="15.75">
      <c r="A80" s="149" t="s">
        <v>221</v>
      </c>
      <c r="B80" s="150">
        <v>110</v>
      </c>
      <c r="C80" s="150">
        <v>130.18</v>
      </c>
      <c r="D80" s="150">
        <v>495.35</v>
      </c>
      <c r="E80" s="150">
        <v>14319.65</v>
      </c>
      <c r="F80" s="150">
        <v>54488.5</v>
      </c>
      <c r="G80" s="150">
        <v>40168.85</v>
      </c>
      <c r="H80" s="191">
        <f>G80/E80</f>
        <v>2.8051558522729256</v>
      </c>
      <c r="J80" s="188"/>
    </row>
    <row r="81" spans="1:10" ht="15.75">
      <c r="A81" s="149" t="s">
        <v>222</v>
      </c>
      <c r="B81" s="150">
        <v>54</v>
      </c>
      <c r="C81" s="150">
        <v>896.15</v>
      </c>
      <c r="D81" s="150">
        <v>991.05</v>
      </c>
      <c r="E81" s="150">
        <v>48392.1</v>
      </c>
      <c r="F81" s="150">
        <v>53516.7</v>
      </c>
      <c r="G81" s="150">
        <v>5124.6000000000004</v>
      </c>
      <c r="H81" s="191">
        <f>G81/E81</f>
        <v>0.10589745020364895</v>
      </c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18097</v>
      </c>
      <c r="C104" s="45"/>
      <c r="D104" s="45"/>
      <c r="E104" s="45">
        <f>SUM(E2:E103)</f>
        <v>4136378.1500000004</v>
      </c>
      <c r="F104" s="45">
        <f>SUM(F2:F103)</f>
        <v>7363542.4599999981</v>
      </c>
      <c r="G104" s="45">
        <f>SUM(G2:G103)</f>
        <v>3204864.3099999987</v>
      </c>
      <c r="H104" s="176">
        <f>G104/E104</f>
        <v>0.77479964204916763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01AC-8558-42AA-AB81-997A47711CB2}">
  <dimension ref="A1:J22"/>
  <sheetViews>
    <sheetView workbookViewId="0">
      <pane xSplit="2" ySplit="1" topLeftCell="D6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62384.002999999997</v>
      </c>
      <c r="D2">
        <v>9.6</v>
      </c>
      <c r="E2">
        <v>8.0160999999999998</v>
      </c>
      <c r="F2" s="188">
        <v>500075.00349999999</v>
      </c>
      <c r="G2" s="188">
        <v>598886.42879999999</v>
      </c>
      <c r="H2" s="188">
        <v>98811.425300000003</v>
      </c>
      <c r="I2" s="192">
        <f>H2/F2</f>
        <v>0.19759321023531223</v>
      </c>
    </row>
    <row r="3" spans="1:9">
      <c r="A3" s="168" t="s">
        <v>234</v>
      </c>
      <c r="B3" s="210" t="s">
        <v>235</v>
      </c>
      <c r="C3" s="188">
        <v>4080.9659999999999</v>
      </c>
      <c r="D3">
        <v>129.68</v>
      </c>
      <c r="E3">
        <v>68.607799999999997</v>
      </c>
      <c r="F3" s="188">
        <v>279986.10960000003</v>
      </c>
      <c r="G3" s="188">
        <v>529219.67090000003</v>
      </c>
      <c r="H3" s="188">
        <v>249233.5613</v>
      </c>
      <c r="I3" s="192">
        <f t="shared" ref="I3:I22" si="0">H3/F3</f>
        <v>0.89016402155116048</v>
      </c>
    </row>
    <row r="4" spans="1:9">
      <c r="A4" s="168" t="s">
        <v>236</v>
      </c>
      <c r="B4" s="210" t="s">
        <v>237</v>
      </c>
      <c r="C4" s="188">
        <v>14235.332</v>
      </c>
      <c r="D4">
        <v>119.62</v>
      </c>
      <c r="E4">
        <v>47.766100000000002</v>
      </c>
      <c r="F4" s="188">
        <v>679966.92570000002</v>
      </c>
      <c r="G4" s="188">
        <v>1702830.4138</v>
      </c>
      <c r="H4" s="188">
        <v>1022863.4882</v>
      </c>
      <c r="I4" s="192">
        <f t="shared" si="0"/>
        <v>1.5042841784502989</v>
      </c>
    </row>
    <row r="5" spans="1:9">
      <c r="A5" s="168" t="s">
        <v>238</v>
      </c>
      <c r="B5" s="210" t="s">
        <v>237</v>
      </c>
      <c r="C5" s="188">
        <v>30844.641</v>
      </c>
      <c r="D5">
        <v>41.56</v>
      </c>
      <c r="E5">
        <v>33.229399999999998</v>
      </c>
      <c r="F5" s="188">
        <v>1024948.7568</v>
      </c>
      <c r="G5" s="188">
        <v>1281903.28</v>
      </c>
      <c r="H5" s="188">
        <v>256954.52309999999</v>
      </c>
      <c r="I5" s="192">
        <f t="shared" si="0"/>
        <v>0.25069987294022344</v>
      </c>
    </row>
    <row r="6" spans="1:9">
      <c r="A6" s="168" t="s">
        <v>239</v>
      </c>
      <c r="B6" s="210" t="s">
        <v>233</v>
      </c>
      <c r="C6" s="188">
        <v>13126.343999999999</v>
      </c>
      <c r="D6">
        <v>31.724299999999999</v>
      </c>
      <c r="E6">
        <v>27.424399999999999</v>
      </c>
      <c r="F6" s="188">
        <v>359982.0368</v>
      </c>
      <c r="G6" s="188">
        <v>416424.07500000001</v>
      </c>
      <c r="H6" s="188">
        <v>56442.038099999998</v>
      </c>
      <c r="I6" s="192">
        <f t="shared" si="0"/>
        <v>0.15679126270225047</v>
      </c>
    </row>
    <row r="7" spans="1:9">
      <c r="A7" s="168" t="s">
        <v>240</v>
      </c>
      <c r="B7" s="210" t="s">
        <v>241</v>
      </c>
      <c r="C7" s="188">
        <v>1857.5519999999999</v>
      </c>
      <c r="D7">
        <v>758.14359999999999</v>
      </c>
      <c r="E7">
        <v>366.02140000000003</v>
      </c>
      <c r="F7" s="188">
        <v>679903.69869999995</v>
      </c>
      <c r="G7" s="188">
        <v>1408291.1605</v>
      </c>
      <c r="H7" s="188">
        <v>728387.46180000005</v>
      </c>
      <c r="I7" s="192">
        <f t="shared" si="0"/>
        <v>1.0713097504730491</v>
      </c>
    </row>
    <row r="8" spans="1:9">
      <c r="A8" s="168" t="s">
        <v>242</v>
      </c>
      <c r="B8" s="210" t="s">
        <v>237</v>
      </c>
      <c r="C8" s="188">
        <v>4306.576</v>
      </c>
      <c r="D8">
        <v>158.5</v>
      </c>
      <c r="E8">
        <v>44.3917</v>
      </c>
      <c r="F8" s="188">
        <v>191176.2298</v>
      </c>
      <c r="G8" s="188">
        <v>682592.29599999997</v>
      </c>
      <c r="H8" s="188">
        <v>491416.0662</v>
      </c>
      <c r="I8" s="192">
        <f t="shared" si="0"/>
        <v>2.5704872761331128</v>
      </c>
    </row>
    <row r="9" spans="1:9">
      <c r="A9" s="168" t="s">
        <v>243</v>
      </c>
      <c r="B9" s="210" t="s">
        <v>235</v>
      </c>
      <c r="C9" s="188">
        <v>5805.7370000000001</v>
      </c>
      <c r="D9">
        <v>155.12700000000001</v>
      </c>
      <c r="E9">
        <v>41.940399999999997</v>
      </c>
      <c r="F9" s="188">
        <v>243495.1642</v>
      </c>
      <c r="G9" s="188">
        <v>900626.56359999999</v>
      </c>
      <c r="H9" s="188">
        <v>657131.39939999999</v>
      </c>
      <c r="I9" s="192">
        <f t="shared" si="0"/>
        <v>2.6987451745047837</v>
      </c>
    </row>
    <row r="10" spans="1:9">
      <c r="A10" s="168" t="s">
        <v>244</v>
      </c>
      <c r="B10" s="210" t="s">
        <v>233</v>
      </c>
      <c r="C10" s="188">
        <v>13136.35</v>
      </c>
      <c r="D10">
        <v>43.223799999999997</v>
      </c>
      <c r="E10">
        <v>29.687100000000001</v>
      </c>
      <c r="F10" s="188">
        <v>389980.446</v>
      </c>
      <c r="G10" s="188">
        <v>567802.96510000003</v>
      </c>
      <c r="H10" s="188">
        <v>177822.5191</v>
      </c>
      <c r="I10" s="192">
        <f t="shared" si="0"/>
        <v>0.45597803921686886</v>
      </c>
    </row>
    <row r="11" spans="1:9">
      <c r="A11" s="168" t="s">
        <v>246</v>
      </c>
      <c r="B11" s="210" t="s">
        <v>241</v>
      </c>
      <c r="C11" s="188">
        <v>81746.4715</v>
      </c>
      <c r="D11">
        <v>15.9826</v>
      </c>
      <c r="E11">
        <v>13.094799999999999</v>
      </c>
      <c r="F11" s="188">
        <v>1070457.023</v>
      </c>
      <c r="G11" s="188">
        <v>1306521.1554</v>
      </c>
      <c r="H11" s="188">
        <v>236064.1324</v>
      </c>
      <c r="I11" s="192">
        <f t="shared" si="0"/>
        <v>0.22052649226254831</v>
      </c>
    </row>
    <row r="12" spans="1:9">
      <c r="A12" s="168" t="s">
        <v>247</v>
      </c>
      <c r="B12" s="210" t="s">
        <v>241</v>
      </c>
      <c r="C12" s="188">
        <v>46779.584000000003</v>
      </c>
      <c r="D12">
        <v>15.607900000000001</v>
      </c>
      <c r="E12">
        <v>14.1187</v>
      </c>
      <c r="F12" s="188">
        <v>660466.97759999998</v>
      </c>
      <c r="G12" s="188">
        <v>730131.06909999996</v>
      </c>
      <c r="H12" s="188">
        <v>69664.091499999995</v>
      </c>
      <c r="I12" s="192">
        <f t="shared" si="0"/>
        <v>0.10547702438227094</v>
      </c>
    </row>
    <row r="13" spans="1:9">
      <c r="A13" s="168" t="s">
        <v>263</v>
      </c>
      <c r="B13" s="210" t="s">
        <v>233</v>
      </c>
      <c r="C13" s="188">
        <v>82131.043999999994</v>
      </c>
      <c r="D13">
        <v>18.4269</v>
      </c>
      <c r="E13">
        <v>9.9227000000000007</v>
      </c>
      <c r="F13" s="188">
        <v>814959.2439</v>
      </c>
      <c r="G13" s="188">
        <v>1513420.5347</v>
      </c>
      <c r="H13" s="188">
        <v>698461.29079999996</v>
      </c>
      <c r="I13" s="192">
        <f t="shared" si="0"/>
        <v>0.85705057771662629</v>
      </c>
    </row>
    <row r="14" spans="1:9">
      <c r="A14" s="168" t="s">
        <v>248</v>
      </c>
      <c r="B14" s="210" t="s">
        <v>249</v>
      </c>
      <c r="C14" s="188">
        <v>27042.298999999999</v>
      </c>
      <c r="D14">
        <v>9.4864999999999995</v>
      </c>
      <c r="E14">
        <v>9.2812999999999999</v>
      </c>
      <c r="F14" s="188">
        <v>250987.4515</v>
      </c>
      <c r="G14" s="188">
        <v>256536.76949999999</v>
      </c>
      <c r="H14" s="188">
        <v>5549.3179</v>
      </c>
      <c r="I14" s="192">
        <f t="shared" si="0"/>
        <v>2.2109941619929952E-2</v>
      </c>
    </row>
    <row r="15" spans="1:9">
      <c r="A15" s="168" t="s">
        <v>250</v>
      </c>
      <c r="B15" s="210" t="s">
        <v>251</v>
      </c>
      <c r="C15" s="188">
        <v>19397.659</v>
      </c>
      <c r="D15">
        <v>91.073700000000002</v>
      </c>
      <c r="E15">
        <v>44.640599999999999</v>
      </c>
      <c r="F15" s="188">
        <v>865923.00470000005</v>
      </c>
      <c r="G15" s="188">
        <v>1766616.5765</v>
      </c>
      <c r="H15" s="188">
        <v>900693.57180000003</v>
      </c>
      <c r="I15" s="192">
        <f t="shared" si="0"/>
        <v>1.040154340410492</v>
      </c>
    </row>
    <row r="16" spans="1:9">
      <c r="A16" s="168" t="s">
        <v>252</v>
      </c>
      <c r="B16" s="210" t="s">
        <v>233</v>
      </c>
      <c r="C16" s="188">
        <v>6809.741</v>
      </c>
      <c r="D16">
        <v>51.34</v>
      </c>
      <c r="E16">
        <v>35.241999999999997</v>
      </c>
      <c r="F16" s="188">
        <v>239988.8371</v>
      </c>
      <c r="G16" s="188">
        <v>349612.1029</v>
      </c>
      <c r="H16" s="188">
        <v>109623.26579999999</v>
      </c>
      <c r="I16" s="192">
        <f t="shared" si="0"/>
        <v>0.45678485351517206</v>
      </c>
    </row>
    <row r="17" spans="1:10">
      <c r="A17" s="168" t="s">
        <v>253</v>
      </c>
      <c r="B17" s="210" t="s">
        <v>235</v>
      </c>
      <c r="C17" s="188">
        <v>5481.1360000000004</v>
      </c>
      <c r="D17">
        <v>228.1841</v>
      </c>
      <c r="E17">
        <v>200.74350000000001</v>
      </c>
      <c r="F17" s="188">
        <v>1100302.2501999999</v>
      </c>
      <c r="G17" s="188">
        <v>1250708.0851</v>
      </c>
      <c r="H17" s="188">
        <v>150405.83489999999</v>
      </c>
      <c r="I17" s="192">
        <f t="shared" si="0"/>
        <v>0.13669501709431295</v>
      </c>
    </row>
    <row r="18" spans="1:10">
      <c r="A18" s="168" t="s">
        <v>254</v>
      </c>
      <c r="B18" s="210" t="s">
        <v>237</v>
      </c>
      <c r="C18">
        <v>634.64200000000005</v>
      </c>
      <c r="D18">
        <v>268.98770000000002</v>
      </c>
      <c r="E18">
        <v>259.97629999999998</v>
      </c>
      <c r="F18" s="188">
        <v>164991.853</v>
      </c>
      <c r="G18" s="188">
        <v>170710.89189999999</v>
      </c>
      <c r="H18" s="188">
        <v>5719.0388999999996</v>
      </c>
      <c r="I18" s="192">
        <f t="shared" si="0"/>
        <v>3.4662553308010907E-2</v>
      </c>
    </row>
    <row r="19" spans="1:10">
      <c r="A19" s="168" t="s">
        <v>255</v>
      </c>
      <c r="B19" s="210" t="s">
        <v>241</v>
      </c>
      <c r="C19" s="188">
        <v>18996.168000000001</v>
      </c>
      <c r="D19">
        <v>24.298999999999999</v>
      </c>
      <c r="E19">
        <v>9.4700000000000006</v>
      </c>
      <c r="F19" s="188">
        <v>179893.71100000001</v>
      </c>
      <c r="G19" s="188">
        <v>461587.88620000001</v>
      </c>
      <c r="H19" s="188">
        <v>281694.1753</v>
      </c>
      <c r="I19" s="192">
        <f t="shared" si="0"/>
        <v>1.5658922912541395</v>
      </c>
    </row>
    <row r="20" spans="1:10">
      <c r="A20" s="168"/>
      <c r="B20" s="210"/>
      <c r="C20" s="188"/>
      <c r="D20"/>
      <c r="E20"/>
      <c r="F20" s="188"/>
      <c r="G20" s="188"/>
      <c r="H20" s="188"/>
      <c r="I20" s="192"/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438796.2454999999</v>
      </c>
      <c r="D22" s="75"/>
      <c r="E22" s="75"/>
      <c r="F22" s="75">
        <f t="shared" ref="F22:H22" si="1">SUM(F2:F21)</f>
        <v>9697484.7230999991</v>
      </c>
      <c r="G22" s="75">
        <f t="shared" si="1"/>
        <v>15894421.925000003</v>
      </c>
      <c r="H22" s="75">
        <f t="shared" si="1"/>
        <v>6196937.2018000009</v>
      </c>
      <c r="I22" s="53">
        <f t="shared" si="0"/>
        <v>0.63902520898419346</v>
      </c>
      <c r="J22" s="202"/>
    </row>
  </sheetData>
  <hyperlinks>
    <hyperlink ref="A2" r:id="rId1" location="/mf/1831632/41287/NULL" xr:uid="{EEA8882E-05A7-4AD8-9B05-689B29F479EA}"/>
    <hyperlink ref="A3" r:id="rId2" location="/mf/1831632/15690/NULL" xr:uid="{80C357D5-80B3-47E2-844A-21CB1F6F61BE}"/>
    <hyperlink ref="A4" r:id="rId3" location="/mf/1831632/22335/NULL" xr:uid="{CE086D25-81F0-4511-BFBA-CEB9F8A8CE05}"/>
    <hyperlink ref="A5" r:id="rId4" location="/mf/1831632/38817/NULL" xr:uid="{83ACDD25-6821-4DE6-B383-3F2E186464F4}"/>
    <hyperlink ref="A6" r:id="rId5" location="/mf/1831632/40665/NULL" xr:uid="{EFF5ACB7-2ABC-47EE-9E1A-F41EDFDEB5E7}"/>
    <hyperlink ref="A7" r:id="rId6" location="/mf/1831632/16071/NULL" xr:uid="{68680789-6A7E-43B4-8522-C3989777375F}"/>
    <hyperlink ref="A8" r:id="rId7" location="/mf/1831632/16617/NULL" xr:uid="{ACA0520E-04A0-4D0E-9B3E-1C7E45BC2315}"/>
    <hyperlink ref="A9" r:id="rId8" location="/mf/1831632/17134/NULL" xr:uid="{878F20EC-1B95-4C93-8523-E64418682554}"/>
    <hyperlink ref="A10" r:id="rId9" location="/mf/1831632/38228/NULL" xr:uid="{21F3FA27-B0C1-49C2-B1ED-2269F6850E1E}"/>
    <hyperlink ref="A11" r:id="rId10" location="/mf/1831632/41574/NULL" xr:uid="{80E41440-02B0-48C6-9A66-F23A5B896D32}"/>
    <hyperlink ref="A12" r:id="rId11" location="/mf/1831632/41937/NULL" xr:uid="{9936DA44-FEBB-4546-A81E-25970B9667FD}"/>
    <hyperlink ref="A13" r:id="rId12" location="/mf/1831632/42135/NULL" xr:uid="{B54AC47D-3037-4E81-8FDE-934216E995C6}"/>
    <hyperlink ref="A14" r:id="rId13" location="/mf/1831632/44110/NULL" xr:uid="{9171E3F1-0BE5-41CC-B000-6D3002FEF5B1}"/>
    <hyperlink ref="A15" r:id="rId14" location="/mf/1831632/19701/NULL" xr:uid="{AD40AA54-3D89-4CEF-B2AB-D9F2668837C9}"/>
    <hyperlink ref="A16" r:id="rId15" location="/mf/1831632/17348/NULL" xr:uid="{230FED53-33BF-459B-BD14-B23AE41953AC}"/>
    <hyperlink ref="A17" r:id="rId16" location="/mf/1831632/17375/NULL" xr:uid="{6D50BC53-D142-4EAC-8CCA-3A02609CF902}"/>
    <hyperlink ref="A18" r:id="rId17" location="/mf/1831632/17366/NULL" xr:uid="{540DA113-8F60-4656-987C-A84B6FDD3D94}"/>
    <hyperlink ref="A19" r:id="rId18" location="/mf/1831632/36491/NULL" xr:uid="{FB9E8B44-21CD-4284-8B6D-09E56D8555F5}"/>
  </hyperlink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9927-5B01-4009-840E-C8615E0C5AF4}">
  <dimension ref="A1:J104"/>
  <sheetViews>
    <sheetView workbookViewId="0">
      <pane xSplit="1" ySplit="1" topLeftCell="B58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143</v>
      </c>
      <c r="B2" s="150">
        <v>100</v>
      </c>
      <c r="C2" s="150">
        <v>109.73</v>
      </c>
      <c r="D2" s="150">
        <v>105</v>
      </c>
      <c r="E2" s="150">
        <v>10972.5</v>
      </c>
      <c r="F2" s="150">
        <v>10500</v>
      </c>
      <c r="G2" s="150">
        <v>-472.5</v>
      </c>
      <c r="H2" s="191">
        <f>G2/E2</f>
        <v>-4.3062200956937802E-2</v>
      </c>
    </row>
    <row r="3" spans="1:10" ht="15.75">
      <c r="A3" s="149" t="s">
        <v>259</v>
      </c>
      <c r="B3" s="150">
        <v>13</v>
      </c>
      <c r="C3" s="150">
        <v>133.75</v>
      </c>
      <c r="D3" s="150">
        <v>1421.25</v>
      </c>
      <c r="E3" s="150">
        <v>1738.75</v>
      </c>
      <c r="F3" s="150">
        <v>18476.25</v>
      </c>
      <c r="G3" s="150">
        <v>16737.5</v>
      </c>
      <c r="H3" s="191">
        <f>G3/E3</f>
        <v>9.6261682242990663</v>
      </c>
    </row>
    <row r="4" spans="1:10" ht="15.75">
      <c r="A4" s="149" t="s">
        <v>144</v>
      </c>
      <c r="B4" s="150">
        <v>19</v>
      </c>
      <c r="C4" s="150">
        <v>489.54</v>
      </c>
      <c r="D4" s="150">
        <v>2695.1</v>
      </c>
      <c r="E4" s="150">
        <v>9301.2000000000007</v>
      </c>
      <c r="F4" s="150">
        <v>51206.9</v>
      </c>
      <c r="G4" s="150">
        <v>41905.699999999997</v>
      </c>
      <c r="H4" s="191">
        <f>G4/E4</f>
        <v>4.5054079043564261</v>
      </c>
    </row>
    <row r="5" spans="1:10" ht="15.75">
      <c r="A5" s="149" t="s">
        <v>145</v>
      </c>
      <c r="B5" s="150">
        <v>250</v>
      </c>
      <c r="C5" s="150">
        <v>183.59</v>
      </c>
      <c r="D5" s="150">
        <v>440.85</v>
      </c>
      <c r="E5" s="150">
        <v>45897.5</v>
      </c>
      <c r="F5" s="150">
        <v>110212.5</v>
      </c>
      <c r="G5" s="150">
        <v>64315</v>
      </c>
      <c r="H5" s="191">
        <f>G5/E5</f>
        <v>1.401274579225448</v>
      </c>
      <c r="J5" s="188"/>
    </row>
    <row r="6" spans="1:10" ht="15.75">
      <c r="A6" s="149" t="s">
        <v>146</v>
      </c>
      <c r="B6" s="150">
        <v>62</v>
      </c>
      <c r="C6" s="150">
        <v>708.24</v>
      </c>
      <c r="D6" s="150">
        <v>1062.5999999999999</v>
      </c>
      <c r="E6" s="150">
        <v>43910.6</v>
      </c>
      <c r="F6" s="150">
        <v>65881.2</v>
      </c>
      <c r="G6" s="150">
        <v>21970.6</v>
      </c>
      <c r="H6" s="191">
        <f>G6/E6</f>
        <v>0.50034843522976225</v>
      </c>
    </row>
    <row r="7" spans="1:10" ht="15.75">
      <c r="A7" s="149" t="s">
        <v>147</v>
      </c>
      <c r="B7" s="150">
        <v>19</v>
      </c>
      <c r="C7" s="150">
        <v>3076.33</v>
      </c>
      <c r="D7" s="150">
        <v>8044.5</v>
      </c>
      <c r="E7" s="150">
        <v>58450.25</v>
      </c>
      <c r="F7" s="150">
        <v>152845.5</v>
      </c>
      <c r="G7" s="150">
        <v>94395.25</v>
      </c>
      <c r="H7" s="191">
        <f>G7/E7</f>
        <v>1.6149674295661696</v>
      </c>
    </row>
    <row r="8" spans="1:10" ht="15.75">
      <c r="A8" s="149" t="s">
        <v>148</v>
      </c>
      <c r="B8" s="150">
        <v>80</v>
      </c>
      <c r="C8" s="150">
        <v>673.1</v>
      </c>
      <c r="D8" s="150">
        <v>876.95</v>
      </c>
      <c r="E8" s="150">
        <v>53848.35</v>
      </c>
      <c r="F8" s="150">
        <v>70156</v>
      </c>
      <c r="G8" s="150">
        <v>16307.65</v>
      </c>
      <c r="H8" s="191">
        <f>G8/E8</f>
        <v>0.30284400543377837</v>
      </c>
    </row>
    <row r="9" spans="1:10" ht="15.75">
      <c r="A9" s="149" t="s">
        <v>149</v>
      </c>
      <c r="B9" s="150">
        <v>15</v>
      </c>
      <c r="C9" s="150">
        <v>2427.4699999999998</v>
      </c>
      <c r="D9" s="150">
        <v>2560</v>
      </c>
      <c r="E9" s="150">
        <v>36412</v>
      </c>
      <c r="F9" s="150">
        <v>38400</v>
      </c>
      <c r="G9" s="150">
        <v>1988</v>
      </c>
      <c r="H9" s="191">
        <f>G9/E9</f>
        <v>5.4597385477315172E-2</v>
      </c>
      <c r="J9" s="188"/>
    </row>
    <row r="10" spans="1:10" ht="15.75">
      <c r="A10" s="149" t="s">
        <v>150</v>
      </c>
      <c r="B10" s="150">
        <v>184</v>
      </c>
      <c r="C10" s="150">
        <v>188.19</v>
      </c>
      <c r="D10" s="150">
        <v>235.13</v>
      </c>
      <c r="E10" s="150">
        <v>34627.15</v>
      </c>
      <c r="F10" s="150">
        <v>43263.92</v>
      </c>
      <c r="G10" s="150">
        <v>8636.77</v>
      </c>
      <c r="H10" s="191">
        <f>G10/E10</f>
        <v>0.24942191315196313</v>
      </c>
    </row>
    <row r="11" spans="1:10" ht="15.75">
      <c r="A11" s="149" t="s">
        <v>151</v>
      </c>
      <c r="B11" s="150">
        <v>8500</v>
      </c>
      <c r="C11" s="150">
        <v>50.47</v>
      </c>
      <c r="D11" s="150">
        <v>56.97</v>
      </c>
      <c r="E11" s="150">
        <v>429035.72</v>
      </c>
      <c r="F11" s="150">
        <v>484245</v>
      </c>
      <c r="G11" s="150">
        <v>55209.279999999999</v>
      </c>
      <c r="H11" s="191">
        <f>G11/E11</f>
        <v>0.12868224585123123</v>
      </c>
      <c r="J11" s="188"/>
    </row>
    <row r="12" spans="1:10" ht="15.75">
      <c r="A12" s="149" t="s">
        <v>152</v>
      </c>
      <c r="B12" s="150">
        <v>180</v>
      </c>
      <c r="C12" s="150">
        <v>322.89</v>
      </c>
      <c r="D12" s="150">
        <v>1880</v>
      </c>
      <c r="E12" s="150">
        <v>58120</v>
      </c>
      <c r="F12" s="150">
        <v>338400</v>
      </c>
      <c r="G12" s="150">
        <v>280280</v>
      </c>
      <c r="H12" s="191">
        <f>G12/E12</f>
        <v>4.8224363386097728</v>
      </c>
      <c r="J12" s="188"/>
    </row>
    <row r="13" spans="1:10" ht="15.75">
      <c r="A13" s="149" t="s">
        <v>153</v>
      </c>
      <c r="B13" s="150">
        <v>40</v>
      </c>
      <c r="C13" s="150">
        <v>446.04</v>
      </c>
      <c r="D13" s="150">
        <v>982.7</v>
      </c>
      <c r="E13" s="150">
        <v>17841.599999999999</v>
      </c>
      <c r="F13" s="150">
        <v>39308</v>
      </c>
      <c r="G13" s="150">
        <v>21466.400000000001</v>
      </c>
      <c r="H13" s="191">
        <f>G13/E13</f>
        <v>1.2031656353690254</v>
      </c>
      <c r="J13" s="188"/>
    </row>
    <row r="14" spans="1:10" ht="15.75">
      <c r="A14" s="149" t="s">
        <v>154</v>
      </c>
      <c r="B14" s="150">
        <v>14</v>
      </c>
      <c r="C14" s="150">
        <v>3489.94</v>
      </c>
      <c r="D14" s="150">
        <v>5835</v>
      </c>
      <c r="E14" s="150">
        <v>48859.1</v>
      </c>
      <c r="F14" s="150">
        <v>81690</v>
      </c>
      <c r="G14" s="150">
        <v>32830.9</v>
      </c>
      <c r="H14" s="191">
        <f>G14/E14</f>
        <v>0.67195056806203968</v>
      </c>
    </row>
    <row r="15" spans="1:10" ht="15.75">
      <c r="A15" s="149" t="s">
        <v>155</v>
      </c>
      <c r="B15" s="150">
        <v>180</v>
      </c>
      <c r="C15" s="150">
        <v>155.25</v>
      </c>
      <c r="D15" s="150">
        <v>218.41</v>
      </c>
      <c r="E15" s="150">
        <v>27945</v>
      </c>
      <c r="F15" s="150">
        <v>39313.800000000003</v>
      </c>
      <c r="G15" s="150">
        <v>11368.8</v>
      </c>
      <c r="H15" s="191">
        <v>0</v>
      </c>
      <c r="J15" s="188"/>
    </row>
    <row r="16" spans="1:10" ht="15.75">
      <c r="A16" s="149" t="s">
        <v>156</v>
      </c>
      <c r="B16" s="150">
        <v>88</v>
      </c>
      <c r="C16" s="150">
        <v>373.58</v>
      </c>
      <c r="D16" s="150">
        <v>405.2</v>
      </c>
      <c r="E16" s="150">
        <v>32874.85</v>
      </c>
      <c r="F16" s="150">
        <v>35657.599999999999</v>
      </c>
      <c r="G16" s="150">
        <v>2782.75</v>
      </c>
      <c r="H16" s="191">
        <f>G16/E16</f>
        <v>8.4646774053721924E-2</v>
      </c>
      <c r="J16" s="188"/>
    </row>
    <row r="17" spans="1:10" ht="15.75">
      <c r="A17" s="149" t="s">
        <v>157</v>
      </c>
      <c r="B17" s="150">
        <v>45</v>
      </c>
      <c r="C17" s="150">
        <v>990.66</v>
      </c>
      <c r="D17" s="150">
        <v>1505</v>
      </c>
      <c r="E17" s="150">
        <v>44579.85</v>
      </c>
      <c r="F17" s="150">
        <v>67725</v>
      </c>
      <c r="G17" s="150">
        <v>23145.15</v>
      </c>
      <c r="H17" s="191">
        <f>G17/E17</f>
        <v>0.51918411569352529</v>
      </c>
      <c r="J17" s="188"/>
    </row>
    <row r="18" spans="1:10" ht="15.75">
      <c r="A18" s="149" t="s">
        <v>158</v>
      </c>
      <c r="B18" s="150">
        <v>470</v>
      </c>
      <c r="C18" s="150">
        <v>194.39</v>
      </c>
      <c r="D18" s="150">
        <v>372.5</v>
      </c>
      <c r="E18" s="150">
        <v>91363.5</v>
      </c>
      <c r="F18" s="150">
        <v>175075</v>
      </c>
      <c r="G18" s="150">
        <v>83711.5</v>
      </c>
      <c r="H18" s="191">
        <f>G18/E18</f>
        <v>0.91624664116414101</v>
      </c>
    </row>
    <row r="19" spans="1:10" ht="15.75">
      <c r="A19" s="149" t="s">
        <v>159</v>
      </c>
      <c r="B19" s="150">
        <v>65</v>
      </c>
      <c r="C19" s="150">
        <v>909.05</v>
      </c>
      <c r="D19" s="150">
        <v>1707</v>
      </c>
      <c r="E19" s="150">
        <v>59088.4</v>
      </c>
      <c r="F19" s="150">
        <v>110955</v>
      </c>
      <c r="G19" s="150">
        <v>51866.6</v>
      </c>
      <c r="H19" s="191">
        <f>G19/E19</f>
        <v>0.87777973341637272</v>
      </c>
    </row>
    <row r="20" spans="1:10" ht="15.75">
      <c r="A20" s="149" t="s">
        <v>160</v>
      </c>
      <c r="B20" s="150">
        <v>21</v>
      </c>
      <c r="C20" s="150">
        <v>1503.03</v>
      </c>
      <c r="D20" s="150">
        <v>2258</v>
      </c>
      <c r="E20" s="150">
        <v>31563.7</v>
      </c>
      <c r="F20" s="150">
        <v>47418</v>
      </c>
      <c r="G20" s="150">
        <v>15854.3</v>
      </c>
      <c r="H20" s="191">
        <f>G20/E20</f>
        <v>0.50229535827548732</v>
      </c>
    </row>
    <row r="21" spans="1:10" ht="15.75">
      <c r="A21" s="149" t="s">
        <v>161</v>
      </c>
      <c r="B21" s="150">
        <v>66</v>
      </c>
      <c r="C21" s="150">
        <v>557.49</v>
      </c>
      <c r="D21" s="150">
        <v>777.4</v>
      </c>
      <c r="E21" s="150">
        <v>36794.1</v>
      </c>
      <c r="F21" s="150">
        <v>51308.4</v>
      </c>
      <c r="G21" s="150">
        <v>14514.3</v>
      </c>
      <c r="H21" s="191">
        <f>G21/E21</f>
        <v>0.39447357049092108</v>
      </c>
      <c r="J21" s="188"/>
    </row>
    <row r="22" spans="1:10" ht="15.75">
      <c r="A22" s="149" t="s">
        <v>162</v>
      </c>
      <c r="B22" s="150">
        <v>12</v>
      </c>
      <c r="C22" s="150">
        <v>3474.64</v>
      </c>
      <c r="D22" s="150">
        <v>4197.25</v>
      </c>
      <c r="E22" s="150">
        <v>41695.699999999997</v>
      </c>
      <c r="F22" s="150">
        <v>50367</v>
      </c>
      <c r="G22" s="150">
        <v>8671.2999999999993</v>
      </c>
      <c r="H22" s="191">
        <f>G22/E22</f>
        <v>0.20796628908976225</v>
      </c>
    </row>
    <row r="23" spans="1:10" ht="15.75">
      <c r="A23" s="149" t="s">
        <v>163</v>
      </c>
      <c r="B23" s="150">
        <v>60</v>
      </c>
      <c r="C23" s="150">
        <v>992.6</v>
      </c>
      <c r="D23" s="150">
        <v>1220.5999999999999</v>
      </c>
      <c r="E23" s="150">
        <v>59555.95</v>
      </c>
      <c r="F23" s="150">
        <v>73236</v>
      </c>
      <c r="G23" s="150">
        <v>13680.05</v>
      </c>
      <c r="H23" s="191">
        <f>G23/E23</f>
        <v>0.2297008107502273</v>
      </c>
      <c r="J23" s="188"/>
    </row>
    <row r="24" spans="1:10" ht="15.75">
      <c r="A24" s="149" t="s">
        <v>164</v>
      </c>
      <c r="B24" s="150">
        <v>7</v>
      </c>
      <c r="C24" s="150">
        <v>3506.83</v>
      </c>
      <c r="D24" s="150">
        <v>5528</v>
      </c>
      <c r="E24" s="150">
        <v>24547.8</v>
      </c>
      <c r="F24" s="150">
        <v>38696</v>
      </c>
      <c r="G24" s="150">
        <v>14148.2</v>
      </c>
      <c r="H24" s="191">
        <f>G24/E24</f>
        <v>0.57635307440992678</v>
      </c>
      <c r="J24" s="188"/>
    </row>
    <row r="25" spans="1:10" ht="15.75">
      <c r="A25" s="149" t="s">
        <v>165</v>
      </c>
      <c r="B25" s="150">
        <v>92</v>
      </c>
      <c r="C25" s="150">
        <v>359.33</v>
      </c>
      <c r="D25" s="150">
        <v>391.15</v>
      </c>
      <c r="E25" s="150">
        <v>33058.28</v>
      </c>
      <c r="F25" s="150">
        <v>35985.800000000003</v>
      </c>
      <c r="G25" s="150">
        <v>2927.52</v>
      </c>
      <c r="H25" s="191">
        <f>G25/E25</f>
        <v>8.8556331424381435E-2</v>
      </c>
    </row>
    <row r="26" spans="1:10" ht="15.75">
      <c r="A26" s="149" t="s">
        <v>166</v>
      </c>
      <c r="B26" s="150">
        <v>24</v>
      </c>
      <c r="C26" s="150">
        <v>2007.86</v>
      </c>
      <c r="D26" s="150">
        <v>2476.6</v>
      </c>
      <c r="E26" s="150">
        <v>48188.7</v>
      </c>
      <c r="F26" s="150">
        <v>59438.400000000001</v>
      </c>
      <c r="G26" s="150">
        <v>11249.7</v>
      </c>
      <c r="H26" s="191">
        <f>G26/E26</f>
        <v>0.23345099577286793</v>
      </c>
    </row>
    <row r="27" spans="1:10" ht="15.75">
      <c r="A27" s="149" t="s">
        <v>167</v>
      </c>
      <c r="B27" s="150">
        <v>35</v>
      </c>
      <c r="C27" s="150">
        <v>234.44</v>
      </c>
      <c r="D27" s="150">
        <v>3168.8</v>
      </c>
      <c r="E27" s="150">
        <v>8205.5300000000007</v>
      </c>
      <c r="F27" s="150">
        <v>110908</v>
      </c>
      <c r="G27" s="150">
        <v>102702.47</v>
      </c>
      <c r="H27" s="191">
        <f>G27/E27</f>
        <v>12.516250626102153</v>
      </c>
      <c r="J27" s="188"/>
    </row>
    <row r="28" spans="1:10" ht="15.75">
      <c r="A28" s="149" t="s">
        <v>168</v>
      </c>
      <c r="B28" s="150">
        <v>42</v>
      </c>
      <c r="C28" s="150">
        <v>664.74</v>
      </c>
      <c r="D28" s="150">
        <v>1805.5</v>
      </c>
      <c r="E28" s="150">
        <v>27918.9</v>
      </c>
      <c r="F28" s="150">
        <v>75831</v>
      </c>
      <c r="G28" s="150">
        <v>47912.1</v>
      </c>
      <c r="H28" s="191">
        <f>G28/E28</f>
        <v>1.7161170389950893</v>
      </c>
      <c r="J28" s="188"/>
    </row>
    <row r="29" spans="1:10" ht="15.75">
      <c r="A29" s="149" t="s">
        <v>169</v>
      </c>
      <c r="B29" s="150">
        <v>230</v>
      </c>
      <c r="C29" s="150">
        <v>189.67</v>
      </c>
      <c r="D29" s="150">
        <v>380.5</v>
      </c>
      <c r="E29" s="150">
        <v>43625.2</v>
      </c>
      <c r="F29" s="150">
        <v>87515</v>
      </c>
      <c r="G29" s="150">
        <v>43889.8</v>
      </c>
      <c r="H29" s="191">
        <f>G29/E29</f>
        <v>1.0060653017063534</v>
      </c>
      <c r="J29" s="188"/>
    </row>
    <row r="30" spans="1:10" ht="15.75">
      <c r="A30" s="149" t="s">
        <v>170</v>
      </c>
      <c r="B30" s="150">
        <v>351</v>
      </c>
      <c r="C30" s="150">
        <v>91.3</v>
      </c>
      <c r="D30" s="150">
        <v>196.06</v>
      </c>
      <c r="E30" s="150">
        <v>32046.16</v>
      </c>
      <c r="F30" s="150">
        <v>68817.06</v>
      </c>
      <c r="G30" s="150">
        <v>36770.9</v>
      </c>
      <c r="H30" s="191">
        <f>G30/E30</f>
        <v>1.147435449364292</v>
      </c>
    </row>
    <row r="31" spans="1:10" ht="15.75">
      <c r="A31" s="149" t="s">
        <v>172</v>
      </c>
      <c r="B31" s="150">
        <v>20</v>
      </c>
      <c r="C31" s="150">
        <v>1600.68</v>
      </c>
      <c r="D31" s="150">
        <v>2050.6</v>
      </c>
      <c r="E31" s="150">
        <v>32013.55</v>
      </c>
      <c r="F31" s="150">
        <v>41012</v>
      </c>
      <c r="G31" s="150">
        <v>8998.4500000000007</v>
      </c>
      <c r="H31" s="191">
        <f>G31/E31</f>
        <v>0.28108254161128648</v>
      </c>
      <c r="J31" s="188"/>
    </row>
    <row r="32" spans="1:10" ht="15.75">
      <c r="A32" s="149" t="s">
        <v>173</v>
      </c>
      <c r="B32" s="150">
        <v>1200</v>
      </c>
      <c r="C32" s="150">
        <v>81.55</v>
      </c>
      <c r="D32" s="150">
        <v>81.95</v>
      </c>
      <c r="E32" s="150">
        <v>97860.76</v>
      </c>
      <c r="F32" s="150">
        <v>98340</v>
      </c>
      <c r="G32" s="150">
        <v>479.24</v>
      </c>
      <c r="H32" s="191">
        <f>G32/E32</f>
        <v>4.8971620494261438E-3</v>
      </c>
      <c r="J32" s="188"/>
    </row>
    <row r="33" spans="1:10" ht="15.75">
      <c r="A33" s="149" t="s">
        <v>174</v>
      </c>
      <c r="B33" s="150">
        <v>74</v>
      </c>
      <c r="C33" s="150">
        <v>1149.02</v>
      </c>
      <c r="D33" s="150">
        <v>1452.95</v>
      </c>
      <c r="E33" s="150">
        <v>85027.5</v>
      </c>
      <c r="F33" s="150">
        <v>107518.3</v>
      </c>
      <c r="G33" s="150">
        <v>22490.799999999999</v>
      </c>
      <c r="H33" s="191">
        <f>G33/E33</f>
        <v>0.26451206962453322</v>
      </c>
    </row>
    <row r="34" spans="1:10" ht="15.75">
      <c r="A34" s="149" t="s">
        <v>175</v>
      </c>
      <c r="B34" s="150">
        <v>47</v>
      </c>
      <c r="C34" s="150">
        <v>1650.24</v>
      </c>
      <c r="D34" s="150">
        <v>2012.25</v>
      </c>
      <c r="E34" s="150">
        <v>77561.5</v>
      </c>
      <c r="F34" s="150">
        <v>94575.75</v>
      </c>
      <c r="G34" s="150">
        <v>17014.25</v>
      </c>
      <c r="H34" s="191">
        <f>G34/E34</f>
        <v>0.21936463322653635</v>
      </c>
    </row>
    <row r="35" spans="1:10" ht="15.75">
      <c r="A35" s="149" t="s">
        <v>176</v>
      </c>
      <c r="B35" s="150">
        <v>136</v>
      </c>
      <c r="C35" s="150">
        <v>596.66999999999996</v>
      </c>
      <c r="D35" s="150">
        <v>741.7</v>
      </c>
      <c r="E35" s="150">
        <v>81147.75</v>
      </c>
      <c r="F35" s="150">
        <v>100871.2</v>
      </c>
      <c r="G35" s="150">
        <v>19723.45</v>
      </c>
      <c r="H35" s="191">
        <f>G35/E35</f>
        <v>0.24305603051224464</v>
      </c>
    </row>
    <row r="36" spans="1:10" ht="15.75">
      <c r="A36" s="149" t="s">
        <v>177</v>
      </c>
      <c r="B36" s="150">
        <v>10</v>
      </c>
      <c r="C36" s="150">
        <v>3016.79</v>
      </c>
      <c r="D36" s="150">
        <v>4312.6499999999996</v>
      </c>
      <c r="E36" s="150">
        <v>30167.85</v>
      </c>
      <c r="F36" s="150">
        <v>43126.5</v>
      </c>
      <c r="G36" s="150">
        <v>12958.65</v>
      </c>
      <c r="H36" s="191">
        <f>G36/E36</f>
        <v>0.42955165847085558</v>
      </c>
      <c r="J36" s="188"/>
    </row>
    <row r="37" spans="1:10" ht="15.75">
      <c r="A37" s="149" t="s">
        <v>178</v>
      </c>
      <c r="B37" s="150">
        <v>59</v>
      </c>
      <c r="C37" s="150">
        <v>656.47</v>
      </c>
      <c r="D37" s="150">
        <v>1470.1</v>
      </c>
      <c r="E37" s="150">
        <v>38731.699999999997</v>
      </c>
      <c r="F37" s="150">
        <v>86735.9</v>
      </c>
      <c r="G37" s="150">
        <v>48004.2</v>
      </c>
      <c r="H37" s="191">
        <f>G37/E37</f>
        <v>1.2394033827588256</v>
      </c>
    </row>
    <row r="38" spans="1:10" ht="15.75">
      <c r="A38" s="149" t="s">
        <v>179</v>
      </c>
      <c r="B38" s="150">
        <v>54</v>
      </c>
      <c r="C38" s="150">
        <v>1308.5899999999999</v>
      </c>
      <c r="D38" s="150">
        <v>1868.05</v>
      </c>
      <c r="E38" s="150">
        <v>70664.100000000006</v>
      </c>
      <c r="F38" s="150">
        <v>100874.7</v>
      </c>
      <c r="G38" s="150">
        <v>30210.6</v>
      </c>
      <c r="H38" s="191">
        <f>G38/E38</f>
        <v>0.42752401856105143</v>
      </c>
      <c r="J38" s="188"/>
    </row>
    <row r="39" spans="1:10" ht="15.75">
      <c r="A39" s="149" t="s">
        <v>180</v>
      </c>
      <c r="B39" s="150">
        <v>118</v>
      </c>
      <c r="C39" s="150">
        <v>492.05</v>
      </c>
      <c r="D39" s="150">
        <v>601.04999999999995</v>
      </c>
      <c r="E39" s="150">
        <v>58062.35</v>
      </c>
      <c r="F39" s="150">
        <v>70923.899999999994</v>
      </c>
      <c r="G39" s="150">
        <v>12861.55</v>
      </c>
      <c r="H39" s="191">
        <f>G39/E39</f>
        <v>0.22151273587789677</v>
      </c>
      <c r="J39" s="188"/>
    </row>
    <row r="40" spans="1:10" ht="15.75">
      <c r="A40" s="149" t="s">
        <v>181</v>
      </c>
      <c r="B40" s="150">
        <v>65</v>
      </c>
      <c r="C40" s="150">
        <v>1576.72</v>
      </c>
      <c r="D40" s="150">
        <v>1470.6</v>
      </c>
      <c r="E40" s="150">
        <v>102486.6</v>
      </c>
      <c r="F40" s="150">
        <v>95589</v>
      </c>
      <c r="G40" s="150">
        <v>-6897.6</v>
      </c>
      <c r="H40" s="191">
        <f>G40/E40</f>
        <v>-6.7302457101708901E-2</v>
      </c>
    </row>
    <row r="41" spans="1:10" ht="15.75">
      <c r="A41" s="149" t="s">
        <v>182</v>
      </c>
      <c r="B41" s="150">
        <v>788</v>
      </c>
      <c r="C41" s="150">
        <v>206.55</v>
      </c>
      <c r="D41" s="150">
        <v>416.5</v>
      </c>
      <c r="E41" s="150">
        <v>162761.06</v>
      </c>
      <c r="F41" s="150">
        <v>328202</v>
      </c>
      <c r="G41" s="150">
        <v>165440.94</v>
      </c>
      <c r="H41" s="191">
        <f>G41/E41</f>
        <v>1.0164651176393174</v>
      </c>
      <c r="J41" s="188"/>
    </row>
    <row r="42" spans="1:10" ht="15.75">
      <c r="A42" s="149" t="s">
        <v>183</v>
      </c>
      <c r="B42" s="150">
        <v>45</v>
      </c>
      <c r="C42" s="150">
        <v>1006.05</v>
      </c>
      <c r="D42" s="150">
        <v>1738</v>
      </c>
      <c r="E42" s="150">
        <v>45272.45</v>
      </c>
      <c r="F42" s="150">
        <v>78210</v>
      </c>
      <c r="G42" s="150">
        <v>32937.550000000003</v>
      </c>
      <c r="H42" s="191">
        <f>G42/E42</f>
        <v>0.72754070080148092</v>
      </c>
      <c r="J42" s="188"/>
    </row>
    <row r="43" spans="1:10" ht="15.75">
      <c r="A43" s="149" t="s">
        <v>184</v>
      </c>
      <c r="B43" s="150">
        <v>254</v>
      </c>
      <c r="C43" s="150">
        <v>130.22</v>
      </c>
      <c r="D43" s="150">
        <v>259.75</v>
      </c>
      <c r="E43" s="150">
        <v>33076.239999999998</v>
      </c>
      <c r="F43" s="150">
        <v>65976.5</v>
      </c>
      <c r="G43" s="150">
        <v>32900.26</v>
      </c>
      <c r="H43" s="191">
        <f>G43/E43</f>
        <v>0.99467956454542605</v>
      </c>
      <c r="J43" s="188"/>
    </row>
    <row r="44" spans="1:10" ht="15.75">
      <c r="A44" s="149" t="s">
        <v>185</v>
      </c>
      <c r="B44" s="150">
        <v>57</v>
      </c>
      <c r="C44" s="150">
        <v>1778.4</v>
      </c>
      <c r="D44" s="150">
        <v>1992.4</v>
      </c>
      <c r="E44" s="150">
        <v>101368.55</v>
      </c>
      <c r="F44" s="150">
        <v>113566.8</v>
      </c>
      <c r="G44" s="150">
        <v>12198.25</v>
      </c>
      <c r="H44" s="191">
        <f>G44/E44</f>
        <v>0.12033564650969161</v>
      </c>
      <c r="J44" s="188"/>
    </row>
    <row r="45" spans="1:10" ht="15.75">
      <c r="A45" s="149" t="s">
        <v>186</v>
      </c>
      <c r="B45" s="150">
        <v>80</v>
      </c>
      <c r="C45" s="150">
        <v>814.86</v>
      </c>
      <c r="D45" s="150">
        <v>1206.5</v>
      </c>
      <c r="E45" s="150">
        <v>65188.75</v>
      </c>
      <c r="F45" s="150">
        <v>96520</v>
      </c>
      <c r="G45" s="150">
        <v>31331.25</v>
      </c>
      <c r="H45" s="191">
        <f>G45/E45</f>
        <v>0.48062357385285037</v>
      </c>
      <c r="J45" s="188"/>
    </row>
    <row r="46" spans="1:10" ht="15.75">
      <c r="A46" s="149" t="s">
        <v>187</v>
      </c>
      <c r="B46" s="150">
        <v>20</v>
      </c>
      <c r="C46" s="150">
        <v>2295.38</v>
      </c>
      <c r="D46" s="150">
        <v>3177.2</v>
      </c>
      <c r="E46" s="150">
        <v>45907.6</v>
      </c>
      <c r="F46" s="150">
        <v>63544</v>
      </c>
      <c r="G46" s="150">
        <v>17636.400000000001</v>
      </c>
      <c r="H46" s="191">
        <f>G46/E46</f>
        <v>0.38417168399132173</v>
      </c>
    </row>
    <row r="47" spans="1:10" ht="15.75">
      <c r="A47" s="149" t="s">
        <v>188</v>
      </c>
      <c r="B47" s="150">
        <v>62</v>
      </c>
      <c r="C47" s="150">
        <v>1053.22</v>
      </c>
      <c r="D47" s="150">
        <v>3589.65</v>
      </c>
      <c r="E47" s="150">
        <v>65299.35</v>
      </c>
      <c r="F47" s="150">
        <v>222558.3</v>
      </c>
      <c r="G47" s="150">
        <v>157258.95000000001</v>
      </c>
      <c r="H47" s="191">
        <f>G47/E47</f>
        <v>2.40827741776909</v>
      </c>
    </row>
    <row r="48" spans="1:10" ht="15.75">
      <c r="A48" s="149" t="s">
        <v>189</v>
      </c>
      <c r="B48" s="150">
        <v>10</v>
      </c>
      <c r="C48" s="150">
        <v>1189.6300000000001</v>
      </c>
      <c r="D48" s="150">
        <v>3160.2</v>
      </c>
      <c r="E48" s="150">
        <v>11896.3</v>
      </c>
      <c r="F48" s="150">
        <v>31602</v>
      </c>
      <c r="G48" s="150">
        <v>19705.7</v>
      </c>
      <c r="H48" s="191">
        <f>G48/E48</f>
        <v>1.6564562090734096</v>
      </c>
      <c r="J48" s="188"/>
    </row>
    <row r="49" spans="1:10" ht="15.75">
      <c r="A49" s="149" t="s">
        <v>190</v>
      </c>
      <c r="B49" s="150">
        <v>28</v>
      </c>
      <c r="C49" s="150">
        <v>2226.31</v>
      </c>
      <c r="D49" s="150">
        <v>2566.3000000000002</v>
      </c>
      <c r="E49" s="150">
        <v>62336.7</v>
      </c>
      <c r="F49" s="150">
        <v>71856.399999999994</v>
      </c>
      <c r="G49" s="150">
        <v>9519.7000000000007</v>
      </c>
      <c r="H49" s="191">
        <f>G49/E49</f>
        <v>0.1527142116923097</v>
      </c>
    </row>
    <row r="50" spans="1:10" ht="15.75">
      <c r="A50" s="149" t="s">
        <v>191</v>
      </c>
      <c r="B50" s="150">
        <v>73</v>
      </c>
      <c r="C50" s="150">
        <v>523.91</v>
      </c>
      <c r="D50" s="150">
        <v>709.95</v>
      </c>
      <c r="E50" s="150">
        <v>38245.25</v>
      </c>
      <c r="F50" s="150">
        <v>51826.35</v>
      </c>
      <c r="G50" s="150">
        <v>13581.1</v>
      </c>
      <c r="H50" s="191">
        <f>G50/E50</f>
        <v>0.3551055359815925</v>
      </c>
      <c r="J50" s="188"/>
    </row>
    <row r="51" spans="1:10" ht="15.75">
      <c r="A51" s="149" t="s">
        <v>192</v>
      </c>
      <c r="B51" s="150">
        <v>73</v>
      </c>
      <c r="C51" s="150">
        <v>735.56</v>
      </c>
      <c r="D51" s="150">
        <v>1472.5</v>
      </c>
      <c r="E51" s="150">
        <v>53696.15</v>
      </c>
      <c r="F51" s="150">
        <v>107492.5</v>
      </c>
      <c r="G51" s="150">
        <v>53796.35</v>
      </c>
      <c r="H51" s="191">
        <f>G51/E51</f>
        <v>1.0018660555738166</v>
      </c>
    </row>
    <row r="52" spans="1:10" ht="15.75">
      <c r="A52" s="149" t="s">
        <v>265</v>
      </c>
      <c r="B52" s="150">
        <v>75</v>
      </c>
      <c r="C52" s="150">
        <v>337.52</v>
      </c>
      <c r="D52" s="150">
        <v>413</v>
      </c>
      <c r="E52" s="150">
        <v>25314.17</v>
      </c>
      <c r="F52" s="150">
        <v>30975</v>
      </c>
      <c r="G52" s="150">
        <v>5660.83</v>
      </c>
      <c r="H52" s="191">
        <f>G52/E52</f>
        <v>0.22362297480027984</v>
      </c>
      <c r="J52" s="188"/>
    </row>
    <row r="53" spans="1:10" ht="15.75">
      <c r="A53" s="149" t="s">
        <v>194</v>
      </c>
      <c r="B53" s="150">
        <v>285</v>
      </c>
      <c r="C53" s="150">
        <v>51.08</v>
      </c>
      <c r="D53" s="150">
        <v>95.56</v>
      </c>
      <c r="E53" s="150">
        <v>14558.98</v>
      </c>
      <c r="F53" s="150">
        <v>27234.6</v>
      </c>
      <c r="G53" s="150">
        <v>12675.62</v>
      </c>
      <c r="H53" s="191">
        <f>G53/E53</f>
        <v>0.87063928929087075</v>
      </c>
      <c r="J53" s="188"/>
    </row>
    <row r="54" spans="1:10" ht="15.75">
      <c r="A54" s="149" t="s">
        <v>195</v>
      </c>
      <c r="B54" s="150">
        <v>33</v>
      </c>
      <c r="C54" s="150">
        <v>2284.62</v>
      </c>
      <c r="D54" s="150">
        <v>2757.4</v>
      </c>
      <c r="E54" s="150">
        <v>75392.600000000006</v>
      </c>
      <c r="F54" s="150">
        <v>90994.2</v>
      </c>
      <c r="G54" s="150">
        <v>15601.6</v>
      </c>
      <c r="H54" s="191">
        <f>G54/E54</f>
        <v>0.20693808145627024</v>
      </c>
      <c r="J54" s="188"/>
    </row>
    <row r="55" spans="1:10" ht="15.75">
      <c r="A55" s="149" t="s">
        <v>196</v>
      </c>
      <c r="B55" s="150">
        <v>9</v>
      </c>
      <c r="C55" s="150">
        <v>2162.65</v>
      </c>
      <c r="D55" s="150">
        <v>2274.6999999999998</v>
      </c>
      <c r="E55" s="150">
        <v>19463.849999999999</v>
      </c>
      <c r="F55" s="150">
        <v>20472.3</v>
      </c>
      <c r="G55" s="150">
        <v>1008.45</v>
      </c>
      <c r="H55" s="191">
        <f>G55/E55</f>
        <v>5.1811435044967984E-2</v>
      </c>
      <c r="J55" s="188"/>
    </row>
    <row r="56" spans="1:10" ht="15.75">
      <c r="A56" s="149" t="s">
        <v>197</v>
      </c>
      <c r="B56" s="150">
        <v>207</v>
      </c>
      <c r="C56" s="150">
        <v>127.65</v>
      </c>
      <c r="D56" s="150">
        <v>147.47</v>
      </c>
      <c r="E56" s="150">
        <v>26423.5</v>
      </c>
      <c r="F56" s="150">
        <v>30526.29</v>
      </c>
      <c r="G56" s="150">
        <v>4102.79</v>
      </c>
      <c r="H56" s="191">
        <f>G56/E56</f>
        <v>0.15527049785229058</v>
      </c>
      <c r="J56" s="188"/>
    </row>
    <row r="57" spans="1:10" ht="15.75">
      <c r="A57" s="149" t="s">
        <v>198</v>
      </c>
      <c r="B57" s="150">
        <v>80</v>
      </c>
      <c r="C57" s="150">
        <v>621.89</v>
      </c>
      <c r="D57" s="150">
        <v>1589.4</v>
      </c>
      <c r="E57" s="150">
        <v>49751.05</v>
      </c>
      <c r="F57" s="150">
        <v>127152</v>
      </c>
      <c r="G57" s="150">
        <v>77400.95</v>
      </c>
      <c r="H57" s="191">
        <f>G57/E57</f>
        <v>1.5557651547052773</v>
      </c>
      <c r="J57" s="188"/>
    </row>
    <row r="58" spans="1:10" ht="15.75">
      <c r="A58" s="149" t="s">
        <v>199</v>
      </c>
      <c r="B58" s="150">
        <v>10</v>
      </c>
      <c r="C58" s="150">
        <v>4342.57</v>
      </c>
      <c r="D58" s="150">
        <v>8378.5</v>
      </c>
      <c r="E58" s="150">
        <v>43425.7</v>
      </c>
      <c r="F58" s="150">
        <v>83785</v>
      </c>
      <c r="G58" s="150">
        <v>40359.300000000003</v>
      </c>
      <c r="H58" s="191">
        <f>G58/E58</f>
        <v>0.9293874364719511</v>
      </c>
      <c r="J58" s="188"/>
    </row>
    <row r="59" spans="1:10" ht="15.75">
      <c r="A59" s="149" t="s">
        <v>200</v>
      </c>
      <c r="B59" s="150">
        <v>300</v>
      </c>
      <c r="C59" s="150">
        <v>82.33</v>
      </c>
      <c r="D59" s="150">
        <v>236.85</v>
      </c>
      <c r="E59" s="150">
        <v>24700</v>
      </c>
      <c r="F59" s="150">
        <v>71055</v>
      </c>
      <c r="G59" s="150">
        <v>46355</v>
      </c>
      <c r="H59" s="191">
        <f>G59/E59</f>
        <v>1.8767206477732794</v>
      </c>
    </row>
    <row r="60" spans="1:10" ht="15.75">
      <c r="A60" s="149" t="s">
        <v>201</v>
      </c>
      <c r="B60" s="150">
        <v>16</v>
      </c>
      <c r="C60" s="150">
        <v>2003.97</v>
      </c>
      <c r="D60" s="150">
        <v>5061.5</v>
      </c>
      <c r="E60" s="150">
        <v>32063.45</v>
      </c>
      <c r="F60" s="150">
        <v>80984</v>
      </c>
      <c r="G60" s="150">
        <v>48920.55</v>
      </c>
      <c r="H60" s="191">
        <f>G60/E60</f>
        <v>1.5257419273347068</v>
      </c>
      <c r="J60" s="188"/>
    </row>
    <row r="61" spans="1:10" ht="15.75">
      <c r="A61" s="149" t="s">
        <v>202</v>
      </c>
      <c r="B61" s="150">
        <v>31</v>
      </c>
      <c r="C61" s="150">
        <v>603.24</v>
      </c>
      <c r="D61" s="150">
        <v>1454</v>
      </c>
      <c r="E61" s="150">
        <v>18700.45</v>
      </c>
      <c r="F61" s="150">
        <v>45074</v>
      </c>
      <c r="G61" s="150">
        <v>26373.55</v>
      </c>
      <c r="H61" s="191">
        <f>G61/E61</f>
        <v>1.4103163292861935</v>
      </c>
    </row>
    <row r="62" spans="1:10" ht="15.75">
      <c r="A62" s="149" t="s">
        <v>203</v>
      </c>
      <c r="B62" s="150">
        <v>30</v>
      </c>
      <c r="C62" s="150">
        <v>2499.15</v>
      </c>
      <c r="D62" s="150">
        <v>2852.1</v>
      </c>
      <c r="E62" s="150">
        <v>74974.350000000006</v>
      </c>
      <c r="F62" s="150">
        <v>85563</v>
      </c>
      <c r="G62" s="150">
        <v>10588.65</v>
      </c>
      <c r="H62" s="191">
        <f>G62/E62</f>
        <v>0.14123030076286089</v>
      </c>
      <c r="J62" s="188"/>
    </row>
    <row r="63" spans="1:10" ht="15.75">
      <c r="A63" s="149" t="s">
        <v>204</v>
      </c>
      <c r="B63" s="150">
        <v>33</v>
      </c>
      <c r="C63" s="150">
        <v>761.09</v>
      </c>
      <c r="D63" s="150">
        <v>1597.95</v>
      </c>
      <c r="E63" s="150">
        <v>25116</v>
      </c>
      <c r="F63" s="150">
        <v>52732.35</v>
      </c>
      <c r="G63" s="150">
        <v>27616.35</v>
      </c>
      <c r="H63" s="191">
        <f>G63/E63</f>
        <v>1.0995520783564261</v>
      </c>
      <c r="J63" s="188"/>
    </row>
    <row r="64" spans="1:10" ht="16.5">
      <c r="A64" s="149" t="s">
        <v>205</v>
      </c>
      <c r="B64" s="150">
        <v>20</v>
      </c>
      <c r="C64" s="150">
        <v>0</v>
      </c>
      <c r="D64" s="150">
        <v>1099.9000000000001</v>
      </c>
      <c r="E64" s="150">
        <v>20000</v>
      </c>
      <c r="F64" s="150">
        <v>21998</v>
      </c>
      <c r="G64" s="150">
        <f>F64-E64</f>
        <v>1998</v>
      </c>
      <c r="H64" s="191"/>
    </row>
    <row r="65" spans="1:10" ht="15.75">
      <c r="A65" s="149" t="s">
        <v>206</v>
      </c>
      <c r="B65" s="150">
        <v>54</v>
      </c>
      <c r="C65" s="150">
        <v>1278.8599999999999</v>
      </c>
      <c r="D65" s="150">
        <v>1801.4</v>
      </c>
      <c r="E65" s="150">
        <v>69058.3</v>
      </c>
      <c r="F65" s="150">
        <v>97275.6</v>
      </c>
      <c r="G65" s="150">
        <v>28217.3</v>
      </c>
      <c r="H65" s="191">
        <f>G65/E65</f>
        <v>0.40860113845837498</v>
      </c>
      <c r="J65" s="188"/>
    </row>
    <row r="66" spans="1:10" ht="15.75">
      <c r="A66" s="149" t="s">
        <v>207</v>
      </c>
      <c r="B66" s="150">
        <v>66</v>
      </c>
      <c r="C66" s="150">
        <v>426.28</v>
      </c>
      <c r="D66" s="150">
        <v>794</v>
      </c>
      <c r="E66" s="150">
        <v>28134.5</v>
      </c>
      <c r="F66" s="150">
        <v>52404</v>
      </c>
      <c r="G66" s="150">
        <v>24269.5</v>
      </c>
      <c r="H66" s="191">
        <f>G66/E66</f>
        <v>0.86262418027688426</v>
      </c>
    </row>
    <row r="67" spans="1:10" ht="15.75">
      <c r="A67" s="149" t="s">
        <v>262</v>
      </c>
      <c r="B67" s="150">
        <v>10</v>
      </c>
      <c r="C67" s="150">
        <v>5284</v>
      </c>
      <c r="D67" s="150">
        <v>9964.89</v>
      </c>
      <c r="E67" s="150">
        <v>52840</v>
      </c>
      <c r="F67" s="150">
        <v>99648.9</v>
      </c>
      <c r="G67" s="150">
        <v>46808.9</v>
      </c>
      <c r="H67" s="191">
        <f>G67/E67</f>
        <v>0.8858610900832703</v>
      </c>
      <c r="J67" s="188"/>
    </row>
    <row r="68" spans="1:10" ht="15.75">
      <c r="A68" s="149" t="s">
        <v>209</v>
      </c>
      <c r="B68" s="150">
        <v>5</v>
      </c>
      <c r="C68" s="150">
        <v>4802</v>
      </c>
      <c r="D68" s="150">
        <v>9914</v>
      </c>
      <c r="E68" s="150">
        <v>24010</v>
      </c>
      <c r="F68" s="150">
        <v>49570</v>
      </c>
      <c r="G68" s="150">
        <v>25560</v>
      </c>
      <c r="H68" s="191">
        <f>G68/E68</f>
        <v>1.0645564348188254</v>
      </c>
      <c r="J68" s="188"/>
    </row>
    <row r="69" spans="1:10" ht="15.75">
      <c r="A69" s="149" t="s">
        <v>261</v>
      </c>
      <c r="B69" s="150">
        <v>10</v>
      </c>
      <c r="C69" s="150">
        <v>5002.45</v>
      </c>
      <c r="D69" s="150">
        <v>9964.98</v>
      </c>
      <c r="E69" s="150">
        <v>50024.5</v>
      </c>
      <c r="F69" s="150">
        <v>99649.8</v>
      </c>
      <c r="G69" s="150">
        <v>49625.3</v>
      </c>
      <c r="H69" s="191">
        <f>G69/E69</f>
        <v>0.99201991024398051</v>
      </c>
      <c r="J69" s="188"/>
    </row>
    <row r="70" spans="1:10" ht="15.75">
      <c r="A70" s="149" t="s">
        <v>211</v>
      </c>
      <c r="B70" s="150">
        <v>35</v>
      </c>
      <c r="C70" s="150">
        <v>749.79</v>
      </c>
      <c r="D70" s="150">
        <v>3023.6</v>
      </c>
      <c r="E70" s="150">
        <v>26242.52</v>
      </c>
      <c r="F70" s="150">
        <v>105826</v>
      </c>
      <c r="G70" s="150">
        <v>79583.48</v>
      </c>
      <c r="H70" s="191">
        <f>G70/E70</f>
        <v>3.0326157701318315</v>
      </c>
      <c r="J70" s="188"/>
    </row>
    <row r="71" spans="1:10" ht="15.75">
      <c r="A71" s="149" t="s">
        <v>212</v>
      </c>
      <c r="B71" s="150">
        <v>139</v>
      </c>
      <c r="C71" s="150">
        <v>582.57000000000005</v>
      </c>
      <c r="D71" s="150">
        <v>1629.7</v>
      </c>
      <c r="E71" s="150">
        <v>80977.149999999994</v>
      </c>
      <c r="F71" s="150">
        <v>226528.3</v>
      </c>
      <c r="G71" s="150">
        <v>145551.15</v>
      </c>
      <c r="H71" s="191">
        <f>G71/E71</f>
        <v>1.7974348319248086</v>
      </c>
      <c r="J71" s="188"/>
    </row>
    <row r="72" spans="1:10" ht="15.75">
      <c r="A72" s="149" t="s">
        <v>213</v>
      </c>
      <c r="B72" s="150">
        <v>75</v>
      </c>
      <c r="C72" s="150">
        <v>581.84</v>
      </c>
      <c r="D72" s="150">
        <v>703.25</v>
      </c>
      <c r="E72" s="150">
        <v>43638</v>
      </c>
      <c r="F72" s="150">
        <v>52743.75</v>
      </c>
      <c r="G72" s="150">
        <v>9105.75</v>
      </c>
      <c r="H72" s="191">
        <f>G72/E72</f>
        <v>0.20866561253952975</v>
      </c>
      <c r="J72" s="188"/>
    </row>
    <row r="73" spans="1:10" ht="15.75">
      <c r="A73" s="149" t="s">
        <v>214</v>
      </c>
      <c r="B73" s="150">
        <v>46</v>
      </c>
      <c r="C73" s="150">
        <v>794.51</v>
      </c>
      <c r="D73" s="150">
        <v>1070.4000000000001</v>
      </c>
      <c r="E73" s="150">
        <v>36547.300000000003</v>
      </c>
      <c r="F73" s="150">
        <v>49238.400000000001</v>
      </c>
      <c r="G73" s="150">
        <v>12691.1</v>
      </c>
      <c r="H73" s="191">
        <f>G73/E73</f>
        <v>0.34725137014225399</v>
      </c>
    </row>
    <row r="74" spans="1:10" ht="15.75">
      <c r="A74" s="149" t="s">
        <v>267</v>
      </c>
      <c r="B74" s="150">
        <v>570</v>
      </c>
      <c r="C74" s="150">
        <v>202.51</v>
      </c>
      <c r="D74" s="150">
        <v>648.85</v>
      </c>
      <c r="E74" s="150">
        <v>115432.73</v>
      </c>
      <c r="F74" s="150">
        <v>369844.5</v>
      </c>
      <c r="G74" s="150">
        <v>254411.77</v>
      </c>
      <c r="H74" s="191">
        <f>G74/E74</f>
        <v>2.2039829604653725</v>
      </c>
      <c r="J74" s="188"/>
    </row>
    <row r="75" spans="1:10" ht="15.75">
      <c r="A75" s="149" t="s">
        <v>215</v>
      </c>
      <c r="B75" s="150">
        <v>1050</v>
      </c>
      <c r="C75" s="150">
        <v>40.479999999999997</v>
      </c>
      <c r="D75" s="150">
        <v>153</v>
      </c>
      <c r="E75" s="150">
        <v>42500.25</v>
      </c>
      <c r="F75" s="150">
        <v>160650</v>
      </c>
      <c r="G75" s="150">
        <v>118149.75</v>
      </c>
      <c r="H75" s="191">
        <f>G75/E75</f>
        <v>2.7799777648366772</v>
      </c>
      <c r="J75" s="188"/>
    </row>
    <row r="76" spans="1:10" ht="15.75">
      <c r="A76" s="149" t="s">
        <v>216</v>
      </c>
      <c r="B76" s="150">
        <v>33</v>
      </c>
      <c r="C76" s="150">
        <v>3575.9</v>
      </c>
      <c r="D76" s="150">
        <v>3003.1</v>
      </c>
      <c r="E76" s="150">
        <v>118004.55</v>
      </c>
      <c r="F76" s="150">
        <v>99102.3</v>
      </c>
      <c r="G76" s="150">
        <v>-18902.25</v>
      </c>
      <c r="H76" s="191">
        <f>G76/E76</f>
        <v>-0.16018238279795144</v>
      </c>
      <c r="J76" s="188"/>
    </row>
    <row r="77" spans="1:10" ht="15.75">
      <c r="A77" s="149" t="s">
        <v>217</v>
      </c>
      <c r="B77" s="150">
        <v>24</v>
      </c>
      <c r="C77" s="150">
        <v>2584.4</v>
      </c>
      <c r="D77" s="150">
        <v>3316</v>
      </c>
      <c r="E77" s="150">
        <v>62025.599999999999</v>
      </c>
      <c r="F77" s="150">
        <v>79584</v>
      </c>
      <c r="G77" s="150">
        <v>17558.400000000001</v>
      </c>
      <c r="H77" s="191">
        <f>G77/E77</f>
        <v>0.28308311406902958</v>
      </c>
    </row>
    <row r="78" spans="1:10" ht="15.75">
      <c r="A78" s="149" t="s">
        <v>219</v>
      </c>
      <c r="B78" s="150">
        <v>14</v>
      </c>
      <c r="C78" s="150">
        <v>2306.8200000000002</v>
      </c>
      <c r="D78" s="150">
        <v>2870</v>
      </c>
      <c r="E78" s="150">
        <v>32295.45</v>
      </c>
      <c r="F78" s="150">
        <v>40180</v>
      </c>
      <c r="G78" s="150">
        <v>7884.55</v>
      </c>
      <c r="H78" s="191">
        <f>G78/E78</f>
        <v>0.24413810614188686</v>
      </c>
    </row>
    <row r="79" spans="1:10" ht="15.75">
      <c r="A79" s="149" t="s">
        <v>220</v>
      </c>
      <c r="B79" s="150">
        <v>30</v>
      </c>
      <c r="C79" s="150">
        <v>373.77</v>
      </c>
      <c r="D79" s="150">
        <v>1040.8</v>
      </c>
      <c r="E79" s="150">
        <v>11213.05</v>
      </c>
      <c r="F79" s="150">
        <v>31224</v>
      </c>
      <c r="G79" s="150">
        <v>20010.95</v>
      </c>
      <c r="H79" s="191">
        <f>G79/E79</f>
        <v>1.7846125719585664</v>
      </c>
    </row>
    <row r="80" spans="1:10" ht="15.75">
      <c r="A80" s="149" t="s">
        <v>221</v>
      </c>
      <c r="B80" s="150">
        <v>110</v>
      </c>
      <c r="C80" s="150">
        <v>130.18</v>
      </c>
      <c r="D80" s="150">
        <v>511.9</v>
      </c>
      <c r="E80" s="150">
        <v>14319.65</v>
      </c>
      <c r="F80" s="150">
        <v>56309</v>
      </c>
      <c r="G80" s="150">
        <v>41989.35</v>
      </c>
      <c r="H80" s="191">
        <f>G80/E80</f>
        <v>2.9322888478419515</v>
      </c>
      <c r="J80" s="188"/>
    </row>
    <row r="81" spans="1:10" ht="15.75">
      <c r="A81" s="149" t="s">
        <v>222</v>
      </c>
      <c r="B81" s="150">
        <v>54</v>
      </c>
      <c r="C81" s="150">
        <v>896.15</v>
      </c>
      <c r="D81" s="150">
        <v>949.95</v>
      </c>
      <c r="E81" s="150">
        <v>48392.1</v>
      </c>
      <c r="F81" s="150">
        <v>51297.3</v>
      </c>
      <c r="G81" s="150">
        <v>2905.2</v>
      </c>
      <c r="H81" s="191">
        <f>G81/E81</f>
        <v>6.0034592423143442E-2</v>
      </c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17991</v>
      </c>
      <c r="C104" s="45"/>
      <c r="D104" s="45"/>
      <c r="E104" s="45">
        <f>SUM(E2:E103)</f>
        <v>4156378.1500000004</v>
      </c>
      <c r="F104" s="45">
        <f>SUM(F2:F103)</f>
        <v>7193376.0199999986</v>
      </c>
      <c r="G104" s="45">
        <f>SUM(G2:G103)</f>
        <v>3036997.8699999996</v>
      </c>
      <c r="H104" s="176">
        <f>G104/E104</f>
        <v>0.73068372520435831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3666-3720-4E50-A985-37826A50B928}">
  <dimension ref="A1:J22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56785.178999999996</v>
      </c>
      <c r="D2">
        <v>9.0500000000000007</v>
      </c>
      <c r="E2">
        <v>7.9260000000000002</v>
      </c>
      <c r="F2" s="188">
        <v>450077.50520000001</v>
      </c>
      <c r="G2" s="188">
        <v>513905.87</v>
      </c>
      <c r="H2" s="188">
        <v>63828.364800000003</v>
      </c>
      <c r="I2" s="192">
        <f>H2/F2</f>
        <v>0.14181638509491098</v>
      </c>
    </row>
    <row r="3" spans="1:9">
      <c r="A3" s="168" t="s">
        <v>234</v>
      </c>
      <c r="B3" s="210" t="s">
        <v>235</v>
      </c>
      <c r="C3" s="188">
        <v>4080.9659999999999</v>
      </c>
      <c r="D3">
        <v>129.88</v>
      </c>
      <c r="E3">
        <v>68.607799999999997</v>
      </c>
      <c r="F3" s="188">
        <v>279986.10960000003</v>
      </c>
      <c r="G3" s="188">
        <v>530035.86410000001</v>
      </c>
      <c r="H3" s="188">
        <v>250049.75450000001</v>
      </c>
      <c r="I3" s="192">
        <f t="shared" ref="I3:I22" si="0">H3/F3</f>
        <v>0.89307914188040127</v>
      </c>
    </row>
    <row r="4" spans="1:9">
      <c r="A4" s="168" t="s">
        <v>236</v>
      </c>
      <c r="B4" s="210" t="s">
        <v>237</v>
      </c>
      <c r="C4" s="188">
        <v>14235.332</v>
      </c>
      <c r="D4">
        <v>122.17</v>
      </c>
      <c r="E4">
        <v>47.766100000000002</v>
      </c>
      <c r="F4" s="188">
        <v>679966.92570000002</v>
      </c>
      <c r="G4" s="188">
        <v>1739130.5104</v>
      </c>
      <c r="H4" s="188">
        <v>1059163.5848000001</v>
      </c>
      <c r="I4" s="192">
        <f t="shared" si="0"/>
        <v>1.5576692700304968</v>
      </c>
    </row>
    <row r="5" spans="1:9">
      <c r="A5" s="168" t="s">
        <v>238</v>
      </c>
      <c r="B5" s="210" t="s">
        <v>237</v>
      </c>
      <c r="C5" s="188">
        <v>30844.641</v>
      </c>
      <c r="D5">
        <v>42.62</v>
      </c>
      <c r="E5">
        <v>33.229399999999998</v>
      </c>
      <c r="F5" s="188">
        <v>1024948.7568</v>
      </c>
      <c r="G5" s="188">
        <v>1314598.5993999999</v>
      </c>
      <c r="H5" s="188">
        <v>289649.84259999997</v>
      </c>
      <c r="I5" s="192">
        <f t="shared" si="0"/>
        <v>0.28259934038489676</v>
      </c>
    </row>
    <row r="6" spans="1:9">
      <c r="A6" s="168" t="s">
        <v>268</v>
      </c>
      <c r="B6" s="210" t="s">
        <v>269</v>
      </c>
      <c r="C6">
        <v>29.238</v>
      </c>
      <c r="D6" s="188">
        <v>3425.0524</v>
      </c>
      <c r="E6" s="188">
        <v>3420.0466000000001</v>
      </c>
      <c r="F6" s="188">
        <v>99995.322499999995</v>
      </c>
      <c r="G6" s="188">
        <v>100141.68210000001</v>
      </c>
      <c r="H6">
        <v>146.3596</v>
      </c>
      <c r="I6" s="192">
        <f t="shared" si="0"/>
        <v>1.4636644629052525E-3</v>
      </c>
    </row>
    <row r="7" spans="1:9">
      <c r="A7" s="168" t="s">
        <v>239</v>
      </c>
      <c r="B7" s="210" t="s">
        <v>233</v>
      </c>
      <c r="C7" s="188">
        <v>11529.111999999999</v>
      </c>
      <c r="D7">
        <v>31.847799999999999</v>
      </c>
      <c r="E7">
        <v>26.8871</v>
      </c>
      <c r="F7" s="188">
        <v>309984.52240000002</v>
      </c>
      <c r="G7" s="188">
        <v>367176.85320000001</v>
      </c>
      <c r="H7" s="188">
        <v>57192.330699999999</v>
      </c>
      <c r="I7" s="192">
        <f t="shared" si="0"/>
        <v>0.18450060105323501</v>
      </c>
    </row>
    <row r="8" spans="1:9">
      <c r="A8" s="168" t="s">
        <v>240</v>
      </c>
      <c r="B8" s="210" t="s">
        <v>241</v>
      </c>
      <c r="C8" s="188">
        <v>1857.5519999999999</v>
      </c>
      <c r="D8">
        <v>764.75250000000005</v>
      </c>
      <c r="E8">
        <v>366.02140000000003</v>
      </c>
      <c r="F8" s="188">
        <v>679903.69869999995</v>
      </c>
      <c r="G8" s="188">
        <v>1420567.5359</v>
      </c>
      <c r="H8" s="188">
        <v>740663.83719999995</v>
      </c>
      <c r="I8" s="192">
        <f t="shared" si="0"/>
        <v>1.0893658007982241</v>
      </c>
    </row>
    <row r="9" spans="1:9">
      <c r="A9" s="168" t="s">
        <v>242</v>
      </c>
      <c r="B9" s="210" t="s">
        <v>237</v>
      </c>
      <c r="C9" s="188">
        <v>4306.576</v>
      </c>
      <c r="D9">
        <v>158.81</v>
      </c>
      <c r="E9">
        <v>44.3917</v>
      </c>
      <c r="F9" s="188">
        <v>191176.2298</v>
      </c>
      <c r="G9" s="188">
        <v>683927.33459999994</v>
      </c>
      <c r="H9" s="188">
        <v>492751.10470000003</v>
      </c>
      <c r="I9" s="192">
        <f t="shared" si="0"/>
        <v>2.5774705632363091</v>
      </c>
    </row>
    <row r="10" spans="1:9">
      <c r="A10" s="168" t="s">
        <v>243</v>
      </c>
      <c r="B10" s="210" t="s">
        <v>235</v>
      </c>
      <c r="C10" s="188">
        <v>5805.7370000000001</v>
      </c>
      <c r="D10">
        <v>155.876</v>
      </c>
      <c r="E10">
        <v>41.940399999999997</v>
      </c>
      <c r="F10" s="188">
        <v>243495.1642</v>
      </c>
      <c r="G10" s="188">
        <v>904975.06059999997</v>
      </c>
      <c r="H10" s="188">
        <v>661479.89639999997</v>
      </c>
      <c r="I10" s="192">
        <f t="shared" si="0"/>
        <v>2.7166038330711126</v>
      </c>
    </row>
    <row r="11" spans="1:9">
      <c r="A11" s="168" t="s">
        <v>244</v>
      </c>
      <c r="B11" s="210" t="s">
        <v>233</v>
      </c>
      <c r="C11" s="188">
        <v>13136.35</v>
      </c>
      <c r="D11">
        <v>43.200299999999999</v>
      </c>
      <c r="E11">
        <v>29.687100000000001</v>
      </c>
      <c r="F11" s="188">
        <v>389980.446</v>
      </c>
      <c r="G11" s="188">
        <v>567494.26089999999</v>
      </c>
      <c r="H11" s="188">
        <v>177513.8149</v>
      </c>
      <c r="I11" s="192">
        <f t="shared" si="0"/>
        <v>0.45518645029704902</v>
      </c>
    </row>
    <row r="12" spans="1:9">
      <c r="A12" s="168" t="s">
        <v>246</v>
      </c>
      <c r="B12" s="210" t="s">
        <v>241</v>
      </c>
      <c r="C12" s="188">
        <v>81746.4715</v>
      </c>
      <c r="D12">
        <v>16.051100000000002</v>
      </c>
      <c r="E12">
        <v>13.094799999999999</v>
      </c>
      <c r="F12" s="188">
        <v>1070457.023</v>
      </c>
      <c r="G12" s="188">
        <v>1312120.7886999999</v>
      </c>
      <c r="H12" s="188">
        <v>241663.76569999999</v>
      </c>
      <c r="I12" s="192">
        <f t="shared" si="0"/>
        <v>0.22575756009589931</v>
      </c>
    </row>
    <row r="13" spans="1:9">
      <c r="A13" s="168" t="s">
        <v>247</v>
      </c>
      <c r="B13" s="210" t="s">
        <v>241</v>
      </c>
      <c r="C13" s="188">
        <v>46779.584000000003</v>
      </c>
      <c r="D13">
        <v>15.686500000000001</v>
      </c>
      <c r="E13">
        <v>14.1187</v>
      </c>
      <c r="F13" s="188">
        <v>660466.97759999998</v>
      </c>
      <c r="G13" s="188">
        <v>733807.94440000004</v>
      </c>
      <c r="H13" s="188">
        <v>73340.966799999995</v>
      </c>
      <c r="I13" s="192">
        <f t="shared" si="0"/>
        <v>0.11104410861918616</v>
      </c>
    </row>
    <row r="14" spans="1:9">
      <c r="A14" s="168" t="s">
        <v>263</v>
      </c>
      <c r="B14" s="210" t="s">
        <v>233</v>
      </c>
      <c r="C14" s="188">
        <v>82131.043999999994</v>
      </c>
      <c r="D14">
        <v>18.1279</v>
      </c>
      <c r="E14">
        <v>9.9227000000000007</v>
      </c>
      <c r="F14" s="188">
        <v>814959.2439</v>
      </c>
      <c r="G14" s="188">
        <v>1488863.3525</v>
      </c>
      <c r="H14" s="188">
        <v>673904.10869999998</v>
      </c>
      <c r="I14" s="192">
        <f t="shared" si="0"/>
        <v>0.82691755906101694</v>
      </c>
    </row>
    <row r="15" spans="1:9">
      <c r="A15" s="168" t="s">
        <v>248</v>
      </c>
      <c r="B15" s="210" t="s">
        <v>249</v>
      </c>
      <c r="C15" s="188">
        <v>21675.284</v>
      </c>
      <c r="D15">
        <v>9.3446999999999996</v>
      </c>
      <c r="E15">
        <v>9.2728000000000002</v>
      </c>
      <c r="F15" s="188">
        <v>200989.94990000001</v>
      </c>
      <c r="G15" s="188">
        <v>202549.0264</v>
      </c>
      <c r="H15" s="188">
        <v>1559.0764999999999</v>
      </c>
      <c r="I15" s="192">
        <f t="shared" si="0"/>
        <v>7.7569873557145445E-3</v>
      </c>
    </row>
    <row r="16" spans="1:9">
      <c r="A16" s="168" t="s">
        <v>250</v>
      </c>
      <c r="B16" s="210" t="s">
        <v>251</v>
      </c>
      <c r="C16" s="188">
        <v>19397.659</v>
      </c>
      <c r="D16">
        <v>92.160200000000003</v>
      </c>
      <c r="E16">
        <v>44.640599999999999</v>
      </c>
      <c r="F16" s="188">
        <v>865923.00470000005</v>
      </c>
      <c r="G16" s="188">
        <v>1787692.1329999999</v>
      </c>
      <c r="H16" s="188">
        <v>921769.12829999998</v>
      </c>
      <c r="I16" s="192">
        <f t="shared" si="0"/>
        <v>1.0644931746782127</v>
      </c>
    </row>
    <row r="17" spans="1:10">
      <c r="A17" s="168" t="s">
        <v>252</v>
      </c>
      <c r="B17" s="210" t="s">
        <v>233</v>
      </c>
      <c r="C17" s="188">
        <v>6809.741</v>
      </c>
      <c r="D17">
        <v>50.61</v>
      </c>
      <c r="E17">
        <v>35.241999999999997</v>
      </c>
      <c r="F17" s="188">
        <v>239988.8371</v>
      </c>
      <c r="G17" s="188">
        <v>344640.99200000003</v>
      </c>
      <c r="H17" s="188">
        <v>104652.15489999999</v>
      </c>
      <c r="I17" s="192">
        <f t="shared" si="0"/>
        <v>0.43607092798400826</v>
      </c>
    </row>
    <row r="18" spans="1:10">
      <c r="A18" s="168" t="s">
        <v>253</v>
      </c>
      <c r="B18" s="210" t="s">
        <v>235</v>
      </c>
      <c r="C18" s="188">
        <v>5481.1360000000004</v>
      </c>
      <c r="D18">
        <v>235.53399999999999</v>
      </c>
      <c r="E18">
        <v>200.74350000000001</v>
      </c>
      <c r="F18" s="188">
        <v>1100302.2501999999</v>
      </c>
      <c r="G18" s="188">
        <v>1290993.8866000001</v>
      </c>
      <c r="H18" s="188">
        <v>190691.63639999999</v>
      </c>
      <c r="I18" s="192">
        <f t="shared" si="0"/>
        <v>0.17330841263419966</v>
      </c>
    </row>
    <row r="19" spans="1:10">
      <c r="A19" s="168" t="s">
        <v>254</v>
      </c>
      <c r="B19" s="210" t="s">
        <v>237</v>
      </c>
      <c r="C19">
        <v>489.44499999999999</v>
      </c>
      <c r="D19">
        <v>274.56720000000001</v>
      </c>
      <c r="E19">
        <v>255.3785</v>
      </c>
      <c r="F19" s="188">
        <v>124993.753</v>
      </c>
      <c r="G19" s="188">
        <v>134385.54319999999</v>
      </c>
      <c r="H19" s="188">
        <v>9391.7901999999995</v>
      </c>
      <c r="I19" s="192">
        <f t="shared" si="0"/>
        <v>7.5138076700521181E-2</v>
      </c>
    </row>
    <row r="20" spans="1:10">
      <c r="A20" s="168" t="s">
        <v>255</v>
      </c>
      <c r="B20" s="210" t="s">
        <v>241</v>
      </c>
      <c r="C20" s="188">
        <v>18996.168000000001</v>
      </c>
      <c r="D20">
        <v>24.4224</v>
      </c>
      <c r="E20">
        <v>9.4700000000000006</v>
      </c>
      <c r="F20" s="188">
        <v>179893.71100000001</v>
      </c>
      <c r="G20" s="188">
        <v>463932.0134</v>
      </c>
      <c r="H20" s="188">
        <v>284038.30239999999</v>
      </c>
      <c r="I20" s="192">
        <f t="shared" si="0"/>
        <v>1.5789229140978696</v>
      </c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426117.21549999993</v>
      </c>
      <c r="D22" s="75"/>
      <c r="E22" s="75"/>
      <c r="F22" s="75">
        <f t="shared" ref="F22:H22" si="1">SUM(F2:F21)</f>
        <v>9607489.4313000012</v>
      </c>
      <c r="G22" s="75">
        <f t="shared" si="1"/>
        <v>15900939.251399998</v>
      </c>
      <c r="H22" s="75">
        <f t="shared" si="1"/>
        <v>6293449.820100002</v>
      </c>
      <c r="I22" s="53">
        <f t="shared" si="0"/>
        <v>0.65505664774365802</v>
      </c>
      <c r="J22" s="202"/>
    </row>
  </sheetData>
  <hyperlinks>
    <hyperlink ref="A2" r:id="rId1" location="/mf/1831632/41287/NULL" xr:uid="{65F2F14E-7AF8-404E-9A56-D54EF9F21955}"/>
    <hyperlink ref="A3" r:id="rId2" location="/mf/1831632/15690/NULL" xr:uid="{74A1A35C-78D9-40B0-ABA1-917FE70AF4C9}"/>
    <hyperlink ref="A4" r:id="rId3" location="/mf/1831632/22335/NULL" xr:uid="{FCFAD358-3215-44E3-BD19-D82495C45797}"/>
    <hyperlink ref="A5" r:id="rId4" location="/mf/1831632/38817/NULL" xr:uid="{DDB4F2DB-4D84-4F5E-900D-9AD8265A56C9}"/>
    <hyperlink ref="A6" r:id="rId5" location="/mf/1831632/16576/NULL" xr:uid="{C3FD07A4-2BD0-4D11-90A8-44845E45393B}"/>
    <hyperlink ref="A7" r:id="rId6" location="/mf/1831632/40665/NULL" xr:uid="{EACC7433-196C-4EF4-81E5-BFC8E69F5BA6}"/>
    <hyperlink ref="A8" r:id="rId7" location="/mf/1831632/16071/NULL" xr:uid="{947D695D-3E83-4A52-B1CD-B0AC43E88645}"/>
    <hyperlink ref="A9" r:id="rId8" location="/mf/1831632/16617/NULL" xr:uid="{211035F1-670D-48D3-8A18-0E176F57BD24}"/>
    <hyperlink ref="A10" r:id="rId9" location="/mf/1831632/17134/NULL" xr:uid="{548F392E-2232-4BFA-809E-4A21BBDE0F47}"/>
    <hyperlink ref="A11" r:id="rId10" location="/mf/1831632/38228/NULL" xr:uid="{18501861-D646-4EDC-8EE5-00E46B311D53}"/>
    <hyperlink ref="A12" r:id="rId11" location="/mf/1831632/41574/NULL" xr:uid="{CF125139-C64B-4507-84AF-4D7C6E09BA75}"/>
    <hyperlink ref="A13" r:id="rId12" location="/mf/1831632/41937/NULL" xr:uid="{0A3C266F-318F-4CF0-979E-80228D617A13}"/>
    <hyperlink ref="A14" r:id="rId13" location="/mf/1831632/42135/NULL" xr:uid="{86928EDB-DF50-40C4-8DE0-AC45E4F004BA}"/>
    <hyperlink ref="A15" r:id="rId14" location="/mf/1831632/44110/NULL" xr:uid="{ECE326F1-021A-4A35-AECE-38DE3ECB8DB9}"/>
    <hyperlink ref="A16" r:id="rId15" location="/mf/1831632/19701/NULL" xr:uid="{8CB5B3A4-FCF0-4718-A40E-767DEC576D25}"/>
    <hyperlink ref="A17" r:id="rId16" location="/mf/1831632/17348/NULL" xr:uid="{3E7D92FB-C475-4F7A-89C5-39F57E5239E0}"/>
    <hyperlink ref="A18" r:id="rId17" location="/mf/1831632/17375/NULL" xr:uid="{6D92CB45-E826-4822-9120-43FFE1D6B032}"/>
    <hyperlink ref="A19" r:id="rId18" location="/mf/1831632/17366/NULL" xr:uid="{3BE8770A-9070-4431-8962-04F7EBBB76EA}"/>
    <hyperlink ref="A20" r:id="rId19" location="/mf/1831632/36491/NULL" xr:uid="{67B5A31B-8FE8-4148-A234-5137F2324AC7}"/>
  </hyperlink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DBC6-62FA-4883-A105-3B26A564B350}">
  <dimension ref="A1:J104"/>
  <sheetViews>
    <sheetView workbookViewId="0">
      <pane xSplit="1" ySplit="1" topLeftCell="B53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143</v>
      </c>
      <c r="B2" s="150">
        <v>100</v>
      </c>
      <c r="C2" s="150">
        <v>109.73</v>
      </c>
      <c r="D2" s="150">
        <v>105.75</v>
      </c>
      <c r="E2" s="150">
        <v>10972.5</v>
      </c>
      <c r="F2" s="150">
        <v>10575</v>
      </c>
      <c r="G2" s="150">
        <v>-397.5</v>
      </c>
      <c r="H2" s="191">
        <f>G2/E2</f>
        <v>-3.6226930963773066E-2</v>
      </c>
    </row>
    <row r="3" spans="1:10" ht="15.75">
      <c r="A3" s="149" t="s">
        <v>259</v>
      </c>
      <c r="B3" s="150">
        <v>13</v>
      </c>
      <c r="C3" s="150">
        <v>133.75</v>
      </c>
      <c r="D3" s="150">
        <v>1540.6</v>
      </c>
      <c r="E3" s="150">
        <v>1738.75</v>
      </c>
      <c r="F3" s="150">
        <v>20027.8</v>
      </c>
      <c r="G3" s="150">
        <v>18289.05</v>
      </c>
      <c r="H3" s="191">
        <f>G3/E3</f>
        <v>10.518504672897196</v>
      </c>
    </row>
    <row r="4" spans="1:10" ht="15.75">
      <c r="A4" s="149" t="s">
        <v>144</v>
      </c>
      <c r="B4" s="150">
        <v>19</v>
      </c>
      <c r="C4" s="150">
        <v>489.54</v>
      </c>
      <c r="D4" s="150">
        <v>2657.3</v>
      </c>
      <c r="E4" s="150">
        <v>9301.2000000000007</v>
      </c>
      <c r="F4" s="150">
        <v>50488.7</v>
      </c>
      <c r="G4" s="150">
        <v>41187.5</v>
      </c>
      <c r="H4" s="191">
        <f>G4/E4</f>
        <v>4.4281920612394092</v>
      </c>
    </row>
    <row r="5" spans="1:10" ht="15.75">
      <c r="A5" s="149" t="s">
        <v>145</v>
      </c>
      <c r="B5" s="150">
        <v>250</v>
      </c>
      <c r="C5" s="150">
        <v>183.59</v>
      </c>
      <c r="D5" s="150">
        <v>460.4</v>
      </c>
      <c r="E5" s="150">
        <v>45897.5</v>
      </c>
      <c r="F5" s="150">
        <v>115100</v>
      </c>
      <c r="G5" s="150">
        <v>69202.5</v>
      </c>
      <c r="H5" s="191">
        <f>G5/E5</f>
        <v>1.5077618606677923</v>
      </c>
      <c r="J5" s="188"/>
    </row>
    <row r="6" spans="1:10" ht="15.75">
      <c r="A6" s="149" t="s">
        <v>146</v>
      </c>
      <c r="B6" s="150">
        <v>62</v>
      </c>
      <c r="C6" s="150">
        <v>708.24</v>
      </c>
      <c r="D6" s="150">
        <v>1175.0999999999999</v>
      </c>
      <c r="E6" s="150">
        <v>43910.6</v>
      </c>
      <c r="F6" s="150">
        <v>72856.2</v>
      </c>
      <c r="G6" s="150">
        <v>28945.599999999999</v>
      </c>
      <c r="H6" s="191">
        <f>G6/E6</f>
        <v>0.6591939076213944</v>
      </c>
    </row>
    <row r="7" spans="1:10" ht="15.75">
      <c r="A7" s="149" t="s">
        <v>147</v>
      </c>
      <c r="B7" s="150">
        <v>19</v>
      </c>
      <c r="C7" s="150">
        <v>3076.33</v>
      </c>
      <c r="D7" s="150">
        <v>8463.5</v>
      </c>
      <c r="E7" s="150">
        <v>58450.25</v>
      </c>
      <c r="F7" s="150">
        <v>160806.5</v>
      </c>
      <c r="G7" s="150">
        <v>102356.25</v>
      </c>
      <c r="H7" s="191">
        <f>G7/E7</f>
        <v>1.7511687289618094</v>
      </c>
    </row>
    <row r="8" spans="1:10" ht="15.75">
      <c r="A8" s="149" t="s">
        <v>148</v>
      </c>
      <c r="B8" s="150">
        <v>80</v>
      </c>
      <c r="C8" s="150">
        <v>673.1</v>
      </c>
      <c r="D8" s="150">
        <v>924.65</v>
      </c>
      <c r="E8" s="150">
        <v>53848.35</v>
      </c>
      <c r="F8" s="150">
        <v>73972</v>
      </c>
      <c r="G8" s="150">
        <v>20123.650000000001</v>
      </c>
      <c r="H8" s="191">
        <f>G8/E8</f>
        <v>0.37370968655492698</v>
      </c>
    </row>
    <row r="9" spans="1:10" ht="15.75">
      <c r="A9" s="149" t="s">
        <v>149</v>
      </c>
      <c r="B9" s="150">
        <v>15</v>
      </c>
      <c r="C9" s="150">
        <v>2427.4699999999998</v>
      </c>
      <c r="D9" s="150">
        <v>2601</v>
      </c>
      <c r="E9" s="150">
        <v>36412</v>
      </c>
      <c r="F9" s="150">
        <v>39015</v>
      </c>
      <c r="G9" s="150">
        <v>2603</v>
      </c>
      <c r="H9" s="191">
        <f>G9/E9</f>
        <v>7.1487421729100303E-2</v>
      </c>
      <c r="J9" s="188"/>
    </row>
    <row r="10" spans="1:10" ht="15.75">
      <c r="A10" s="149" t="s">
        <v>150</v>
      </c>
      <c r="B10" s="150">
        <v>184</v>
      </c>
      <c r="C10" s="150">
        <v>188.19</v>
      </c>
      <c r="D10" s="150">
        <v>241.09</v>
      </c>
      <c r="E10" s="150">
        <v>34627.15</v>
      </c>
      <c r="F10" s="150">
        <v>44360.56</v>
      </c>
      <c r="G10" s="150">
        <v>9733.41</v>
      </c>
      <c r="H10" s="191">
        <f>G10/E10</f>
        <v>0.28109186000002884</v>
      </c>
    </row>
    <row r="11" spans="1:10" ht="15.75">
      <c r="A11" s="149" t="s">
        <v>151</v>
      </c>
      <c r="B11" s="150">
        <v>8500</v>
      </c>
      <c r="C11" s="150">
        <v>50.47</v>
      </c>
      <c r="D11" s="150">
        <v>58.11</v>
      </c>
      <c r="E11" s="150">
        <v>429035.72</v>
      </c>
      <c r="F11" s="150">
        <v>493935</v>
      </c>
      <c r="G11" s="150">
        <v>64899.28</v>
      </c>
      <c r="H11" s="191">
        <f>G11/E11</f>
        <v>0.15126777789038173</v>
      </c>
      <c r="J11" s="188"/>
    </row>
    <row r="12" spans="1:10" ht="15.75">
      <c r="A12" s="149" t="s">
        <v>152</v>
      </c>
      <c r="B12" s="150">
        <v>180</v>
      </c>
      <c r="C12" s="150">
        <v>322.89</v>
      </c>
      <c r="D12" s="150">
        <v>2032.55</v>
      </c>
      <c r="E12" s="150">
        <v>58120</v>
      </c>
      <c r="F12" s="150">
        <v>365859</v>
      </c>
      <c r="G12" s="150">
        <v>307739</v>
      </c>
      <c r="H12" s="191">
        <f>G12/E12</f>
        <v>5.2948898830006881</v>
      </c>
      <c r="J12" s="188"/>
    </row>
    <row r="13" spans="1:10" ht="15.75">
      <c r="A13" s="149" t="s">
        <v>153</v>
      </c>
      <c r="B13" s="150">
        <v>40</v>
      </c>
      <c r="C13" s="150">
        <v>446.04</v>
      </c>
      <c r="D13" s="150">
        <v>1091.5999999999999</v>
      </c>
      <c r="E13" s="150">
        <v>17841.599999999999</v>
      </c>
      <c r="F13" s="150">
        <v>43664</v>
      </c>
      <c r="G13" s="150">
        <v>25822.400000000001</v>
      </c>
      <c r="H13" s="191">
        <f>G13/E13</f>
        <v>1.4473141422293967</v>
      </c>
      <c r="J13" s="188"/>
    </row>
    <row r="14" spans="1:10" ht="15.75">
      <c r="A14" s="149" t="s">
        <v>154</v>
      </c>
      <c r="B14" s="150">
        <v>14</v>
      </c>
      <c r="C14" s="150">
        <v>3489.94</v>
      </c>
      <c r="D14" s="150">
        <v>5884</v>
      </c>
      <c r="E14" s="150">
        <v>48859.1</v>
      </c>
      <c r="F14" s="150">
        <v>82376</v>
      </c>
      <c r="G14" s="150">
        <v>33516.9</v>
      </c>
      <c r="H14" s="191">
        <f>G14/E14</f>
        <v>0.68599094129855032</v>
      </c>
    </row>
    <row r="15" spans="1:10" ht="15.75">
      <c r="A15" s="149" t="s">
        <v>155</v>
      </c>
      <c r="B15" s="150">
        <v>180</v>
      </c>
      <c r="C15" s="150">
        <v>155.25</v>
      </c>
      <c r="D15" s="150">
        <v>222.28</v>
      </c>
      <c r="E15" s="150">
        <v>27945</v>
      </c>
      <c r="F15" s="150">
        <v>40010.400000000001</v>
      </c>
      <c r="G15" s="150">
        <v>12065.4</v>
      </c>
      <c r="H15" s="191">
        <v>0</v>
      </c>
      <c r="J15" s="188"/>
    </row>
    <row r="16" spans="1:10" ht="15.75">
      <c r="A16" s="149" t="s">
        <v>156</v>
      </c>
      <c r="B16" s="150">
        <v>88</v>
      </c>
      <c r="C16" s="150">
        <v>373.58</v>
      </c>
      <c r="D16" s="150">
        <v>455.1</v>
      </c>
      <c r="E16" s="150">
        <v>32874.85</v>
      </c>
      <c r="F16" s="150">
        <v>40048.800000000003</v>
      </c>
      <c r="G16" s="150">
        <v>7173.95</v>
      </c>
      <c r="H16" s="191">
        <f>G16/E16</f>
        <v>0.21822000708748482</v>
      </c>
      <c r="J16" s="188"/>
    </row>
    <row r="17" spans="1:10" ht="15.75">
      <c r="A17" s="149" t="s">
        <v>157</v>
      </c>
      <c r="B17" s="150">
        <v>45</v>
      </c>
      <c r="C17" s="150">
        <v>990.66</v>
      </c>
      <c r="D17" s="150">
        <v>1510.85</v>
      </c>
      <c r="E17" s="150">
        <v>44579.85</v>
      </c>
      <c r="F17" s="150">
        <v>67988.25</v>
      </c>
      <c r="G17" s="150">
        <v>23408.400000000001</v>
      </c>
      <c r="H17" s="191">
        <f>G17/E17</f>
        <v>0.525089249963829</v>
      </c>
      <c r="J17" s="188"/>
    </row>
    <row r="18" spans="1:10" ht="15.75">
      <c r="A18" s="149" t="s">
        <v>158</v>
      </c>
      <c r="B18" s="150">
        <v>470</v>
      </c>
      <c r="C18" s="150">
        <v>194.39</v>
      </c>
      <c r="D18" s="150">
        <v>384.25</v>
      </c>
      <c r="E18" s="150">
        <v>91363.5</v>
      </c>
      <c r="F18" s="150">
        <v>180597.5</v>
      </c>
      <c r="G18" s="150">
        <v>89234</v>
      </c>
      <c r="H18" s="191">
        <f>G18/E18</f>
        <v>0.97669200501294284</v>
      </c>
    </row>
    <row r="19" spans="1:10" ht="15.75">
      <c r="A19" s="149" t="s">
        <v>159</v>
      </c>
      <c r="B19" s="150">
        <v>65</v>
      </c>
      <c r="C19" s="150">
        <v>909.05</v>
      </c>
      <c r="D19" s="150">
        <v>1941.7</v>
      </c>
      <c r="E19" s="150">
        <v>59088.4</v>
      </c>
      <c r="F19" s="150">
        <v>126210.5</v>
      </c>
      <c r="G19" s="150">
        <v>67122.100000000006</v>
      </c>
      <c r="H19" s="191">
        <f>G19/E19</f>
        <v>1.135960696177253</v>
      </c>
    </row>
    <row r="20" spans="1:10" ht="15.75">
      <c r="A20" s="149" t="s">
        <v>160</v>
      </c>
      <c r="B20" s="150">
        <v>21</v>
      </c>
      <c r="C20" s="150">
        <v>1503.03</v>
      </c>
      <c r="D20" s="150">
        <v>2465.6999999999998</v>
      </c>
      <c r="E20" s="150">
        <v>31563.7</v>
      </c>
      <c r="F20" s="150">
        <v>51779.7</v>
      </c>
      <c r="G20" s="150">
        <v>20216</v>
      </c>
      <c r="H20" s="191">
        <f>G20/E20</f>
        <v>0.64048257967221833</v>
      </c>
    </row>
    <row r="21" spans="1:10" ht="15.75">
      <c r="A21" s="149" t="s">
        <v>161</v>
      </c>
      <c r="B21" s="150">
        <v>66</v>
      </c>
      <c r="C21" s="150">
        <v>557.49</v>
      </c>
      <c r="D21" s="150">
        <v>832.5</v>
      </c>
      <c r="E21" s="150">
        <v>36794.1</v>
      </c>
      <c r="F21" s="150">
        <v>54945</v>
      </c>
      <c r="G21" s="150">
        <v>18150.900000000001</v>
      </c>
      <c r="H21" s="191">
        <f>G21/E21</f>
        <v>0.49331006873384597</v>
      </c>
      <c r="J21" s="188"/>
    </row>
    <row r="22" spans="1:10" ht="15.75">
      <c r="A22" s="149" t="s">
        <v>162</v>
      </c>
      <c r="B22" s="150">
        <v>12</v>
      </c>
      <c r="C22" s="150">
        <v>3474.64</v>
      </c>
      <c r="D22" s="150">
        <v>4237.2</v>
      </c>
      <c r="E22" s="150">
        <v>41695.699999999997</v>
      </c>
      <c r="F22" s="150">
        <v>50846.400000000001</v>
      </c>
      <c r="G22" s="150">
        <v>9150.7000000000007</v>
      </c>
      <c r="H22" s="191">
        <f>G22/E22</f>
        <v>0.21946387757010918</v>
      </c>
    </row>
    <row r="23" spans="1:10" ht="15.75">
      <c r="A23" s="149" t="s">
        <v>163</v>
      </c>
      <c r="B23" s="150">
        <v>60</v>
      </c>
      <c r="C23" s="150">
        <v>992.6</v>
      </c>
      <c r="D23" s="150">
        <v>1310.5</v>
      </c>
      <c r="E23" s="150">
        <v>59555.95</v>
      </c>
      <c r="F23" s="150">
        <v>78630</v>
      </c>
      <c r="G23" s="150">
        <v>19074.05</v>
      </c>
      <c r="H23" s="191">
        <f>G23/E23</f>
        <v>0.32027110641338102</v>
      </c>
      <c r="J23" s="188"/>
    </row>
    <row r="24" spans="1:10" ht="15.75">
      <c r="A24" s="149" t="s">
        <v>164</v>
      </c>
      <c r="B24" s="150">
        <v>7</v>
      </c>
      <c r="C24" s="150">
        <v>3506.83</v>
      </c>
      <c r="D24" s="150">
        <v>5682.5</v>
      </c>
      <c r="E24" s="150">
        <v>24547.8</v>
      </c>
      <c r="F24" s="150">
        <v>39777.5</v>
      </c>
      <c r="G24" s="150">
        <v>15229.7</v>
      </c>
      <c r="H24" s="191">
        <f>G24/E24</f>
        <v>0.62040997563936484</v>
      </c>
      <c r="J24" s="188"/>
    </row>
    <row r="25" spans="1:10" ht="15.75">
      <c r="A25" s="149" t="s">
        <v>165</v>
      </c>
      <c r="B25" s="150">
        <v>92</v>
      </c>
      <c r="C25" s="150">
        <v>359.33</v>
      </c>
      <c r="D25" s="150">
        <v>391.6</v>
      </c>
      <c r="E25" s="150">
        <v>33058.28</v>
      </c>
      <c r="F25" s="150">
        <v>36027.199999999997</v>
      </c>
      <c r="G25" s="150">
        <v>2968.92</v>
      </c>
      <c r="H25" s="191">
        <f>G25/E25</f>
        <v>8.9808665181612596E-2</v>
      </c>
    </row>
    <row r="26" spans="1:10" ht="15.75">
      <c r="A26" s="149" t="s">
        <v>166</v>
      </c>
      <c r="B26" s="150">
        <v>24</v>
      </c>
      <c r="C26" s="150">
        <v>2007.86</v>
      </c>
      <c r="D26" s="150">
        <v>2662.15</v>
      </c>
      <c r="E26" s="150">
        <v>48188.7</v>
      </c>
      <c r="F26" s="150">
        <v>63891.6</v>
      </c>
      <c r="G26" s="150">
        <v>15702.9</v>
      </c>
      <c r="H26" s="191">
        <f>G26/E26</f>
        <v>0.32586270225177272</v>
      </c>
    </row>
    <row r="27" spans="1:10" ht="15.75">
      <c r="A27" s="149" t="s">
        <v>167</v>
      </c>
      <c r="B27" s="150">
        <v>35</v>
      </c>
      <c r="C27" s="150">
        <v>234.44</v>
      </c>
      <c r="D27" s="150">
        <v>3000.1</v>
      </c>
      <c r="E27" s="150">
        <v>8205.5300000000007</v>
      </c>
      <c r="F27" s="150">
        <v>105003.5</v>
      </c>
      <c r="G27" s="150">
        <v>96797.97</v>
      </c>
      <c r="H27" s="191">
        <f>G27/E27</f>
        <v>11.79667492532475</v>
      </c>
      <c r="J27" s="188"/>
    </row>
    <row r="28" spans="1:10" ht="15.75">
      <c r="A28" s="149" t="s">
        <v>168</v>
      </c>
      <c r="B28" s="150">
        <v>42</v>
      </c>
      <c r="C28" s="150">
        <v>664.74</v>
      </c>
      <c r="D28" s="150">
        <v>1734</v>
      </c>
      <c r="E28" s="150">
        <v>27918.9</v>
      </c>
      <c r="F28" s="150">
        <v>72828</v>
      </c>
      <c r="G28" s="150">
        <v>44909.1</v>
      </c>
      <c r="H28" s="191">
        <f>G28/E28</f>
        <v>1.6085554946649043</v>
      </c>
      <c r="J28" s="188"/>
    </row>
    <row r="29" spans="1:10" ht="15.75">
      <c r="A29" s="149" t="s">
        <v>169</v>
      </c>
      <c r="B29" s="150">
        <v>230</v>
      </c>
      <c r="C29" s="150">
        <v>189.67</v>
      </c>
      <c r="D29" s="150">
        <v>386.2</v>
      </c>
      <c r="E29" s="150">
        <v>43625.2</v>
      </c>
      <c r="F29" s="150">
        <v>88826</v>
      </c>
      <c r="G29" s="150">
        <v>45200.800000000003</v>
      </c>
      <c r="H29" s="191">
        <f>G29/E29</f>
        <v>1.0361167398659492</v>
      </c>
      <c r="J29" s="188"/>
    </row>
    <row r="30" spans="1:10" ht="15.75">
      <c r="A30" s="149" t="s">
        <v>170</v>
      </c>
      <c r="B30" s="150">
        <v>351</v>
      </c>
      <c r="C30" s="150">
        <v>91.3</v>
      </c>
      <c r="D30" s="150">
        <v>215.05</v>
      </c>
      <c r="E30" s="150">
        <v>32046.16</v>
      </c>
      <c r="F30" s="150">
        <v>75482.55</v>
      </c>
      <c r="G30" s="150">
        <v>43436.39</v>
      </c>
      <c r="H30" s="191">
        <f>G30/E30</f>
        <v>1.3554319768733603</v>
      </c>
    </row>
    <row r="31" spans="1:10" ht="15.75">
      <c r="A31" s="149" t="s">
        <v>172</v>
      </c>
      <c r="B31" s="150">
        <v>20</v>
      </c>
      <c r="C31" s="150">
        <v>1600.68</v>
      </c>
      <c r="D31" s="150">
        <v>2299</v>
      </c>
      <c r="E31" s="150">
        <v>32013.55</v>
      </c>
      <c r="F31" s="150">
        <v>45980</v>
      </c>
      <c r="G31" s="150">
        <v>13966.45</v>
      </c>
      <c r="H31" s="191">
        <f>G31/E31</f>
        <v>0.43626683076384848</v>
      </c>
      <c r="J31" s="188"/>
    </row>
    <row r="32" spans="1:10" ht="15.75">
      <c r="A32" s="149" t="s">
        <v>174</v>
      </c>
      <c r="B32" s="150">
        <v>74</v>
      </c>
      <c r="C32" s="150">
        <v>1149.02</v>
      </c>
      <c r="D32" s="150">
        <v>1710.4</v>
      </c>
      <c r="E32" s="150">
        <v>85027.5</v>
      </c>
      <c r="F32" s="150">
        <v>126569.60000000001</v>
      </c>
      <c r="G32" s="150">
        <v>41542.1</v>
      </c>
      <c r="H32" s="191">
        <f>G32/E32</f>
        <v>0.48857252065508217</v>
      </c>
      <c r="J32" s="188"/>
    </row>
    <row r="33" spans="1:10" ht="15.75">
      <c r="A33" s="149" t="s">
        <v>175</v>
      </c>
      <c r="B33" s="150">
        <v>47</v>
      </c>
      <c r="C33" s="150">
        <v>1650.24</v>
      </c>
      <c r="D33" s="150">
        <v>1987.4</v>
      </c>
      <c r="E33" s="150">
        <v>77561.5</v>
      </c>
      <c r="F33" s="150">
        <v>93407.8</v>
      </c>
      <c r="G33" s="150">
        <v>15846.3</v>
      </c>
      <c r="H33" s="191">
        <f>G33/E33</f>
        <v>0.20430626019352385</v>
      </c>
    </row>
    <row r="34" spans="1:10" ht="15.75">
      <c r="A34" s="149" t="s">
        <v>176</v>
      </c>
      <c r="B34" s="150">
        <v>136</v>
      </c>
      <c r="C34" s="150">
        <v>596.66999999999996</v>
      </c>
      <c r="D34" s="150">
        <v>790</v>
      </c>
      <c r="E34" s="150">
        <v>81147.75</v>
      </c>
      <c r="F34" s="150">
        <v>107440</v>
      </c>
      <c r="G34" s="150">
        <v>26292.25</v>
      </c>
      <c r="H34" s="191">
        <f>G34/E34</f>
        <v>0.32400467049302045</v>
      </c>
    </row>
    <row r="35" spans="1:10" ht="15.75">
      <c r="A35" s="149" t="s">
        <v>177</v>
      </c>
      <c r="B35" s="150">
        <v>10</v>
      </c>
      <c r="C35" s="150">
        <v>3016.79</v>
      </c>
      <c r="D35" s="150">
        <v>4306.75</v>
      </c>
      <c r="E35" s="150">
        <v>30167.85</v>
      </c>
      <c r="F35" s="150">
        <v>43067.5</v>
      </c>
      <c r="G35" s="150">
        <v>12899.65</v>
      </c>
      <c r="H35" s="191">
        <f>G35/E35</f>
        <v>0.42759593408214375</v>
      </c>
    </row>
    <row r="36" spans="1:10" ht="15.75">
      <c r="A36" s="149" t="s">
        <v>178</v>
      </c>
      <c r="B36" s="150">
        <v>59</v>
      </c>
      <c r="C36" s="150">
        <v>656.47</v>
      </c>
      <c r="D36" s="150">
        <v>1435.7</v>
      </c>
      <c r="E36" s="150">
        <v>38731.699999999997</v>
      </c>
      <c r="F36" s="150">
        <v>84706.3</v>
      </c>
      <c r="G36" s="150">
        <v>45974.6</v>
      </c>
      <c r="H36" s="191">
        <f>G36/E36</f>
        <v>1.1870018615242812</v>
      </c>
      <c r="J36" s="188"/>
    </row>
    <row r="37" spans="1:10" ht="15.75">
      <c r="A37" s="149" t="s">
        <v>179</v>
      </c>
      <c r="B37" s="150">
        <v>54</v>
      </c>
      <c r="C37" s="150">
        <v>1308.5899999999999</v>
      </c>
      <c r="D37" s="150">
        <v>2025.5</v>
      </c>
      <c r="E37" s="150">
        <v>70664.100000000006</v>
      </c>
      <c r="F37" s="150">
        <v>109377</v>
      </c>
      <c r="G37" s="150">
        <v>38712.9</v>
      </c>
      <c r="H37" s="191">
        <f>G37/E37</f>
        <v>0.54784395470967573</v>
      </c>
    </row>
    <row r="38" spans="1:10" ht="15.75">
      <c r="A38" s="149" t="s">
        <v>180</v>
      </c>
      <c r="B38" s="150">
        <v>118</v>
      </c>
      <c r="C38" s="150">
        <v>492.05</v>
      </c>
      <c r="D38" s="150">
        <v>665.85</v>
      </c>
      <c r="E38" s="150">
        <v>58062.35</v>
      </c>
      <c r="F38" s="150">
        <v>78570.3</v>
      </c>
      <c r="G38" s="150">
        <v>20507.95</v>
      </c>
      <c r="H38" s="191">
        <f>G38/E38</f>
        <v>0.35320564875517441</v>
      </c>
      <c r="J38" s="188"/>
    </row>
    <row r="39" spans="1:10" ht="15.75">
      <c r="A39" s="149" t="s">
        <v>181</v>
      </c>
      <c r="B39" s="150">
        <v>65</v>
      </c>
      <c r="C39" s="150">
        <v>1576.72</v>
      </c>
      <c r="D39" s="150">
        <v>1627</v>
      </c>
      <c r="E39" s="150">
        <v>102486.6</v>
      </c>
      <c r="F39" s="150">
        <v>105755</v>
      </c>
      <c r="G39" s="150">
        <v>3268.4</v>
      </c>
      <c r="H39" s="191">
        <f>G39/E39</f>
        <v>3.1890998432965868E-2</v>
      </c>
      <c r="J39" s="188"/>
    </row>
    <row r="40" spans="1:10" ht="15.75">
      <c r="A40" s="149" t="s">
        <v>182</v>
      </c>
      <c r="B40" s="150">
        <v>788</v>
      </c>
      <c r="C40" s="150">
        <v>206.55</v>
      </c>
      <c r="D40" s="150">
        <v>416.15</v>
      </c>
      <c r="E40" s="150">
        <v>162761.06</v>
      </c>
      <c r="F40" s="150">
        <v>327926.2</v>
      </c>
      <c r="G40" s="150">
        <v>165165.14000000001</v>
      </c>
      <c r="H40" s="191">
        <f>G40/E40</f>
        <v>1.0147706091370996</v>
      </c>
    </row>
    <row r="41" spans="1:10" ht="15.75">
      <c r="A41" s="149" t="s">
        <v>183</v>
      </c>
      <c r="B41" s="150">
        <v>45</v>
      </c>
      <c r="C41" s="150">
        <v>1006.05</v>
      </c>
      <c r="D41" s="150">
        <v>1632.9</v>
      </c>
      <c r="E41" s="150">
        <v>45272.45</v>
      </c>
      <c r="F41" s="150">
        <v>73480.5</v>
      </c>
      <c r="G41" s="150">
        <v>28208.05</v>
      </c>
      <c r="H41" s="191">
        <f>G41/E41</f>
        <v>0.62307319352056278</v>
      </c>
      <c r="J41" s="188"/>
    </row>
    <row r="42" spans="1:10" ht="15.75">
      <c r="A42" s="149" t="s">
        <v>184</v>
      </c>
      <c r="B42" s="150">
        <v>254</v>
      </c>
      <c r="C42" s="150">
        <v>130.22</v>
      </c>
      <c r="D42" s="150">
        <v>270.14999999999998</v>
      </c>
      <c r="E42" s="150">
        <v>33076.239999999998</v>
      </c>
      <c r="F42" s="150">
        <v>68618.100000000006</v>
      </c>
      <c r="G42" s="150">
        <v>35541.86</v>
      </c>
      <c r="H42" s="191">
        <f>G42/E42</f>
        <v>1.0745435394107674</v>
      </c>
      <c r="J42" s="188"/>
    </row>
    <row r="43" spans="1:10" ht="15.75">
      <c r="A43" s="149" t="s">
        <v>185</v>
      </c>
      <c r="B43" s="150">
        <v>57</v>
      </c>
      <c r="C43" s="150">
        <v>1778.4</v>
      </c>
      <c r="D43" s="150">
        <v>2149.8000000000002</v>
      </c>
      <c r="E43" s="150">
        <v>101368.55</v>
      </c>
      <c r="F43" s="150">
        <v>122538.6</v>
      </c>
      <c r="G43" s="150">
        <v>21170.05</v>
      </c>
      <c r="H43" s="191">
        <f>G43/E43</f>
        <v>0.20884238750578951</v>
      </c>
      <c r="J43" s="188"/>
    </row>
    <row r="44" spans="1:10" ht="15.75">
      <c r="A44" s="149" t="s">
        <v>186</v>
      </c>
      <c r="B44" s="150">
        <v>80</v>
      </c>
      <c r="C44" s="150">
        <v>814.86</v>
      </c>
      <c r="D44" s="150">
        <v>1269.1500000000001</v>
      </c>
      <c r="E44" s="150">
        <v>65188.75</v>
      </c>
      <c r="F44" s="150">
        <v>101532</v>
      </c>
      <c r="G44" s="150">
        <v>36343.25</v>
      </c>
      <c r="H44" s="191">
        <f>G44/E44</f>
        <v>0.55750800559912561</v>
      </c>
      <c r="J44" s="188"/>
    </row>
    <row r="45" spans="1:10" ht="15.75">
      <c r="A45" s="149" t="s">
        <v>187</v>
      </c>
      <c r="B45" s="150">
        <v>20</v>
      </c>
      <c r="C45" s="150">
        <v>2295.38</v>
      </c>
      <c r="D45" s="150">
        <v>2870</v>
      </c>
      <c r="E45" s="150">
        <v>45907.6</v>
      </c>
      <c r="F45" s="150">
        <v>57400</v>
      </c>
      <c r="G45" s="150">
        <v>11492.4</v>
      </c>
      <c r="H45" s="191">
        <f>G45/E45</f>
        <v>0.2503376347271476</v>
      </c>
      <c r="J45" s="188"/>
    </row>
    <row r="46" spans="1:10" ht="15.75">
      <c r="A46" s="149" t="s">
        <v>188</v>
      </c>
      <c r="B46" s="150">
        <v>62</v>
      </c>
      <c r="C46" s="150">
        <v>1053.22</v>
      </c>
      <c r="D46" s="150">
        <v>3581.4</v>
      </c>
      <c r="E46" s="150">
        <v>65299.35</v>
      </c>
      <c r="F46" s="150">
        <v>222046.8</v>
      </c>
      <c r="G46" s="150">
        <v>156747.45000000001</v>
      </c>
      <c r="H46" s="191">
        <f>G46/E46</f>
        <v>2.4004442616963266</v>
      </c>
    </row>
    <row r="47" spans="1:10" ht="15.75">
      <c r="A47" s="149" t="s">
        <v>189</v>
      </c>
      <c r="B47" s="150">
        <v>10</v>
      </c>
      <c r="C47" s="150">
        <v>1189.6300000000001</v>
      </c>
      <c r="D47" s="150">
        <v>3160.2</v>
      </c>
      <c r="E47" s="150">
        <v>11896.3</v>
      </c>
      <c r="F47" s="150">
        <v>31602</v>
      </c>
      <c r="G47" s="150">
        <v>19705.7</v>
      </c>
      <c r="H47" s="191">
        <f>G47/E47</f>
        <v>1.6564562090734096</v>
      </c>
    </row>
    <row r="48" spans="1:10" ht="15.75">
      <c r="A48" s="149" t="s">
        <v>190</v>
      </c>
      <c r="B48" s="150">
        <v>28</v>
      </c>
      <c r="C48" s="150">
        <v>2226.31</v>
      </c>
      <c r="D48" s="150">
        <v>2410.4</v>
      </c>
      <c r="E48" s="150">
        <v>62336.7</v>
      </c>
      <c r="F48" s="150">
        <v>67491.199999999997</v>
      </c>
      <c r="G48" s="150">
        <v>5154.5</v>
      </c>
      <c r="H48" s="191">
        <f>G48/E48</f>
        <v>8.2688047330063991E-2</v>
      </c>
      <c r="J48" s="188"/>
    </row>
    <row r="49" spans="1:10" ht="15.75">
      <c r="A49" s="149" t="s">
        <v>191</v>
      </c>
      <c r="B49" s="150">
        <v>73</v>
      </c>
      <c r="C49" s="150">
        <v>523.91</v>
      </c>
      <c r="D49" s="150">
        <v>730.5</v>
      </c>
      <c r="E49" s="150">
        <v>38245.25</v>
      </c>
      <c r="F49" s="150">
        <v>53326.5</v>
      </c>
      <c r="G49" s="150">
        <v>15081.25</v>
      </c>
      <c r="H49" s="191">
        <f>G49/E49</f>
        <v>0.39433001483844399</v>
      </c>
    </row>
    <row r="50" spans="1:10" ht="15.75">
      <c r="A50" s="149" t="s">
        <v>192</v>
      </c>
      <c r="B50" s="150">
        <v>73</v>
      </c>
      <c r="C50" s="150">
        <v>735.56</v>
      </c>
      <c r="D50" s="150">
        <v>1566.8</v>
      </c>
      <c r="E50" s="150">
        <v>53696.15</v>
      </c>
      <c r="F50" s="150">
        <v>114376.4</v>
      </c>
      <c r="G50" s="150">
        <v>60680.25</v>
      </c>
      <c r="H50" s="191">
        <f>G50/E50</f>
        <v>1.1300670532244863</v>
      </c>
      <c r="J50" s="188"/>
    </row>
    <row r="51" spans="1:10" ht="15.75">
      <c r="A51" s="149" t="s">
        <v>193</v>
      </c>
      <c r="B51" s="150">
        <v>75</v>
      </c>
      <c r="C51" s="150">
        <v>337.52</v>
      </c>
      <c r="D51" s="150">
        <v>410</v>
      </c>
      <c r="E51" s="150">
        <v>25314.17</v>
      </c>
      <c r="F51" s="150">
        <v>30750</v>
      </c>
      <c r="G51" s="150">
        <v>5435.83</v>
      </c>
      <c r="H51" s="191">
        <f>G51/E51</f>
        <v>0.21473467231989041</v>
      </c>
    </row>
    <row r="52" spans="1:10" ht="15.75">
      <c r="A52" s="149" t="s">
        <v>194</v>
      </c>
      <c r="B52" s="150">
        <v>190</v>
      </c>
      <c r="C52" s="150">
        <v>76.63</v>
      </c>
      <c r="D52" s="150">
        <v>155.24</v>
      </c>
      <c r="E52" s="150">
        <v>14558.98</v>
      </c>
      <c r="F52" s="150">
        <v>29495.599999999999</v>
      </c>
      <c r="G52" s="150">
        <v>14936.62</v>
      </c>
      <c r="H52" s="191">
        <f>G52/E52</f>
        <v>1.0259386303161349</v>
      </c>
      <c r="J52" s="188"/>
    </row>
    <row r="53" spans="1:10" ht="15.75">
      <c r="A53" s="149" t="s">
        <v>195</v>
      </c>
      <c r="B53" s="150">
        <v>33</v>
      </c>
      <c r="C53" s="150">
        <v>2284.62</v>
      </c>
      <c r="D53" s="150">
        <v>2874.6</v>
      </c>
      <c r="E53" s="150">
        <v>75392.600000000006</v>
      </c>
      <c r="F53" s="150">
        <v>94861.8</v>
      </c>
      <c r="G53" s="150">
        <v>19469.2</v>
      </c>
      <c r="H53" s="191">
        <f>G53/E53</f>
        <v>0.25823754585993852</v>
      </c>
      <c r="J53" s="188"/>
    </row>
    <row r="54" spans="1:10" ht="15.75">
      <c r="A54" s="149" t="s">
        <v>196</v>
      </c>
      <c r="B54" s="150">
        <v>9</v>
      </c>
      <c r="C54" s="150">
        <v>2162.65</v>
      </c>
      <c r="D54" s="150">
        <v>2422.1</v>
      </c>
      <c r="E54" s="150">
        <v>19463.849999999999</v>
      </c>
      <c r="F54" s="150">
        <v>21798.9</v>
      </c>
      <c r="G54" s="150">
        <v>2335.0500000000002</v>
      </c>
      <c r="H54" s="191">
        <f>G54/E54</f>
        <v>0.11996855709430562</v>
      </c>
      <c r="J54" s="188"/>
    </row>
    <row r="55" spans="1:10" ht="15.75">
      <c r="A55" s="149" t="s">
        <v>266</v>
      </c>
      <c r="B55" s="150">
        <v>207</v>
      </c>
      <c r="C55" s="150">
        <v>127.65</v>
      </c>
      <c r="D55" s="150">
        <v>142.62</v>
      </c>
      <c r="E55" s="150">
        <v>26423.5</v>
      </c>
      <c r="F55" s="150">
        <v>29522.34</v>
      </c>
      <c r="G55" s="150">
        <v>3098.84</v>
      </c>
      <c r="H55" s="191">
        <f>G55/E55</f>
        <v>0.11727590970159139</v>
      </c>
      <c r="J55" s="188"/>
    </row>
    <row r="56" spans="1:10" ht="15.75">
      <c r="A56" s="149" t="s">
        <v>198</v>
      </c>
      <c r="B56" s="150">
        <v>80</v>
      </c>
      <c r="C56" s="150">
        <v>621.89</v>
      </c>
      <c r="D56" s="150">
        <v>1844.3</v>
      </c>
      <c r="E56" s="150">
        <v>49751.05</v>
      </c>
      <c r="F56" s="150">
        <v>147544</v>
      </c>
      <c r="G56" s="150">
        <v>97792.95</v>
      </c>
      <c r="H56" s="191">
        <f>G56/E56</f>
        <v>1.9656459511909796</v>
      </c>
      <c r="J56" s="188"/>
    </row>
    <row r="57" spans="1:10" ht="15.75">
      <c r="A57" s="149" t="s">
        <v>199</v>
      </c>
      <c r="B57" s="150">
        <v>10</v>
      </c>
      <c r="C57" s="150">
        <v>4342.57</v>
      </c>
      <c r="D57" s="150">
        <v>9005</v>
      </c>
      <c r="E57" s="150">
        <v>43425.7</v>
      </c>
      <c r="F57" s="150">
        <v>90050</v>
      </c>
      <c r="G57" s="150">
        <v>46624.3</v>
      </c>
      <c r="H57" s="191">
        <f>G57/E57</f>
        <v>1.0736568437584197</v>
      </c>
      <c r="J57" s="188"/>
    </row>
    <row r="58" spans="1:10" ht="15.75">
      <c r="A58" s="149" t="s">
        <v>200</v>
      </c>
      <c r="B58" s="150">
        <v>300</v>
      </c>
      <c r="C58" s="150">
        <v>82.33</v>
      </c>
      <c r="D58" s="150">
        <v>241.5</v>
      </c>
      <c r="E58" s="150">
        <v>24700</v>
      </c>
      <c r="F58" s="150">
        <v>72450</v>
      </c>
      <c r="G58" s="150">
        <v>47750</v>
      </c>
      <c r="H58" s="191">
        <f>G58/E58</f>
        <v>1.9331983805668016</v>
      </c>
      <c r="J58" s="188"/>
    </row>
    <row r="59" spans="1:10" ht="15.75">
      <c r="A59" s="149" t="s">
        <v>201</v>
      </c>
      <c r="B59" s="150">
        <v>16</v>
      </c>
      <c r="C59" s="150">
        <v>2003.97</v>
      </c>
      <c r="D59" s="150">
        <v>5840.5</v>
      </c>
      <c r="E59" s="150">
        <v>32063.45</v>
      </c>
      <c r="F59" s="150">
        <v>93448</v>
      </c>
      <c r="G59" s="150">
        <v>61384.55</v>
      </c>
      <c r="H59" s="191">
        <f>G59/E59</f>
        <v>1.9144711501725484</v>
      </c>
    </row>
    <row r="60" spans="1:10" ht="15.75">
      <c r="A60" s="149" t="s">
        <v>202</v>
      </c>
      <c r="B60" s="150">
        <v>31</v>
      </c>
      <c r="C60" s="150">
        <v>603.24</v>
      </c>
      <c r="D60" s="150">
        <v>1541.05</v>
      </c>
      <c r="E60" s="150">
        <v>18700.45</v>
      </c>
      <c r="F60" s="150">
        <v>47772.55</v>
      </c>
      <c r="G60" s="150">
        <v>29072.1</v>
      </c>
      <c r="H60" s="191">
        <f>G60/E60</f>
        <v>1.5546203433607211</v>
      </c>
      <c r="J60" s="188"/>
    </row>
    <row r="61" spans="1:10" ht="15.75">
      <c r="A61" s="149" t="s">
        <v>203</v>
      </c>
      <c r="B61" s="150">
        <v>30</v>
      </c>
      <c r="C61" s="150">
        <v>2499.15</v>
      </c>
      <c r="D61" s="150">
        <v>3072.4</v>
      </c>
      <c r="E61" s="150">
        <v>74974.350000000006</v>
      </c>
      <c r="F61" s="150">
        <v>92172</v>
      </c>
      <c r="G61" s="150">
        <v>17197.650000000001</v>
      </c>
      <c r="H61" s="191">
        <f>G61/E61</f>
        <v>0.22938044811325473</v>
      </c>
    </row>
    <row r="62" spans="1:10" ht="15.75">
      <c r="A62" s="149" t="s">
        <v>204</v>
      </c>
      <c r="B62" s="150">
        <v>33</v>
      </c>
      <c r="C62" s="150">
        <v>761.09</v>
      </c>
      <c r="D62" s="150">
        <v>1634.9</v>
      </c>
      <c r="E62" s="150">
        <v>25116</v>
      </c>
      <c r="F62" s="150">
        <v>53951.7</v>
      </c>
      <c r="G62" s="150">
        <v>28835.7</v>
      </c>
      <c r="H62" s="191">
        <f>G62/E62</f>
        <v>1.148100812231247</v>
      </c>
      <c r="J62" s="188"/>
    </row>
    <row r="63" spans="1:10" ht="15.75">
      <c r="A63" s="149" t="s">
        <v>205</v>
      </c>
      <c r="B63" s="150">
        <v>20</v>
      </c>
      <c r="C63" s="150">
        <v>1000</v>
      </c>
      <c r="D63" s="150">
        <v>1078.0999999999999</v>
      </c>
      <c r="E63" s="150">
        <v>20000</v>
      </c>
      <c r="F63" s="150">
        <v>21562</v>
      </c>
      <c r="G63" s="150">
        <v>0</v>
      </c>
      <c r="H63" s="191">
        <f>G63/E63</f>
        <v>0</v>
      </c>
      <c r="J63" s="188"/>
    </row>
    <row r="64" spans="1:10" ht="15.75">
      <c r="A64" s="149" t="s">
        <v>206</v>
      </c>
      <c r="B64" s="150">
        <v>54</v>
      </c>
      <c r="C64" s="150">
        <v>1278.8599999999999</v>
      </c>
      <c r="D64" s="150">
        <v>1809.4</v>
      </c>
      <c r="E64" s="150">
        <v>69058.3</v>
      </c>
      <c r="F64" s="150">
        <v>97707.6</v>
      </c>
      <c r="G64" s="150">
        <v>28649.3</v>
      </c>
      <c r="H64" s="191">
        <f>G64/E64</f>
        <v>0.41485672250837335</v>
      </c>
    </row>
    <row r="65" spans="1:10" ht="15.75">
      <c r="A65" s="149" t="s">
        <v>207</v>
      </c>
      <c r="B65" s="150">
        <v>66</v>
      </c>
      <c r="C65" s="150">
        <v>426.28</v>
      </c>
      <c r="D65" s="150">
        <v>806.85</v>
      </c>
      <c r="E65" s="150">
        <v>28134.5</v>
      </c>
      <c r="F65" s="150">
        <v>53252.1</v>
      </c>
      <c r="G65" s="150">
        <v>25117.599999999999</v>
      </c>
      <c r="H65" s="191">
        <f>G65/E65</f>
        <v>0.89276866480655415</v>
      </c>
      <c r="J65" s="188"/>
    </row>
    <row r="66" spans="1:10" ht="15.75">
      <c r="A66" s="149" t="s">
        <v>262</v>
      </c>
      <c r="B66" s="150">
        <v>10</v>
      </c>
      <c r="C66" s="150">
        <v>5284</v>
      </c>
      <c r="D66" s="150">
        <v>9801.44</v>
      </c>
      <c r="E66" s="150">
        <v>52840</v>
      </c>
      <c r="F66" s="150">
        <v>98014.399999999994</v>
      </c>
      <c r="G66" s="150">
        <v>45174.400000000001</v>
      </c>
      <c r="H66" s="191">
        <f>G66/E66</f>
        <v>0.85492808478425442</v>
      </c>
    </row>
    <row r="67" spans="1:10" ht="15.75">
      <c r="A67" s="149" t="s">
        <v>209</v>
      </c>
      <c r="B67" s="150">
        <v>5</v>
      </c>
      <c r="C67" s="150">
        <v>4802</v>
      </c>
      <c r="D67" s="150">
        <v>9801.3799999999992</v>
      </c>
      <c r="E67" s="150">
        <v>24010</v>
      </c>
      <c r="F67" s="150">
        <v>49006.9</v>
      </c>
      <c r="G67" s="150">
        <v>24996.9</v>
      </c>
      <c r="H67" s="191">
        <f>G67/E67</f>
        <v>1.041103706788838</v>
      </c>
      <c r="J67" s="188"/>
    </row>
    <row r="68" spans="1:10" ht="15.75">
      <c r="A68" s="149" t="s">
        <v>210</v>
      </c>
      <c r="B68" s="150">
        <v>10</v>
      </c>
      <c r="C68" s="150">
        <v>5002.45</v>
      </c>
      <c r="D68" s="150">
        <v>9776.91</v>
      </c>
      <c r="E68" s="150">
        <v>50024.5</v>
      </c>
      <c r="F68" s="150">
        <v>97769.1</v>
      </c>
      <c r="G68" s="150">
        <v>47744.6</v>
      </c>
      <c r="H68" s="191">
        <f>G68/E68</f>
        <v>0.95442433207728206</v>
      </c>
      <c r="J68" s="188"/>
    </row>
    <row r="69" spans="1:10" ht="15.75">
      <c r="A69" s="149" t="s">
        <v>211</v>
      </c>
      <c r="B69" s="150">
        <v>35</v>
      </c>
      <c r="C69" s="150">
        <v>749.79</v>
      </c>
      <c r="D69" s="150">
        <v>3278.2</v>
      </c>
      <c r="E69" s="150">
        <v>26242.52</v>
      </c>
      <c r="F69" s="150">
        <v>114737</v>
      </c>
      <c r="G69" s="150">
        <v>88494.48</v>
      </c>
      <c r="H69" s="191">
        <f>G69/E69</f>
        <v>3.3721791962052423</v>
      </c>
      <c r="J69" s="188"/>
    </row>
    <row r="70" spans="1:10" ht="15.75">
      <c r="A70" s="149" t="s">
        <v>212</v>
      </c>
      <c r="B70" s="150">
        <v>139</v>
      </c>
      <c r="C70" s="150">
        <v>582.57000000000005</v>
      </c>
      <c r="D70" s="150">
        <v>1679.8</v>
      </c>
      <c r="E70" s="150">
        <v>80977.149999999994</v>
      </c>
      <c r="F70" s="150">
        <v>233492.2</v>
      </c>
      <c r="G70" s="150">
        <v>152515.04999999999</v>
      </c>
      <c r="H70" s="191">
        <f>G70/E70</f>
        <v>1.8834331660227608</v>
      </c>
      <c r="J70" s="188"/>
    </row>
    <row r="71" spans="1:10" ht="15.75">
      <c r="A71" s="149" t="s">
        <v>213</v>
      </c>
      <c r="B71" s="150">
        <v>75</v>
      </c>
      <c r="C71" s="150">
        <v>581.84</v>
      </c>
      <c r="D71" s="150">
        <v>635.25</v>
      </c>
      <c r="E71" s="150">
        <v>43638</v>
      </c>
      <c r="F71" s="150">
        <v>47643.75</v>
      </c>
      <c r="G71" s="150">
        <v>4005.75</v>
      </c>
      <c r="H71" s="191">
        <f>G71/E71</f>
        <v>9.1794995187680459E-2</v>
      </c>
      <c r="J71" s="188"/>
    </row>
    <row r="72" spans="1:10" ht="15.75">
      <c r="A72" s="149" t="s">
        <v>214</v>
      </c>
      <c r="B72" s="150">
        <v>46</v>
      </c>
      <c r="C72" s="150">
        <v>794.51</v>
      </c>
      <c r="D72" s="150">
        <v>1101.9000000000001</v>
      </c>
      <c r="E72" s="150">
        <v>36547.300000000003</v>
      </c>
      <c r="F72" s="150">
        <v>50687.4</v>
      </c>
      <c r="G72" s="150">
        <v>14140.1</v>
      </c>
      <c r="H72" s="191">
        <f>G72/E72</f>
        <v>0.38689862178601425</v>
      </c>
      <c r="J72" s="188"/>
    </row>
    <row r="73" spans="1:10" ht="15.75">
      <c r="A73" s="149" t="s">
        <v>267</v>
      </c>
      <c r="B73" s="150">
        <v>570</v>
      </c>
      <c r="C73" s="150">
        <v>202.51</v>
      </c>
      <c r="D73" s="150">
        <v>688.85</v>
      </c>
      <c r="E73" s="150">
        <v>115432.73</v>
      </c>
      <c r="F73" s="150">
        <v>392644.5</v>
      </c>
      <c r="G73" s="150">
        <v>277211.77</v>
      </c>
      <c r="H73" s="191">
        <f>G73/E73</f>
        <v>2.4015005969277521</v>
      </c>
    </row>
    <row r="74" spans="1:10" ht="15.75">
      <c r="A74" s="149" t="s">
        <v>215</v>
      </c>
      <c r="B74" s="150">
        <v>1050</v>
      </c>
      <c r="C74" s="150">
        <v>40.479999999999997</v>
      </c>
      <c r="D74" s="150">
        <v>162.4</v>
      </c>
      <c r="E74" s="150">
        <v>42500.25</v>
      </c>
      <c r="F74" s="150">
        <v>170520</v>
      </c>
      <c r="G74" s="150">
        <v>128019.75</v>
      </c>
      <c r="H74" s="191">
        <f>G74/E74</f>
        <v>3.0122116928723948</v>
      </c>
      <c r="J74" s="188"/>
    </row>
    <row r="75" spans="1:10" ht="15.75">
      <c r="A75" s="149" t="s">
        <v>216</v>
      </c>
      <c r="B75" s="150">
        <v>33</v>
      </c>
      <c r="C75" s="150">
        <v>3575.9</v>
      </c>
      <c r="D75" s="150">
        <v>3411.95</v>
      </c>
      <c r="E75" s="150">
        <v>118004.55</v>
      </c>
      <c r="F75" s="150">
        <v>112594.35</v>
      </c>
      <c r="G75" s="150">
        <v>-5410.2</v>
      </c>
      <c r="H75" s="191">
        <f>G75/E75</f>
        <v>-4.5847384698301887E-2</v>
      </c>
      <c r="J75" s="188"/>
    </row>
    <row r="76" spans="1:10" ht="15.75">
      <c r="A76" s="149" t="s">
        <v>217</v>
      </c>
      <c r="B76" s="150">
        <v>24</v>
      </c>
      <c r="C76" s="150">
        <v>2584.4</v>
      </c>
      <c r="D76" s="150">
        <v>3666.1</v>
      </c>
      <c r="E76" s="150">
        <v>62025.599999999999</v>
      </c>
      <c r="F76" s="150">
        <v>87986.4</v>
      </c>
      <c r="G76" s="150">
        <v>25960.799999999999</v>
      </c>
      <c r="H76" s="191">
        <f>G76/E76</f>
        <v>0.41854976009905587</v>
      </c>
      <c r="J76" s="188"/>
    </row>
    <row r="77" spans="1:10" ht="15.75">
      <c r="A77" s="149" t="s">
        <v>219</v>
      </c>
      <c r="B77" s="150">
        <v>14</v>
      </c>
      <c r="C77" s="150">
        <v>2306.8200000000002</v>
      </c>
      <c r="D77" s="150">
        <v>2876.9</v>
      </c>
      <c r="E77" s="150">
        <v>32295.45</v>
      </c>
      <c r="F77" s="150">
        <v>40276.6</v>
      </c>
      <c r="G77" s="150">
        <v>7981.15</v>
      </c>
      <c r="H77" s="191">
        <f>G77/E77</f>
        <v>0.24712923956780289</v>
      </c>
    </row>
    <row r="78" spans="1:10" ht="15.75">
      <c r="A78" s="149" t="s">
        <v>220</v>
      </c>
      <c r="B78" s="150">
        <v>30</v>
      </c>
      <c r="C78" s="150">
        <v>373.77</v>
      </c>
      <c r="D78" s="150">
        <v>1093.8</v>
      </c>
      <c r="E78" s="150">
        <v>11213.05</v>
      </c>
      <c r="F78" s="150">
        <v>32814</v>
      </c>
      <c r="G78" s="150">
        <v>21600.95</v>
      </c>
      <c r="H78" s="191">
        <f>G78/E78</f>
        <v>1.9264116364414678</v>
      </c>
    </row>
    <row r="79" spans="1:10" ht="15.75">
      <c r="A79" s="149" t="s">
        <v>221</v>
      </c>
      <c r="B79" s="150">
        <v>110</v>
      </c>
      <c r="C79" s="150">
        <v>130.18</v>
      </c>
      <c r="D79" s="150">
        <v>464.05</v>
      </c>
      <c r="E79" s="150">
        <v>14319.65</v>
      </c>
      <c r="F79" s="150">
        <v>51045.5</v>
      </c>
      <c r="G79" s="150">
        <v>36725.85</v>
      </c>
      <c r="H79" s="191">
        <f>G79/E79</f>
        <v>2.5647170147315053</v>
      </c>
    </row>
    <row r="80" spans="1:10" ht="15.75">
      <c r="A80" s="149" t="s">
        <v>222</v>
      </c>
      <c r="B80" s="150">
        <v>54</v>
      </c>
      <c r="C80" s="150">
        <v>896.15</v>
      </c>
      <c r="D80" s="150">
        <v>1000</v>
      </c>
      <c r="E80" s="150">
        <v>48392.1</v>
      </c>
      <c r="F80" s="150">
        <v>54000</v>
      </c>
      <c r="G80" s="150">
        <v>5607.9</v>
      </c>
      <c r="H80" s="191">
        <f>G80/E80</f>
        <v>0.11588461753054734</v>
      </c>
      <c r="J80" s="188"/>
    </row>
    <row r="81" spans="1:10" ht="16.5">
      <c r="A81" s="149"/>
      <c r="B81" s="150"/>
      <c r="C81" s="150"/>
      <c r="D81" s="150"/>
      <c r="E81" s="150"/>
      <c r="F81" s="150"/>
      <c r="G81" s="150"/>
      <c r="H81" s="191"/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16696</v>
      </c>
      <c r="C104" s="45"/>
      <c r="D104" s="45"/>
      <c r="E104" s="45">
        <f>SUM(E2:E103)</f>
        <v>4058517.39</v>
      </c>
      <c r="F104" s="45">
        <f>SUM(F2:F103)</f>
        <v>7390711.1500000004</v>
      </c>
      <c r="G104" s="45">
        <f>SUM(G2:G103)</f>
        <v>3330631.76</v>
      </c>
      <c r="H104" s="176">
        <f>G104/E104</f>
        <v>0.820652331860527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E217-CBA6-446C-9BD0-9755FFF92D4E}">
  <dimension ref="A1:J22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56785.178999999996</v>
      </c>
      <c r="D2">
        <v>8.43</v>
      </c>
      <c r="E2">
        <v>7.9260000000000002</v>
      </c>
      <c r="F2" s="188">
        <v>450077.50520000001</v>
      </c>
      <c r="G2" s="188">
        <v>478699.05900000001</v>
      </c>
      <c r="H2" s="188">
        <v>28621.553800000002</v>
      </c>
      <c r="I2" s="192">
        <f>H2/F2</f>
        <v>6.3592500112356204E-2</v>
      </c>
    </row>
    <row r="3" spans="1:9">
      <c r="A3" s="168" t="s">
        <v>234</v>
      </c>
      <c r="B3" s="210" t="s">
        <v>235</v>
      </c>
      <c r="C3" s="188">
        <v>4080.9659999999999</v>
      </c>
      <c r="D3">
        <v>133.13999999999999</v>
      </c>
      <c r="E3">
        <v>68.607799999999997</v>
      </c>
      <c r="F3" s="188">
        <v>279986.10960000003</v>
      </c>
      <c r="G3" s="188">
        <v>543339.81319999998</v>
      </c>
      <c r="H3" s="188">
        <v>263353.70370000001</v>
      </c>
      <c r="I3" s="192">
        <f t="shared" ref="I3:I22" si="0">H3/F3</f>
        <v>0.94059560338989046</v>
      </c>
    </row>
    <row r="4" spans="1:9">
      <c r="A4" s="168" t="s">
        <v>236</v>
      </c>
      <c r="B4" s="210" t="s">
        <v>237</v>
      </c>
      <c r="C4" s="188">
        <v>14235.332</v>
      </c>
      <c r="D4">
        <v>125.87</v>
      </c>
      <c r="E4">
        <v>47.766100000000002</v>
      </c>
      <c r="F4" s="188">
        <v>679966.92570000002</v>
      </c>
      <c r="G4" s="188">
        <v>1791801.2387999999</v>
      </c>
      <c r="H4" s="188">
        <v>1111834.3132</v>
      </c>
      <c r="I4" s="192">
        <f t="shared" si="0"/>
        <v>1.635129991146862</v>
      </c>
    </row>
    <row r="5" spans="1:9">
      <c r="A5" s="168" t="s">
        <v>238</v>
      </c>
      <c r="B5" s="210" t="s">
        <v>237</v>
      </c>
      <c r="C5" s="188">
        <v>30844.641</v>
      </c>
      <c r="D5">
        <v>44.15</v>
      </c>
      <c r="E5">
        <v>33.229399999999998</v>
      </c>
      <c r="F5" s="188">
        <v>1024948.7568</v>
      </c>
      <c r="G5" s="188">
        <v>1361790.9002</v>
      </c>
      <c r="H5" s="188">
        <v>336842.1433</v>
      </c>
      <c r="I5" s="192">
        <f t="shared" si="0"/>
        <v>0.32864291123358919</v>
      </c>
    </row>
    <row r="6" spans="1:9">
      <c r="A6" s="168" t="s">
        <v>239</v>
      </c>
      <c r="B6" s="210" t="s">
        <v>233</v>
      </c>
      <c r="C6" s="188">
        <v>9895.73</v>
      </c>
      <c r="D6">
        <v>30.457699999999999</v>
      </c>
      <c r="E6">
        <v>26.272600000000001</v>
      </c>
      <c r="F6" s="188">
        <v>259987.02609999999</v>
      </c>
      <c r="G6" s="188">
        <v>301401.17560000002</v>
      </c>
      <c r="H6" s="188">
        <v>41414.1495</v>
      </c>
      <c r="I6" s="192">
        <f t="shared" si="0"/>
        <v>0.15929313905098744</v>
      </c>
    </row>
    <row r="7" spans="1:9">
      <c r="A7" s="168" t="s">
        <v>240</v>
      </c>
      <c r="B7" s="210" t="s">
        <v>241</v>
      </c>
      <c r="C7" s="188">
        <v>1857.5519999999999</v>
      </c>
      <c r="D7">
        <v>790.8048</v>
      </c>
      <c r="E7">
        <v>366.02140000000003</v>
      </c>
      <c r="F7" s="188">
        <v>679903.69869999995</v>
      </c>
      <c r="G7" s="188">
        <v>1468961.0378</v>
      </c>
      <c r="H7" s="188">
        <v>789057.33920000005</v>
      </c>
      <c r="I7" s="192">
        <f t="shared" si="0"/>
        <v>1.1605427955587031</v>
      </c>
    </row>
    <row r="8" spans="1:9">
      <c r="A8" s="168" t="s">
        <v>242</v>
      </c>
      <c r="B8" s="210" t="s">
        <v>237</v>
      </c>
      <c r="C8" s="188">
        <v>4306.576</v>
      </c>
      <c r="D8">
        <v>161.76300000000001</v>
      </c>
      <c r="E8">
        <v>44.3917</v>
      </c>
      <c r="F8" s="188">
        <v>191176.2298</v>
      </c>
      <c r="G8" s="188">
        <v>696644.65350000001</v>
      </c>
      <c r="H8" s="188">
        <v>505468.42369999998</v>
      </c>
      <c r="I8" s="192">
        <f t="shared" si="0"/>
        <v>2.6439920079436567</v>
      </c>
    </row>
    <row r="9" spans="1:9">
      <c r="A9" s="168" t="s">
        <v>243</v>
      </c>
      <c r="B9" s="210" t="s">
        <v>235</v>
      </c>
      <c r="C9" s="188">
        <v>5805.7370000000001</v>
      </c>
      <c r="D9">
        <v>157.857</v>
      </c>
      <c r="E9">
        <v>41.940399999999997</v>
      </c>
      <c r="F9" s="188">
        <v>243495.1642</v>
      </c>
      <c r="G9" s="188">
        <v>916476.22560000001</v>
      </c>
      <c r="H9" s="188">
        <v>672981.06140000001</v>
      </c>
      <c r="I9" s="192">
        <f t="shared" si="0"/>
        <v>2.7638374815823141</v>
      </c>
    </row>
    <row r="10" spans="1:9">
      <c r="A10" s="168" t="s">
        <v>244</v>
      </c>
      <c r="B10" s="210" t="s">
        <v>233</v>
      </c>
      <c r="C10" s="188">
        <v>13136.35</v>
      </c>
      <c r="D10">
        <v>40.511499999999998</v>
      </c>
      <c r="E10">
        <v>29.687100000000001</v>
      </c>
      <c r="F10" s="188">
        <v>389980.446</v>
      </c>
      <c r="G10" s="188">
        <v>532173.24300000002</v>
      </c>
      <c r="H10" s="188">
        <v>142192.79699999999</v>
      </c>
      <c r="I10" s="192">
        <f t="shared" si="0"/>
        <v>0.36461519662962794</v>
      </c>
    </row>
    <row r="11" spans="1:9">
      <c r="A11" s="168" t="s">
        <v>246</v>
      </c>
      <c r="B11" s="210" t="s">
        <v>241</v>
      </c>
      <c r="C11" s="188">
        <v>79280.853499999997</v>
      </c>
      <c r="D11">
        <v>16.607800000000001</v>
      </c>
      <c r="E11">
        <v>12.9976</v>
      </c>
      <c r="F11" s="188">
        <v>1030459.0281</v>
      </c>
      <c r="G11" s="188">
        <v>1316680.5588</v>
      </c>
      <c r="H11" s="188">
        <v>286221.5307</v>
      </c>
      <c r="I11" s="192">
        <f t="shared" si="0"/>
        <v>0.27776119466656163</v>
      </c>
    </row>
    <row r="12" spans="1:9">
      <c r="A12" s="168" t="s">
        <v>247</v>
      </c>
      <c r="B12" s="210" t="s">
        <v>241</v>
      </c>
      <c r="C12" s="188">
        <v>46779.584000000003</v>
      </c>
      <c r="D12">
        <v>16.229900000000001</v>
      </c>
      <c r="E12">
        <v>14.1187</v>
      </c>
      <c r="F12" s="188">
        <v>660466.97759999998</v>
      </c>
      <c r="G12" s="188">
        <v>759227.97039999999</v>
      </c>
      <c r="H12" s="188">
        <v>98760.992800000007</v>
      </c>
      <c r="I12" s="192">
        <f t="shared" si="0"/>
        <v>0.14953206768773963</v>
      </c>
    </row>
    <row r="13" spans="1:9">
      <c r="A13" s="168" t="s">
        <v>263</v>
      </c>
      <c r="B13" s="210" t="s">
        <v>233</v>
      </c>
      <c r="C13" s="188">
        <v>82131.043999999994</v>
      </c>
      <c r="D13">
        <v>17.383099999999999</v>
      </c>
      <c r="E13">
        <v>9.9227000000000007</v>
      </c>
      <c r="F13" s="188">
        <v>814959.2439</v>
      </c>
      <c r="G13" s="188">
        <v>1427692.1510000001</v>
      </c>
      <c r="H13" s="188">
        <v>612732.90709999995</v>
      </c>
      <c r="I13" s="192">
        <f t="shared" si="0"/>
        <v>0.75185711639732711</v>
      </c>
    </row>
    <row r="14" spans="1:9">
      <c r="A14" s="168" t="s">
        <v>248</v>
      </c>
      <c r="B14" s="210" t="s">
        <v>249</v>
      </c>
      <c r="C14" s="188">
        <v>21675.284</v>
      </c>
      <c r="D14">
        <v>10.524900000000001</v>
      </c>
      <c r="E14">
        <v>9.2728000000000002</v>
      </c>
      <c r="F14" s="188">
        <v>200989.94990000001</v>
      </c>
      <c r="G14" s="188">
        <v>228130.1966</v>
      </c>
      <c r="H14" s="188">
        <v>27140.2467</v>
      </c>
      <c r="I14" s="192">
        <f t="shared" si="0"/>
        <v>0.13503285469498991</v>
      </c>
    </row>
    <row r="15" spans="1:9">
      <c r="A15" s="168" t="s">
        <v>250</v>
      </c>
      <c r="B15" s="210" t="s">
        <v>251</v>
      </c>
      <c r="C15" s="188">
        <v>19397.659</v>
      </c>
      <c r="D15">
        <v>92.611999999999995</v>
      </c>
      <c r="E15">
        <v>44.640599999999999</v>
      </c>
      <c r="F15" s="188">
        <v>865923.00470000005</v>
      </c>
      <c r="G15" s="188">
        <v>1796455.9953000001</v>
      </c>
      <c r="H15" s="188">
        <v>930532.99060000002</v>
      </c>
      <c r="I15" s="192">
        <f t="shared" si="0"/>
        <v>1.0746140078844355</v>
      </c>
    </row>
    <row r="16" spans="1:9">
      <c r="A16" s="168" t="s">
        <v>252</v>
      </c>
      <c r="B16" s="210" t="s">
        <v>233</v>
      </c>
      <c r="C16" s="188">
        <v>6809.741</v>
      </c>
      <c r="D16">
        <v>49.84</v>
      </c>
      <c r="E16">
        <v>35.241999999999997</v>
      </c>
      <c r="F16" s="188">
        <v>239988.8371</v>
      </c>
      <c r="G16" s="188">
        <v>339397.4914</v>
      </c>
      <c r="H16" s="188">
        <v>99408.654299999995</v>
      </c>
      <c r="I16" s="192">
        <f t="shared" si="0"/>
        <v>0.41422199257783726</v>
      </c>
    </row>
    <row r="17" spans="1:10">
      <c r="A17" s="168" t="s">
        <v>253</v>
      </c>
      <c r="B17" s="210" t="s">
        <v>235</v>
      </c>
      <c r="C17" s="188">
        <v>5481.1360000000004</v>
      </c>
      <c r="D17">
        <v>250.23429999999999</v>
      </c>
      <c r="E17">
        <v>200.74350000000001</v>
      </c>
      <c r="F17" s="188">
        <v>1100302.2501999999</v>
      </c>
      <c r="G17" s="188">
        <v>1371568.2302000001</v>
      </c>
      <c r="H17" s="188">
        <v>271265.97989999998</v>
      </c>
      <c r="I17" s="192">
        <f t="shared" si="0"/>
        <v>0.24653769439323828</v>
      </c>
    </row>
    <row r="18" spans="1:10">
      <c r="A18" s="168" t="s">
        <v>254</v>
      </c>
      <c r="B18" s="210" t="s">
        <v>237</v>
      </c>
      <c r="C18">
        <v>489.44499999999999</v>
      </c>
      <c r="D18">
        <v>285.07459999999998</v>
      </c>
      <c r="E18">
        <v>255.3785</v>
      </c>
      <c r="F18" s="188">
        <v>124993.753</v>
      </c>
      <c r="G18" s="188">
        <v>139528.3376</v>
      </c>
      <c r="H18" s="188">
        <v>14534.5846</v>
      </c>
      <c r="I18" s="192">
        <f t="shared" si="0"/>
        <v>0.11628248813362697</v>
      </c>
    </row>
    <row r="19" spans="1:10">
      <c r="A19" s="168" t="s">
        <v>255</v>
      </c>
      <c r="B19" s="210" t="s">
        <v>241</v>
      </c>
      <c r="C19" s="188">
        <v>18996.168000000001</v>
      </c>
      <c r="D19">
        <v>25.269300000000001</v>
      </c>
      <c r="E19">
        <v>9.4700000000000006</v>
      </c>
      <c r="F19" s="188">
        <v>179893.71100000001</v>
      </c>
      <c r="G19" s="188">
        <v>480019.86800000002</v>
      </c>
      <c r="H19" s="188">
        <v>300126.15710000001</v>
      </c>
      <c r="I19" s="192">
        <f t="shared" si="0"/>
        <v>1.6683526924407046</v>
      </c>
    </row>
    <row r="20" spans="1:10">
      <c r="A20" s="168"/>
      <c r="B20" s="210"/>
      <c r="C20" s="188"/>
      <c r="D20"/>
      <c r="E20"/>
      <c r="F20" s="188"/>
      <c r="G20" s="188"/>
      <c r="H20" s="188"/>
      <c r="I20" s="192"/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421988.97749999992</v>
      </c>
      <c r="D22" s="75"/>
      <c r="E22" s="75"/>
      <c r="F22" s="75">
        <f t="shared" ref="F22:H22" si="1">SUM(F2:F21)</f>
        <v>9417498.6175999995</v>
      </c>
      <c r="G22" s="75">
        <f t="shared" si="1"/>
        <v>15949988.146000002</v>
      </c>
      <c r="H22" s="75">
        <f t="shared" si="1"/>
        <v>6532489.5285999998</v>
      </c>
      <c r="I22" s="53">
        <f t="shared" si="0"/>
        <v>0.69365441863635446</v>
      </c>
      <c r="J22" s="202"/>
    </row>
  </sheetData>
  <hyperlinks>
    <hyperlink ref="A2" r:id="rId1" location="/mf/1831632/41287/NULL" xr:uid="{A2E3BC82-703C-4383-B3ED-08445A20EEF5}"/>
    <hyperlink ref="A3" r:id="rId2" location="/mf/1831632/15690/NULL" xr:uid="{9C221BBA-4B8E-44FF-8909-8210677EED92}"/>
    <hyperlink ref="A4" r:id="rId3" location="/mf/1831632/22335/NULL" xr:uid="{AC95D790-DF54-4EF2-AA05-D1F5771D18D5}"/>
    <hyperlink ref="A5" r:id="rId4" location="/mf/1831632/38817/NULL" xr:uid="{7EECD440-44E2-4C6B-88AF-8A0DB2F15C71}"/>
    <hyperlink ref="A6" r:id="rId5" location="/mf/1831632/40665/NULL" xr:uid="{AAC36258-A1E3-4467-954F-5AF3E3C8A923}"/>
    <hyperlink ref="A7" r:id="rId6" location="/mf/1831632/16071/NULL" xr:uid="{99787454-B95B-4861-8D2E-BCE6C91A5E4E}"/>
    <hyperlink ref="A8" r:id="rId7" location="/mf/1831632/16617/NULL" xr:uid="{FCF8AEF3-4EC5-430B-ABCF-FBA6E43C6B68}"/>
    <hyperlink ref="A9" r:id="rId8" location="/mf/1831632/17134/NULL" xr:uid="{E0D954CF-77C5-45EF-BE65-484FD0802527}"/>
    <hyperlink ref="A10" r:id="rId9" location="/mf/1831632/38228/NULL" xr:uid="{A7963700-C328-41F9-ADFC-318CDEAB6286}"/>
    <hyperlink ref="A11" r:id="rId10" location="/mf/1831632/41574/NULL" xr:uid="{4E2145F2-5D20-456F-BEA7-FD07DA580DB7}"/>
    <hyperlink ref="A12" r:id="rId11" location="/mf/1831632/41937/NULL" xr:uid="{4C39C7F8-8867-40CF-84A7-124C89820498}"/>
    <hyperlink ref="A13" r:id="rId12" location="/mf/1831632/42135/NULL" xr:uid="{4CFA201D-8969-40C5-9D43-80DA8CED7AD0}"/>
    <hyperlink ref="A14" r:id="rId13" location="/mf/1831632/44110/NULL" xr:uid="{8423B4A8-BDE8-4180-A395-85082B05B146}"/>
    <hyperlink ref="A15" r:id="rId14" location="/mf/1831632/19701/NULL" xr:uid="{5C4B86E3-7112-4BC4-96FB-347CE43CC4B7}"/>
    <hyperlink ref="A16" r:id="rId15" location="/mf/1831632/17348/NULL" xr:uid="{ABD978B4-A0CA-487A-A3F8-9F38F62140DE}"/>
    <hyperlink ref="A17" r:id="rId16" location="/mf/1831632/17375/NULL" xr:uid="{ADEE6CD7-E7E5-46A6-9D3C-445CDAD2402C}"/>
    <hyperlink ref="A18" r:id="rId17" location="/mf/1831632/17366/NULL" xr:uid="{BA1CBE33-201C-48F6-B631-07D274459D7C}"/>
    <hyperlink ref="A19" r:id="rId18" location="/mf/1831632/36491/NULL" xr:uid="{0438BDE5-2555-4069-A039-8F5DF213A48D}"/>
  </hyperlink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7327-C8C5-42C5-AB96-AEB01C9DABB3}">
  <dimension ref="A1:J10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258</v>
      </c>
      <c r="B2" s="150">
        <v>100</v>
      </c>
      <c r="C2" s="150">
        <v>109.73</v>
      </c>
      <c r="D2" s="150">
        <v>101.05</v>
      </c>
      <c r="E2" s="150">
        <v>10972.5</v>
      </c>
      <c r="F2" s="150">
        <v>10105</v>
      </c>
      <c r="G2" s="150">
        <v>-867.5</v>
      </c>
      <c r="H2" s="191">
        <f>G2/E2</f>
        <v>-7.9061289587605374E-2</v>
      </c>
    </row>
    <row r="3" spans="1:10" ht="15.75">
      <c r="A3" s="149" t="s">
        <v>256</v>
      </c>
      <c r="B3" s="150">
        <v>20</v>
      </c>
      <c r="C3" s="150">
        <v>1000</v>
      </c>
      <c r="D3" s="150">
        <v>1073.01</v>
      </c>
      <c r="E3" s="150">
        <v>20000</v>
      </c>
      <c r="F3" s="150">
        <v>21460.2</v>
      </c>
      <c r="G3" s="150">
        <v>0</v>
      </c>
      <c r="H3" s="191">
        <f>G3/E3</f>
        <v>0</v>
      </c>
    </row>
    <row r="4" spans="1:10" ht="15.75">
      <c r="A4" s="149" t="s">
        <v>264</v>
      </c>
      <c r="B4" s="150">
        <v>13</v>
      </c>
      <c r="C4" s="150">
        <v>133.75</v>
      </c>
      <c r="D4" s="150">
        <v>1404</v>
      </c>
      <c r="E4" s="150">
        <v>1738.75</v>
      </c>
      <c r="F4" s="150">
        <v>18252</v>
      </c>
      <c r="G4" s="150">
        <v>16513.25</v>
      </c>
      <c r="H4" s="191">
        <f>G4/E4</f>
        <v>9.4971962616822427</v>
      </c>
    </row>
    <row r="5" spans="1:10" ht="15.75">
      <c r="A5" s="149" t="s">
        <v>144</v>
      </c>
      <c r="B5" s="150">
        <v>19</v>
      </c>
      <c r="C5" s="150">
        <v>489.54</v>
      </c>
      <c r="D5" s="150">
        <v>2512</v>
      </c>
      <c r="E5" s="150">
        <v>9301.2000000000007</v>
      </c>
      <c r="F5" s="150">
        <v>47728</v>
      </c>
      <c r="G5" s="150">
        <v>38426.800000000003</v>
      </c>
      <c r="H5" s="191">
        <f>G5/E5</f>
        <v>4.1313808970885475</v>
      </c>
      <c r="J5" s="188"/>
    </row>
    <row r="6" spans="1:10" ht="15.75">
      <c r="A6" s="149" t="s">
        <v>145</v>
      </c>
      <c r="B6" s="150">
        <v>250</v>
      </c>
      <c r="C6" s="150">
        <v>183.59</v>
      </c>
      <c r="D6" s="150">
        <v>471.1</v>
      </c>
      <c r="E6" s="150">
        <v>45897.5</v>
      </c>
      <c r="F6" s="150">
        <v>117775</v>
      </c>
      <c r="G6" s="150">
        <v>71877.5</v>
      </c>
      <c r="H6" s="191">
        <f>G6/E6</f>
        <v>1.566043902173321</v>
      </c>
    </row>
    <row r="7" spans="1:10" ht="15.75">
      <c r="A7" s="149" t="s">
        <v>146</v>
      </c>
      <c r="B7" s="150">
        <v>62</v>
      </c>
      <c r="C7" s="150">
        <v>708.24</v>
      </c>
      <c r="D7" s="150">
        <v>1192.2</v>
      </c>
      <c r="E7" s="150">
        <v>43910.6</v>
      </c>
      <c r="F7" s="150">
        <v>73916.399999999994</v>
      </c>
      <c r="G7" s="150">
        <v>30005.8</v>
      </c>
      <c r="H7" s="191">
        <f>G7/E7</f>
        <v>0.68333841942492246</v>
      </c>
    </row>
    <row r="8" spans="1:10" ht="15.75">
      <c r="A8" s="149" t="s">
        <v>147</v>
      </c>
      <c r="B8" s="150">
        <v>19</v>
      </c>
      <c r="C8" s="150">
        <v>3076.33</v>
      </c>
      <c r="D8" s="150">
        <v>8608.7000000000007</v>
      </c>
      <c r="E8" s="150">
        <v>58450.25</v>
      </c>
      <c r="F8" s="150">
        <v>163565.29999999999</v>
      </c>
      <c r="G8" s="150">
        <v>105115.05</v>
      </c>
      <c r="H8" s="191">
        <f>G8/E8</f>
        <v>1.7983678427380552</v>
      </c>
    </row>
    <row r="9" spans="1:10" ht="15.75">
      <c r="A9" s="149" t="s">
        <v>148</v>
      </c>
      <c r="B9" s="150">
        <v>8</v>
      </c>
      <c r="C9" s="150">
        <v>6731.04</v>
      </c>
      <c r="D9" s="150">
        <v>9180.5</v>
      </c>
      <c r="E9" s="150">
        <v>53848.35</v>
      </c>
      <c r="F9" s="150">
        <v>73444</v>
      </c>
      <c r="G9" s="150">
        <v>19595.650000000001</v>
      </c>
      <c r="H9" s="191">
        <f>G9/E9</f>
        <v>0.363904372185963</v>
      </c>
      <c r="J9" s="188"/>
    </row>
    <row r="10" spans="1:10" ht="15.75">
      <c r="A10" s="149" t="s">
        <v>149</v>
      </c>
      <c r="B10" s="150">
        <v>15</v>
      </c>
      <c r="C10" s="150">
        <v>2427.4699999999998</v>
      </c>
      <c r="D10" s="150">
        <v>2477</v>
      </c>
      <c r="E10" s="150">
        <v>36412</v>
      </c>
      <c r="F10" s="150">
        <v>37155</v>
      </c>
      <c r="G10" s="150">
        <v>743</v>
      </c>
      <c r="H10" s="191">
        <f>G10/E10</f>
        <v>2.0405360870042844E-2</v>
      </c>
    </row>
    <row r="11" spans="1:10" ht="15.75">
      <c r="A11" s="149" t="s">
        <v>150</v>
      </c>
      <c r="B11" s="150">
        <v>184</v>
      </c>
      <c r="C11" s="150">
        <v>188.19</v>
      </c>
      <c r="D11" s="150">
        <v>249.7</v>
      </c>
      <c r="E11" s="150">
        <v>34627.15</v>
      </c>
      <c r="F11" s="150">
        <v>45944.800000000003</v>
      </c>
      <c r="G11" s="150">
        <v>11317.65</v>
      </c>
      <c r="H11" s="191">
        <f>G11/E11</f>
        <v>0.32684324294664735</v>
      </c>
      <c r="J11" s="188"/>
    </row>
    <row r="12" spans="1:10" ht="15.75">
      <c r="A12" s="149" t="s">
        <v>152</v>
      </c>
      <c r="B12" s="150">
        <v>180</v>
      </c>
      <c r="C12" s="150">
        <v>322.89</v>
      </c>
      <c r="D12" s="150">
        <v>1856.8</v>
      </c>
      <c r="E12" s="150">
        <v>58120</v>
      </c>
      <c r="F12" s="150">
        <v>334224</v>
      </c>
      <c r="G12" s="150">
        <v>276104</v>
      </c>
      <c r="H12" s="191">
        <f>G12/E12</f>
        <v>4.7505849965588434</v>
      </c>
      <c r="J12" s="188"/>
    </row>
    <row r="13" spans="1:10" ht="15.75">
      <c r="A13" s="149" t="s">
        <v>153</v>
      </c>
      <c r="B13" s="150">
        <v>40</v>
      </c>
      <c r="C13" s="150">
        <v>446.04</v>
      </c>
      <c r="D13" s="150">
        <v>1095</v>
      </c>
      <c r="E13" s="150">
        <v>17841.599999999999</v>
      </c>
      <c r="F13" s="150">
        <v>43800</v>
      </c>
      <c r="G13" s="150">
        <v>25958.400000000001</v>
      </c>
      <c r="H13" s="191">
        <f>G13/E13</f>
        <v>1.4549367769706756</v>
      </c>
      <c r="J13" s="188"/>
    </row>
    <row r="14" spans="1:10" ht="15.75">
      <c r="A14" s="149" t="s">
        <v>154</v>
      </c>
      <c r="B14" s="150">
        <v>14</v>
      </c>
      <c r="C14" s="150">
        <v>3489.94</v>
      </c>
      <c r="D14" s="150">
        <v>5510.5</v>
      </c>
      <c r="E14" s="150">
        <v>48859.1</v>
      </c>
      <c r="F14" s="150">
        <v>77147</v>
      </c>
      <c r="G14" s="150">
        <v>28287.9</v>
      </c>
      <c r="H14" s="191">
        <f>G14/E14</f>
        <v>0.57896891264882089</v>
      </c>
    </row>
    <row r="15" spans="1:10" ht="15.75">
      <c r="A15" s="149" t="s">
        <v>155</v>
      </c>
      <c r="B15" s="150">
        <v>180</v>
      </c>
      <c r="C15" s="150">
        <v>155.25</v>
      </c>
      <c r="D15" s="150">
        <v>216.22</v>
      </c>
      <c r="E15" s="150">
        <v>27945</v>
      </c>
      <c r="F15" s="150">
        <v>38919.599999999999</v>
      </c>
      <c r="G15" s="150">
        <v>10974.6</v>
      </c>
      <c r="H15" s="191">
        <v>0</v>
      </c>
      <c r="J15" s="188"/>
    </row>
    <row r="16" spans="1:10" ht="15.75">
      <c r="A16" s="149" t="s">
        <v>156</v>
      </c>
      <c r="B16" s="150">
        <v>88</v>
      </c>
      <c r="C16" s="150">
        <v>373.58</v>
      </c>
      <c r="D16" s="150">
        <v>449.75</v>
      </c>
      <c r="E16" s="150">
        <v>32874.85</v>
      </c>
      <c r="F16" s="150">
        <v>39578</v>
      </c>
      <c r="G16" s="150">
        <v>6703.15</v>
      </c>
      <c r="H16" s="191">
        <f>G16/E16</f>
        <v>0.20389902919709138</v>
      </c>
      <c r="J16" s="188"/>
    </row>
    <row r="17" spans="1:10" ht="15.75">
      <c r="A17" s="149" t="s">
        <v>157</v>
      </c>
      <c r="B17" s="150">
        <v>45</v>
      </c>
      <c r="C17" s="150">
        <v>990.66</v>
      </c>
      <c r="D17" s="150">
        <v>1463.9</v>
      </c>
      <c r="E17" s="150">
        <v>44579.85</v>
      </c>
      <c r="F17" s="150">
        <v>65875.5</v>
      </c>
      <c r="G17" s="150">
        <v>21295.65</v>
      </c>
      <c r="H17" s="191">
        <f>G17/E17</f>
        <v>0.47769676210216055</v>
      </c>
      <c r="J17" s="188"/>
    </row>
    <row r="18" spans="1:10" ht="15.75">
      <c r="A18" s="149" t="s">
        <v>158</v>
      </c>
      <c r="B18" s="150">
        <v>470</v>
      </c>
      <c r="C18" s="150">
        <v>194.39</v>
      </c>
      <c r="D18" s="150">
        <v>397.3</v>
      </c>
      <c r="E18" s="150">
        <v>91363.5</v>
      </c>
      <c r="F18" s="150">
        <v>186731</v>
      </c>
      <c r="G18" s="150">
        <v>95367.5</v>
      </c>
      <c r="H18" s="191">
        <f>G18/E18</f>
        <v>1.0438249410322502</v>
      </c>
    </row>
    <row r="19" spans="1:10" ht="15.75">
      <c r="A19" s="149" t="s">
        <v>159</v>
      </c>
      <c r="B19" s="150">
        <v>13</v>
      </c>
      <c r="C19" s="150">
        <v>4545.26</v>
      </c>
      <c r="D19" s="150">
        <v>8551.1</v>
      </c>
      <c r="E19" s="150">
        <v>59088.4</v>
      </c>
      <c r="F19" s="150">
        <v>111164.3</v>
      </c>
      <c r="G19" s="150">
        <v>52075.9</v>
      </c>
      <c r="H19" s="191">
        <f>G19/E19</f>
        <v>0.88132188382152843</v>
      </c>
    </row>
    <row r="20" spans="1:10" ht="15.75">
      <c r="A20" s="149" t="s">
        <v>160</v>
      </c>
      <c r="B20" s="150">
        <v>21</v>
      </c>
      <c r="C20" s="150">
        <v>1503.03</v>
      </c>
      <c r="D20" s="150">
        <v>2455.9</v>
      </c>
      <c r="E20" s="150">
        <v>31563.7</v>
      </c>
      <c r="F20" s="150">
        <v>51573.9</v>
      </c>
      <c r="G20" s="150">
        <v>20010.2</v>
      </c>
      <c r="H20" s="191">
        <f>G20/E20</f>
        <v>0.63396243152735576</v>
      </c>
    </row>
    <row r="21" spans="1:10" ht="15.75">
      <c r="A21" s="149" t="s">
        <v>161</v>
      </c>
      <c r="B21" s="150">
        <v>66</v>
      </c>
      <c r="C21" s="150">
        <v>557.49</v>
      </c>
      <c r="D21" s="150">
        <v>797.85</v>
      </c>
      <c r="E21" s="150">
        <v>36794.1</v>
      </c>
      <c r="F21" s="150">
        <v>52658.1</v>
      </c>
      <c r="G21" s="150">
        <v>15864</v>
      </c>
      <c r="H21" s="191">
        <f>G21/E21</f>
        <v>0.43115608208924799</v>
      </c>
      <c r="J21" s="188"/>
    </row>
    <row r="22" spans="1:10" ht="15.75">
      <c r="A22" s="149" t="s">
        <v>162</v>
      </c>
      <c r="B22" s="150">
        <v>12</v>
      </c>
      <c r="C22" s="150">
        <v>3474.64</v>
      </c>
      <c r="D22" s="150">
        <v>4002.25</v>
      </c>
      <c r="E22" s="150">
        <v>41695.699999999997</v>
      </c>
      <c r="F22" s="150">
        <v>48027</v>
      </c>
      <c r="G22" s="150">
        <v>6331.3</v>
      </c>
      <c r="H22" s="191">
        <f>G22/E22</f>
        <v>0.15184539412937068</v>
      </c>
    </row>
    <row r="23" spans="1:10" ht="15.75">
      <c r="A23" s="149" t="s">
        <v>163</v>
      </c>
      <c r="B23" s="150">
        <v>60</v>
      </c>
      <c r="C23" s="150">
        <v>992.6</v>
      </c>
      <c r="D23" s="150">
        <v>1251.95</v>
      </c>
      <c r="E23" s="150">
        <v>59555.95</v>
      </c>
      <c r="F23" s="150">
        <v>75117</v>
      </c>
      <c r="G23" s="150">
        <v>15561.05</v>
      </c>
      <c r="H23" s="191">
        <f>G23/E23</f>
        <v>0.26128455679071527</v>
      </c>
      <c r="J23" s="188"/>
    </row>
    <row r="24" spans="1:10" ht="15.75">
      <c r="A24" s="149" t="s">
        <v>164</v>
      </c>
      <c r="B24" s="150">
        <v>7</v>
      </c>
      <c r="C24" s="150">
        <v>3506.83</v>
      </c>
      <c r="D24" s="150">
        <v>5359.35</v>
      </c>
      <c r="E24" s="150">
        <v>24547.8</v>
      </c>
      <c r="F24" s="150">
        <v>37515.449999999997</v>
      </c>
      <c r="G24" s="150">
        <v>12967.65</v>
      </c>
      <c r="H24" s="191">
        <f>G24/E24</f>
        <v>0.52826118837533298</v>
      </c>
      <c r="J24" s="188"/>
    </row>
    <row r="25" spans="1:10" ht="15.75">
      <c r="A25" s="149" t="s">
        <v>270</v>
      </c>
      <c r="B25" s="150">
        <v>92</v>
      </c>
      <c r="C25" s="150">
        <v>359.33</v>
      </c>
      <c r="D25" s="150">
        <v>382</v>
      </c>
      <c r="E25" s="150">
        <v>33058.28</v>
      </c>
      <c r="F25" s="150">
        <v>35144</v>
      </c>
      <c r="G25" s="150">
        <v>2085.7199999999998</v>
      </c>
      <c r="H25" s="191">
        <f>G25/E25</f>
        <v>6.3092211694014327E-2</v>
      </c>
    </row>
    <row r="26" spans="1:10" ht="15.75">
      <c r="A26" s="149" t="s">
        <v>166</v>
      </c>
      <c r="B26" s="150">
        <v>24</v>
      </c>
      <c r="C26" s="150">
        <v>2007.86</v>
      </c>
      <c r="D26" s="150">
        <v>2431.8000000000002</v>
      </c>
      <c r="E26" s="150">
        <v>48188.7</v>
      </c>
      <c r="F26" s="150">
        <v>58363.199999999997</v>
      </c>
      <c r="G26" s="150">
        <v>10174.5</v>
      </c>
      <c r="H26" s="191">
        <f>G26/E26</f>
        <v>0.21113871094260689</v>
      </c>
    </row>
    <row r="27" spans="1:10" ht="15.75">
      <c r="A27" s="149" t="s">
        <v>168</v>
      </c>
      <c r="B27" s="150">
        <v>42</v>
      </c>
      <c r="C27" s="150">
        <v>664.74</v>
      </c>
      <c r="D27" s="150">
        <v>1585.1</v>
      </c>
      <c r="E27" s="150">
        <v>27918.9</v>
      </c>
      <c r="F27" s="150">
        <v>66574.2</v>
      </c>
      <c r="G27" s="150">
        <v>38655.300000000003</v>
      </c>
      <c r="H27" s="191">
        <f>G27/E27</f>
        <v>1.3845566981507151</v>
      </c>
      <c r="J27" s="188"/>
    </row>
    <row r="28" spans="1:10" ht="15.75">
      <c r="A28" s="149" t="s">
        <v>169</v>
      </c>
      <c r="B28" s="150">
        <v>230</v>
      </c>
      <c r="C28" s="150">
        <v>189.67</v>
      </c>
      <c r="D28" s="150">
        <v>386.85</v>
      </c>
      <c r="E28" s="150">
        <v>43625.2</v>
      </c>
      <c r="F28" s="150">
        <v>88975.5</v>
      </c>
      <c r="G28" s="150">
        <v>45350.3</v>
      </c>
      <c r="H28" s="191">
        <f>G28/E28</f>
        <v>1.0395436582525697</v>
      </c>
      <c r="J28" s="188"/>
    </row>
    <row r="29" spans="1:10" ht="15.75">
      <c r="A29" s="149" t="s">
        <v>170</v>
      </c>
      <c r="B29" s="150">
        <v>351</v>
      </c>
      <c r="C29" s="150">
        <v>91.3</v>
      </c>
      <c r="D29" s="150">
        <v>202.06</v>
      </c>
      <c r="E29" s="150">
        <v>32046.16</v>
      </c>
      <c r="F29" s="150">
        <v>70923.06</v>
      </c>
      <c r="G29" s="150">
        <v>38876.9</v>
      </c>
      <c r="H29" s="191">
        <f>G29/E29</f>
        <v>1.2131531515788476</v>
      </c>
      <c r="J29" s="188"/>
    </row>
    <row r="30" spans="1:10" ht="15.75">
      <c r="A30" s="149" t="s">
        <v>172</v>
      </c>
      <c r="B30" s="150">
        <v>20</v>
      </c>
      <c r="C30" s="150">
        <v>1600.68</v>
      </c>
      <c r="D30" s="150">
        <v>2238</v>
      </c>
      <c r="E30" s="150">
        <v>32013.55</v>
      </c>
      <c r="F30" s="150">
        <v>44760</v>
      </c>
      <c r="G30" s="150">
        <v>12746.45</v>
      </c>
      <c r="H30" s="191">
        <f>G30/E30</f>
        <v>0.39815796748564281</v>
      </c>
    </row>
    <row r="31" spans="1:10" ht="15.75">
      <c r="A31" s="149" t="s">
        <v>174</v>
      </c>
      <c r="B31" s="150">
        <v>74</v>
      </c>
      <c r="C31" s="150">
        <v>1149.02</v>
      </c>
      <c r="D31" s="150">
        <v>1637.55</v>
      </c>
      <c r="E31" s="150">
        <v>85027.5</v>
      </c>
      <c r="F31" s="150">
        <v>121178.7</v>
      </c>
      <c r="G31" s="150">
        <v>36151.199999999997</v>
      </c>
      <c r="H31" s="191">
        <f>G31/E31</f>
        <v>0.42517068007409364</v>
      </c>
      <c r="J31" s="188"/>
    </row>
    <row r="32" spans="1:10" ht="15.75">
      <c r="A32" s="149" t="s">
        <v>175</v>
      </c>
      <c r="B32" s="150">
        <v>47</v>
      </c>
      <c r="C32" s="150">
        <v>1650.24</v>
      </c>
      <c r="D32" s="150">
        <v>1944.9</v>
      </c>
      <c r="E32" s="150">
        <v>77561.5</v>
      </c>
      <c r="F32" s="150">
        <v>91410.3</v>
      </c>
      <c r="G32" s="150">
        <v>13848.8</v>
      </c>
      <c r="H32" s="191">
        <f>G32/E32</f>
        <v>0.17855250349722476</v>
      </c>
      <c r="J32" s="188"/>
    </row>
    <row r="33" spans="1:10" ht="15.75">
      <c r="A33" s="149" t="s">
        <v>176</v>
      </c>
      <c r="B33" s="150">
        <v>136</v>
      </c>
      <c r="C33" s="150">
        <v>596.66999999999996</v>
      </c>
      <c r="D33" s="150">
        <v>777.25</v>
      </c>
      <c r="E33" s="150">
        <v>81147.75</v>
      </c>
      <c r="F33" s="150">
        <v>105706</v>
      </c>
      <c r="G33" s="150">
        <v>24558.25</v>
      </c>
      <c r="H33" s="191">
        <f>G33/E33</f>
        <v>0.30263624068443057</v>
      </c>
    </row>
    <row r="34" spans="1:10" ht="15.75">
      <c r="A34" s="149" t="s">
        <v>177</v>
      </c>
      <c r="B34" s="150">
        <v>10</v>
      </c>
      <c r="C34" s="150">
        <v>3016.79</v>
      </c>
      <c r="D34" s="150">
        <v>4310.1000000000004</v>
      </c>
      <c r="E34" s="150">
        <v>30167.85</v>
      </c>
      <c r="F34" s="150">
        <v>43101</v>
      </c>
      <c r="G34" s="150">
        <v>12933.15</v>
      </c>
      <c r="H34" s="191">
        <f>G34/E34</f>
        <v>0.42870638776048015</v>
      </c>
    </row>
    <row r="35" spans="1:10" ht="15.75">
      <c r="A35" s="149" t="s">
        <v>178</v>
      </c>
      <c r="B35" s="150">
        <v>59</v>
      </c>
      <c r="C35" s="150">
        <v>656.47</v>
      </c>
      <c r="D35" s="150">
        <v>1445.95</v>
      </c>
      <c r="E35" s="150">
        <v>38731.699999999997</v>
      </c>
      <c r="F35" s="150">
        <v>85311.05</v>
      </c>
      <c r="G35" s="150">
        <v>46579.35</v>
      </c>
      <c r="H35" s="191">
        <f>G35/E35</f>
        <v>1.2026156868921323</v>
      </c>
    </row>
    <row r="36" spans="1:10" ht="15.75">
      <c r="A36" s="149" t="s">
        <v>151</v>
      </c>
      <c r="B36" s="150">
        <v>8500</v>
      </c>
      <c r="C36" s="150">
        <v>50.47</v>
      </c>
      <c r="D36" s="150">
        <v>56.63</v>
      </c>
      <c r="E36" s="150">
        <v>429035.72</v>
      </c>
      <c r="F36" s="150">
        <v>481355</v>
      </c>
      <c r="G36" s="150">
        <v>52319.28</v>
      </c>
      <c r="H36" s="191">
        <f>G36/E36</f>
        <v>0.12194620997990564</v>
      </c>
      <c r="J36" s="188"/>
    </row>
    <row r="37" spans="1:10" ht="15.75">
      <c r="A37" s="149" t="s">
        <v>179</v>
      </c>
      <c r="B37" s="150">
        <v>54</v>
      </c>
      <c r="C37" s="150">
        <v>1308.5899999999999</v>
      </c>
      <c r="D37" s="150">
        <v>1875.4</v>
      </c>
      <c r="E37" s="150">
        <v>70664.100000000006</v>
      </c>
      <c r="F37" s="150">
        <v>101271.6</v>
      </c>
      <c r="G37" s="150">
        <v>30607.5</v>
      </c>
      <c r="H37" s="191">
        <f>G37/E37</f>
        <v>0.43314073199828479</v>
      </c>
    </row>
    <row r="38" spans="1:10" ht="15.75">
      <c r="A38" s="149" t="s">
        <v>180</v>
      </c>
      <c r="B38" s="150">
        <v>118</v>
      </c>
      <c r="C38" s="150">
        <v>492.05</v>
      </c>
      <c r="D38" s="150">
        <v>662.4</v>
      </c>
      <c r="E38" s="150">
        <v>58062.35</v>
      </c>
      <c r="F38" s="150">
        <v>78163.199999999997</v>
      </c>
      <c r="G38" s="150">
        <v>20100.849999999999</v>
      </c>
      <c r="H38" s="191">
        <f>G38/E38</f>
        <v>0.3461942205232823</v>
      </c>
      <c r="J38" s="188"/>
    </row>
    <row r="39" spans="1:10" ht="15.75">
      <c r="A39" s="149" t="s">
        <v>181</v>
      </c>
      <c r="B39" s="150">
        <v>65</v>
      </c>
      <c r="C39" s="150">
        <v>1576.72</v>
      </c>
      <c r="D39" s="150">
        <v>1562.8</v>
      </c>
      <c r="E39" s="150">
        <v>102486.6</v>
      </c>
      <c r="F39" s="150">
        <v>101582</v>
      </c>
      <c r="G39" s="150">
        <v>-904.6</v>
      </c>
      <c r="H39" s="191">
        <f>G39/E39</f>
        <v>-8.8265197596563844E-3</v>
      </c>
      <c r="J39" s="188"/>
    </row>
    <row r="40" spans="1:10" ht="15.75">
      <c r="A40" s="149" t="s">
        <v>182</v>
      </c>
      <c r="B40" s="150">
        <v>788</v>
      </c>
      <c r="C40" s="150">
        <v>206.55</v>
      </c>
      <c r="D40" s="150">
        <v>418.75</v>
      </c>
      <c r="E40" s="150">
        <v>162761.06</v>
      </c>
      <c r="F40" s="150">
        <v>329975</v>
      </c>
      <c r="G40" s="150">
        <v>167213.94</v>
      </c>
      <c r="H40" s="191">
        <f>G40/E40</f>
        <v>1.027358386582147</v>
      </c>
    </row>
    <row r="41" spans="1:10" ht="15.75">
      <c r="A41" s="149" t="s">
        <v>183</v>
      </c>
      <c r="B41" s="150">
        <v>45</v>
      </c>
      <c r="C41" s="150">
        <v>1006.05</v>
      </c>
      <c r="D41" s="150">
        <v>1679.25</v>
      </c>
      <c r="E41" s="150">
        <v>45272.45</v>
      </c>
      <c r="F41" s="150">
        <v>75566.25</v>
      </c>
      <c r="G41" s="150">
        <v>30293.8</v>
      </c>
      <c r="H41" s="191">
        <f>G41/E41</f>
        <v>0.66914425881523976</v>
      </c>
      <c r="J41" s="188"/>
    </row>
    <row r="42" spans="1:10" ht="15.75">
      <c r="A42" s="149" t="s">
        <v>184</v>
      </c>
      <c r="B42" s="150">
        <v>254</v>
      </c>
      <c r="C42" s="150">
        <v>130.22</v>
      </c>
      <c r="D42" s="150">
        <v>222.25</v>
      </c>
      <c r="E42" s="150">
        <v>33076.239999999998</v>
      </c>
      <c r="F42" s="150">
        <v>56451.5</v>
      </c>
      <c r="G42" s="150">
        <v>23375.26</v>
      </c>
      <c r="H42" s="191">
        <f>G42/E42</f>
        <v>0.70670850132905072</v>
      </c>
      <c r="J42" s="188"/>
    </row>
    <row r="43" spans="1:10" ht="15.75">
      <c r="A43" s="149" t="s">
        <v>185</v>
      </c>
      <c r="B43" s="150">
        <v>57</v>
      </c>
      <c r="C43" s="150">
        <v>1778.4</v>
      </c>
      <c r="D43" s="150">
        <v>2075.6999999999998</v>
      </c>
      <c r="E43" s="150">
        <v>101368.55</v>
      </c>
      <c r="F43" s="150">
        <v>118314.9</v>
      </c>
      <c r="G43" s="150">
        <v>16946.349999999999</v>
      </c>
      <c r="H43" s="191">
        <f>G43/E43</f>
        <v>0.16717561807878281</v>
      </c>
      <c r="J43" s="188"/>
    </row>
    <row r="44" spans="1:10" ht="15.75">
      <c r="A44" s="149" t="s">
        <v>186</v>
      </c>
      <c r="B44" s="150">
        <v>80</v>
      </c>
      <c r="C44" s="150">
        <v>814.86</v>
      </c>
      <c r="D44" s="150">
        <v>1334.9</v>
      </c>
      <c r="E44" s="150">
        <v>65188.75</v>
      </c>
      <c r="F44" s="150">
        <v>106792</v>
      </c>
      <c r="G44" s="150">
        <v>41603.25</v>
      </c>
      <c r="H44" s="191">
        <f>G44/E44</f>
        <v>0.6381967747502445</v>
      </c>
      <c r="J44" s="188"/>
    </row>
    <row r="45" spans="1:10" ht="15.75">
      <c r="A45" s="149" t="s">
        <v>187</v>
      </c>
      <c r="B45" s="150">
        <v>20</v>
      </c>
      <c r="C45" s="150">
        <v>2295.38</v>
      </c>
      <c r="D45" s="150">
        <v>2792</v>
      </c>
      <c r="E45" s="150">
        <v>45907.6</v>
      </c>
      <c r="F45" s="150">
        <v>55840</v>
      </c>
      <c r="G45" s="150">
        <v>9932.4</v>
      </c>
      <c r="H45" s="191">
        <f>G45/E45</f>
        <v>0.21635633315616587</v>
      </c>
      <c r="J45" s="188"/>
    </row>
    <row r="46" spans="1:10" ht="15.75">
      <c r="A46" s="149" t="s">
        <v>188</v>
      </c>
      <c r="B46" s="150">
        <v>62</v>
      </c>
      <c r="C46" s="150">
        <v>1053.22</v>
      </c>
      <c r="D46" s="150">
        <v>3678.6</v>
      </c>
      <c r="E46" s="150">
        <v>65299.35</v>
      </c>
      <c r="F46" s="150">
        <v>228073.2</v>
      </c>
      <c r="G46" s="150">
        <v>162773.85</v>
      </c>
      <c r="H46" s="191">
        <f>G46/E46</f>
        <v>2.492733082335429</v>
      </c>
    </row>
    <row r="47" spans="1:10" ht="15.75">
      <c r="A47" s="149" t="s">
        <v>189</v>
      </c>
      <c r="B47" s="150">
        <v>10</v>
      </c>
      <c r="C47" s="150">
        <v>1189.6300000000001</v>
      </c>
      <c r="D47" s="150">
        <v>2978.45</v>
      </c>
      <c r="E47" s="150">
        <v>11896.3</v>
      </c>
      <c r="F47" s="150">
        <v>29784.5</v>
      </c>
      <c r="G47" s="150">
        <v>17888.2</v>
      </c>
      <c r="H47" s="191">
        <f>G47/E47</f>
        <v>1.5036776140480654</v>
      </c>
    </row>
    <row r="48" spans="1:10" ht="15.75">
      <c r="A48" s="149" t="s">
        <v>190</v>
      </c>
      <c r="B48" s="150">
        <v>28</v>
      </c>
      <c r="C48" s="150">
        <v>2226.31</v>
      </c>
      <c r="D48" s="150">
        <v>2462.3000000000002</v>
      </c>
      <c r="E48" s="150">
        <v>62336.7</v>
      </c>
      <c r="F48" s="150">
        <v>68944.399999999994</v>
      </c>
      <c r="G48" s="150">
        <v>6607.7</v>
      </c>
      <c r="H48" s="191">
        <f>G48/E48</f>
        <v>0.10600015721076028</v>
      </c>
      <c r="J48" s="188"/>
    </row>
    <row r="49" spans="1:10" ht="15.75">
      <c r="A49" s="149" t="s">
        <v>191</v>
      </c>
      <c r="B49" s="150">
        <v>73</v>
      </c>
      <c r="C49" s="150">
        <v>523.91</v>
      </c>
      <c r="D49" s="150">
        <v>717.25</v>
      </c>
      <c r="E49" s="150">
        <v>38245.25</v>
      </c>
      <c r="F49" s="150">
        <v>52359.25</v>
      </c>
      <c r="G49" s="150">
        <v>14114</v>
      </c>
      <c r="H49" s="191">
        <f>G49/E49</f>
        <v>0.3690392924611553</v>
      </c>
    </row>
    <row r="50" spans="1:10" ht="15.75">
      <c r="A50" s="149" t="s">
        <v>192</v>
      </c>
      <c r="B50" s="150">
        <v>73</v>
      </c>
      <c r="C50" s="150">
        <v>735.56</v>
      </c>
      <c r="D50" s="150">
        <v>1502.7</v>
      </c>
      <c r="E50" s="150">
        <v>53696.15</v>
      </c>
      <c r="F50" s="150">
        <v>109697.1</v>
      </c>
      <c r="G50" s="150">
        <v>56000.95</v>
      </c>
      <c r="H50" s="191">
        <f>G50/E50</f>
        <v>1.042923002859609</v>
      </c>
      <c r="J50" s="188"/>
    </row>
    <row r="51" spans="1:10" ht="15.75">
      <c r="A51" s="149" t="s">
        <v>265</v>
      </c>
      <c r="B51" s="150">
        <v>75</v>
      </c>
      <c r="C51" s="150">
        <v>337.52</v>
      </c>
      <c r="D51" s="150">
        <v>395.19</v>
      </c>
      <c r="E51" s="150">
        <v>25314.17</v>
      </c>
      <c r="F51" s="150">
        <v>29639.25</v>
      </c>
      <c r="G51" s="150">
        <v>4325.08</v>
      </c>
      <c r="H51" s="191">
        <f>G51/E51</f>
        <v>0.17085608574170119</v>
      </c>
    </row>
    <row r="52" spans="1:10" ht="15.75">
      <c r="A52" s="149" t="s">
        <v>194</v>
      </c>
      <c r="B52" s="150">
        <v>190</v>
      </c>
      <c r="C52" s="150">
        <v>76.63</v>
      </c>
      <c r="D52" s="150">
        <v>153.12</v>
      </c>
      <c r="E52" s="150">
        <v>14558.98</v>
      </c>
      <c r="F52" s="150">
        <v>29092.799999999999</v>
      </c>
      <c r="G52" s="150">
        <v>14533.82</v>
      </c>
      <c r="H52" s="191">
        <f>G52/E52</f>
        <v>0.99827185695701215</v>
      </c>
      <c r="J52" s="188"/>
    </row>
    <row r="53" spans="1:10" ht="15.75">
      <c r="A53" s="149" t="s">
        <v>195</v>
      </c>
      <c r="B53" s="150">
        <v>33</v>
      </c>
      <c r="C53" s="150">
        <v>2284.62</v>
      </c>
      <c r="D53" s="150">
        <v>2559.5500000000002</v>
      </c>
      <c r="E53" s="150">
        <v>75392.600000000006</v>
      </c>
      <c r="F53" s="150">
        <v>84465.15</v>
      </c>
      <c r="G53" s="150">
        <v>9072.5499999999993</v>
      </c>
      <c r="H53" s="191">
        <f>G53/E53</f>
        <v>0.1203374071195316</v>
      </c>
      <c r="J53" s="188"/>
    </row>
    <row r="54" spans="1:10" ht="15.75">
      <c r="A54" s="149" t="s">
        <v>196</v>
      </c>
      <c r="B54" s="150">
        <v>9</v>
      </c>
      <c r="C54" s="150">
        <v>2162.65</v>
      </c>
      <c r="D54" s="150">
        <v>2402.4</v>
      </c>
      <c r="E54" s="150">
        <v>19463.849999999999</v>
      </c>
      <c r="F54" s="150">
        <v>21621.599999999999</v>
      </c>
      <c r="G54" s="150">
        <v>2157.75</v>
      </c>
      <c r="H54" s="191">
        <f>G54/E54</f>
        <v>0.11085936235636835</v>
      </c>
      <c r="J54" s="188"/>
    </row>
    <row r="55" spans="1:10" ht="15.75">
      <c r="A55" s="149" t="s">
        <v>197</v>
      </c>
      <c r="B55" s="150">
        <v>207</v>
      </c>
      <c r="C55" s="150">
        <v>127.65</v>
      </c>
      <c r="D55" s="150">
        <v>134.9</v>
      </c>
      <c r="E55" s="150">
        <v>26423.5</v>
      </c>
      <c r="F55" s="150">
        <v>27924.3</v>
      </c>
      <c r="G55" s="150">
        <v>1500.8</v>
      </c>
      <c r="H55" s="191">
        <f>G55/E55</f>
        <v>5.679792608851969E-2</v>
      </c>
      <c r="J55" s="188"/>
    </row>
    <row r="56" spans="1:10" ht="15.75">
      <c r="A56" s="149" t="s">
        <v>198</v>
      </c>
      <c r="B56" s="150">
        <v>80</v>
      </c>
      <c r="C56" s="150">
        <v>621.89</v>
      </c>
      <c r="D56" s="150">
        <v>1740.75</v>
      </c>
      <c r="E56" s="150">
        <v>49751.05</v>
      </c>
      <c r="F56" s="150">
        <v>139260</v>
      </c>
      <c r="G56" s="150">
        <v>89508.95</v>
      </c>
      <c r="H56" s="191">
        <f>G56/E56</f>
        <v>1.7991369026382356</v>
      </c>
      <c r="J56" s="188"/>
    </row>
    <row r="57" spans="1:10" ht="15.75">
      <c r="A57" s="149" t="s">
        <v>199</v>
      </c>
      <c r="B57" s="150">
        <v>10</v>
      </c>
      <c r="C57" s="150">
        <v>4342.57</v>
      </c>
      <c r="D57" s="150">
        <v>8462.5</v>
      </c>
      <c r="E57" s="150">
        <v>43425.7</v>
      </c>
      <c r="F57" s="150">
        <v>84625</v>
      </c>
      <c r="G57" s="150">
        <v>41199.300000000003</v>
      </c>
      <c r="H57" s="191">
        <f>G57/E57</f>
        <v>0.94873082068913117</v>
      </c>
      <c r="J57" s="188"/>
    </row>
    <row r="58" spans="1:10" ht="15.75">
      <c r="A58" s="149" t="s">
        <v>200</v>
      </c>
      <c r="B58" s="150">
        <v>300</v>
      </c>
      <c r="C58" s="150">
        <v>82.33</v>
      </c>
      <c r="D58" s="150">
        <v>239.45</v>
      </c>
      <c r="E58" s="150">
        <v>24700</v>
      </c>
      <c r="F58" s="150">
        <v>71835</v>
      </c>
      <c r="G58" s="150">
        <v>47135</v>
      </c>
      <c r="H58" s="191">
        <f>G58/E58</f>
        <v>1.9082995951417003</v>
      </c>
      <c r="J58" s="188"/>
    </row>
    <row r="59" spans="1:10" ht="15.75">
      <c r="A59" s="149" t="s">
        <v>201</v>
      </c>
      <c r="B59" s="150">
        <v>16</v>
      </c>
      <c r="C59" s="150">
        <v>2003.97</v>
      </c>
      <c r="D59" s="150">
        <v>5625</v>
      </c>
      <c r="E59" s="150">
        <v>32063.45</v>
      </c>
      <c r="F59" s="150">
        <v>90000</v>
      </c>
      <c r="G59" s="150">
        <v>57936.55</v>
      </c>
      <c r="H59" s="191">
        <f>G59/E59</f>
        <v>1.8069343754337104</v>
      </c>
    </row>
    <row r="60" spans="1:10" ht="15.75">
      <c r="A60" s="149" t="s">
        <v>202</v>
      </c>
      <c r="B60" s="150">
        <v>31</v>
      </c>
      <c r="C60" s="150">
        <v>603.24</v>
      </c>
      <c r="D60" s="150">
        <v>1539.7</v>
      </c>
      <c r="E60" s="150">
        <v>18700.45</v>
      </c>
      <c r="F60" s="150">
        <v>47730.7</v>
      </c>
      <c r="G60" s="150">
        <v>29030.25</v>
      </c>
      <c r="H60" s="191">
        <f>G60/E60</f>
        <v>1.5523824292998296</v>
      </c>
      <c r="J60" s="188"/>
    </row>
    <row r="61" spans="1:10" ht="15.75">
      <c r="A61" s="149" t="s">
        <v>203</v>
      </c>
      <c r="B61" s="150">
        <v>30</v>
      </c>
      <c r="C61" s="150">
        <v>2499.15</v>
      </c>
      <c r="D61" s="150">
        <v>3125.2</v>
      </c>
      <c r="E61" s="150">
        <v>74974.350000000006</v>
      </c>
      <c r="F61" s="150">
        <v>93756</v>
      </c>
      <c r="G61" s="150">
        <v>18781.650000000001</v>
      </c>
      <c r="H61" s="191">
        <f>G61/E61</f>
        <v>0.25050767362437953</v>
      </c>
    </row>
    <row r="62" spans="1:10" ht="15.75">
      <c r="A62" s="149" t="s">
        <v>204</v>
      </c>
      <c r="B62" s="150">
        <v>33</v>
      </c>
      <c r="C62" s="150">
        <v>761.09</v>
      </c>
      <c r="D62" s="150">
        <v>1467.6</v>
      </c>
      <c r="E62" s="150">
        <v>25116</v>
      </c>
      <c r="F62" s="150">
        <v>48430.8</v>
      </c>
      <c r="G62" s="150">
        <v>23314.799999999999</v>
      </c>
      <c r="H62" s="191">
        <f>G62/E62</f>
        <v>0.9282847587195413</v>
      </c>
      <c r="J62" s="188"/>
    </row>
    <row r="63" spans="1:10" ht="15.75">
      <c r="A63" s="149" t="s">
        <v>206</v>
      </c>
      <c r="B63" s="150">
        <v>54</v>
      </c>
      <c r="C63" s="150">
        <v>1278.8599999999999</v>
      </c>
      <c r="D63" s="150">
        <v>1815.15</v>
      </c>
      <c r="E63" s="150">
        <v>69058.3</v>
      </c>
      <c r="F63" s="150">
        <v>98018.1</v>
      </c>
      <c r="G63" s="150">
        <v>28959.8</v>
      </c>
      <c r="H63" s="191">
        <f>G63/E63</f>
        <v>0.41935292354430964</v>
      </c>
      <c r="J63" s="188"/>
    </row>
    <row r="64" spans="1:10" ht="15.75">
      <c r="A64" s="149" t="s">
        <v>207</v>
      </c>
      <c r="B64" s="150">
        <v>66</v>
      </c>
      <c r="C64" s="150">
        <v>426.28</v>
      </c>
      <c r="D64" s="150">
        <v>812.4</v>
      </c>
      <c r="E64" s="150">
        <v>28134.5</v>
      </c>
      <c r="F64" s="150">
        <v>53618.400000000001</v>
      </c>
      <c r="G64" s="150">
        <v>25483.9</v>
      </c>
      <c r="H64" s="191">
        <f>G64/E64</f>
        <v>0.90578826707423277</v>
      </c>
    </row>
    <row r="65" spans="1:10" ht="15.75">
      <c r="A65" s="149" t="s">
        <v>262</v>
      </c>
      <c r="B65" s="150">
        <v>10</v>
      </c>
      <c r="C65" s="150">
        <v>5284</v>
      </c>
      <c r="D65" s="150">
        <v>9436.42</v>
      </c>
      <c r="E65" s="150">
        <v>52840</v>
      </c>
      <c r="F65" s="150">
        <v>94364.2</v>
      </c>
      <c r="G65" s="150">
        <v>41524.199999999997</v>
      </c>
      <c r="H65" s="191">
        <f>G65/E65</f>
        <v>0.78584784254352757</v>
      </c>
      <c r="J65" s="188"/>
    </row>
    <row r="66" spans="1:10" ht="15.75">
      <c r="A66" s="149" t="s">
        <v>209</v>
      </c>
      <c r="B66" s="150">
        <v>5</v>
      </c>
      <c r="C66" s="150">
        <v>4802</v>
      </c>
      <c r="D66" s="150">
        <v>9402.5</v>
      </c>
      <c r="E66" s="150">
        <v>24010</v>
      </c>
      <c r="F66" s="150">
        <v>47012.5</v>
      </c>
      <c r="G66" s="150">
        <v>23002.5</v>
      </c>
      <c r="H66" s="191">
        <f>G66/E66</f>
        <v>0.95803831736776346</v>
      </c>
    </row>
    <row r="67" spans="1:10" ht="15.75">
      <c r="A67" s="149" t="s">
        <v>261</v>
      </c>
      <c r="B67" s="150">
        <v>10</v>
      </c>
      <c r="C67" s="150">
        <v>5002.45</v>
      </c>
      <c r="D67" s="150">
        <v>9500</v>
      </c>
      <c r="E67" s="150">
        <v>50024.5</v>
      </c>
      <c r="F67" s="150">
        <v>95000</v>
      </c>
      <c r="G67" s="150">
        <v>44975.5</v>
      </c>
      <c r="H67" s="191">
        <f>G67/E67</f>
        <v>0.89906945596657639</v>
      </c>
      <c r="J67" s="188"/>
    </row>
    <row r="68" spans="1:10" ht="15.75">
      <c r="A68" s="149" t="s">
        <v>211</v>
      </c>
      <c r="B68" s="150">
        <v>35</v>
      </c>
      <c r="C68" s="150">
        <v>749.79</v>
      </c>
      <c r="D68" s="150">
        <v>3271.85</v>
      </c>
      <c r="E68" s="150">
        <v>26242.52</v>
      </c>
      <c r="F68" s="150">
        <v>114514.75</v>
      </c>
      <c r="G68" s="150">
        <v>88272.23</v>
      </c>
      <c r="H68" s="191">
        <f>G68/E68</f>
        <v>3.363710116254079</v>
      </c>
      <c r="J68" s="188"/>
    </row>
    <row r="69" spans="1:10" ht="15.75">
      <c r="A69" s="149" t="s">
        <v>212</v>
      </c>
      <c r="B69" s="150">
        <v>139</v>
      </c>
      <c r="C69" s="150">
        <v>582.57000000000005</v>
      </c>
      <c r="D69" s="150">
        <v>1678.3</v>
      </c>
      <c r="E69" s="150">
        <v>80977.149999999994</v>
      </c>
      <c r="F69" s="150">
        <v>233283.7</v>
      </c>
      <c r="G69" s="150">
        <v>152306.54999999999</v>
      </c>
      <c r="H69" s="191">
        <f>G69/E69</f>
        <v>1.8808583656006663</v>
      </c>
      <c r="J69" s="188"/>
    </row>
    <row r="70" spans="1:10" ht="15.75">
      <c r="A70" s="149" t="s">
        <v>213</v>
      </c>
      <c r="B70" s="150">
        <v>75</v>
      </c>
      <c r="C70" s="150">
        <v>581.84</v>
      </c>
      <c r="D70" s="150">
        <v>646.54999999999995</v>
      </c>
      <c r="E70" s="150">
        <v>43638</v>
      </c>
      <c r="F70" s="150">
        <v>48491.25</v>
      </c>
      <c r="G70" s="150">
        <v>4853.25</v>
      </c>
      <c r="H70" s="191">
        <f>G70/E70</f>
        <v>0.11121614189467895</v>
      </c>
      <c r="J70" s="188"/>
    </row>
    <row r="71" spans="1:10" ht="15.75">
      <c r="A71" s="149" t="s">
        <v>214</v>
      </c>
      <c r="B71" s="150">
        <v>46</v>
      </c>
      <c r="C71" s="150">
        <v>794.51</v>
      </c>
      <c r="D71" s="150">
        <v>1104.4000000000001</v>
      </c>
      <c r="E71" s="150">
        <v>36547.300000000003</v>
      </c>
      <c r="F71" s="150">
        <v>50802.400000000001</v>
      </c>
      <c r="G71" s="150">
        <v>14255.1</v>
      </c>
      <c r="H71" s="191">
        <f>G71/E71</f>
        <v>0.39004522905932859</v>
      </c>
      <c r="J71" s="188"/>
    </row>
    <row r="72" spans="1:10" ht="15.75">
      <c r="A72" s="149" t="s">
        <v>267</v>
      </c>
      <c r="B72" s="150">
        <v>570</v>
      </c>
      <c r="C72" s="150">
        <v>202.51</v>
      </c>
      <c r="D72" s="150">
        <v>719.5</v>
      </c>
      <c r="E72" s="150">
        <v>115432.73</v>
      </c>
      <c r="F72" s="150">
        <v>410115</v>
      </c>
      <c r="G72" s="150">
        <v>294682.27</v>
      </c>
      <c r="H72" s="191">
        <f>G72/E72</f>
        <v>2.5528484858670502</v>
      </c>
      <c r="J72" s="188"/>
    </row>
    <row r="73" spans="1:10" ht="15.75">
      <c r="A73" s="149" t="s">
        <v>215</v>
      </c>
      <c r="B73" s="150">
        <v>1050</v>
      </c>
      <c r="C73" s="150">
        <v>40.479999999999997</v>
      </c>
      <c r="D73" s="150">
        <v>161</v>
      </c>
      <c r="E73" s="150">
        <v>42500.25</v>
      </c>
      <c r="F73" s="150">
        <v>169050</v>
      </c>
      <c r="G73" s="150">
        <v>126549.75</v>
      </c>
      <c r="H73" s="191">
        <f>G73/E73</f>
        <v>2.9776236610372879</v>
      </c>
    </row>
    <row r="74" spans="1:10" ht="15.75">
      <c r="A74" s="149" t="s">
        <v>216</v>
      </c>
      <c r="B74" s="150">
        <v>33</v>
      </c>
      <c r="C74" s="150">
        <v>3575.9</v>
      </c>
      <c r="D74" s="150">
        <v>3464.5</v>
      </c>
      <c r="E74" s="150">
        <v>118004.55</v>
      </c>
      <c r="F74" s="150">
        <v>114328.5</v>
      </c>
      <c r="G74" s="150">
        <v>-3676.05</v>
      </c>
      <c r="H74" s="191">
        <f>G74/E74</f>
        <v>-3.1151764910759799E-2</v>
      </c>
      <c r="J74" s="188"/>
    </row>
    <row r="75" spans="1:10" ht="15.75">
      <c r="A75" s="149" t="s">
        <v>217</v>
      </c>
      <c r="B75" s="150">
        <v>24</v>
      </c>
      <c r="C75" s="150">
        <v>2584.4</v>
      </c>
      <c r="D75" s="150">
        <v>3555</v>
      </c>
      <c r="E75" s="150">
        <v>62025.599999999999</v>
      </c>
      <c r="F75" s="150">
        <v>85320</v>
      </c>
      <c r="G75" s="150">
        <v>23294.400000000001</v>
      </c>
      <c r="H75" s="191">
        <f>G75/E75</f>
        <v>0.37556105865965023</v>
      </c>
      <c r="J75" s="188"/>
    </row>
    <row r="76" spans="1:10" ht="15.75">
      <c r="A76" s="149" t="s">
        <v>219</v>
      </c>
      <c r="B76" s="150">
        <v>14</v>
      </c>
      <c r="C76" s="150">
        <v>2306.8200000000002</v>
      </c>
      <c r="D76" s="150">
        <v>2820</v>
      </c>
      <c r="E76" s="150">
        <v>32295.45</v>
      </c>
      <c r="F76" s="150">
        <v>39480</v>
      </c>
      <c r="G76" s="150">
        <v>7184.55</v>
      </c>
      <c r="H76" s="191">
        <f>G76/E76</f>
        <v>0.22246322624394457</v>
      </c>
      <c r="J76" s="188"/>
    </row>
    <row r="77" spans="1:10" ht="15.75">
      <c r="A77" s="149" t="s">
        <v>220</v>
      </c>
      <c r="B77" s="150">
        <v>30</v>
      </c>
      <c r="C77" s="150">
        <v>373.77</v>
      </c>
      <c r="D77" s="150">
        <v>1006.65</v>
      </c>
      <c r="E77" s="150">
        <v>11213.05</v>
      </c>
      <c r="F77" s="150">
        <v>30199.5</v>
      </c>
      <c r="G77" s="150">
        <v>18986.45</v>
      </c>
      <c r="H77" s="191">
        <f>G77/E77</f>
        <v>1.6932458162587345</v>
      </c>
    </row>
    <row r="78" spans="1:10" ht="15.75">
      <c r="A78" s="149" t="s">
        <v>221</v>
      </c>
      <c r="B78" s="150">
        <v>110</v>
      </c>
      <c r="C78" s="150">
        <v>130.18</v>
      </c>
      <c r="D78" s="150">
        <v>475.95</v>
      </c>
      <c r="E78" s="150">
        <v>14319.65</v>
      </c>
      <c r="F78" s="150">
        <v>52354.5</v>
      </c>
      <c r="G78" s="150">
        <v>38034.85</v>
      </c>
      <c r="H78" s="191">
        <f>G78/E78</f>
        <v>2.6561298635092339</v>
      </c>
    </row>
    <row r="79" spans="1:10" ht="15.75">
      <c r="A79" s="149" t="s">
        <v>222</v>
      </c>
      <c r="B79" s="150">
        <v>54</v>
      </c>
      <c r="C79" s="150">
        <v>896.15</v>
      </c>
      <c r="D79" s="150">
        <v>926.05</v>
      </c>
      <c r="E79" s="150">
        <v>48392.1</v>
      </c>
      <c r="F79" s="150">
        <v>50006.7</v>
      </c>
      <c r="G79" s="150">
        <v>1614.6</v>
      </c>
      <c r="H79" s="191">
        <f>G79/E79</f>
        <v>3.3364950064163366E-2</v>
      </c>
    </row>
    <row r="80" spans="1:10" ht="16.5">
      <c r="A80" s="149"/>
      <c r="B80" s="150"/>
      <c r="C80" s="150"/>
      <c r="D80" s="150"/>
      <c r="E80" s="150"/>
      <c r="F80" s="150"/>
      <c r="G80" s="150"/>
      <c r="H80" s="191"/>
      <c r="J80" s="188"/>
    </row>
    <row r="81" spans="1:10" ht="16.5">
      <c r="A81" s="149"/>
      <c r="B81" s="150"/>
      <c r="C81" s="150"/>
      <c r="D81" s="150"/>
      <c r="E81" s="150"/>
      <c r="F81" s="150"/>
      <c r="G81" s="150"/>
      <c r="H81" s="191"/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16537</v>
      </c>
      <c r="C104" s="45"/>
      <c r="D104" s="45"/>
      <c r="E104" s="45">
        <f>SUM(E2:E103)</f>
        <v>4050311.8600000003</v>
      </c>
      <c r="F104" s="45">
        <f>SUM(F2:F103)</f>
        <v>7131633.5600000005</v>
      </c>
      <c r="G104" s="45">
        <f>SUM(G2:G103)</f>
        <v>3079861.5000000005</v>
      </c>
      <c r="H104" s="176">
        <f>G104/E104</f>
        <v>0.76040107686917724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C9AF-2DD1-400A-903C-28205BD8AACC}">
  <dimension ref="A1:J22"/>
  <sheetViews>
    <sheetView topLeftCell="I2" workbookViewId="0">
      <selection activeCell="I2" sqref="I2"/>
    </sheetView>
  </sheetViews>
  <sheetFormatPr defaultColWidth="8.7109375" defaultRowHeight="1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44633.423999999999</v>
      </c>
      <c r="D2">
        <v>8.1199999999999992</v>
      </c>
      <c r="E2">
        <v>7.8434999999999997</v>
      </c>
      <c r="F2" s="188">
        <v>350082.5061</v>
      </c>
      <c r="G2" s="188">
        <v>362423.40289999999</v>
      </c>
      <c r="H2" s="188">
        <v>12340.896699999999</v>
      </c>
      <c r="I2" s="192">
        <f>H2/F2</f>
        <v>3.5251394985371991E-2</v>
      </c>
    </row>
    <row r="3" spans="1:9">
      <c r="A3" s="168" t="s">
        <v>271</v>
      </c>
      <c r="B3" s="210" t="s">
        <v>269</v>
      </c>
      <c r="C3">
        <v>152.542</v>
      </c>
      <c r="D3" s="188">
        <v>2916.7154999999998</v>
      </c>
      <c r="E3" s="188">
        <v>2891.8474999999999</v>
      </c>
      <c r="F3" s="188">
        <v>441128.20199999999</v>
      </c>
      <c r="G3" s="188">
        <v>444921.61580000003</v>
      </c>
      <c r="H3" s="188">
        <v>3793.4137999999998</v>
      </c>
      <c r="I3" s="192">
        <f t="shared" ref="I3:I22" si="0">H3/F3</f>
        <v>8.5993454574006135E-3</v>
      </c>
    </row>
    <row r="4" spans="1:9">
      <c r="A4" s="168" t="s">
        <v>234</v>
      </c>
      <c r="B4" s="210" t="s">
        <v>235</v>
      </c>
      <c r="C4" s="188">
        <v>4080.9659999999999</v>
      </c>
      <c r="D4">
        <v>127.74</v>
      </c>
      <c r="E4">
        <v>68.607799999999997</v>
      </c>
      <c r="F4" s="188">
        <v>279986.10960000003</v>
      </c>
      <c r="G4" s="188">
        <v>521302.5968</v>
      </c>
      <c r="H4" s="188">
        <v>241316.48730000001</v>
      </c>
      <c r="I4" s="192">
        <f t="shared" si="0"/>
        <v>0.86188735450038911</v>
      </c>
    </row>
    <row r="5" spans="1:9">
      <c r="A5" s="168" t="s">
        <v>236</v>
      </c>
      <c r="B5" s="210" t="s">
        <v>237</v>
      </c>
      <c r="C5" s="188">
        <v>14235.332</v>
      </c>
      <c r="D5">
        <v>120.02</v>
      </c>
      <c r="E5">
        <v>47.766100000000002</v>
      </c>
      <c r="F5" s="188">
        <v>679966.92570000002</v>
      </c>
      <c r="G5" s="188">
        <v>1708524.5466</v>
      </c>
      <c r="H5" s="188">
        <v>1028557.621</v>
      </c>
      <c r="I5" s="192">
        <f t="shared" si="0"/>
        <v>1.512658310462879</v>
      </c>
    </row>
    <row r="6" spans="1:9">
      <c r="A6" s="168" t="s">
        <v>238</v>
      </c>
      <c r="B6" s="210" t="s">
        <v>237</v>
      </c>
      <c r="C6" s="188">
        <v>30844.641</v>
      </c>
      <c r="D6">
        <v>41.76</v>
      </c>
      <c r="E6">
        <v>33.229399999999998</v>
      </c>
      <c r="F6" s="188">
        <v>1024948.7568</v>
      </c>
      <c r="G6" s="188">
        <v>1288072.2082</v>
      </c>
      <c r="H6" s="188">
        <v>263123.45130000002</v>
      </c>
      <c r="I6" s="192">
        <f t="shared" si="0"/>
        <v>0.25671864037525122</v>
      </c>
    </row>
    <row r="7" spans="1:9">
      <c r="A7" s="168" t="s">
        <v>239</v>
      </c>
      <c r="B7" s="210" t="s">
        <v>233</v>
      </c>
      <c r="C7" s="188">
        <v>8179.2129999999997</v>
      </c>
      <c r="D7">
        <v>28.049700000000001</v>
      </c>
      <c r="E7">
        <v>25.6736</v>
      </c>
      <c r="F7" s="188">
        <v>209989.52050000001</v>
      </c>
      <c r="G7" s="188">
        <v>229424.47089999999</v>
      </c>
      <c r="H7" s="188">
        <v>19434.950400000002</v>
      </c>
      <c r="I7" s="192">
        <f t="shared" si="0"/>
        <v>9.255200142237574E-2</v>
      </c>
    </row>
    <row r="8" spans="1:9">
      <c r="A8" s="168" t="s">
        <v>240</v>
      </c>
      <c r="B8" s="210" t="s">
        <v>241</v>
      </c>
      <c r="C8" s="188">
        <v>1857.5519999999999</v>
      </c>
      <c r="D8">
        <v>769.44140000000004</v>
      </c>
      <c r="E8">
        <v>366.02140000000003</v>
      </c>
      <c r="F8" s="188">
        <v>679903.69869999995</v>
      </c>
      <c r="G8" s="188">
        <v>1429277.4114999999</v>
      </c>
      <c r="H8" s="188">
        <v>749373.71279999998</v>
      </c>
      <c r="I8" s="192">
        <f t="shared" si="0"/>
        <v>1.1021762555974164</v>
      </c>
    </row>
    <row r="9" spans="1:9">
      <c r="A9" s="168" t="s">
        <v>242</v>
      </c>
      <c r="B9" s="210" t="s">
        <v>237</v>
      </c>
      <c r="C9" s="188">
        <v>4306.576</v>
      </c>
      <c r="D9">
        <v>153.30000000000001</v>
      </c>
      <c r="E9">
        <v>44.3917</v>
      </c>
      <c r="F9" s="188">
        <v>191176.2298</v>
      </c>
      <c r="G9" s="188">
        <v>660198.10080000001</v>
      </c>
      <c r="H9" s="188">
        <v>469021.87099999998</v>
      </c>
      <c r="I9" s="192">
        <f t="shared" si="0"/>
        <v>2.4533482613956226</v>
      </c>
    </row>
    <row r="10" spans="1:9">
      <c r="A10" s="168" t="s">
        <v>272</v>
      </c>
      <c r="B10" s="210" t="s">
        <v>235</v>
      </c>
      <c r="C10" s="188">
        <v>5805.7370000000001</v>
      </c>
      <c r="D10">
        <v>149.47200000000001</v>
      </c>
      <c r="E10">
        <v>41.940399999999997</v>
      </c>
      <c r="F10" s="188">
        <v>243495.1642</v>
      </c>
      <c r="G10" s="188">
        <v>867795.12089999998</v>
      </c>
      <c r="H10" s="188">
        <v>624299.95660000003</v>
      </c>
      <c r="I10" s="192">
        <f t="shared" si="0"/>
        <v>2.5639111094921696</v>
      </c>
    </row>
    <row r="11" spans="1:9">
      <c r="A11" s="168" t="s">
        <v>244</v>
      </c>
      <c r="B11" s="210" t="s">
        <v>233</v>
      </c>
      <c r="C11" s="188">
        <v>13136.35</v>
      </c>
      <c r="D11">
        <v>37.874600000000001</v>
      </c>
      <c r="E11">
        <v>29.687100000000001</v>
      </c>
      <c r="F11" s="188">
        <v>389980.446</v>
      </c>
      <c r="G11" s="188">
        <v>497534.00170000002</v>
      </c>
      <c r="H11" s="188">
        <v>107553.5557</v>
      </c>
      <c r="I11" s="192">
        <f t="shared" si="0"/>
        <v>0.27579217574411408</v>
      </c>
    </row>
    <row r="12" spans="1:9">
      <c r="A12" s="168" t="s">
        <v>273</v>
      </c>
      <c r="B12" s="210" t="s">
        <v>233</v>
      </c>
      <c r="C12" s="188">
        <v>82131.043999999994</v>
      </c>
      <c r="D12">
        <v>16.2883</v>
      </c>
      <c r="E12">
        <v>9.9227000000000007</v>
      </c>
      <c r="F12" s="188">
        <v>814959.2439</v>
      </c>
      <c r="G12" s="188">
        <v>1337775.084</v>
      </c>
      <c r="H12" s="188">
        <v>522815.84009999997</v>
      </c>
      <c r="I12" s="192">
        <f t="shared" si="0"/>
        <v>0.64152390934061532</v>
      </c>
    </row>
    <row r="13" spans="1:9">
      <c r="A13" s="168" t="s">
        <v>246</v>
      </c>
      <c r="B13" s="210" t="s">
        <v>241</v>
      </c>
      <c r="C13" s="188">
        <v>76833.489499999996</v>
      </c>
      <c r="D13">
        <v>16.100999999999999</v>
      </c>
      <c r="E13">
        <v>12.891</v>
      </c>
      <c r="F13" s="188">
        <v>990461.02399999998</v>
      </c>
      <c r="G13" s="188">
        <v>1237096.0144</v>
      </c>
      <c r="H13" s="188">
        <v>246634.99040000001</v>
      </c>
      <c r="I13" s="192">
        <f t="shared" si="0"/>
        <v>0.24901029361454208</v>
      </c>
    </row>
    <row r="14" spans="1:9">
      <c r="A14" s="168" t="s">
        <v>247</v>
      </c>
      <c r="B14" s="210" t="s">
        <v>241</v>
      </c>
      <c r="C14" s="188">
        <v>46779.584000000003</v>
      </c>
      <c r="D14">
        <v>15.7805</v>
      </c>
      <c r="E14">
        <v>14.1187</v>
      </c>
      <c r="F14" s="188">
        <v>660466.97759999998</v>
      </c>
      <c r="G14" s="188">
        <v>738205.22530000005</v>
      </c>
      <c r="H14" s="188">
        <v>77738.247700000007</v>
      </c>
      <c r="I14" s="192">
        <f t="shared" si="0"/>
        <v>0.117701944739894</v>
      </c>
    </row>
    <row r="15" spans="1:9">
      <c r="A15" s="168" t="s">
        <v>248</v>
      </c>
      <c r="B15" s="210" t="s">
        <v>249</v>
      </c>
      <c r="C15" s="188">
        <v>21675.284</v>
      </c>
      <c r="D15">
        <v>10.016500000000001</v>
      </c>
      <c r="E15">
        <v>9.2728000000000002</v>
      </c>
      <c r="F15" s="188">
        <v>200989.94990000001</v>
      </c>
      <c r="G15" s="188">
        <v>217110.4822</v>
      </c>
      <c r="H15" s="188">
        <v>16120.532300000001</v>
      </c>
      <c r="I15" s="192">
        <f t="shared" si="0"/>
        <v>8.0205663556912013E-2</v>
      </c>
    </row>
    <row r="16" spans="1:9">
      <c r="A16" s="168" t="s">
        <v>250</v>
      </c>
      <c r="B16" s="210" t="s">
        <v>251</v>
      </c>
      <c r="C16" s="188">
        <v>19397.659</v>
      </c>
      <c r="D16">
        <v>89.917599999999993</v>
      </c>
      <c r="E16">
        <v>44.640599999999999</v>
      </c>
      <c r="F16" s="188">
        <v>865923.00470000005</v>
      </c>
      <c r="G16" s="188">
        <v>1744190.9428999999</v>
      </c>
      <c r="H16" s="188">
        <v>878267.93819999998</v>
      </c>
      <c r="I16" s="192">
        <f t="shared" si="0"/>
        <v>1.0142563870378716</v>
      </c>
    </row>
    <row r="17" spans="1:10">
      <c r="A17" s="168" t="s">
        <v>274</v>
      </c>
      <c r="B17" s="210" t="s">
        <v>233</v>
      </c>
      <c r="C17" s="188">
        <v>6809.741</v>
      </c>
      <c r="D17">
        <v>47.04</v>
      </c>
      <c r="E17">
        <v>35.241999999999997</v>
      </c>
      <c r="F17" s="188">
        <v>239988.8371</v>
      </c>
      <c r="G17" s="188">
        <v>320330.21659999999</v>
      </c>
      <c r="H17" s="188">
        <v>80341.379499999995</v>
      </c>
      <c r="I17" s="192">
        <f t="shared" si="0"/>
        <v>0.33477131882814559</v>
      </c>
    </row>
    <row r="18" spans="1:10">
      <c r="A18" s="168" t="s">
        <v>253</v>
      </c>
      <c r="B18" s="210" t="s">
        <v>235</v>
      </c>
      <c r="C18" s="188">
        <v>5315.47</v>
      </c>
      <c r="D18">
        <v>243.28809999999999</v>
      </c>
      <c r="E18">
        <v>199.4751</v>
      </c>
      <c r="F18" s="188">
        <v>1060304.1328</v>
      </c>
      <c r="G18" s="188">
        <v>1293190.5969</v>
      </c>
      <c r="H18" s="188">
        <v>232886.46410000001</v>
      </c>
      <c r="I18" s="192">
        <f t="shared" si="0"/>
        <v>0.21964119246145411</v>
      </c>
    </row>
    <row r="19" spans="1:10">
      <c r="A19" s="168" t="s">
        <v>254</v>
      </c>
      <c r="B19" s="210" t="s">
        <v>237</v>
      </c>
      <c r="C19">
        <v>343.61</v>
      </c>
      <c r="D19">
        <v>272.57769999999999</v>
      </c>
      <c r="E19">
        <v>247.3612</v>
      </c>
      <c r="F19" s="188">
        <v>84995.791700000002</v>
      </c>
      <c r="G19" s="188">
        <v>93660.423500000004</v>
      </c>
      <c r="H19" s="188">
        <v>8664.6317999999992</v>
      </c>
      <c r="I19" s="192">
        <f t="shared" si="0"/>
        <v>0.101941891788979</v>
      </c>
    </row>
    <row r="20" spans="1:10">
      <c r="A20" s="168" t="s">
        <v>255</v>
      </c>
      <c r="B20" s="210" t="s">
        <v>241</v>
      </c>
      <c r="C20" s="188">
        <v>18996.168000000001</v>
      </c>
      <c r="D20">
        <v>24.570699999999999</v>
      </c>
      <c r="E20">
        <v>9.4700000000000006</v>
      </c>
      <c r="F20" s="188">
        <v>179893.71100000001</v>
      </c>
      <c r="G20" s="188">
        <v>466749.14510000002</v>
      </c>
      <c r="H20" s="188">
        <v>286855.43410000001</v>
      </c>
      <c r="I20" s="192">
        <f t="shared" si="0"/>
        <v>1.5945828928950161</v>
      </c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405514.38249999995</v>
      </c>
      <c r="D22" s="75"/>
      <c r="E22" s="75"/>
      <c r="F22" s="75">
        <f t="shared" ref="F22:H22" si="1">SUM(F2:F21)</f>
        <v>9588640.2321000006</v>
      </c>
      <c r="G22" s="75">
        <f t="shared" si="1"/>
        <v>15457781.607000001</v>
      </c>
      <c r="H22" s="75">
        <f t="shared" si="1"/>
        <v>5869141.3748000003</v>
      </c>
      <c r="I22" s="53">
        <f t="shared" si="0"/>
        <v>0.61209318868298013</v>
      </c>
      <c r="J22" s="202"/>
    </row>
  </sheetData>
  <hyperlinks>
    <hyperlink ref="A2" r:id="rId1" location="/mf/1831632/41287/NULL" xr:uid="{054DA5FB-45ED-4DA8-97F8-FC788BC104AD}"/>
    <hyperlink ref="A3" r:id="rId2" location="/mf/1831632/15748/NULL" xr:uid="{C948E4BC-39EA-41F9-9330-49D5493A7133}"/>
    <hyperlink ref="A4" r:id="rId3" location="/mf/1831632/15690/NULL" xr:uid="{42A668CB-9D29-4480-B21C-F42F47596DF0}"/>
    <hyperlink ref="A5" r:id="rId4" location="/mf/1831632/22335/NULL" xr:uid="{A1825523-69F6-4978-AEA5-F1056456806E}"/>
    <hyperlink ref="A6" r:id="rId5" location="/mf/1831632/38817/NULL" xr:uid="{95864EE7-1F6E-41C6-A64B-133A106BF494}"/>
    <hyperlink ref="A7" r:id="rId6" location="/mf/1831632/40665/NULL" xr:uid="{DC2B4EEC-3EE7-4447-BC18-4CFDE6C0C1BA}"/>
    <hyperlink ref="A8" r:id="rId7" location="/mf/1831632/16071/NULL" xr:uid="{330439A9-E7B3-4412-A4ED-90E32AF5967B}"/>
    <hyperlink ref="A9" r:id="rId8" location="/mf/1831632/16617/NULL" xr:uid="{529CA3D6-53A0-46CD-AD50-ABE36904EE70}"/>
    <hyperlink ref="A10" r:id="rId9" location="/mf/1831632/17134/NULL" xr:uid="{0B867E25-CD06-4585-B328-100F75C938B0}"/>
    <hyperlink ref="A11" r:id="rId10" location="/mf/1831632/38228/NULL" xr:uid="{0D644328-4AFC-443A-9CF7-A4E5B2F83BF0}"/>
    <hyperlink ref="A12" r:id="rId11" location="/mf/1831632/42135/NULL" xr:uid="{9E4514B7-128F-4B30-9A00-50879D412723}"/>
    <hyperlink ref="A13" r:id="rId12" location="/mf/1831632/41574/NULL" xr:uid="{19D43FED-3D34-41C5-BFC1-6F570C6B5C6B}"/>
    <hyperlink ref="A14" r:id="rId13" location="/mf/1831632/41937/NULL" xr:uid="{0C411A42-A06E-4564-98C3-A2E3CA0FF565}"/>
    <hyperlink ref="A15" r:id="rId14" location="/mf/1831632/44110/NULL" xr:uid="{81629A14-27FA-4B2B-975D-4248D6ACBAE1}"/>
    <hyperlink ref="A16" r:id="rId15" location="/mf/1831632/19701/NULL" xr:uid="{536247FA-AB95-4450-A3B4-2A881713A869}"/>
    <hyperlink ref="A17" r:id="rId16" location="/mf/1831632/17348/NULL" xr:uid="{7BEF940D-1369-4FAC-8FA8-BA3ED30F4F96}"/>
    <hyperlink ref="A18" r:id="rId17" location="/mf/1831632/17375/NULL" xr:uid="{6BFB0F6F-D99D-4EDD-9CA7-9DF181CDA301}"/>
    <hyperlink ref="A19" r:id="rId18" location="/mf/1831632/17366/NULL" xr:uid="{1455268E-3838-4FA5-A30D-F5CE290E5965}"/>
    <hyperlink ref="A20" r:id="rId19" location="/mf/1831632/36491/NULL" xr:uid="{6CDC6A1A-2A49-4602-90DB-9FA7DEE81315}"/>
  </hyperlink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AE4A-997C-45EC-A08B-9B65192B1619}">
  <dimension ref="A1:J10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258</v>
      </c>
      <c r="B2" s="150">
        <v>100</v>
      </c>
      <c r="C2" s="150">
        <v>109.73</v>
      </c>
      <c r="D2" s="150">
        <v>103</v>
      </c>
      <c r="E2" s="150">
        <v>10972.5</v>
      </c>
      <c r="F2" s="150">
        <v>10300</v>
      </c>
      <c r="G2" s="150">
        <v>-672.5</v>
      </c>
      <c r="H2" s="191">
        <f>G2/E2</f>
        <v>-6.1289587605377081E-2</v>
      </c>
    </row>
    <row r="3" spans="1:10" ht="15.75">
      <c r="A3" s="149" t="s">
        <v>259</v>
      </c>
      <c r="B3" s="150">
        <v>13</v>
      </c>
      <c r="C3" s="150">
        <v>133.75</v>
      </c>
      <c r="D3" s="150">
        <v>1391.9</v>
      </c>
      <c r="E3" s="150">
        <v>1738.75</v>
      </c>
      <c r="F3" s="150">
        <v>18094.7</v>
      </c>
      <c r="G3" s="150">
        <v>16355.95</v>
      </c>
      <c r="H3" s="191">
        <f>G3/E3</f>
        <v>9.4067289719626164</v>
      </c>
    </row>
    <row r="4" spans="1:10" ht="15.75">
      <c r="A4" s="149" t="s">
        <v>144</v>
      </c>
      <c r="B4" s="150">
        <v>19</v>
      </c>
      <c r="C4" s="150">
        <v>489.54</v>
      </c>
      <c r="D4" s="150">
        <v>2588.6999999999998</v>
      </c>
      <c r="E4" s="150">
        <v>9301.2000000000007</v>
      </c>
      <c r="F4" s="150">
        <v>49185.3</v>
      </c>
      <c r="G4" s="150">
        <v>39884.1</v>
      </c>
      <c r="H4" s="191">
        <f>G4/E4</f>
        <v>4.2880596052122302</v>
      </c>
    </row>
    <row r="5" spans="1:10" ht="15.75">
      <c r="A5" s="149" t="s">
        <v>145</v>
      </c>
      <c r="B5" s="150">
        <v>250</v>
      </c>
      <c r="C5" s="150">
        <v>183.59</v>
      </c>
      <c r="D5" s="150">
        <v>478.3</v>
      </c>
      <c r="E5" s="150">
        <v>45897.5</v>
      </c>
      <c r="F5" s="150">
        <v>119575</v>
      </c>
      <c r="G5" s="150">
        <v>73677.5</v>
      </c>
      <c r="H5" s="191">
        <f>G5/E5</f>
        <v>1.6052617244947982</v>
      </c>
      <c r="J5" s="188"/>
    </row>
    <row r="6" spans="1:10" ht="15.75">
      <c r="A6" s="149" t="s">
        <v>146</v>
      </c>
      <c r="B6" s="150">
        <v>62</v>
      </c>
      <c r="C6" s="150">
        <v>708.24</v>
      </c>
      <c r="D6" s="150">
        <v>1182.2</v>
      </c>
      <c r="E6" s="150">
        <v>43910.6</v>
      </c>
      <c r="F6" s="150">
        <v>73296.399999999994</v>
      </c>
      <c r="G6" s="150">
        <v>29385.8</v>
      </c>
      <c r="H6" s="191">
        <f>G6/E6</f>
        <v>0.66921882187899961</v>
      </c>
    </row>
    <row r="7" spans="1:10" ht="15.75">
      <c r="A7" s="149" t="s">
        <v>147</v>
      </c>
      <c r="B7" s="150">
        <v>19</v>
      </c>
      <c r="C7" s="150">
        <v>3076.33</v>
      </c>
      <c r="D7" s="150">
        <v>7836.5</v>
      </c>
      <c r="E7" s="150">
        <v>58450.25</v>
      </c>
      <c r="F7" s="150">
        <v>148893.5</v>
      </c>
      <c r="G7" s="150">
        <v>90443.25</v>
      </c>
      <c r="H7" s="191">
        <f>G7/E7</f>
        <v>1.5473543740189306</v>
      </c>
    </row>
    <row r="8" spans="1:10" ht="15.75">
      <c r="A8" s="149" t="s">
        <v>148</v>
      </c>
      <c r="B8" s="150">
        <v>8</v>
      </c>
      <c r="C8" s="150">
        <v>6731.04</v>
      </c>
      <c r="D8" s="150">
        <v>8862.25</v>
      </c>
      <c r="E8" s="150">
        <v>53848.35</v>
      </c>
      <c r="F8" s="150">
        <v>70898</v>
      </c>
      <c r="G8" s="150">
        <v>17049.650000000001</v>
      </c>
      <c r="H8" s="191">
        <f>G8/E8</f>
        <v>0.31662344342955728</v>
      </c>
    </row>
    <row r="9" spans="1:10" ht="15.75">
      <c r="A9" s="149" t="s">
        <v>149</v>
      </c>
      <c r="B9" s="150">
        <v>15</v>
      </c>
      <c r="C9" s="150">
        <v>2427.4699999999998</v>
      </c>
      <c r="D9" s="150">
        <v>2670.5</v>
      </c>
      <c r="E9" s="150">
        <v>36412</v>
      </c>
      <c r="F9" s="150">
        <v>40057.5</v>
      </c>
      <c r="G9" s="150">
        <v>3645.5</v>
      </c>
      <c r="H9" s="191">
        <f>G9/E9</f>
        <v>0.10011809293639459</v>
      </c>
      <c r="J9" s="188"/>
    </row>
    <row r="10" spans="1:10" ht="15.75">
      <c r="A10" s="149" t="s">
        <v>150</v>
      </c>
      <c r="B10" s="150">
        <v>184</v>
      </c>
      <c r="C10" s="150">
        <v>188.19</v>
      </c>
      <c r="D10" s="150">
        <v>248.5</v>
      </c>
      <c r="E10" s="150">
        <v>34627.15</v>
      </c>
      <c r="F10" s="150">
        <v>45724</v>
      </c>
      <c r="G10" s="150">
        <v>11096.85</v>
      </c>
      <c r="H10" s="191">
        <f>G10/E10</f>
        <v>0.32046674358126498</v>
      </c>
    </row>
    <row r="11" spans="1:10" ht="15.75">
      <c r="A11" s="149" t="s">
        <v>151</v>
      </c>
      <c r="B11" s="150">
        <v>8500</v>
      </c>
      <c r="C11" s="150">
        <v>50.47</v>
      </c>
      <c r="D11" s="150">
        <v>55.81</v>
      </c>
      <c r="E11" s="150">
        <v>429035.72</v>
      </c>
      <c r="F11" s="150">
        <v>474385</v>
      </c>
      <c r="G11" s="150">
        <v>45349.279999999999</v>
      </c>
      <c r="H11" s="191">
        <f>G11/E11</f>
        <v>0.10570047640788512</v>
      </c>
      <c r="J11" s="188"/>
    </row>
    <row r="12" spans="1:10" ht="15.75">
      <c r="A12" s="149" t="s">
        <v>152</v>
      </c>
      <c r="B12" s="150">
        <v>180</v>
      </c>
      <c r="C12" s="150">
        <v>322.89</v>
      </c>
      <c r="D12" s="150">
        <v>1849</v>
      </c>
      <c r="E12" s="150">
        <v>58120</v>
      </c>
      <c r="F12" s="150">
        <v>332820</v>
      </c>
      <c r="G12" s="150">
        <v>274700</v>
      </c>
      <c r="H12" s="191">
        <f>G12/E12</f>
        <v>4.7264280798348244</v>
      </c>
      <c r="J12" s="188"/>
    </row>
    <row r="13" spans="1:10" ht="15.75">
      <c r="A13" s="149" t="s">
        <v>153</v>
      </c>
      <c r="B13" s="150">
        <v>40</v>
      </c>
      <c r="C13" s="150">
        <v>446.04</v>
      </c>
      <c r="D13" s="150">
        <v>987.9</v>
      </c>
      <c r="E13" s="150">
        <v>17841.599999999999</v>
      </c>
      <c r="F13" s="150">
        <v>39516</v>
      </c>
      <c r="G13" s="150">
        <v>21674.400000000001</v>
      </c>
      <c r="H13" s="191">
        <f>G13/E13</f>
        <v>1.2148237826203929</v>
      </c>
      <c r="J13" s="188"/>
    </row>
    <row r="14" spans="1:10" ht="15.75">
      <c r="A14" s="149" t="s">
        <v>154</v>
      </c>
      <c r="B14" s="150">
        <v>14</v>
      </c>
      <c r="C14" s="150">
        <v>3489.94</v>
      </c>
      <c r="D14" s="150">
        <v>5309</v>
      </c>
      <c r="E14" s="150">
        <v>48859.1</v>
      </c>
      <c r="F14" s="150">
        <v>74326</v>
      </c>
      <c r="G14" s="150">
        <v>25466.9</v>
      </c>
      <c r="H14" s="191">
        <f>G14/E14</f>
        <v>0.52123145944153704</v>
      </c>
    </row>
    <row r="15" spans="1:10" ht="15.75">
      <c r="A15" s="149" t="s">
        <v>155</v>
      </c>
      <c r="B15" s="150">
        <v>180</v>
      </c>
      <c r="C15" s="150">
        <v>155.25</v>
      </c>
      <c r="D15" s="150">
        <v>199.2</v>
      </c>
      <c r="E15" s="150">
        <v>27945</v>
      </c>
      <c r="F15" s="150">
        <v>35856</v>
      </c>
      <c r="G15" s="150">
        <v>7911</v>
      </c>
      <c r="H15" s="191">
        <v>0</v>
      </c>
      <c r="J15" s="188"/>
    </row>
    <row r="16" spans="1:10" ht="15.75">
      <c r="A16" s="149" t="s">
        <v>156</v>
      </c>
      <c r="B16" s="150">
        <v>88</v>
      </c>
      <c r="C16" s="150">
        <v>373.58</v>
      </c>
      <c r="D16" s="150">
        <v>395.9</v>
      </c>
      <c r="E16" s="150">
        <v>32874.85</v>
      </c>
      <c r="F16" s="150">
        <v>34839.199999999997</v>
      </c>
      <c r="G16" s="150">
        <v>1964.35</v>
      </c>
      <c r="H16" s="191">
        <f>G16/E16</f>
        <v>5.97523638891128E-2</v>
      </c>
      <c r="J16" s="188"/>
    </row>
    <row r="17" spans="1:10" ht="15.75">
      <c r="A17" s="149" t="s">
        <v>157</v>
      </c>
      <c r="B17" s="150">
        <v>45</v>
      </c>
      <c r="C17" s="150">
        <v>990.66</v>
      </c>
      <c r="D17" s="150">
        <v>1530</v>
      </c>
      <c r="E17" s="150">
        <v>44579.85</v>
      </c>
      <c r="F17" s="150">
        <v>68850</v>
      </c>
      <c r="G17" s="150">
        <v>24270.15</v>
      </c>
      <c r="H17" s="191">
        <f>G17/E17</f>
        <v>0.54441973223328477</v>
      </c>
      <c r="J17" s="188"/>
    </row>
    <row r="18" spans="1:10" ht="15.75">
      <c r="A18" s="149" t="s">
        <v>158</v>
      </c>
      <c r="B18" s="150">
        <v>470</v>
      </c>
      <c r="C18" s="150">
        <v>194.39</v>
      </c>
      <c r="D18" s="150">
        <v>384.4</v>
      </c>
      <c r="E18" s="150">
        <v>91363.5</v>
      </c>
      <c r="F18" s="150">
        <v>180668</v>
      </c>
      <c r="G18" s="150">
        <v>89304.5</v>
      </c>
      <c r="H18" s="191">
        <f>G18/E18</f>
        <v>0.97746364795569352</v>
      </c>
    </row>
    <row r="19" spans="1:10" ht="15.75">
      <c r="A19" s="149" t="s">
        <v>159</v>
      </c>
      <c r="B19" s="150">
        <v>13</v>
      </c>
      <c r="C19" s="150">
        <v>4545.26</v>
      </c>
      <c r="D19" s="150">
        <v>7363</v>
      </c>
      <c r="E19" s="150">
        <v>59088.4</v>
      </c>
      <c r="F19" s="150">
        <v>95719</v>
      </c>
      <c r="G19" s="150">
        <v>36630.6</v>
      </c>
      <c r="H19" s="191">
        <f>G19/E19</f>
        <v>0.61992878466839507</v>
      </c>
    </row>
    <row r="20" spans="1:10" ht="15.75">
      <c r="A20" s="149" t="s">
        <v>160</v>
      </c>
      <c r="B20" s="150">
        <v>21</v>
      </c>
      <c r="C20" s="150">
        <v>1503.03</v>
      </c>
      <c r="D20" s="150">
        <v>2543.4</v>
      </c>
      <c r="E20" s="150">
        <v>31563.7</v>
      </c>
      <c r="F20" s="150">
        <v>53411.4</v>
      </c>
      <c r="G20" s="150">
        <v>21847.7</v>
      </c>
      <c r="H20" s="191">
        <f>G20/E20</f>
        <v>0.69217803996362914</v>
      </c>
    </row>
    <row r="21" spans="1:10" ht="15.75">
      <c r="A21" s="149" t="s">
        <v>161</v>
      </c>
      <c r="B21" s="150">
        <v>66</v>
      </c>
      <c r="C21" s="150">
        <v>557.49</v>
      </c>
      <c r="D21" s="150">
        <v>687.05</v>
      </c>
      <c r="E21" s="150">
        <v>36794.1</v>
      </c>
      <c r="F21" s="150">
        <v>45345.3</v>
      </c>
      <c r="G21" s="150">
        <v>8551.2000000000007</v>
      </c>
      <c r="H21" s="191">
        <f>G21/E21</f>
        <v>0.23240682609440103</v>
      </c>
      <c r="J21" s="188"/>
    </row>
    <row r="22" spans="1:10" ht="15.75">
      <c r="A22" s="149" t="s">
        <v>162</v>
      </c>
      <c r="B22" s="150">
        <v>12</v>
      </c>
      <c r="C22" s="150">
        <v>3474.64</v>
      </c>
      <c r="D22" s="150">
        <v>4059.2</v>
      </c>
      <c r="E22" s="150">
        <v>41695.699999999997</v>
      </c>
      <c r="F22" s="150">
        <v>48710.400000000001</v>
      </c>
      <c r="G22" s="150">
        <v>7014.7</v>
      </c>
      <c r="H22" s="191">
        <f>G22/E22</f>
        <v>0.16823557345241835</v>
      </c>
    </row>
    <row r="23" spans="1:10" ht="15.75">
      <c r="A23" s="149" t="s">
        <v>163</v>
      </c>
      <c r="B23" s="150">
        <v>60</v>
      </c>
      <c r="C23" s="150">
        <v>992.6</v>
      </c>
      <c r="D23" s="150">
        <v>1182.9000000000001</v>
      </c>
      <c r="E23" s="150">
        <v>59555.95</v>
      </c>
      <c r="F23" s="150">
        <v>70974</v>
      </c>
      <c r="G23" s="150">
        <v>11418.05</v>
      </c>
      <c r="H23" s="191">
        <f>G23/E23</f>
        <v>0.19171971902051768</v>
      </c>
      <c r="J23" s="188"/>
    </row>
    <row r="24" spans="1:10" ht="15.75">
      <c r="A24" s="149" t="s">
        <v>164</v>
      </c>
      <c r="B24" s="150">
        <v>7</v>
      </c>
      <c r="C24" s="150">
        <v>3506.83</v>
      </c>
      <c r="D24" s="150">
        <v>5428</v>
      </c>
      <c r="E24" s="150">
        <v>24547.8</v>
      </c>
      <c r="F24" s="150">
        <v>37996</v>
      </c>
      <c r="G24" s="150">
        <v>13448.2</v>
      </c>
      <c r="H24" s="191">
        <f>G24/E24</f>
        <v>0.54783728073391513</v>
      </c>
      <c r="J24" s="188"/>
    </row>
    <row r="25" spans="1:10" ht="15.75">
      <c r="A25" s="149" t="s">
        <v>270</v>
      </c>
      <c r="B25" s="150">
        <v>92</v>
      </c>
      <c r="C25" s="150">
        <v>359.33</v>
      </c>
      <c r="D25" s="150">
        <v>377.6</v>
      </c>
      <c r="E25" s="150">
        <v>33058.28</v>
      </c>
      <c r="F25" s="150">
        <v>34739.199999999997</v>
      </c>
      <c r="G25" s="150">
        <v>1680.92</v>
      </c>
      <c r="H25" s="191">
        <f>G25/E25</f>
        <v>5.0847170512198461E-2</v>
      </c>
    </row>
    <row r="26" spans="1:10" ht="15.75">
      <c r="A26" s="149" t="s">
        <v>166</v>
      </c>
      <c r="B26" s="150">
        <v>24</v>
      </c>
      <c r="C26" s="150">
        <v>2007.86</v>
      </c>
      <c r="D26" s="150">
        <v>1871.3</v>
      </c>
      <c r="E26" s="150">
        <v>48188.7</v>
      </c>
      <c r="F26" s="150">
        <v>44911.199999999997</v>
      </c>
      <c r="G26" s="150">
        <v>-3277.5</v>
      </c>
      <c r="H26" s="191">
        <f>G26/E26</f>
        <v>-6.8013870471708107E-2</v>
      </c>
    </row>
    <row r="27" spans="1:10" ht="15.75">
      <c r="A27" s="149" t="s">
        <v>168</v>
      </c>
      <c r="B27" s="150">
        <v>42</v>
      </c>
      <c r="C27" s="150">
        <v>664.74</v>
      </c>
      <c r="D27" s="150">
        <v>1493</v>
      </c>
      <c r="E27" s="150">
        <v>27918.9</v>
      </c>
      <c r="F27" s="150">
        <v>62706</v>
      </c>
      <c r="G27" s="150">
        <v>34787.1</v>
      </c>
      <c r="H27" s="191">
        <f>G27/E27</f>
        <v>1.24600539419533</v>
      </c>
      <c r="J27" s="188"/>
    </row>
    <row r="28" spans="1:10" ht="15.75">
      <c r="A28" s="149" t="s">
        <v>169</v>
      </c>
      <c r="B28" s="150">
        <v>230</v>
      </c>
      <c r="C28" s="150">
        <v>189.67</v>
      </c>
      <c r="D28" s="150">
        <v>355.25</v>
      </c>
      <c r="E28" s="150">
        <v>43625.2</v>
      </c>
      <c r="F28" s="150">
        <v>81707.5</v>
      </c>
      <c r="G28" s="150">
        <v>38082.300000000003</v>
      </c>
      <c r="H28" s="191">
        <f>G28/E28</f>
        <v>0.87294270284147701</v>
      </c>
      <c r="J28" s="188"/>
    </row>
    <row r="29" spans="1:10" ht="15.75">
      <c r="A29" s="149" t="s">
        <v>170</v>
      </c>
      <c r="B29" s="150">
        <v>351</v>
      </c>
      <c r="C29" s="150">
        <v>91.3</v>
      </c>
      <c r="D29" s="150">
        <v>189.68</v>
      </c>
      <c r="E29" s="150">
        <v>32046.16</v>
      </c>
      <c r="F29" s="150">
        <v>66577.679999999993</v>
      </c>
      <c r="G29" s="150">
        <v>34531.519999999997</v>
      </c>
      <c r="H29" s="191">
        <f>G29/E29</f>
        <v>1.0775556260094812</v>
      </c>
      <c r="J29" s="188"/>
    </row>
    <row r="30" spans="1:10" ht="15.75">
      <c r="A30" s="149" t="s">
        <v>172</v>
      </c>
      <c r="B30" s="150">
        <v>20</v>
      </c>
      <c r="C30" s="150">
        <v>1600.68</v>
      </c>
      <c r="D30" s="150">
        <v>2249.3000000000002</v>
      </c>
      <c r="E30" s="150">
        <v>32013.55</v>
      </c>
      <c r="F30" s="150">
        <v>44986</v>
      </c>
      <c r="G30" s="150">
        <v>12972.45</v>
      </c>
      <c r="H30" s="191">
        <f>G30/E30</f>
        <v>0.40521747822406451</v>
      </c>
    </row>
    <row r="31" spans="1:10" ht="15.75">
      <c r="A31" s="149" t="s">
        <v>174</v>
      </c>
      <c r="B31" s="150">
        <v>74</v>
      </c>
      <c r="C31" s="150">
        <v>1149.02</v>
      </c>
      <c r="D31" s="150">
        <v>1576.5</v>
      </c>
      <c r="E31" s="150">
        <v>85027.5</v>
      </c>
      <c r="F31" s="150">
        <v>116661</v>
      </c>
      <c r="G31" s="150">
        <v>31633.5</v>
      </c>
      <c r="H31" s="191">
        <f>G31/E31</f>
        <v>0.37203845814589398</v>
      </c>
      <c r="J31" s="188"/>
    </row>
    <row r="32" spans="1:10" ht="15.75">
      <c r="A32" s="149" t="s">
        <v>175</v>
      </c>
      <c r="B32" s="150">
        <v>47</v>
      </c>
      <c r="C32" s="150">
        <v>1650.24</v>
      </c>
      <c r="D32" s="150">
        <v>1925</v>
      </c>
      <c r="E32" s="150">
        <v>77561.5</v>
      </c>
      <c r="F32" s="150">
        <v>90475</v>
      </c>
      <c r="G32" s="150">
        <v>12913.5</v>
      </c>
      <c r="H32" s="191">
        <f>G32/E32</f>
        <v>0.16649368565589887</v>
      </c>
      <c r="J32" s="188"/>
    </row>
    <row r="33" spans="1:10" ht="15.75">
      <c r="A33" s="149" t="s">
        <v>176</v>
      </c>
      <c r="B33" s="150">
        <v>136</v>
      </c>
      <c r="C33" s="150">
        <v>596.66999999999996</v>
      </c>
      <c r="D33" s="150">
        <v>727.3</v>
      </c>
      <c r="E33" s="150">
        <v>81147.75</v>
      </c>
      <c r="F33" s="150">
        <v>98912.8</v>
      </c>
      <c r="G33" s="150">
        <v>17765.05</v>
      </c>
      <c r="H33" s="191">
        <f>G33/E33</f>
        <v>0.21892227449313134</v>
      </c>
    </row>
    <row r="34" spans="1:10" ht="15.75">
      <c r="A34" s="149" t="s">
        <v>177</v>
      </c>
      <c r="B34" s="150">
        <v>10</v>
      </c>
      <c r="C34" s="150">
        <v>3016.79</v>
      </c>
      <c r="D34" s="150">
        <v>3737.85</v>
      </c>
      <c r="E34" s="150">
        <v>30167.85</v>
      </c>
      <c r="F34" s="150">
        <v>37378.5</v>
      </c>
      <c r="G34" s="150">
        <v>7210.65</v>
      </c>
      <c r="H34" s="191">
        <f>G34/E34</f>
        <v>0.23901769599093073</v>
      </c>
    </row>
    <row r="35" spans="1:10" ht="15.75">
      <c r="A35" s="149" t="s">
        <v>178</v>
      </c>
      <c r="B35" s="150">
        <v>59</v>
      </c>
      <c r="C35" s="150">
        <v>656.47</v>
      </c>
      <c r="D35" s="150">
        <v>1429</v>
      </c>
      <c r="E35" s="150">
        <v>38731.699999999997</v>
      </c>
      <c r="F35" s="150">
        <v>84311</v>
      </c>
      <c r="G35" s="150">
        <v>45579.3</v>
      </c>
      <c r="H35" s="191">
        <f>G35/E35</f>
        <v>1.1767957512838323</v>
      </c>
    </row>
    <row r="36" spans="1:10" ht="15.75">
      <c r="A36" s="149" t="s">
        <v>179</v>
      </c>
      <c r="B36" s="150">
        <v>54</v>
      </c>
      <c r="C36" s="150">
        <v>1308.5899999999999</v>
      </c>
      <c r="D36" s="150">
        <v>1867.9</v>
      </c>
      <c r="E36" s="150">
        <v>70664.100000000006</v>
      </c>
      <c r="F36" s="150">
        <v>100866.6</v>
      </c>
      <c r="G36" s="150">
        <v>30202.5</v>
      </c>
      <c r="H36" s="191">
        <f>G36/E36</f>
        <v>0.42740939175620996</v>
      </c>
      <c r="J36" s="188"/>
    </row>
    <row r="37" spans="1:10" ht="15.75">
      <c r="A37" s="149" t="s">
        <v>180</v>
      </c>
      <c r="B37" s="150">
        <v>118</v>
      </c>
      <c r="C37" s="150">
        <v>492.05</v>
      </c>
      <c r="D37" s="150">
        <v>608.95000000000005</v>
      </c>
      <c r="E37" s="150">
        <v>58062.35</v>
      </c>
      <c r="F37" s="150">
        <v>71856.100000000006</v>
      </c>
      <c r="G37" s="150">
        <v>13793.75</v>
      </c>
      <c r="H37" s="191">
        <f>G37/E37</f>
        <v>0.23756789037991058</v>
      </c>
    </row>
    <row r="38" spans="1:10" ht="15.75">
      <c r="A38" s="149" t="s">
        <v>181</v>
      </c>
      <c r="B38" s="150">
        <v>65</v>
      </c>
      <c r="C38" s="150">
        <v>1576.72</v>
      </c>
      <c r="D38" s="150">
        <v>1506.8</v>
      </c>
      <c r="E38" s="150">
        <v>102486.6</v>
      </c>
      <c r="F38" s="150">
        <v>97942</v>
      </c>
      <c r="G38" s="150">
        <v>-4544.6000000000004</v>
      </c>
      <c r="H38" s="191">
        <f>G38/E38</f>
        <v>-4.434335805851692E-2</v>
      </c>
      <c r="J38" s="188"/>
    </row>
    <row r="39" spans="1:10" ht="15.75">
      <c r="A39" s="149" t="s">
        <v>182</v>
      </c>
      <c r="B39" s="150">
        <v>788</v>
      </c>
      <c r="C39" s="150">
        <v>206.55</v>
      </c>
      <c r="D39" s="150">
        <v>430.25</v>
      </c>
      <c r="E39" s="150">
        <v>162761.06</v>
      </c>
      <c r="F39" s="150">
        <v>339037</v>
      </c>
      <c r="G39" s="150">
        <v>176275.94</v>
      </c>
      <c r="H39" s="191">
        <f>G39/E39</f>
        <v>1.0830350945121641</v>
      </c>
      <c r="J39" s="188"/>
    </row>
    <row r="40" spans="1:10" ht="15.75">
      <c r="A40" s="149" t="s">
        <v>183</v>
      </c>
      <c r="B40" s="150">
        <v>45</v>
      </c>
      <c r="C40" s="150">
        <v>1006.05</v>
      </c>
      <c r="D40" s="150">
        <v>1576.8</v>
      </c>
      <c r="E40" s="150">
        <v>45272.45</v>
      </c>
      <c r="F40" s="150">
        <v>70956</v>
      </c>
      <c r="G40" s="150">
        <v>25683.55</v>
      </c>
      <c r="H40" s="191">
        <f>G40/E40</f>
        <v>0.56731080381114785</v>
      </c>
    </row>
    <row r="41" spans="1:10" ht="15.75">
      <c r="A41" s="149" t="s">
        <v>184</v>
      </c>
      <c r="B41" s="150">
        <v>254</v>
      </c>
      <c r="C41" s="150">
        <v>130.22</v>
      </c>
      <c r="D41" s="150">
        <v>215.6</v>
      </c>
      <c r="E41" s="150">
        <v>33076.239999999998</v>
      </c>
      <c r="F41" s="150">
        <v>54762.400000000001</v>
      </c>
      <c r="G41" s="150">
        <v>21686.16</v>
      </c>
      <c r="H41" s="191">
        <f>G41/E41</f>
        <v>0.65564163278534682</v>
      </c>
      <c r="J41" s="188"/>
    </row>
    <row r="42" spans="1:10" ht="15.75">
      <c r="A42" s="149" t="s">
        <v>185</v>
      </c>
      <c r="B42" s="150">
        <v>57</v>
      </c>
      <c r="C42" s="150">
        <v>1778.4</v>
      </c>
      <c r="D42" s="150">
        <v>2185.1999999999998</v>
      </c>
      <c r="E42" s="150">
        <v>101368.55</v>
      </c>
      <c r="F42" s="150">
        <v>124556.4</v>
      </c>
      <c r="G42" s="150">
        <v>23187.85</v>
      </c>
      <c r="H42" s="191">
        <f>G42/E42</f>
        <v>0.22874796966120162</v>
      </c>
      <c r="J42" s="188"/>
    </row>
    <row r="43" spans="1:10" ht="15.75">
      <c r="A43" s="149" t="s">
        <v>186</v>
      </c>
      <c r="B43" s="150">
        <v>80</v>
      </c>
      <c r="C43" s="150">
        <v>814.86</v>
      </c>
      <c r="D43" s="150">
        <v>1233.4000000000001</v>
      </c>
      <c r="E43" s="150">
        <v>65188.75</v>
      </c>
      <c r="F43" s="150">
        <v>98672</v>
      </c>
      <c r="G43" s="150">
        <v>33483.25</v>
      </c>
      <c r="H43" s="191">
        <f>G43/E43</f>
        <v>0.51363540488197734</v>
      </c>
      <c r="J43" s="188"/>
    </row>
    <row r="44" spans="1:10" ht="15.75">
      <c r="A44" s="149" t="s">
        <v>187</v>
      </c>
      <c r="B44" s="150">
        <v>20</v>
      </c>
      <c r="C44" s="150">
        <v>2295.38</v>
      </c>
      <c r="D44" s="150">
        <v>2793.6</v>
      </c>
      <c r="E44" s="150">
        <v>45907.6</v>
      </c>
      <c r="F44" s="150">
        <v>55872</v>
      </c>
      <c r="G44" s="150">
        <v>9964.4</v>
      </c>
      <c r="H44" s="191">
        <f>G44/E44</f>
        <v>0.21705338549608344</v>
      </c>
      <c r="J44" s="188"/>
    </row>
    <row r="45" spans="1:10" ht="15.75">
      <c r="A45" s="149" t="s">
        <v>188</v>
      </c>
      <c r="B45" s="150">
        <v>62</v>
      </c>
      <c r="C45" s="150">
        <v>1053.22</v>
      </c>
      <c r="D45" s="150">
        <v>3329.8</v>
      </c>
      <c r="E45" s="150">
        <v>65299.35</v>
      </c>
      <c r="F45" s="150">
        <v>206447.6</v>
      </c>
      <c r="G45" s="150">
        <v>141148.25</v>
      </c>
      <c r="H45" s="191">
        <f>G45/E45</f>
        <v>2.161556738313628</v>
      </c>
      <c r="J45" s="188"/>
    </row>
    <row r="46" spans="1:10" ht="15.75">
      <c r="A46" s="149" t="s">
        <v>189</v>
      </c>
      <c r="B46" s="150">
        <v>10</v>
      </c>
      <c r="C46" s="150">
        <v>1189.6300000000001</v>
      </c>
      <c r="D46" s="150">
        <v>2926.2</v>
      </c>
      <c r="E46" s="150">
        <v>11896.3</v>
      </c>
      <c r="F46" s="150">
        <v>29262</v>
      </c>
      <c r="G46" s="150">
        <v>17365.7</v>
      </c>
      <c r="H46" s="191">
        <f>G46/E46</f>
        <v>1.4597563948454564</v>
      </c>
    </row>
    <row r="47" spans="1:10" ht="15.75">
      <c r="A47" s="149" t="s">
        <v>190</v>
      </c>
      <c r="B47" s="150">
        <v>28</v>
      </c>
      <c r="C47" s="150">
        <v>2226.31</v>
      </c>
      <c r="D47" s="150">
        <v>2385.8000000000002</v>
      </c>
      <c r="E47" s="150">
        <v>62336.7</v>
      </c>
      <c r="F47" s="150">
        <v>66802.399999999994</v>
      </c>
      <c r="G47" s="150">
        <v>4465.7</v>
      </c>
      <c r="H47" s="191">
        <f>G47/E47</f>
        <v>7.1638376750774418E-2</v>
      </c>
    </row>
    <row r="48" spans="1:10" ht="15.75">
      <c r="A48" s="149" t="s">
        <v>191</v>
      </c>
      <c r="B48" s="150">
        <v>73</v>
      </c>
      <c r="C48" s="150">
        <v>523.91</v>
      </c>
      <c r="D48" s="150">
        <v>698.5</v>
      </c>
      <c r="E48" s="150">
        <v>38245.25</v>
      </c>
      <c r="F48" s="150">
        <v>50990.5</v>
      </c>
      <c r="G48" s="150">
        <v>12745.25</v>
      </c>
      <c r="H48" s="191">
        <f>G48/E48</f>
        <v>0.33325053438008639</v>
      </c>
      <c r="J48" s="188"/>
    </row>
    <row r="49" spans="1:10" ht="15.75">
      <c r="A49" s="149" t="s">
        <v>192</v>
      </c>
      <c r="B49" s="150">
        <v>73</v>
      </c>
      <c r="C49" s="150">
        <v>735.56</v>
      </c>
      <c r="D49" s="150">
        <v>1303.3</v>
      </c>
      <c r="E49" s="150">
        <v>53696.15</v>
      </c>
      <c r="F49" s="150">
        <v>95140.9</v>
      </c>
      <c r="G49" s="150">
        <v>41444.75</v>
      </c>
      <c r="H49" s="191">
        <f>G49/E49</f>
        <v>0.7718383906481191</v>
      </c>
    </row>
    <row r="50" spans="1:10" ht="15.75">
      <c r="A50" s="149" t="s">
        <v>193</v>
      </c>
      <c r="B50" s="150">
        <v>75</v>
      </c>
      <c r="C50" s="150">
        <v>337.52</v>
      </c>
      <c r="D50" s="150">
        <v>381.38</v>
      </c>
      <c r="E50" s="150">
        <v>25314.17</v>
      </c>
      <c r="F50" s="150">
        <v>28603.5</v>
      </c>
      <c r="G50" s="150">
        <v>3289.33</v>
      </c>
      <c r="H50" s="191">
        <f>G50/E50</f>
        <v>0.12994026665697514</v>
      </c>
      <c r="J50" s="188"/>
    </row>
    <row r="51" spans="1:10" ht="15.75">
      <c r="A51" s="149" t="s">
        <v>194</v>
      </c>
      <c r="B51" s="150">
        <v>190</v>
      </c>
      <c r="C51" s="150">
        <v>76.63</v>
      </c>
      <c r="D51" s="150">
        <v>132.55000000000001</v>
      </c>
      <c r="E51" s="150">
        <v>14558.98</v>
      </c>
      <c r="F51" s="150">
        <v>25184.5</v>
      </c>
      <c r="G51" s="150">
        <v>10625.52</v>
      </c>
      <c r="H51" s="191">
        <f>G51/E51</f>
        <v>0.72982585318476989</v>
      </c>
    </row>
    <row r="52" spans="1:10" ht="15.75">
      <c r="A52" s="149" t="s">
        <v>195</v>
      </c>
      <c r="B52" s="150">
        <v>33</v>
      </c>
      <c r="C52" s="150">
        <v>2284.62</v>
      </c>
      <c r="D52" s="150">
        <v>2458.5500000000002</v>
      </c>
      <c r="E52" s="150">
        <v>75392.600000000006</v>
      </c>
      <c r="F52" s="150">
        <v>81132.149999999994</v>
      </c>
      <c r="G52" s="150">
        <v>5739.55</v>
      </c>
      <c r="H52" s="191">
        <f>G52/E52</f>
        <v>7.6128824314322621E-2</v>
      </c>
      <c r="J52" s="188"/>
    </row>
    <row r="53" spans="1:10" ht="15.75">
      <c r="A53" s="149" t="s">
        <v>196</v>
      </c>
      <c r="B53" s="150">
        <v>9</v>
      </c>
      <c r="C53" s="150">
        <v>2162.65</v>
      </c>
      <c r="D53" s="150">
        <v>2337.6999999999998</v>
      </c>
      <c r="E53" s="150">
        <v>19463.849999999999</v>
      </c>
      <c r="F53" s="150">
        <v>21039.3</v>
      </c>
      <c r="G53" s="150">
        <v>1575.45</v>
      </c>
      <c r="H53" s="191">
        <f>G53/E53</f>
        <v>8.0942362379488139E-2</v>
      </c>
      <c r="J53" s="188"/>
    </row>
    <row r="54" spans="1:10" ht="15.75">
      <c r="A54" s="149" t="s">
        <v>197</v>
      </c>
      <c r="B54" s="150">
        <v>207</v>
      </c>
      <c r="C54" s="150">
        <v>127.65</v>
      </c>
      <c r="D54" s="150">
        <v>129.58000000000001</v>
      </c>
      <c r="E54" s="150">
        <v>26423.5</v>
      </c>
      <c r="F54" s="150">
        <v>26823.06</v>
      </c>
      <c r="G54" s="150">
        <v>399.56</v>
      </c>
      <c r="H54" s="191">
        <f>G54/E54</f>
        <v>1.5121388158268209E-2</v>
      </c>
      <c r="J54" s="188"/>
    </row>
    <row r="55" spans="1:10" ht="15.75">
      <c r="A55" s="149" t="s">
        <v>198</v>
      </c>
      <c r="B55" s="150">
        <v>80</v>
      </c>
      <c r="C55" s="150">
        <v>621.89</v>
      </c>
      <c r="D55" s="150">
        <v>1603.8</v>
      </c>
      <c r="E55" s="150">
        <v>49751.05</v>
      </c>
      <c r="F55" s="150">
        <v>128304</v>
      </c>
      <c r="G55" s="150">
        <v>78552.95</v>
      </c>
      <c r="H55" s="191">
        <f>G55/E55</f>
        <v>1.5789204448951326</v>
      </c>
      <c r="J55" s="188"/>
    </row>
    <row r="56" spans="1:10" ht="15.75">
      <c r="A56" s="149" t="s">
        <v>199</v>
      </c>
      <c r="B56" s="150">
        <v>10</v>
      </c>
      <c r="C56" s="150">
        <v>4342.57</v>
      </c>
      <c r="D56" s="150">
        <v>8693.5</v>
      </c>
      <c r="E56" s="150">
        <v>43425.7</v>
      </c>
      <c r="F56" s="150">
        <v>86935</v>
      </c>
      <c r="G56" s="150">
        <v>43509.3</v>
      </c>
      <c r="H56" s="191">
        <f>G56/E56</f>
        <v>1.0019251272863767</v>
      </c>
      <c r="J56" s="188"/>
    </row>
    <row r="57" spans="1:10" ht="15.75">
      <c r="A57" s="149" t="s">
        <v>200</v>
      </c>
      <c r="B57" s="150">
        <v>300</v>
      </c>
      <c r="C57" s="150">
        <v>82.33</v>
      </c>
      <c r="D57" s="150">
        <v>243.42</v>
      </c>
      <c r="E57" s="150">
        <v>24700</v>
      </c>
      <c r="F57" s="150">
        <v>73026</v>
      </c>
      <c r="G57" s="150">
        <v>48326</v>
      </c>
      <c r="H57" s="191">
        <f>G57/E57</f>
        <v>1.9565182186234817</v>
      </c>
      <c r="J57" s="188"/>
    </row>
    <row r="58" spans="1:10" ht="15.75">
      <c r="A58" s="149" t="s">
        <v>201</v>
      </c>
      <c r="B58" s="150">
        <v>16</v>
      </c>
      <c r="C58" s="150">
        <v>2003.97</v>
      </c>
      <c r="D58" s="150">
        <v>5420</v>
      </c>
      <c r="E58" s="150">
        <v>32063.45</v>
      </c>
      <c r="F58" s="150">
        <v>86720</v>
      </c>
      <c r="G58" s="150">
        <v>54656.55</v>
      </c>
      <c r="H58" s="191">
        <f>G58/E58</f>
        <v>1.7046372115290152</v>
      </c>
      <c r="J58" s="188"/>
    </row>
    <row r="59" spans="1:10" ht="15.75">
      <c r="A59" s="149" t="s">
        <v>202</v>
      </c>
      <c r="B59" s="150">
        <v>31</v>
      </c>
      <c r="C59" s="150">
        <v>603.24</v>
      </c>
      <c r="D59" s="150">
        <v>1537.3</v>
      </c>
      <c r="E59" s="150">
        <v>18700.45</v>
      </c>
      <c r="F59" s="150">
        <v>47656.3</v>
      </c>
      <c r="G59" s="150">
        <v>28955.85</v>
      </c>
      <c r="H59" s="191">
        <f>G59/E59</f>
        <v>1.5484039154138001</v>
      </c>
    </row>
    <row r="60" spans="1:10" ht="15.75">
      <c r="A60" s="149" t="s">
        <v>203</v>
      </c>
      <c r="B60" s="150">
        <v>30</v>
      </c>
      <c r="C60" s="150">
        <v>2499.15</v>
      </c>
      <c r="D60" s="150">
        <v>3007.1</v>
      </c>
      <c r="E60" s="150">
        <v>74974.350000000006</v>
      </c>
      <c r="F60" s="150">
        <v>90213</v>
      </c>
      <c r="G60" s="150">
        <v>15238.65</v>
      </c>
      <c r="H60" s="191">
        <f>G60/E60</f>
        <v>0.20325151201710984</v>
      </c>
      <c r="J60" s="188"/>
    </row>
    <row r="61" spans="1:10" ht="15.75">
      <c r="A61" s="149" t="s">
        <v>204</v>
      </c>
      <c r="B61" s="150">
        <v>33</v>
      </c>
      <c r="C61" s="150">
        <v>761.09</v>
      </c>
      <c r="D61" s="150">
        <v>1363</v>
      </c>
      <c r="E61" s="150">
        <v>25116</v>
      </c>
      <c r="F61" s="150">
        <v>44979</v>
      </c>
      <c r="G61" s="150">
        <v>19863</v>
      </c>
      <c r="H61" s="191">
        <f>G61/E61</f>
        <v>0.79085045389393216</v>
      </c>
    </row>
    <row r="62" spans="1:10" ht="15.75">
      <c r="A62" s="149" t="s">
        <v>205</v>
      </c>
      <c r="B62" s="150">
        <v>20</v>
      </c>
      <c r="C62" s="150">
        <v>1000</v>
      </c>
      <c r="D62" s="150">
        <v>1065.01</v>
      </c>
      <c r="E62" s="150">
        <v>20000</v>
      </c>
      <c r="F62" s="150">
        <v>21300.2</v>
      </c>
      <c r="G62" s="150">
        <v>0</v>
      </c>
      <c r="H62" s="191">
        <f>G62/E62</f>
        <v>0</v>
      </c>
      <c r="J62" s="188"/>
    </row>
    <row r="63" spans="1:10" ht="15.75">
      <c r="A63" s="149" t="s">
        <v>206</v>
      </c>
      <c r="B63" s="150">
        <v>54</v>
      </c>
      <c r="C63" s="150">
        <v>1278.8599999999999</v>
      </c>
      <c r="D63" s="150">
        <v>1756.8</v>
      </c>
      <c r="E63" s="150">
        <v>69058.3</v>
      </c>
      <c r="F63" s="150">
        <v>94867.199999999997</v>
      </c>
      <c r="G63" s="150">
        <v>25808.9</v>
      </c>
      <c r="H63" s="191">
        <f>G63/E63</f>
        <v>0.37372625737963433</v>
      </c>
      <c r="J63" s="188"/>
    </row>
    <row r="64" spans="1:10" ht="15.75">
      <c r="A64" s="149" t="s">
        <v>207</v>
      </c>
      <c r="B64" s="150">
        <v>66</v>
      </c>
      <c r="C64" s="150">
        <v>426.28</v>
      </c>
      <c r="D64" s="150">
        <v>800</v>
      </c>
      <c r="E64" s="150">
        <v>28134.5</v>
      </c>
      <c r="F64" s="150">
        <v>52800</v>
      </c>
      <c r="G64" s="150">
        <v>24665.5</v>
      </c>
      <c r="H64" s="191">
        <f>G64/E64</f>
        <v>0.87669942597167183</v>
      </c>
    </row>
    <row r="65" spans="1:10" ht="15.75">
      <c r="A65" s="149" t="s">
        <v>262</v>
      </c>
      <c r="B65" s="150">
        <v>10</v>
      </c>
      <c r="C65" s="150">
        <v>5284</v>
      </c>
      <c r="D65" s="150">
        <v>9115</v>
      </c>
      <c r="E65" s="150">
        <v>52840</v>
      </c>
      <c r="F65" s="150">
        <v>91150</v>
      </c>
      <c r="G65" s="150">
        <v>38310</v>
      </c>
      <c r="H65" s="191">
        <f>G65/E65</f>
        <v>0.72501892505677512</v>
      </c>
      <c r="J65" s="188"/>
    </row>
    <row r="66" spans="1:10" ht="15.75">
      <c r="A66" s="149" t="s">
        <v>209</v>
      </c>
      <c r="B66" s="150">
        <v>5</v>
      </c>
      <c r="C66" s="150">
        <v>4802</v>
      </c>
      <c r="D66" s="150">
        <v>9102</v>
      </c>
      <c r="E66" s="150">
        <v>24010</v>
      </c>
      <c r="F66" s="150">
        <v>45510</v>
      </c>
      <c r="G66" s="150">
        <v>21500</v>
      </c>
      <c r="H66" s="191">
        <f>G66/E66</f>
        <v>0.89546022490628907</v>
      </c>
    </row>
    <row r="67" spans="1:10" ht="15.75">
      <c r="A67" s="149" t="s">
        <v>261</v>
      </c>
      <c r="B67" s="150">
        <v>10</v>
      </c>
      <c r="C67" s="150">
        <v>5002.45</v>
      </c>
      <c r="D67" s="150">
        <v>9140</v>
      </c>
      <c r="E67" s="150">
        <v>50024.5</v>
      </c>
      <c r="F67" s="150">
        <v>91400</v>
      </c>
      <c r="G67" s="150">
        <v>41375.5</v>
      </c>
      <c r="H67" s="191">
        <f>G67/E67</f>
        <v>0.82710471868784297</v>
      </c>
      <c r="J67" s="188"/>
    </row>
    <row r="68" spans="1:10" ht="15.75">
      <c r="A68" s="149" t="s">
        <v>211</v>
      </c>
      <c r="B68" s="150">
        <v>35</v>
      </c>
      <c r="C68" s="150">
        <v>749.79</v>
      </c>
      <c r="D68" s="150">
        <v>2919.7</v>
      </c>
      <c r="E68" s="150">
        <v>26242.52</v>
      </c>
      <c r="F68" s="150">
        <v>102189.5</v>
      </c>
      <c r="G68" s="150">
        <v>75946.98</v>
      </c>
      <c r="H68" s="191">
        <f>G68/E68</f>
        <v>2.8940429501435072</v>
      </c>
      <c r="J68" s="188"/>
    </row>
    <row r="69" spans="1:10" ht="15.75">
      <c r="A69" s="149" t="s">
        <v>212</v>
      </c>
      <c r="B69" s="150">
        <v>139</v>
      </c>
      <c r="C69" s="150">
        <v>582.57000000000005</v>
      </c>
      <c r="D69" s="150">
        <v>1829.4</v>
      </c>
      <c r="E69" s="150">
        <v>80977.149999999994</v>
      </c>
      <c r="F69" s="150">
        <v>254286.6</v>
      </c>
      <c r="G69" s="150">
        <v>173309.45</v>
      </c>
      <c r="H69" s="191">
        <f>G69/E69</f>
        <v>2.1402265947863075</v>
      </c>
      <c r="J69" s="188"/>
    </row>
    <row r="70" spans="1:10" ht="15.75">
      <c r="A70" s="149" t="s">
        <v>213</v>
      </c>
      <c r="B70" s="150">
        <v>75</v>
      </c>
      <c r="C70" s="150">
        <v>581.84</v>
      </c>
      <c r="D70" s="150">
        <v>627.95000000000005</v>
      </c>
      <c r="E70" s="150">
        <v>43638</v>
      </c>
      <c r="F70" s="150">
        <v>47096.25</v>
      </c>
      <c r="G70" s="150">
        <v>3458.25</v>
      </c>
      <c r="H70" s="191">
        <f>G70/E70</f>
        <v>7.9248590677849576E-2</v>
      </c>
      <c r="J70" s="188"/>
    </row>
    <row r="71" spans="1:10" ht="15.75">
      <c r="A71" s="149" t="s">
        <v>214</v>
      </c>
      <c r="B71" s="150">
        <v>46</v>
      </c>
      <c r="C71" s="150">
        <v>794.51</v>
      </c>
      <c r="D71" s="150">
        <v>1156.8</v>
      </c>
      <c r="E71" s="150">
        <v>36547.300000000003</v>
      </c>
      <c r="F71" s="150">
        <v>53212.800000000003</v>
      </c>
      <c r="G71" s="150">
        <v>16665.5</v>
      </c>
      <c r="H71" s="191">
        <f>G71/E71</f>
        <v>0.45599811750799646</v>
      </c>
      <c r="J71" s="188"/>
    </row>
    <row r="72" spans="1:10" ht="15.75">
      <c r="A72" s="149" t="s">
        <v>267</v>
      </c>
      <c r="B72" s="150">
        <v>570</v>
      </c>
      <c r="C72" s="150">
        <v>202.51</v>
      </c>
      <c r="D72" s="150">
        <v>652</v>
      </c>
      <c r="E72" s="150">
        <v>115432.73</v>
      </c>
      <c r="F72" s="150">
        <v>371640</v>
      </c>
      <c r="G72" s="150">
        <v>256207.27</v>
      </c>
      <c r="H72" s="191">
        <f>G72/E72</f>
        <v>2.2195374743367848</v>
      </c>
      <c r="J72" s="188"/>
    </row>
    <row r="73" spans="1:10" ht="15.75">
      <c r="A73" s="149" t="s">
        <v>215</v>
      </c>
      <c r="B73" s="150">
        <v>1050</v>
      </c>
      <c r="C73" s="150">
        <v>40.479999999999997</v>
      </c>
      <c r="D73" s="150">
        <v>141.01</v>
      </c>
      <c r="E73" s="150">
        <v>42500.25</v>
      </c>
      <c r="F73" s="150">
        <v>148060.5</v>
      </c>
      <c r="G73" s="150">
        <v>105560.25</v>
      </c>
      <c r="H73" s="191">
        <f>G73/E73</f>
        <v>2.4837559779060121</v>
      </c>
    </row>
    <row r="74" spans="1:10" ht="15.75">
      <c r="A74" s="149" t="s">
        <v>216</v>
      </c>
      <c r="B74" s="150">
        <v>33</v>
      </c>
      <c r="C74" s="150">
        <v>3575.9</v>
      </c>
      <c r="D74" s="150">
        <v>3444.7</v>
      </c>
      <c r="E74" s="150">
        <v>118004.55</v>
      </c>
      <c r="F74" s="150">
        <v>113675.1</v>
      </c>
      <c r="G74" s="150">
        <v>-4329.45</v>
      </c>
      <c r="H74" s="191">
        <f>G74/E74</f>
        <v>-3.6688839540509242E-2</v>
      </c>
      <c r="J74" s="188"/>
    </row>
    <row r="75" spans="1:10" ht="15.75">
      <c r="A75" s="149" t="s">
        <v>217</v>
      </c>
      <c r="B75" s="150">
        <v>24</v>
      </c>
      <c r="C75" s="150">
        <v>2584.4</v>
      </c>
      <c r="D75" s="150">
        <v>3341</v>
      </c>
      <c r="E75" s="150">
        <v>62025.599999999999</v>
      </c>
      <c r="F75" s="150">
        <v>80184</v>
      </c>
      <c r="G75" s="150">
        <v>18158.400000000001</v>
      </c>
      <c r="H75" s="191">
        <f>G75/E75</f>
        <v>0.29275653923541251</v>
      </c>
      <c r="J75" s="188"/>
    </row>
    <row r="76" spans="1:10" ht="15.75">
      <c r="A76" s="149" t="s">
        <v>219</v>
      </c>
      <c r="B76" s="150">
        <v>14</v>
      </c>
      <c r="C76" s="150">
        <v>2306.8200000000002</v>
      </c>
      <c r="D76" s="150">
        <v>2710</v>
      </c>
      <c r="E76" s="150">
        <v>32295.45</v>
      </c>
      <c r="F76" s="150">
        <v>37940</v>
      </c>
      <c r="G76" s="150">
        <v>5644.55</v>
      </c>
      <c r="H76" s="191">
        <f>G76/E76</f>
        <v>0.17477849046847158</v>
      </c>
      <c r="J76" s="188"/>
    </row>
    <row r="77" spans="1:10" ht="15.75">
      <c r="A77" s="149" t="s">
        <v>220</v>
      </c>
      <c r="B77" s="150">
        <v>30</v>
      </c>
      <c r="C77" s="150">
        <v>373.77</v>
      </c>
      <c r="D77" s="150">
        <v>877.7</v>
      </c>
      <c r="E77" s="150">
        <v>11213.05</v>
      </c>
      <c r="F77" s="150">
        <v>26331</v>
      </c>
      <c r="G77" s="150">
        <v>15117.95</v>
      </c>
      <c r="H77" s="191">
        <f>G77/E77</f>
        <v>1.3482460169177879</v>
      </c>
    </row>
    <row r="78" spans="1:10" ht="15.75">
      <c r="A78" s="149" t="s">
        <v>221</v>
      </c>
      <c r="B78" s="150">
        <v>110</v>
      </c>
      <c r="C78" s="150">
        <v>130.18</v>
      </c>
      <c r="D78" s="150">
        <v>524.45000000000005</v>
      </c>
      <c r="E78" s="150">
        <v>14319.65</v>
      </c>
      <c r="F78" s="150">
        <v>57689.5</v>
      </c>
      <c r="G78" s="150">
        <v>43369.85</v>
      </c>
      <c r="H78" s="191">
        <f>G78/E78</f>
        <v>3.0286948354184635</v>
      </c>
    </row>
    <row r="79" spans="1:10" ht="15.75">
      <c r="A79" s="149" t="s">
        <v>222</v>
      </c>
      <c r="B79" s="150">
        <v>54</v>
      </c>
      <c r="C79" s="150">
        <v>896.15</v>
      </c>
      <c r="D79" s="150">
        <v>885.6</v>
      </c>
      <c r="E79" s="150">
        <v>48392.1</v>
      </c>
      <c r="F79" s="150">
        <v>47822.400000000001</v>
      </c>
      <c r="G79" s="150">
        <v>-569.70000000000005</v>
      </c>
      <c r="H79" s="191">
        <f>G79/E79</f>
        <v>-1.1772582714947275E-2</v>
      </c>
    </row>
    <row r="80" spans="1:10" ht="16.5">
      <c r="A80" s="149"/>
      <c r="B80" s="150"/>
      <c r="C80" s="150"/>
      <c r="D80" s="150"/>
      <c r="E80" s="150"/>
      <c r="F80" s="150"/>
      <c r="G80" s="150"/>
      <c r="H80" s="191"/>
      <c r="J80" s="188"/>
    </row>
    <row r="81" spans="1:10" ht="16.5">
      <c r="A81" s="149"/>
      <c r="B81" s="150"/>
      <c r="C81" s="150"/>
      <c r="D81" s="150"/>
      <c r="E81" s="150"/>
      <c r="F81" s="150"/>
      <c r="G81" s="150"/>
      <c r="H81" s="191"/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16537</v>
      </c>
      <c r="C104" s="45"/>
      <c r="D104" s="45"/>
      <c r="E104" s="45">
        <f>SUM(E2:E103)</f>
        <v>4050311.8600000003</v>
      </c>
      <c r="F104" s="45">
        <f>SUM(F2:F103)</f>
        <v>6873741.3399999999</v>
      </c>
      <c r="G104" s="45">
        <f>SUM(G2:G103)</f>
        <v>2822129.2799999993</v>
      </c>
      <c r="H104" s="176">
        <f>G104/E104</f>
        <v>0.69676839155787851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3976-FCD0-49DA-AACB-2F58A868C7AE}">
  <dimension ref="A1:J22"/>
  <sheetViews>
    <sheetView workbookViewId="0">
      <selection activeCell="I18" sqref="I18"/>
    </sheetView>
  </sheetViews>
  <sheetFormatPr defaultColWidth="8.7109375" defaultRowHeight="15"/>
  <cols>
    <col min="1" max="1" width="56.28515625" style="22" customWidth="1"/>
    <col min="2" max="2" width="25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s="210" t="s">
        <v>233</v>
      </c>
      <c r="C2" s="188">
        <v>38198.739000000001</v>
      </c>
      <c r="D2">
        <v>7.6</v>
      </c>
      <c r="E2">
        <v>7.8559000000000001</v>
      </c>
      <c r="F2" s="188">
        <v>300085.0037</v>
      </c>
      <c r="G2" s="188">
        <v>290310.41639999999</v>
      </c>
      <c r="H2" s="188">
        <v>-9774.5872999999992</v>
      </c>
      <c r="I2" s="192">
        <f>H2/F2</f>
        <v>-3.2572728325244195E-2</v>
      </c>
    </row>
    <row r="3" spans="1:9">
      <c r="A3" s="168" t="s">
        <v>271</v>
      </c>
      <c r="B3" s="210" t="s">
        <v>269</v>
      </c>
      <c r="C3">
        <v>207.542</v>
      </c>
      <c r="D3" s="188">
        <v>2901.3298</v>
      </c>
      <c r="E3" s="188">
        <v>2891.0362</v>
      </c>
      <c r="F3" s="188">
        <v>600011.44299999997</v>
      </c>
      <c r="G3" s="188">
        <v>602147.78940000001</v>
      </c>
      <c r="H3" s="188">
        <v>2136.3463999999999</v>
      </c>
      <c r="I3" s="192">
        <f t="shared" ref="I3:I22" si="0">H3/F3</f>
        <v>3.5605094284843499E-3</v>
      </c>
    </row>
    <row r="4" spans="1:9">
      <c r="A4" s="168" t="s">
        <v>234</v>
      </c>
      <c r="B4" s="210" t="s">
        <v>235</v>
      </c>
      <c r="C4" s="188">
        <v>4080.9659999999999</v>
      </c>
      <c r="D4">
        <v>120.34</v>
      </c>
      <c r="E4">
        <v>68.607799999999997</v>
      </c>
      <c r="F4" s="188">
        <v>279986.10960000003</v>
      </c>
      <c r="G4" s="188">
        <v>491103.44839999999</v>
      </c>
      <c r="H4" s="188">
        <v>211117.3389</v>
      </c>
      <c r="I4" s="192">
        <f t="shared" si="0"/>
        <v>0.75402790231847983</v>
      </c>
    </row>
    <row r="5" spans="1:9">
      <c r="A5" s="168" t="s">
        <v>236</v>
      </c>
      <c r="B5" s="210" t="s">
        <v>237</v>
      </c>
      <c r="C5" s="188">
        <v>14235.332</v>
      </c>
      <c r="D5">
        <v>112.07</v>
      </c>
      <c r="E5">
        <v>47.766100000000002</v>
      </c>
      <c r="F5" s="188">
        <v>679966.92570000002</v>
      </c>
      <c r="G5" s="188">
        <v>1595353.6572</v>
      </c>
      <c r="H5" s="188">
        <v>915386.73160000006</v>
      </c>
      <c r="I5" s="192">
        <f t="shared" si="0"/>
        <v>1.3462224367128508</v>
      </c>
    </row>
    <row r="6" spans="1:9">
      <c r="A6" s="168" t="s">
        <v>238</v>
      </c>
      <c r="B6" s="210" t="s">
        <v>237</v>
      </c>
      <c r="C6" s="188">
        <v>30844.641</v>
      </c>
      <c r="D6">
        <v>38.86</v>
      </c>
      <c r="E6">
        <v>33.229399999999998</v>
      </c>
      <c r="F6" s="188">
        <v>1024948.7568</v>
      </c>
      <c r="G6" s="188">
        <v>1198622.7493</v>
      </c>
      <c r="H6" s="188">
        <v>173673.99239999999</v>
      </c>
      <c r="I6" s="192">
        <f t="shared" si="0"/>
        <v>0.16944651256734905</v>
      </c>
    </row>
    <row r="7" spans="1:9">
      <c r="A7" s="168" t="s">
        <v>239</v>
      </c>
      <c r="B7" s="210" t="s">
        <v>233</v>
      </c>
      <c r="C7" s="188">
        <v>6382.6610000000001</v>
      </c>
      <c r="D7">
        <v>24.524100000000001</v>
      </c>
      <c r="E7">
        <v>25.066700000000001</v>
      </c>
      <c r="F7" s="188">
        <v>159992.01730000001</v>
      </c>
      <c r="G7" s="188">
        <v>156529.0166</v>
      </c>
      <c r="H7" s="188">
        <v>-3463.0007000000001</v>
      </c>
      <c r="I7" s="192">
        <f t="shared" si="0"/>
        <v>-2.1644834276366112E-2</v>
      </c>
    </row>
    <row r="8" spans="1:9">
      <c r="A8" s="168" t="s">
        <v>240</v>
      </c>
      <c r="B8" s="210" t="s">
        <v>241</v>
      </c>
      <c r="C8" s="188">
        <v>1857.5519999999999</v>
      </c>
      <c r="D8">
        <v>756.36339999999996</v>
      </c>
      <c r="E8">
        <v>366.02140000000003</v>
      </c>
      <c r="F8" s="188">
        <v>679903.69869999995</v>
      </c>
      <c r="G8" s="188">
        <v>1404984.3463999999</v>
      </c>
      <c r="H8" s="188">
        <v>725080.64769999997</v>
      </c>
      <c r="I8" s="192">
        <f t="shared" si="0"/>
        <v>1.0664460997732179</v>
      </c>
    </row>
    <row r="9" spans="1:9">
      <c r="A9" s="168" t="s">
        <v>242</v>
      </c>
      <c r="B9" s="210" t="s">
        <v>237</v>
      </c>
      <c r="C9" s="188">
        <v>4306.576</v>
      </c>
      <c r="D9">
        <v>139.52699999999999</v>
      </c>
      <c r="E9">
        <v>44.3917</v>
      </c>
      <c r="F9" s="188">
        <v>191176.2298</v>
      </c>
      <c r="G9" s="188">
        <v>600883.62959999999</v>
      </c>
      <c r="H9" s="188">
        <v>409707.39970000001</v>
      </c>
      <c r="I9" s="192">
        <f t="shared" si="0"/>
        <v>2.1430875592044969</v>
      </c>
    </row>
    <row r="10" spans="1:9">
      <c r="A10" s="168" t="s">
        <v>272</v>
      </c>
      <c r="B10" s="210" t="s">
        <v>235</v>
      </c>
      <c r="C10" s="188">
        <v>5805.7370000000001</v>
      </c>
      <c r="D10">
        <v>139.499</v>
      </c>
      <c r="E10">
        <v>41.940399999999997</v>
      </c>
      <c r="F10" s="188">
        <v>243495.1642</v>
      </c>
      <c r="G10" s="188">
        <v>809894.50580000004</v>
      </c>
      <c r="H10" s="188">
        <v>566399.34149999998</v>
      </c>
      <c r="I10" s="192">
        <f t="shared" si="0"/>
        <v>2.3261215201578938</v>
      </c>
    </row>
    <row r="11" spans="1:9">
      <c r="A11" s="168" t="s">
        <v>244</v>
      </c>
      <c r="B11" s="210" t="s">
        <v>233</v>
      </c>
      <c r="C11" s="188">
        <v>13136.35</v>
      </c>
      <c r="D11">
        <v>35.877200000000002</v>
      </c>
      <c r="E11">
        <v>29.687100000000001</v>
      </c>
      <c r="F11" s="188">
        <v>389980.446</v>
      </c>
      <c r="G11" s="188">
        <v>471295.45620000002</v>
      </c>
      <c r="H11" s="188">
        <v>81315.010200000004</v>
      </c>
      <c r="I11" s="192">
        <f t="shared" si="0"/>
        <v>0.2085104805485555</v>
      </c>
    </row>
    <row r="12" spans="1:9">
      <c r="A12" s="168" t="s">
        <v>273</v>
      </c>
      <c r="B12" s="210" t="s">
        <v>233</v>
      </c>
      <c r="C12" s="188">
        <v>82131.043999999994</v>
      </c>
      <c r="D12">
        <v>14.732699999999999</v>
      </c>
      <c r="E12">
        <v>9.9227000000000007</v>
      </c>
      <c r="F12" s="188">
        <v>814959.2439</v>
      </c>
      <c r="G12" s="188">
        <v>1210012.0319000001</v>
      </c>
      <c r="H12" s="188">
        <v>395052.78810000001</v>
      </c>
      <c r="I12" s="192">
        <f t="shared" si="0"/>
        <v>0.48475158856959377</v>
      </c>
    </row>
    <row r="13" spans="1:9">
      <c r="A13" s="168" t="s">
        <v>246</v>
      </c>
      <c r="B13" s="210" t="s">
        <v>241</v>
      </c>
      <c r="C13" s="188">
        <v>74361.669500000004</v>
      </c>
      <c r="D13">
        <v>15.798400000000001</v>
      </c>
      <c r="E13">
        <v>12.781599999999999</v>
      </c>
      <c r="F13" s="188">
        <v>950463.02150000003</v>
      </c>
      <c r="G13" s="188">
        <v>1174795.3994</v>
      </c>
      <c r="H13" s="188">
        <v>224332.37789999999</v>
      </c>
      <c r="I13" s="192">
        <f t="shared" si="0"/>
        <v>0.23602430902147412</v>
      </c>
    </row>
    <row r="14" spans="1:9">
      <c r="A14" s="168" t="s">
        <v>247</v>
      </c>
      <c r="B14" s="210" t="s">
        <v>241</v>
      </c>
      <c r="C14" s="188">
        <v>46779.584000000003</v>
      </c>
      <c r="D14">
        <v>15.243499999999999</v>
      </c>
      <c r="E14">
        <v>14.1187</v>
      </c>
      <c r="F14" s="188">
        <v>660466.97759999998</v>
      </c>
      <c r="G14" s="188">
        <v>713084.58869999996</v>
      </c>
      <c r="H14" s="188">
        <v>52617.611100000002</v>
      </c>
      <c r="I14" s="192">
        <f t="shared" si="0"/>
        <v>7.9667285245965641E-2</v>
      </c>
    </row>
    <row r="15" spans="1:9">
      <c r="A15" s="168" t="s">
        <v>248</v>
      </c>
      <c r="B15" s="210" t="s">
        <v>249</v>
      </c>
      <c r="C15" s="188">
        <v>16726.260999999999</v>
      </c>
      <c r="D15">
        <v>9.5656999999999996</v>
      </c>
      <c r="E15">
        <v>9.0273000000000003</v>
      </c>
      <c r="F15" s="188">
        <v>150992.44500000001</v>
      </c>
      <c r="G15" s="188">
        <v>159998.39480000001</v>
      </c>
      <c r="H15" s="188">
        <v>9005.9498000000003</v>
      </c>
      <c r="I15" s="192">
        <f t="shared" si="0"/>
        <v>5.9645035882424445E-2</v>
      </c>
    </row>
    <row r="16" spans="1:9">
      <c r="A16" s="168" t="s">
        <v>250</v>
      </c>
      <c r="B16" s="210" t="s">
        <v>251</v>
      </c>
      <c r="C16" s="188">
        <v>19397.659</v>
      </c>
      <c r="D16">
        <v>87.411900000000003</v>
      </c>
      <c r="E16">
        <v>44.640599999999999</v>
      </c>
      <c r="F16" s="188">
        <v>865923.00470000005</v>
      </c>
      <c r="G16" s="188">
        <v>1695586.2287000001</v>
      </c>
      <c r="H16" s="188">
        <v>829663.22409999999</v>
      </c>
      <c r="I16" s="192">
        <f t="shared" si="0"/>
        <v>0.95812586060978677</v>
      </c>
    </row>
    <row r="17" spans="1:10">
      <c r="A17" s="168" t="s">
        <v>274</v>
      </c>
      <c r="B17" s="210" t="s">
        <v>233</v>
      </c>
      <c r="C17" s="188">
        <v>6809.741</v>
      </c>
      <c r="D17">
        <v>44.99</v>
      </c>
      <c r="E17">
        <v>35.241999999999997</v>
      </c>
      <c r="F17" s="188">
        <v>239988.8371</v>
      </c>
      <c r="G17" s="188">
        <v>306370.2476</v>
      </c>
      <c r="H17" s="188">
        <v>66381.410499999998</v>
      </c>
      <c r="I17" s="192">
        <f t="shared" si="0"/>
        <v>0.27660207575546436</v>
      </c>
    </row>
    <row r="18" spans="1:10">
      <c r="A18" s="168" t="s">
        <v>253</v>
      </c>
      <c r="B18" s="210" t="s">
        <v>235</v>
      </c>
      <c r="C18" s="188">
        <v>5149.8059999999996</v>
      </c>
      <c r="D18">
        <v>236.41839999999999</v>
      </c>
      <c r="E18">
        <v>198.12520000000001</v>
      </c>
      <c r="F18" s="188">
        <v>1020306.1338</v>
      </c>
      <c r="G18" s="188">
        <v>1217508.8947999999</v>
      </c>
      <c r="H18" s="188">
        <v>197202.761</v>
      </c>
      <c r="I18" s="192">
        <f t="shared" si="0"/>
        <v>0.1932780314331185</v>
      </c>
    </row>
    <row r="19" spans="1:10">
      <c r="A19" s="168" t="s">
        <v>254</v>
      </c>
      <c r="B19" s="210" t="s">
        <v>237</v>
      </c>
      <c r="C19">
        <v>189.63900000000001</v>
      </c>
      <c r="D19">
        <v>256.44119999999998</v>
      </c>
      <c r="E19">
        <v>237.28129999999999</v>
      </c>
      <c r="F19" s="188">
        <v>44997.790399999998</v>
      </c>
      <c r="G19" s="188">
        <v>48631.252699999997</v>
      </c>
      <c r="H19" s="188">
        <v>3633.4623000000001</v>
      </c>
      <c r="I19" s="192">
        <f t="shared" si="0"/>
        <v>8.0747571551868916E-2</v>
      </c>
    </row>
    <row r="20" spans="1:10">
      <c r="A20" s="168" t="s">
        <v>255</v>
      </c>
      <c r="B20" t="s">
        <v>241</v>
      </c>
      <c r="C20" s="188">
        <v>18996.168000000001</v>
      </c>
      <c r="D20">
        <v>23.733699999999999</v>
      </c>
      <c r="E20">
        <v>9.4700000000000006</v>
      </c>
      <c r="F20" s="188">
        <v>179893.71100000001</v>
      </c>
      <c r="G20" s="188">
        <v>450849.35249999998</v>
      </c>
      <c r="H20" s="188">
        <v>270955.64150000003</v>
      </c>
      <c r="I20" s="192">
        <f t="shared" si="0"/>
        <v>1.5061985213035047</v>
      </c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389597.66749999998</v>
      </c>
      <c r="D22" s="75"/>
      <c r="E22" s="75"/>
      <c r="F22" s="75">
        <f t="shared" ref="F22:H22" si="1">SUM(F2:F21)</f>
        <v>9477536.9597999994</v>
      </c>
      <c r="G22" s="75">
        <f t="shared" si="1"/>
        <v>14597961.406399999</v>
      </c>
      <c r="H22" s="75">
        <f t="shared" si="1"/>
        <v>5120424.4467000002</v>
      </c>
      <c r="I22" s="53">
        <f t="shared" si="0"/>
        <v>0.54026953083051388</v>
      </c>
      <c r="J22" s="202"/>
    </row>
  </sheetData>
  <hyperlinks>
    <hyperlink ref="A2" r:id="rId1" location="/mf/1831632/41287/NULL" xr:uid="{4BDA6108-4789-4264-9DB3-6FF18E0007BD}"/>
    <hyperlink ref="A3" r:id="rId2" location="/mf/1831632/15748/NULL" xr:uid="{5732EB9C-1965-4D4D-9603-7C08E61FEBA2}"/>
    <hyperlink ref="A4" r:id="rId3" location="/mf/1831632/15690/NULL" xr:uid="{B43B7EBB-87B5-417D-891C-2806A5AA602D}"/>
    <hyperlink ref="A5" r:id="rId4" location="/mf/1831632/22335/NULL" xr:uid="{244AEF00-5C02-4142-A918-E4CC22C8BAA6}"/>
    <hyperlink ref="A6" r:id="rId5" location="/mf/1831632/38817/NULL" xr:uid="{850A2E75-6E04-42DD-9FF3-D509E15EF034}"/>
    <hyperlink ref="A7" r:id="rId6" location="/mf/1831632/40665/NULL" xr:uid="{5D67F33E-2F9D-42A5-B422-3B25C57497BB}"/>
    <hyperlink ref="A8" r:id="rId7" location="/mf/1831632/16071/NULL" xr:uid="{6206992A-06DF-4279-B047-CCC0D5B46A78}"/>
    <hyperlink ref="A9" r:id="rId8" location="/mf/1831632/16617/NULL" xr:uid="{3A5BD5FD-2455-4F1D-A4BE-05C40EAFABEE}"/>
    <hyperlink ref="A10" r:id="rId9" location="/mf/1831632/17134/NULL" xr:uid="{961DAE44-7A41-4A3E-88B4-68E1B47A64AC}"/>
    <hyperlink ref="A11" r:id="rId10" location="/mf/1831632/38228/NULL" xr:uid="{0407DBFB-943A-41C7-BDAD-4C72E993B310}"/>
    <hyperlink ref="A12" r:id="rId11" location="/mf/1831632/42135/NULL" xr:uid="{EFC7FABC-459C-4A80-9128-2FD12618245F}"/>
    <hyperlink ref="A13" r:id="rId12" location="/mf/1831632/41574/NULL" xr:uid="{8903B520-F1D8-4742-88BF-6069E9B65B35}"/>
    <hyperlink ref="A14" r:id="rId13" location="/mf/1831632/41937/NULL" xr:uid="{1B769E93-D0E6-4EE7-AC54-0CD91BB7C983}"/>
    <hyperlink ref="A15" r:id="rId14" location="/mf/1831632/44110/NULL" xr:uid="{FBF82481-3E71-40B8-9FAD-AD497A90A0DC}"/>
    <hyperlink ref="A16" r:id="rId15" location="/mf/1831632/19701/NULL" xr:uid="{87818486-39AE-4FF4-82E2-EABB80537012}"/>
    <hyperlink ref="A17" r:id="rId16" location="/mf/1831632/17348/NULL" xr:uid="{43D57018-2D93-45F7-A477-63A4624B7801}"/>
    <hyperlink ref="A18" r:id="rId17" location="/mf/1831632/17375/NULL" xr:uid="{FAD5B14E-39EA-4BCC-B82A-DDB6DDD43254}"/>
    <hyperlink ref="A19" r:id="rId18" location="/mf/1831632/17366/NULL" xr:uid="{B560752C-6538-4BC1-B8FE-9E11E5EA6BA3}"/>
    <hyperlink ref="A20" r:id="rId19" location="/mf/1831632/36491/NULL" xr:uid="{8E37C929-2F3F-4086-9B53-DF017118494F}"/>
  </hyperlink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702E-6350-426C-BAF5-F7C4F2822CCB}">
  <dimension ref="A1:J10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258</v>
      </c>
      <c r="B2" s="150">
        <v>100</v>
      </c>
      <c r="C2" s="150">
        <v>109.73</v>
      </c>
      <c r="D2" s="150">
        <v>103</v>
      </c>
      <c r="E2" s="150">
        <v>10972.5</v>
      </c>
      <c r="F2" s="150">
        <v>10300</v>
      </c>
      <c r="G2" s="150">
        <v>-672.5</v>
      </c>
      <c r="H2" s="191">
        <f>G2/E2</f>
        <v>-6.1289587605377081E-2</v>
      </c>
    </row>
    <row r="3" spans="1:10" ht="15.75">
      <c r="A3" s="149" t="s">
        <v>256</v>
      </c>
      <c r="B3" s="150">
        <v>20</v>
      </c>
      <c r="C3" s="150">
        <v>1000</v>
      </c>
      <c r="D3" s="150">
        <v>1066</v>
      </c>
      <c r="E3" s="150">
        <v>20000</v>
      </c>
      <c r="F3" s="150">
        <v>21320</v>
      </c>
      <c r="G3" s="150">
        <v>0</v>
      </c>
      <c r="H3" s="191">
        <f>G3/E3</f>
        <v>0</v>
      </c>
    </row>
    <row r="4" spans="1:10" ht="15.75">
      <c r="A4" s="149" t="s">
        <v>259</v>
      </c>
      <c r="B4" s="150">
        <v>13</v>
      </c>
      <c r="C4" s="150">
        <v>133.75</v>
      </c>
      <c r="D4" s="150">
        <v>1309.7</v>
      </c>
      <c r="E4" s="150">
        <v>1738.75</v>
      </c>
      <c r="F4" s="150">
        <v>17026.099999999999</v>
      </c>
      <c r="G4" s="150">
        <v>15287.35</v>
      </c>
      <c r="H4" s="191">
        <f>G4/E4</f>
        <v>8.7921495327102814</v>
      </c>
    </row>
    <row r="5" spans="1:10" ht="15.75">
      <c r="A5" s="149" t="s">
        <v>144</v>
      </c>
      <c r="B5" s="150">
        <v>19</v>
      </c>
      <c r="C5" s="150">
        <v>489.54</v>
      </c>
      <c r="D5" s="150">
        <v>2480.0500000000002</v>
      </c>
      <c r="E5" s="150">
        <v>9301.2000000000007</v>
      </c>
      <c r="F5" s="150">
        <v>47120.95</v>
      </c>
      <c r="G5" s="150">
        <v>37819.75</v>
      </c>
      <c r="H5" s="191">
        <f>G5/E5</f>
        <v>4.066115124930116</v>
      </c>
      <c r="J5" s="188"/>
    </row>
    <row r="6" spans="1:10" ht="15.75">
      <c r="A6" s="149" t="s">
        <v>145</v>
      </c>
      <c r="B6" s="150">
        <v>250</v>
      </c>
      <c r="C6" s="150">
        <v>183.59</v>
      </c>
      <c r="D6" s="150">
        <v>409</v>
      </c>
      <c r="E6" s="150">
        <v>45897.5</v>
      </c>
      <c r="F6" s="150">
        <v>102250</v>
      </c>
      <c r="G6" s="150">
        <v>56352.5</v>
      </c>
      <c r="H6" s="191">
        <f>G6/E6</f>
        <v>1.2277901846505801</v>
      </c>
    </row>
    <row r="7" spans="1:10" ht="15.75">
      <c r="A7" s="149" t="s">
        <v>146</v>
      </c>
      <c r="B7" s="150">
        <v>62</v>
      </c>
      <c r="C7" s="150">
        <v>708.24</v>
      </c>
      <c r="D7" s="150">
        <v>1091.3</v>
      </c>
      <c r="E7" s="150">
        <v>43910.6</v>
      </c>
      <c r="F7" s="150">
        <v>67660.600000000006</v>
      </c>
      <c r="G7" s="150">
        <v>23750</v>
      </c>
      <c r="H7" s="191">
        <f>G7/E7</f>
        <v>0.54087168018656084</v>
      </c>
    </row>
    <row r="8" spans="1:10" ht="15.75">
      <c r="A8" s="149" t="s">
        <v>147</v>
      </c>
      <c r="B8" s="150">
        <v>19</v>
      </c>
      <c r="C8" s="150">
        <v>3076.33</v>
      </c>
      <c r="D8" s="150">
        <v>7700</v>
      </c>
      <c r="E8" s="150">
        <v>58450.25</v>
      </c>
      <c r="F8" s="150">
        <v>146300</v>
      </c>
      <c r="G8" s="150">
        <v>87849.75</v>
      </c>
      <c r="H8" s="191">
        <f>G8/E8</f>
        <v>1.5029833063160551</v>
      </c>
    </row>
    <row r="9" spans="1:10" ht="15.75">
      <c r="A9" s="149" t="s">
        <v>148</v>
      </c>
      <c r="B9" s="150">
        <v>8</v>
      </c>
      <c r="C9" s="150">
        <v>6731.04</v>
      </c>
      <c r="D9" s="150">
        <v>8720.85</v>
      </c>
      <c r="E9" s="150">
        <v>53848.35</v>
      </c>
      <c r="F9" s="150">
        <v>69766.8</v>
      </c>
      <c r="G9" s="150">
        <v>15918.45</v>
      </c>
      <c r="H9" s="191">
        <f>G9/E9</f>
        <v>0.29561630022089813</v>
      </c>
      <c r="J9" s="188"/>
    </row>
    <row r="10" spans="1:10" ht="15.75">
      <c r="A10" s="149" t="s">
        <v>149</v>
      </c>
      <c r="B10" s="150">
        <v>15</v>
      </c>
      <c r="C10" s="150">
        <v>2427.4699999999998</v>
      </c>
      <c r="D10" s="150">
        <v>2396.85</v>
      </c>
      <c r="E10" s="150">
        <v>36412</v>
      </c>
      <c r="F10" s="150">
        <v>35952.75</v>
      </c>
      <c r="G10" s="150">
        <v>-459.25</v>
      </c>
      <c r="H10" s="191">
        <f>G10/E10</f>
        <v>-1.2612600241678568E-2</v>
      </c>
    </row>
    <row r="11" spans="1:10" ht="15.75">
      <c r="A11" s="149" t="s">
        <v>150</v>
      </c>
      <c r="B11" s="150">
        <v>184</v>
      </c>
      <c r="C11" s="150">
        <v>188.19</v>
      </c>
      <c r="D11" s="150">
        <v>234.42</v>
      </c>
      <c r="E11" s="150">
        <v>34627.15</v>
      </c>
      <c r="F11" s="150">
        <v>43133.279999999999</v>
      </c>
      <c r="G11" s="150">
        <v>8506.1299999999992</v>
      </c>
      <c r="H11" s="191">
        <f>G11/E11</f>
        <v>0.2456491510274452</v>
      </c>
      <c r="J11" s="188"/>
    </row>
    <row r="12" spans="1:10" ht="15.75">
      <c r="A12" s="149" t="s">
        <v>151</v>
      </c>
      <c r="B12" s="150">
        <v>8500</v>
      </c>
      <c r="C12" s="150">
        <v>50.47</v>
      </c>
      <c r="D12" s="150">
        <v>52.37</v>
      </c>
      <c r="E12" s="150">
        <v>429035.72</v>
      </c>
      <c r="F12" s="150">
        <v>445145</v>
      </c>
      <c r="G12" s="150">
        <v>16109.28</v>
      </c>
      <c r="H12" s="191">
        <f>G12/E12</f>
        <v>3.7547642886238006E-2</v>
      </c>
      <c r="J12" s="188"/>
    </row>
    <row r="13" spans="1:10" ht="15.75">
      <c r="A13" s="149" t="s">
        <v>152</v>
      </c>
      <c r="B13" s="150">
        <v>180</v>
      </c>
      <c r="C13" s="150">
        <v>322.89</v>
      </c>
      <c r="D13" s="150">
        <v>1743.45</v>
      </c>
      <c r="E13" s="150">
        <v>58120</v>
      </c>
      <c r="F13" s="150">
        <v>313821</v>
      </c>
      <c r="G13" s="150">
        <v>255701</v>
      </c>
      <c r="H13" s="191">
        <f>G13/E13</f>
        <v>4.3995354439091532</v>
      </c>
      <c r="J13" s="188"/>
    </row>
    <row r="14" spans="1:10" ht="15.75">
      <c r="A14" s="149" t="s">
        <v>153</v>
      </c>
      <c r="B14" s="150">
        <v>40</v>
      </c>
      <c r="C14" s="150">
        <v>446.04</v>
      </c>
      <c r="D14" s="150">
        <v>955</v>
      </c>
      <c r="E14" s="150">
        <v>17841.599999999999</v>
      </c>
      <c r="F14" s="150">
        <v>38200</v>
      </c>
      <c r="G14" s="150">
        <v>20358.400000000001</v>
      </c>
      <c r="H14" s="191">
        <f>G14/E14</f>
        <v>1.141063581741548</v>
      </c>
    </row>
    <row r="15" spans="1:10" ht="15.75">
      <c r="A15" s="149" t="s">
        <v>154</v>
      </c>
      <c r="B15" s="150">
        <v>14</v>
      </c>
      <c r="C15" s="150">
        <v>3489.94</v>
      </c>
      <c r="D15" s="150">
        <v>5021.5</v>
      </c>
      <c r="E15" s="150">
        <v>48859.1</v>
      </c>
      <c r="F15" s="150">
        <v>70301</v>
      </c>
      <c r="G15" s="150">
        <v>21441.9</v>
      </c>
      <c r="H15" s="191">
        <v>0</v>
      </c>
      <c r="J15" s="188"/>
    </row>
    <row r="16" spans="1:10" ht="15.75">
      <c r="A16" s="149" t="s">
        <v>155</v>
      </c>
      <c r="B16" s="150">
        <v>180</v>
      </c>
      <c r="C16" s="150">
        <v>155.25</v>
      </c>
      <c r="D16" s="150">
        <v>203.45</v>
      </c>
      <c r="E16" s="150">
        <v>27945</v>
      </c>
      <c r="F16" s="150">
        <v>36621</v>
      </c>
      <c r="G16" s="150">
        <v>8676</v>
      </c>
      <c r="H16" s="191">
        <f>G16/E16</f>
        <v>0.31046698872785827</v>
      </c>
      <c r="J16" s="188"/>
    </row>
    <row r="17" spans="1:10" ht="15.75">
      <c r="A17" s="149" t="s">
        <v>156</v>
      </c>
      <c r="B17" s="150">
        <v>88</v>
      </c>
      <c r="C17" s="150">
        <v>373.58</v>
      </c>
      <c r="D17" s="150">
        <v>392</v>
      </c>
      <c r="E17" s="150">
        <v>32874.85</v>
      </c>
      <c r="F17" s="150">
        <v>34496</v>
      </c>
      <c r="G17" s="150">
        <v>1621.15</v>
      </c>
      <c r="H17" s="191">
        <f>G17/E17</f>
        <v>4.9312772529760594E-2</v>
      </c>
      <c r="J17" s="188"/>
    </row>
    <row r="18" spans="1:10" ht="15.75">
      <c r="A18" s="149" t="s">
        <v>157</v>
      </c>
      <c r="B18" s="150">
        <v>45</v>
      </c>
      <c r="C18" s="150">
        <v>990.66</v>
      </c>
      <c r="D18" s="150">
        <v>1415.55</v>
      </c>
      <c r="E18" s="150">
        <v>44579.85</v>
      </c>
      <c r="F18" s="150">
        <v>63699.75</v>
      </c>
      <c r="G18" s="150">
        <v>19119.900000000001</v>
      </c>
      <c r="H18" s="191">
        <f>G18/E18</f>
        <v>0.4288910797142656</v>
      </c>
    </row>
    <row r="19" spans="1:10" ht="15.75">
      <c r="A19" s="149" t="s">
        <v>158</v>
      </c>
      <c r="B19" s="150">
        <v>470</v>
      </c>
      <c r="C19" s="150">
        <v>194.39</v>
      </c>
      <c r="D19" s="150">
        <v>385.25</v>
      </c>
      <c r="E19" s="150">
        <v>91363.5</v>
      </c>
      <c r="F19" s="150">
        <v>181067.5</v>
      </c>
      <c r="G19" s="150">
        <v>89704</v>
      </c>
      <c r="H19" s="191">
        <f>G19/E19</f>
        <v>0.98183629129794725</v>
      </c>
    </row>
    <row r="20" spans="1:10" ht="15.75">
      <c r="A20" s="149" t="s">
        <v>159</v>
      </c>
      <c r="B20" s="150">
        <v>13</v>
      </c>
      <c r="C20" s="150">
        <v>4545.26</v>
      </c>
      <c r="D20" s="150">
        <v>6615.75</v>
      </c>
      <c r="E20" s="150">
        <v>59088.4</v>
      </c>
      <c r="F20" s="150">
        <v>86004.75</v>
      </c>
      <c r="G20" s="150">
        <v>26916.35</v>
      </c>
      <c r="H20" s="191">
        <f>G20/E20</f>
        <v>0.45552680390736588</v>
      </c>
    </row>
    <row r="21" spans="1:10" ht="15.75">
      <c r="A21" s="149" t="s">
        <v>160</v>
      </c>
      <c r="B21" s="150">
        <v>21</v>
      </c>
      <c r="C21" s="150">
        <v>1503.03</v>
      </c>
      <c r="D21" s="150">
        <v>2423.35</v>
      </c>
      <c r="E21" s="150">
        <v>31563.7</v>
      </c>
      <c r="F21" s="150">
        <v>50890.35</v>
      </c>
      <c r="G21" s="150">
        <v>19326.650000000001</v>
      </c>
      <c r="H21" s="191">
        <f>G21/E21</f>
        <v>0.61230622518906219</v>
      </c>
      <c r="J21" s="188"/>
    </row>
    <row r="22" spans="1:10" ht="15.75">
      <c r="A22" s="149" t="s">
        <v>161</v>
      </c>
      <c r="B22" s="150">
        <v>66</v>
      </c>
      <c r="C22" s="150">
        <v>557.49</v>
      </c>
      <c r="D22" s="150">
        <v>654.1</v>
      </c>
      <c r="E22" s="150">
        <v>36794.1</v>
      </c>
      <c r="F22" s="150">
        <v>43170.6</v>
      </c>
      <c r="G22" s="150">
        <v>6376.5</v>
      </c>
      <c r="H22" s="191">
        <f>G22/E22</f>
        <v>0.17330224139196229</v>
      </c>
    </row>
    <row r="23" spans="1:10" ht="15.75">
      <c r="A23" s="149" t="s">
        <v>162</v>
      </c>
      <c r="B23" s="150">
        <v>12</v>
      </c>
      <c r="C23" s="150">
        <v>3474.64</v>
      </c>
      <c r="D23" s="150">
        <v>4039.9</v>
      </c>
      <c r="E23" s="150">
        <v>41695.699999999997</v>
      </c>
      <c r="F23" s="150">
        <v>48478.8</v>
      </c>
      <c r="G23" s="150">
        <v>6783.1</v>
      </c>
      <c r="H23" s="191">
        <f>G23/E23</f>
        <v>0.16268104384864629</v>
      </c>
      <c r="J23" s="188"/>
    </row>
    <row r="24" spans="1:10" ht="15.75">
      <c r="A24" s="149" t="s">
        <v>163</v>
      </c>
      <c r="B24" s="150">
        <v>60</v>
      </c>
      <c r="C24" s="150">
        <v>992.6</v>
      </c>
      <c r="D24" s="150">
        <v>1109.95</v>
      </c>
      <c r="E24" s="150">
        <v>59555.95</v>
      </c>
      <c r="F24" s="150">
        <v>66597</v>
      </c>
      <c r="G24" s="150">
        <v>7041.05</v>
      </c>
      <c r="H24" s="191">
        <f>G24/E24</f>
        <v>0.11822580279552254</v>
      </c>
      <c r="J24" s="188"/>
    </row>
    <row r="25" spans="1:10" ht="15.75">
      <c r="A25" s="149" t="s">
        <v>164</v>
      </c>
      <c r="B25" s="150">
        <v>7</v>
      </c>
      <c r="C25" s="150">
        <v>3506.83</v>
      </c>
      <c r="D25" s="150">
        <v>5247.9</v>
      </c>
      <c r="E25" s="150">
        <v>24547.8</v>
      </c>
      <c r="F25" s="150">
        <v>36735.300000000003</v>
      </c>
      <c r="G25" s="150">
        <v>12187.5</v>
      </c>
      <c r="H25" s="191">
        <f>G25/E25</f>
        <v>0.49648033632341798</v>
      </c>
    </row>
    <row r="26" spans="1:10" ht="15.75">
      <c r="A26" s="149" t="s">
        <v>270</v>
      </c>
      <c r="B26" s="150">
        <v>92</v>
      </c>
      <c r="C26" s="150">
        <v>359.33</v>
      </c>
      <c r="D26" s="150">
        <v>377.9</v>
      </c>
      <c r="E26" s="150">
        <v>33058.28</v>
      </c>
      <c r="F26" s="150">
        <v>34766.800000000003</v>
      </c>
      <c r="G26" s="150">
        <v>1708.52</v>
      </c>
      <c r="H26" s="191">
        <f>G26/E26</f>
        <v>5.1682059683685902E-2</v>
      </c>
    </row>
    <row r="27" spans="1:10" ht="15.75">
      <c r="A27" s="149" t="s">
        <v>166</v>
      </c>
      <c r="B27" s="150">
        <v>24</v>
      </c>
      <c r="C27" s="150">
        <v>2007.86</v>
      </c>
      <c r="D27" s="150">
        <v>1839.95</v>
      </c>
      <c r="E27" s="150">
        <v>48188.7</v>
      </c>
      <c r="F27" s="150">
        <v>44158.8</v>
      </c>
      <c r="G27" s="150">
        <v>-4029.9</v>
      </c>
      <c r="H27" s="191">
        <f>G27/E27</f>
        <v>-8.3627489432169785E-2</v>
      </c>
      <c r="J27" s="188"/>
    </row>
    <row r="28" spans="1:10" ht="15.75">
      <c r="A28" s="149" t="s">
        <v>168</v>
      </c>
      <c r="B28" s="150">
        <v>42</v>
      </c>
      <c r="C28" s="150">
        <v>664.74</v>
      </c>
      <c r="D28" s="150">
        <v>1321.3</v>
      </c>
      <c r="E28" s="150">
        <v>27918.9</v>
      </c>
      <c r="F28" s="150">
        <v>55494.6</v>
      </c>
      <c r="G28" s="150">
        <v>27575.7</v>
      </c>
      <c r="H28" s="191">
        <f>G28/E28</f>
        <v>0.9877072520765503</v>
      </c>
      <c r="J28" s="188"/>
    </row>
    <row r="29" spans="1:10" ht="15.75">
      <c r="A29" s="149" t="s">
        <v>169</v>
      </c>
      <c r="B29" s="150">
        <v>230</v>
      </c>
      <c r="C29" s="150">
        <v>189.67</v>
      </c>
      <c r="D29" s="150">
        <v>364.4</v>
      </c>
      <c r="E29" s="150">
        <v>43625.2</v>
      </c>
      <c r="F29" s="150">
        <v>83812</v>
      </c>
      <c r="G29" s="150">
        <v>40186.800000000003</v>
      </c>
      <c r="H29" s="191">
        <f>G29/E29</f>
        <v>0.92118316936082822</v>
      </c>
      <c r="J29" s="188"/>
    </row>
    <row r="30" spans="1:10" ht="15.75">
      <c r="A30" s="149" t="s">
        <v>170</v>
      </c>
      <c r="B30" s="150">
        <v>351</v>
      </c>
      <c r="C30" s="150">
        <v>91.3</v>
      </c>
      <c r="D30" s="150">
        <v>195</v>
      </c>
      <c r="E30" s="150">
        <v>32046.16</v>
      </c>
      <c r="F30" s="150">
        <v>68445</v>
      </c>
      <c r="G30" s="150">
        <v>36398.839999999997</v>
      </c>
      <c r="H30" s="191">
        <f>G30/E30</f>
        <v>1.1358253219730539</v>
      </c>
    </row>
    <row r="31" spans="1:10" ht="15.75">
      <c r="A31" s="149" t="s">
        <v>172</v>
      </c>
      <c r="B31" s="150">
        <v>20</v>
      </c>
      <c r="C31" s="150">
        <v>1600.68</v>
      </c>
      <c r="D31" s="150">
        <v>2067.0500000000002</v>
      </c>
      <c r="E31" s="150">
        <v>32013.55</v>
      </c>
      <c r="F31" s="150">
        <v>41341</v>
      </c>
      <c r="G31" s="150">
        <v>9327.4500000000007</v>
      </c>
      <c r="H31" s="191">
        <f>G31/E31</f>
        <v>0.29135943998713049</v>
      </c>
      <c r="J31" s="188"/>
    </row>
    <row r="32" spans="1:10" ht="15.75">
      <c r="A32" s="149" t="s">
        <v>174</v>
      </c>
      <c r="B32" s="150">
        <v>74</v>
      </c>
      <c r="C32" s="150">
        <v>1149.02</v>
      </c>
      <c r="D32" s="150">
        <v>1422.1</v>
      </c>
      <c r="E32" s="150">
        <v>85027.5</v>
      </c>
      <c r="F32" s="150">
        <v>105235.4</v>
      </c>
      <c r="G32" s="150">
        <v>20207.900000000001</v>
      </c>
      <c r="H32" s="191">
        <f>G32/E32</f>
        <v>0.23766310899414897</v>
      </c>
      <c r="J32" s="188"/>
    </row>
    <row r="33" spans="1:10" ht="15.75">
      <c r="A33" s="149" t="s">
        <v>175</v>
      </c>
      <c r="B33" s="150">
        <v>47</v>
      </c>
      <c r="C33" s="150">
        <v>1650.24</v>
      </c>
      <c r="D33" s="150">
        <v>1817.3</v>
      </c>
      <c r="E33" s="150">
        <v>77561.5</v>
      </c>
      <c r="F33" s="150">
        <v>85413.1</v>
      </c>
      <c r="G33" s="150">
        <v>7851.6</v>
      </c>
      <c r="H33" s="191">
        <f>G33/E33</f>
        <v>0.10123063633374806</v>
      </c>
    </row>
    <row r="34" spans="1:10" ht="15.75">
      <c r="A34" s="149" t="s">
        <v>176</v>
      </c>
      <c r="B34" s="150">
        <v>136</v>
      </c>
      <c r="C34" s="150">
        <v>596.66999999999996</v>
      </c>
      <c r="D34" s="150">
        <v>689.1</v>
      </c>
      <c r="E34" s="150">
        <v>81147.75</v>
      </c>
      <c r="F34" s="150">
        <v>93717.6</v>
      </c>
      <c r="G34" s="150">
        <v>12569.85</v>
      </c>
      <c r="H34" s="191">
        <f>G34/E34</f>
        <v>0.15490078283131695</v>
      </c>
    </row>
    <row r="35" spans="1:10" ht="15.75">
      <c r="A35" s="149" t="s">
        <v>177</v>
      </c>
      <c r="B35" s="150">
        <v>10</v>
      </c>
      <c r="C35" s="150">
        <v>3016.79</v>
      </c>
      <c r="D35" s="150">
        <v>3659</v>
      </c>
      <c r="E35" s="150">
        <v>30167.85</v>
      </c>
      <c r="F35" s="150">
        <v>36590</v>
      </c>
      <c r="G35" s="150">
        <v>6422.15</v>
      </c>
      <c r="H35" s="191">
        <f>G35/E35</f>
        <v>0.21288059971128204</v>
      </c>
    </row>
    <row r="36" spans="1:10" ht="15.75">
      <c r="A36" s="149" t="s">
        <v>178</v>
      </c>
      <c r="B36" s="150">
        <v>59</v>
      </c>
      <c r="C36" s="150">
        <v>656.47</v>
      </c>
      <c r="D36" s="150">
        <v>1335</v>
      </c>
      <c r="E36" s="150">
        <v>38731.699999999997</v>
      </c>
      <c r="F36" s="150">
        <v>78765</v>
      </c>
      <c r="G36" s="150">
        <v>40033.300000000003</v>
      </c>
      <c r="H36" s="191">
        <f>G36/E36</f>
        <v>1.0336055479103681</v>
      </c>
      <c r="J36" s="188"/>
    </row>
    <row r="37" spans="1:10" ht="15.75">
      <c r="A37" s="149" t="s">
        <v>179</v>
      </c>
      <c r="B37" s="150">
        <v>54</v>
      </c>
      <c r="C37" s="150">
        <v>1308.5899999999999</v>
      </c>
      <c r="D37" s="150">
        <v>1833.45</v>
      </c>
      <c r="E37" s="150">
        <v>70664.100000000006</v>
      </c>
      <c r="F37" s="150">
        <v>99006.3</v>
      </c>
      <c r="G37" s="150">
        <v>28342.2</v>
      </c>
      <c r="H37" s="191">
        <f>G37/E37</f>
        <v>0.40108343557761295</v>
      </c>
    </row>
    <row r="38" spans="1:10" ht="15.75">
      <c r="A38" s="149" t="s">
        <v>180</v>
      </c>
      <c r="B38" s="150">
        <v>118</v>
      </c>
      <c r="C38" s="150">
        <v>492.05</v>
      </c>
      <c r="D38" s="150">
        <v>556.6</v>
      </c>
      <c r="E38" s="150">
        <v>58062.35</v>
      </c>
      <c r="F38" s="150">
        <v>65678.8</v>
      </c>
      <c r="G38" s="150">
        <v>7616.45</v>
      </c>
      <c r="H38" s="191">
        <f>G38/E38</f>
        <v>0.13117708807859138</v>
      </c>
      <c r="J38" s="188"/>
    </row>
    <row r="39" spans="1:10" ht="15.75">
      <c r="A39" s="149" t="s">
        <v>181</v>
      </c>
      <c r="B39" s="150">
        <v>65</v>
      </c>
      <c r="C39" s="150">
        <v>1576.72</v>
      </c>
      <c r="D39" s="150">
        <v>1452.3</v>
      </c>
      <c r="E39" s="150">
        <v>102486.6</v>
      </c>
      <c r="F39" s="150">
        <v>94399.5</v>
      </c>
      <c r="G39" s="150">
        <v>-8087.1</v>
      </c>
      <c r="H39" s="191">
        <f>G39/E39</f>
        <v>-7.8908852474372265E-2</v>
      </c>
      <c r="J39" s="188"/>
    </row>
    <row r="40" spans="1:10" ht="15.75">
      <c r="A40" s="149" t="s">
        <v>182</v>
      </c>
      <c r="B40" s="150">
        <v>788</v>
      </c>
      <c r="C40" s="150">
        <v>206.55</v>
      </c>
      <c r="D40" s="150">
        <v>409.7</v>
      </c>
      <c r="E40" s="150">
        <v>162761.06</v>
      </c>
      <c r="F40" s="150">
        <v>322843.59999999998</v>
      </c>
      <c r="G40" s="150">
        <v>160082.54</v>
      </c>
      <c r="H40" s="191">
        <f>G40/E40</f>
        <v>0.9835432381676551</v>
      </c>
    </row>
    <row r="41" spans="1:10" ht="15.75">
      <c r="A41" s="149" t="s">
        <v>183</v>
      </c>
      <c r="B41" s="150">
        <v>45</v>
      </c>
      <c r="C41" s="150">
        <v>1006.05</v>
      </c>
      <c r="D41" s="150">
        <v>1542</v>
      </c>
      <c r="E41" s="150">
        <v>45272.45</v>
      </c>
      <c r="F41" s="150">
        <v>69390</v>
      </c>
      <c r="G41" s="150">
        <v>24117.55</v>
      </c>
      <c r="H41" s="191">
        <f>G41/E41</f>
        <v>0.53272023051546802</v>
      </c>
      <c r="J41" s="188"/>
    </row>
    <row r="42" spans="1:10" ht="15.75">
      <c r="A42" s="149" t="s">
        <v>184</v>
      </c>
      <c r="B42" s="150">
        <v>254</v>
      </c>
      <c r="C42" s="150">
        <v>130.22</v>
      </c>
      <c r="D42" s="150">
        <v>217.05</v>
      </c>
      <c r="E42" s="150">
        <v>33076.239999999998</v>
      </c>
      <c r="F42" s="150">
        <v>55130.7</v>
      </c>
      <c r="G42" s="150">
        <v>22054.46</v>
      </c>
      <c r="H42" s="191">
        <f>G42/E42</f>
        <v>0.66677651389638004</v>
      </c>
      <c r="J42" s="188"/>
    </row>
    <row r="43" spans="1:10" ht="15.75">
      <c r="A43" s="149" t="s">
        <v>185</v>
      </c>
      <c r="B43" s="150">
        <v>57</v>
      </c>
      <c r="C43" s="150">
        <v>1778.4</v>
      </c>
      <c r="D43" s="150">
        <v>2131</v>
      </c>
      <c r="E43" s="150">
        <v>101368.55</v>
      </c>
      <c r="F43" s="150">
        <v>121467</v>
      </c>
      <c r="G43" s="150">
        <v>20098.45</v>
      </c>
      <c r="H43" s="191">
        <f>G43/E43</f>
        <v>0.19827106138935596</v>
      </c>
      <c r="J43" s="188"/>
    </row>
    <row r="44" spans="1:10" ht="15.75">
      <c r="A44" s="149" t="s">
        <v>186</v>
      </c>
      <c r="B44" s="150">
        <v>80</v>
      </c>
      <c r="C44" s="150">
        <v>814.86</v>
      </c>
      <c r="D44" s="150">
        <v>1145.8</v>
      </c>
      <c r="E44" s="150">
        <v>65188.75</v>
      </c>
      <c r="F44" s="150">
        <v>91664</v>
      </c>
      <c r="G44" s="150">
        <v>26475.25</v>
      </c>
      <c r="H44" s="191">
        <f>G44/E44</f>
        <v>0.40613219305478321</v>
      </c>
      <c r="J44" s="188"/>
    </row>
    <row r="45" spans="1:10" ht="15.75">
      <c r="A45" s="149" t="s">
        <v>187</v>
      </c>
      <c r="B45" s="150">
        <v>20</v>
      </c>
      <c r="C45" s="150">
        <v>2295.38</v>
      </c>
      <c r="D45" s="150">
        <v>2515.6999999999998</v>
      </c>
      <c r="E45" s="150">
        <v>45907.6</v>
      </c>
      <c r="F45" s="150">
        <v>50314</v>
      </c>
      <c r="G45" s="150">
        <v>4406.3999999999996</v>
      </c>
      <c r="H45" s="191">
        <f>G45/E45</f>
        <v>9.5984107206649877E-2</v>
      </c>
      <c r="J45" s="188"/>
    </row>
    <row r="46" spans="1:10" ht="15.75">
      <c r="A46" s="149" t="s">
        <v>188</v>
      </c>
      <c r="B46" s="150">
        <v>62</v>
      </c>
      <c r="C46" s="150">
        <v>1053.22</v>
      </c>
      <c r="D46" s="150">
        <v>3260.15</v>
      </c>
      <c r="E46" s="150">
        <v>65299.35</v>
      </c>
      <c r="F46" s="150">
        <v>202129.3</v>
      </c>
      <c r="G46" s="150">
        <v>136829.95000000001</v>
      </c>
      <c r="H46" s="191">
        <f>G46/E46</f>
        <v>2.0954259115902381</v>
      </c>
    </row>
    <row r="47" spans="1:10" ht="15.75">
      <c r="A47" s="149" t="s">
        <v>189</v>
      </c>
      <c r="B47" s="150">
        <v>10</v>
      </c>
      <c r="C47" s="150">
        <v>1189.6300000000001</v>
      </c>
      <c r="D47" s="150">
        <v>2606</v>
      </c>
      <c r="E47" s="150">
        <v>11896.3</v>
      </c>
      <c r="F47" s="150">
        <v>26060</v>
      </c>
      <c r="G47" s="150">
        <v>14163.7</v>
      </c>
      <c r="H47" s="191">
        <f>G47/E47</f>
        <v>1.1905970764019067</v>
      </c>
    </row>
    <row r="48" spans="1:10" ht="15.75">
      <c r="A48" s="149" t="s">
        <v>190</v>
      </c>
      <c r="B48" s="150">
        <v>28</v>
      </c>
      <c r="C48" s="150">
        <v>2226.31</v>
      </c>
      <c r="D48" s="150">
        <v>2451.1999999999998</v>
      </c>
      <c r="E48" s="150">
        <v>62336.7</v>
      </c>
      <c r="F48" s="150">
        <v>68633.600000000006</v>
      </c>
      <c r="G48" s="150">
        <v>6296.9</v>
      </c>
      <c r="H48" s="191">
        <f>G48/E48</f>
        <v>0.10101433024205644</v>
      </c>
      <c r="J48" s="188"/>
    </row>
    <row r="49" spans="1:10" ht="15.75">
      <c r="A49" s="149" t="s">
        <v>191</v>
      </c>
      <c r="B49" s="150">
        <v>73</v>
      </c>
      <c r="C49" s="150">
        <v>523.91</v>
      </c>
      <c r="D49" s="150">
        <v>680.85</v>
      </c>
      <c r="E49" s="150">
        <v>38245.25</v>
      </c>
      <c r="F49" s="150">
        <v>49702.05</v>
      </c>
      <c r="G49" s="150">
        <v>11456.8</v>
      </c>
      <c r="H49" s="191">
        <f>G49/E49</f>
        <v>0.29956138343977357</v>
      </c>
    </row>
    <row r="50" spans="1:10" ht="15.75">
      <c r="A50" s="149" t="s">
        <v>192</v>
      </c>
      <c r="B50" s="150">
        <v>73</v>
      </c>
      <c r="C50" s="150">
        <v>735.56</v>
      </c>
      <c r="D50" s="150">
        <v>1160.8499999999999</v>
      </c>
      <c r="E50" s="150">
        <v>53696.15</v>
      </c>
      <c r="F50" s="150">
        <v>84742.05</v>
      </c>
      <c r="G50" s="150">
        <v>31045.9</v>
      </c>
      <c r="H50" s="191">
        <f>G50/E50</f>
        <v>0.57817739260636003</v>
      </c>
      <c r="J50" s="188"/>
    </row>
    <row r="51" spans="1:10" ht="15.75">
      <c r="A51" s="149" t="s">
        <v>193</v>
      </c>
      <c r="B51" s="150">
        <v>75</v>
      </c>
      <c r="C51" s="150">
        <v>337.52</v>
      </c>
      <c r="D51" s="150">
        <v>377.96</v>
      </c>
      <c r="E51" s="150">
        <v>25314.17</v>
      </c>
      <c r="F51" s="150">
        <v>28347</v>
      </c>
      <c r="G51" s="150">
        <v>3032.83</v>
      </c>
      <c r="H51" s="191">
        <f>G51/E51</f>
        <v>0.11980760182933117</v>
      </c>
    </row>
    <row r="52" spans="1:10" ht="15.75">
      <c r="A52" s="149" t="s">
        <v>194</v>
      </c>
      <c r="B52" s="150">
        <v>190</v>
      </c>
      <c r="C52" s="150">
        <v>76.63</v>
      </c>
      <c r="D52" s="150">
        <v>119.2</v>
      </c>
      <c r="E52" s="150">
        <v>14558.98</v>
      </c>
      <c r="F52" s="150">
        <v>22648</v>
      </c>
      <c r="G52" s="150">
        <v>8089.02</v>
      </c>
      <c r="H52" s="191">
        <f>G52/E52</f>
        <v>0.55560348321104913</v>
      </c>
      <c r="J52" s="188"/>
    </row>
    <row r="53" spans="1:10" ht="15.75">
      <c r="A53" s="149" t="s">
        <v>195</v>
      </c>
      <c r="B53" s="150">
        <v>33</v>
      </c>
      <c r="C53" s="150">
        <v>2284.62</v>
      </c>
      <c r="D53" s="150">
        <v>2231.25</v>
      </c>
      <c r="E53" s="150">
        <v>75392.600000000006</v>
      </c>
      <c r="F53" s="150">
        <v>73631.25</v>
      </c>
      <c r="G53" s="150">
        <v>-1761.35</v>
      </c>
      <c r="H53" s="191">
        <f>G53/E53</f>
        <v>-2.3362372434429901E-2</v>
      </c>
      <c r="J53" s="188"/>
    </row>
    <row r="54" spans="1:10" ht="15.75">
      <c r="A54" s="149" t="s">
        <v>196</v>
      </c>
      <c r="B54" s="150">
        <v>9</v>
      </c>
      <c r="C54" s="150">
        <v>2162.65</v>
      </c>
      <c r="D54" s="150">
        <v>2258.5500000000002</v>
      </c>
      <c r="E54" s="150">
        <v>19463.849999999999</v>
      </c>
      <c r="F54" s="150">
        <v>20326.95</v>
      </c>
      <c r="G54" s="150">
        <v>863.1</v>
      </c>
      <c r="H54" s="191">
        <f>G54/E54</f>
        <v>4.4343744942547343E-2</v>
      </c>
      <c r="J54" s="188"/>
    </row>
    <row r="55" spans="1:10" ht="15.75">
      <c r="A55" s="149" t="s">
        <v>197</v>
      </c>
      <c r="B55" s="150">
        <v>207</v>
      </c>
      <c r="C55" s="150">
        <v>127.65</v>
      </c>
      <c r="D55" s="150">
        <v>127.99</v>
      </c>
      <c r="E55" s="150">
        <v>26423.5</v>
      </c>
      <c r="F55" s="150">
        <v>26493.93</v>
      </c>
      <c r="G55" s="150">
        <v>70.430000000000007</v>
      </c>
      <c r="H55" s="191">
        <f>G55/E55</f>
        <v>2.6654303933998148E-3</v>
      </c>
      <c r="J55" s="188"/>
    </row>
    <row r="56" spans="1:10" ht="15.75">
      <c r="A56" s="149" t="s">
        <v>198</v>
      </c>
      <c r="B56" s="150">
        <v>80</v>
      </c>
      <c r="C56" s="150">
        <v>621.89</v>
      </c>
      <c r="D56" s="150">
        <v>1553</v>
      </c>
      <c r="E56" s="150">
        <v>49751.05</v>
      </c>
      <c r="F56" s="150">
        <v>124240</v>
      </c>
      <c r="G56" s="150">
        <v>74488.95</v>
      </c>
      <c r="H56" s="191">
        <f>G56/E56</f>
        <v>1.4972337267253655</v>
      </c>
      <c r="J56" s="188"/>
    </row>
    <row r="57" spans="1:10" ht="15.75">
      <c r="A57" s="149" t="s">
        <v>199</v>
      </c>
      <c r="B57" s="150">
        <v>10</v>
      </c>
      <c r="C57" s="150">
        <v>4342.57</v>
      </c>
      <c r="D57" s="150">
        <v>7521.55</v>
      </c>
      <c r="E57" s="150">
        <v>43425.7</v>
      </c>
      <c r="F57" s="150">
        <v>75215.5</v>
      </c>
      <c r="G57" s="150">
        <v>31789.8</v>
      </c>
      <c r="H57" s="191">
        <f>G57/E57</f>
        <v>0.73205037569918274</v>
      </c>
      <c r="J57" s="188"/>
    </row>
    <row r="58" spans="1:10" ht="15.75">
      <c r="A58" s="149" t="s">
        <v>200</v>
      </c>
      <c r="B58" s="150">
        <v>300</v>
      </c>
      <c r="C58" s="150">
        <v>82.33</v>
      </c>
      <c r="D58" s="150">
        <v>226.01</v>
      </c>
      <c r="E58" s="150">
        <v>24700</v>
      </c>
      <c r="F58" s="150">
        <v>67803</v>
      </c>
      <c r="G58" s="150">
        <v>43103</v>
      </c>
      <c r="H58" s="191">
        <f>G58/E58</f>
        <v>1.7450607287449393</v>
      </c>
      <c r="J58" s="188"/>
    </row>
    <row r="59" spans="1:10" ht="15.75">
      <c r="A59" s="149" t="s">
        <v>201</v>
      </c>
      <c r="B59" s="150">
        <v>16</v>
      </c>
      <c r="C59" s="150">
        <v>2003.97</v>
      </c>
      <c r="D59" s="150">
        <v>4626.3999999999996</v>
      </c>
      <c r="E59" s="150">
        <v>32063.45</v>
      </c>
      <c r="F59" s="150">
        <v>74022.399999999994</v>
      </c>
      <c r="G59" s="150">
        <v>41958.95</v>
      </c>
      <c r="H59" s="191">
        <f>G59/E59</f>
        <v>1.3086224345789363</v>
      </c>
    </row>
    <row r="60" spans="1:10" ht="15.75">
      <c r="A60" s="149" t="s">
        <v>202</v>
      </c>
      <c r="B60" s="150">
        <v>31</v>
      </c>
      <c r="C60" s="150">
        <v>603.24</v>
      </c>
      <c r="D60" s="150">
        <v>1580.3</v>
      </c>
      <c r="E60" s="150">
        <v>18700.45</v>
      </c>
      <c r="F60" s="150">
        <v>48989.3</v>
      </c>
      <c r="G60" s="150">
        <v>30288.85</v>
      </c>
      <c r="H60" s="191">
        <f>G60/E60</f>
        <v>1.619685622538495</v>
      </c>
      <c r="J60" s="188"/>
    </row>
    <row r="61" spans="1:10" ht="15.75">
      <c r="A61" s="149" t="s">
        <v>203</v>
      </c>
      <c r="B61" s="150">
        <v>30</v>
      </c>
      <c r="C61" s="150">
        <v>2499.15</v>
      </c>
      <c r="D61" s="150">
        <v>2893.05</v>
      </c>
      <c r="E61" s="150">
        <v>74974.350000000006</v>
      </c>
      <c r="F61" s="150">
        <v>86791.5</v>
      </c>
      <c r="G61" s="150">
        <v>11817.15</v>
      </c>
      <c r="H61" s="191">
        <f>G61/E61</f>
        <v>0.15761590463938666</v>
      </c>
    </row>
    <row r="62" spans="1:10" ht="15.75">
      <c r="A62" s="149" t="s">
        <v>204</v>
      </c>
      <c r="B62" s="150">
        <v>33</v>
      </c>
      <c r="C62" s="150">
        <v>761.09</v>
      </c>
      <c r="D62" s="150">
        <v>1127.05</v>
      </c>
      <c r="E62" s="150">
        <v>25116</v>
      </c>
      <c r="F62" s="150">
        <v>37192.65</v>
      </c>
      <c r="G62" s="150">
        <v>12076.65</v>
      </c>
      <c r="H62" s="191">
        <f>G62/E62</f>
        <v>0.48083492594362159</v>
      </c>
      <c r="J62" s="188"/>
    </row>
    <row r="63" spans="1:10" ht="15.75">
      <c r="A63" s="149" t="s">
        <v>206</v>
      </c>
      <c r="B63" s="150">
        <v>54</v>
      </c>
      <c r="C63" s="150">
        <v>1278.8599999999999</v>
      </c>
      <c r="D63" s="150">
        <v>1512.05</v>
      </c>
      <c r="E63" s="150">
        <v>69058.3</v>
      </c>
      <c r="F63" s="150">
        <v>81650.7</v>
      </c>
      <c r="G63" s="150">
        <v>12592.4</v>
      </c>
      <c r="H63" s="191">
        <f>G63/E63</f>
        <v>0.18234448284999774</v>
      </c>
      <c r="J63" s="188"/>
    </row>
    <row r="64" spans="1:10" ht="15.75">
      <c r="A64" s="149" t="s">
        <v>207</v>
      </c>
      <c r="B64" s="150">
        <v>66</v>
      </c>
      <c r="C64" s="150">
        <v>426.28</v>
      </c>
      <c r="D64" s="150">
        <v>767.8</v>
      </c>
      <c r="E64" s="150">
        <v>28134.5</v>
      </c>
      <c r="F64" s="150">
        <v>50674.8</v>
      </c>
      <c r="G64" s="150">
        <v>22540.3</v>
      </c>
      <c r="H64" s="191">
        <f>G64/E64</f>
        <v>0.80116227407631202</v>
      </c>
    </row>
    <row r="65" spans="1:10" ht="15.75">
      <c r="A65" s="149" t="s">
        <v>262</v>
      </c>
      <c r="B65" s="150">
        <v>10</v>
      </c>
      <c r="C65" s="150">
        <v>5284</v>
      </c>
      <c r="D65" s="150">
        <v>8766</v>
      </c>
      <c r="E65" s="150">
        <v>52840</v>
      </c>
      <c r="F65" s="150">
        <v>87660</v>
      </c>
      <c r="G65" s="150">
        <v>34820</v>
      </c>
      <c r="H65" s="191">
        <f>G65/E65</f>
        <v>0.65897047691143074</v>
      </c>
      <c r="J65" s="188"/>
    </row>
    <row r="66" spans="1:10" ht="15.75">
      <c r="A66" s="149" t="s">
        <v>260</v>
      </c>
      <c r="B66" s="150">
        <v>5</v>
      </c>
      <c r="C66" s="150">
        <v>4802</v>
      </c>
      <c r="D66" s="150">
        <v>8725</v>
      </c>
      <c r="E66" s="150">
        <v>24010</v>
      </c>
      <c r="F66" s="150">
        <v>43625</v>
      </c>
      <c r="G66" s="150">
        <v>19615</v>
      </c>
      <c r="H66" s="191">
        <f>G66/E66</f>
        <v>0.81695127030404002</v>
      </c>
    </row>
    <row r="67" spans="1:10" ht="15.75">
      <c r="A67" s="149" t="s">
        <v>210</v>
      </c>
      <c r="B67" s="150">
        <v>10</v>
      </c>
      <c r="C67" s="150">
        <v>5002.45</v>
      </c>
      <c r="D67" s="150">
        <v>8771.99</v>
      </c>
      <c r="E67" s="150">
        <v>50024.5</v>
      </c>
      <c r="F67" s="150">
        <v>87719.9</v>
      </c>
      <c r="G67" s="150">
        <v>37695.4</v>
      </c>
      <c r="H67" s="191">
        <f>G67/E67</f>
        <v>0.75353876600465775</v>
      </c>
      <c r="J67" s="188"/>
    </row>
    <row r="68" spans="1:10" ht="15.75">
      <c r="A68" s="149" t="s">
        <v>211</v>
      </c>
      <c r="B68" s="150">
        <v>35</v>
      </c>
      <c r="C68" s="150">
        <v>984.23</v>
      </c>
      <c r="D68" s="150">
        <v>4939.8</v>
      </c>
      <c r="E68" s="150">
        <v>34448.050000000003</v>
      </c>
      <c r="F68" s="150">
        <v>172893</v>
      </c>
      <c r="G68" s="150">
        <v>138444.95000000001</v>
      </c>
      <c r="H68" s="191">
        <f>G68/E68</f>
        <v>4.0189488229377277</v>
      </c>
      <c r="J68" s="188"/>
    </row>
    <row r="69" spans="1:10" ht="15.75">
      <c r="A69" s="149" t="s">
        <v>212</v>
      </c>
      <c r="B69" s="150">
        <v>139</v>
      </c>
      <c r="C69" s="150">
        <v>582.57000000000005</v>
      </c>
      <c r="D69" s="150">
        <v>1709.4</v>
      </c>
      <c r="E69" s="150">
        <v>80977.149999999994</v>
      </c>
      <c r="F69" s="150">
        <v>237606.6</v>
      </c>
      <c r="G69" s="150">
        <v>156629.45000000001</v>
      </c>
      <c r="H69" s="191">
        <f>G69/E69</f>
        <v>1.9342425610187568</v>
      </c>
      <c r="J69" s="188"/>
    </row>
    <row r="70" spans="1:10" ht="15.75">
      <c r="A70" s="149" t="s">
        <v>213</v>
      </c>
      <c r="B70" s="150">
        <v>75</v>
      </c>
      <c r="C70" s="150">
        <v>581.84</v>
      </c>
      <c r="D70" s="150">
        <v>725.45</v>
      </c>
      <c r="E70" s="150">
        <v>43638</v>
      </c>
      <c r="F70" s="150">
        <v>54408.75</v>
      </c>
      <c r="G70" s="150">
        <v>10770.75</v>
      </c>
      <c r="H70" s="191">
        <f>G70/E70</f>
        <v>0.24682043173380999</v>
      </c>
      <c r="J70" s="188"/>
    </row>
    <row r="71" spans="1:10" ht="15.75">
      <c r="A71" s="149" t="s">
        <v>214</v>
      </c>
      <c r="B71" s="150">
        <v>46</v>
      </c>
      <c r="C71" s="150">
        <v>794.51</v>
      </c>
      <c r="D71" s="150">
        <v>1087.8499999999999</v>
      </c>
      <c r="E71" s="150">
        <v>36547.300000000003</v>
      </c>
      <c r="F71" s="150">
        <v>50041.1</v>
      </c>
      <c r="G71" s="150">
        <v>13493.8</v>
      </c>
      <c r="H71" s="191">
        <f>G71/E71</f>
        <v>0.36921468890998782</v>
      </c>
      <c r="J71" s="188"/>
    </row>
    <row r="72" spans="1:10" ht="15.75">
      <c r="A72" s="149" t="s">
        <v>267</v>
      </c>
      <c r="B72" s="150">
        <v>570</v>
      </c>
      <c r="C72" s="150">
        <v>202.51</v>
      </c>
      <c r="D72" s="150">
        <v>613.85</v>
      </c>
      <c r="E72" s="150">
        <v>115432.73</v>
      </c>
      <c r="F72" s="150">
        <v>349894.5</v>
      </c>
      <c r="G72" s="150">
        <v>234461.77</v>
      </c>
      <c r="H72" s="191">
        <f>G72/E72</f>
        <v>2.0311550285607902</v>
      </c>
      <c r="J72" s="188"/>
    </row>
    <row r="73" spans="1:10" ht="15.75">
      <c r="A73" s="149" t="s">
        <v>215</v>
      </c>
      <c r="B73" s="150">
        <v>1050</v>
      </c>
      <c r="C73" s="150">
        <v>40.479999999999997</v>
      </c>
      <c r="D73" s="150">
        <v>140.44999999999999</v>
      </c>
      <c r="E73" s="150">
        <v>42500.25</v>
      </c>
      <c r="F73" s="150">
        <v>147472.5</v>
      </c>
      <c r="G73" s="150">
        <v>104972.25</v>
      </c>
      <c r="H73" s="191">
        <f>G73/E73</f>
        <v>2.4699207651719695</v>
      </c>
    </row>
    <row r="74" spans="1:10" ht="15.75">
      <c r="A74" s="149" t="s">
        <v>216</v>
      </c>
      <c r="B74" s="150">
        <v>33</v>
      </c>
      <c r="C74" s="150">
        <v>3575.9</v>
      </c>
      <c r="D74" s="150">
        <v>3299.45</v>
      </c>
      <c r="E74" s="150">
        <v>118004.55</v>
      </c>
      <c r="F74" s="150">
        <v>108881.85</v>
      </c>
      <c r="G74" s="150">
        <v>-9122.7000000000007</v>
      </c>
      <c r="H74" s="191">
        <f>G74/E74</f>
        <v>-7.730803600369647E-2</v>
      </c>
      <c r="J74" s="188"/>
    </row>
    <row r="75" spans="1:10" ht="15.75">
      <c r="A75" s="149" t="s">
        <v>217</v>
      </c>
      <c r="B75" s="150">
        <v>24</v>
      </c>
      <c r="C75" s="150">
        <v>2584.4</v>
      </c>
      <c r="D75" s="150">
        <v>3076.2</v>
      </c>
      <c r="E75" s="150">
        <v>62025.599999999999</v>
      </c>
      <c r="F75" s="150">
        <v>73828.800000000003</v>
      </c>
      <c r="G75" s="150">
        <v>11803.2</v>
      </c>
      <c r="H75" s="191">
        <f>G75/E75</f>
        <v>0.19029561987308469</v>
      </c>
      <c r="J75" s="188"/>
    </row>
    <row r="76" spans="1:10" ht="15.75">
      <c r="A76" s="149" t="s">
        <v>219</v>
      </c>
      <c r="B76" s="150">
        <v>14</v>
      </c>
      <c r="C76" s="150">
        <v>2306.8200000000002</v>
      </c>
      <c r="D76" s="150">
        <v>2467.5500000000002</v>
      </c>
      <c r="E76" s="150">
        <v>32295.45</v>
      </c>
      <c r="F76" s="150">
        <v>34545.699999999997</v>
      </c>
      <c r="G76" s="150">
        <v>2250.25</v>
      </c>
      <c r="H76" s="191">
        <f>G76/E76</f>
        <v>6.967699784334945E-2</v>
      </c>
      <c r="J76" s="188"/>
    </row>
    <row r="77" spans="1:10" ht="15.75">
      <c r="A77" s="149" t="s">
        <v>220</v>
      </c>
      <c r="B77" s="150">
        <v>30</v>
      </c>
      <c r="C77" s="150">
        <v>373.77</v>
      </c>
      <c r="D77" s="150">
        <v>830.75</v>
      </c>
      <c r="E77" s="150">
        <v>11213.05</v>
      </c>
      <c r="F77" s="150">
        <v>24922.5</v>
      </c>
      <c r="G77" s="150">
        <v>13709.45</v>
      </c>
      <c r="H77" s="191">
        <f>G77/E77</f>
        <v>1.2226334494183118</v>
      </c>
    </row>
    <row r="78" spans="1:10" ht="15.75">
      <c r="A78" s="149" t="s">
        <v>221</v>
      </c>
      <c r="B78" s="150">
        <v>110</v>
      </c>
      <c r="C78" s="150">
        <v>130.18</v>
      </c>
      <c r="D78" s="150">
        <v>535.45000000000005</v>
      </c>
      <c r="E78" s="150">
        <v>14319.65</v>
      </c>
      <c r="F78" s="150">
        <v>58899.5</v>
      </c>
      <c r="G78" s="150">
        <v>44579.85</v>
      </c>
      <c r="H78" s="191">
        <f>G78/E78</f>
        <v>3.1131941073978764</v>
      </c>
    </row>
    <row r="79" spans="1:10" ht="15.75">
      <c r="A79" s="149" t="s">
        <v>222</v>
      </c>
      <c r="B79" s="150">
        <v>54</v>
      </c>
      <c r="C79" s="150">
        <v>896.15</v>
      </c>
      <c r="D79" s="150">
        <v>866.9</v>
      </c>
      <c r="E79" s="150">
        <v>48392.1</v>
      </c>
      <c r="F79" s="150">
        <v>46812.6</v>
      </c>
      <c r="G79" s="150">
        <v>-1579.5</v>
      </c>
      <c r="H79" s="191">
        <f>G79/E79</f>
        <v>-3.2639625062768511E-2</v>
      </c>
    </row>
    <row r="80" spans="1:10" ht="16.5">
      <c r="A80" s="149"/>
      <c r="B80" s="150"/>
      <c r="C80" s="150"/>
      <c r="D80" s="150"/>
      <c r="E80" s="150"/>
      <c r="F80" s="150"/>
      <c r="G80" s="150"/>
      <c r="H80" s="191"/>
      <c r="J80" s="188"/>
    </row>
    <row r="81" spans="1:10" ht="16.5">
      <c r="A81" s="149"/>
      <c r="B81" s="150"/>
      <c r="C81" s="150"/>
      <c r="D81" s="150"/>
      <c r="E81" s="150"/>
      <c r="F81" s="150"/>
      <c r="G81" s="150"/>
      <c r="H81" s="191"/>
      <c r="J81" s="188"/>
    </row>
    <row r="82" spans="1:10" ht="16.5">
      <c r="A82" s="149"/>
      <c r="B82" s="150"/>
      <c r="C82" s="150"/>
      <c r="D82" s="150"/>
      <c r="E82" s="150"/>
      <c r="F82" s="150"/>
      <c r="G82" s="150"/>
      <c r="H82" s="191"/>
    </row>
    <row r="83" spans="1:10" ht="16.5">
      <c r="A83" s="149"/>
      <c r="B83" s="150"/>
      <c r="C83" s="150"/>
      <c r="D83" s="150"/>
      <c r="E83" s="150"/>
      <c r="F83" s="150"/>
      <c r="G83" s="150"/>
      <c r="H83" s="191"/>
    </row>
    <row r="84" spans="1:10" ht="16.5">
      <c r="A84" s="149"/>
      <c r="B84" s="150"/>
      <c r="C84" s="150"/>
      <c r="D84" s="150"/>
      <c r="E84" s="150"/>
      <c r="F84" s="150"/>
      <c r="G84" s="150"/>
      <c r="H84" s="191"/>
      <c r="J84" s="188"/>
    </row>
    <row r="85" spans="1:10" ht="16.5">
      <c r="A85" s="149"/>
      <c r="B85" s="150"/>
      <c r="C85" s="150"/>
      <c r="D85" s="150"/>
      <c r="E85" s="150"/>
      <c r="F85" s="150"/>
      <c r="G85" s="150"/>
      <c r="H85" s="191"/>
      <c r="J85" s="188"/>
    </row>
    <row r="86" spans="1:10" ht="16.5">
      <c r="A86" s="149"/>
      <c r="B86" s="150"/>
      <c r="C86" s="150"/>
      <c r="D86" s="150"/>
      <c r="E86" s="150"/>
      <c r="F86" s="150"/>
      <c r="G86" s="150"/>
      <c r="H86" s="191"/>
    </row>
    <row r="87" spans="1:10" ht="16.5">
      <c r="A87" s="149"/>
      <c r="B87" s="150"/>
      <c r="C87" s="150"/>
      <c r="D87" s="150"/>
      <c r="E87" s="150"/>
      <c r="F87" s="150"/>
      <c r="G87" s="150"/>
      <c r="H87" s="191"/>
    </row>
    <row r="88" spans="1:10" ht="16.5">
      <c r="A88" s="149"/>
      <c r="B88" s="150"/>
      <c r="C88" s="150"/>
      <c r="D88" s="150"/>
      <c r="E88" s="150"/>
      <c r="F88" s="150"/>
      <c r="G88" s="150"/>
      <c r="H88" s="191"/>
      <c r="J88" s="188"/>
    </row>
    <row r="89" spans="1:10" ht="16.5">
      <c r="A89" s="149"/>
      <c r="B89" s="150"/>
      <c r="C89" s="150"/>
      <c r="D89" s="150"/>
      <c r="E89" s="150"/>
      <c r="F89" s="150"/>
      <c r="G89" s="150"/>
      <c r="H89" s="191"/>
    </row>
    <row r="90" spans="1:10" ht="16.5">
      <c r="A90" s="149"/>
      <c r="B90" s="150"/>
      <c r="C90" s="150"/>
      <c r="D90" s="150"/>
      <c r="E90" s="150"/>
      <c r="F90" s="150"/>
      <c r="G90" s="150"/>
      <c r="H90" s="191"/>
    </row>
    <row r="91" spans="1:10" ht="16.5">
      <c r="A91" s="149"/>
      <c r="B91" s="150"/>
      <c r="C91" s="150"/>
      <c r="D91" s="150"/>
      <c r="E91" s="150"/>
      <c r="F91" s="150"/>
      <c r="G91" s="150"/>
      <c r="H91" s="191"/>
    </row>
    <row r="92" spans="1:10" ht="16.5">
      <c r="A92" s="149"/>
      <c r="B92" s="150"/>
      <c r="C92" s="150"/>
      <c r="D92" s="150"/>
      <c r="E92" s="150"/>
      <c r="F92" s="150"/>
      <c r="G92" s="150"/>
      <c r="H92" s="191"/>
    </row>
    <row r="93" spans="1:10" ht="16.5">
      <c r="A93" s="149"/>
      <c r="B93" s="150"/>
      <c r="C93" s="150"/>
      <c r="D93" s="150"/>
      <c r="E93" s="150"/>
      <c r="F93" s="150"/>
      <c r="G93" s="150"/>
      <c r="H93" s="191"/>
    </row>
    <row r="94" spans="1:10" ht="16.5">
      <c r="A94" s="149"/>
      <c r="B94" s="150"/>
      <c r="C94" s="150"/>
      <c r="D94" s="150"/>
      <c r="E94" s="150"/>
      <c r="F94" s="150"/>
      <c r="G94" s="150"/>
      <c r="H94" s="191"/>
    </row>
    <row r="95" spans="1:10" ht="16.5">
      <c r="A95" s="149"/>
      <c r="B95" s="150"/>
      <c r="C95" s="150"/>
      <c r="D95" s="150"/>
      <c r="E95" s="150"/>
      <c r="F95" s="150"/>
      <c r="G95" s="150"/>
      <c r="H95" s="191"/>
    </row>
    <row r="96" spans="1:10" ht="16.5">
      <c r="A96" s="149"/>
      <c r="B96" s="150"/>
      <c r="C96" s="150"/>
      <c r="D96" s="150"/>
      <c r="E96" s="150"/>
      <c r="F96" s="150"/>
      <c r="G96" s="150"/>
      <c r="H96" s="191"/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16537</v>
      </c>
      <c r="C104" s="45"/>
      <c r="D104" s="45"/>
      <c r="E104" s="45">
        <f>SUM(E2:E103)</f>
        <v>4058517.39</v>
      </c>
      <c r="F104" s="45">
        <f>SUM(F2:F103)</f>
        <v>6602198.0099999988</v>
      </c>
      <c r="G104" s="45">
        <f>SUM(G2:G103)</f>
        <v>2542360.6199999996</v>
      </c>
      <c r="H104" s="176">
        <f>G104/E104</f>
        <v>0.6264259520642339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36D1-45D3-4CB0-9795-7092ABEA5B95}">
  <dimension ref="A1:J22"/>
  <sheetViews>
    <sheetView workbookViewId="0">
      <selection activeCell="E13" sqref="E13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t="s">
        <v>233</v>
      </c>
      <c r="C2" s="188">
        <v>38198.739000000001</v>
      </c>
      <c r="D2">
        <v>7.75</v>
      </c>
      <c r="E2">
        <v>7.8559000000000001</v>
      </c>
      <c r="F2" s="188">
        <v>300085.0037</v>
      </c>
      <c r="G2" s="188">
        <v>296040.22730000003</v>
      </c>
      <c r="H2" s="188">
        <v>-4044.7764000000002</v>
      </c>
      <c r="I2" s="192">
        <f>H2/F2</f>
        <v>-1.3478768849254563E-2</v>
      </c>
    </row>
    <row r="3" spans="1:9">
      <c r="A3" s="168" t="s">
        <v>234</v>
      </c>
      <c r="B3" t="s">
        <v>235</v>
      </c>
      <c r="C3" s="188">
        <v>4080.9659999999999</v>
      </c>
      <c r="D3">
        <v>116.58</v>
      </c>
      <c r="E3">
        <v>68.607799999999997</v>
      </c>
      <c r="F3" s="188">
        <v>279986.10960000003</v>
      </c>
      <c r="G3" s="188">
        <v>475759.01630000002</v>
      </c>
      <c r="H3" s="188">
        <v>195772.90669999999</v>
      </c>
      <c r="I3" s="192">
        <f t="shared" ref="I3:I22" si="0">H3/F3</f>
        <v>0.69922363998588866</v>
      </c>
    </row>
    <row r="4" spans="1:9">
      <c r="A4" s="168" t="s">
        <v>236</v>
      </c>
      <c r="B4" t="s">
        <v>237</v>
      </c>
      <c r="C4" s="188">
        <v>14235.332</v>
      </c>
      <c r="D4">
        <v>110.25</v>
      </c>
      <c r="E4">
        <v>47.766100000000002</v>
      </c>
      <c r="F4" s="188">
        <v>679966.92570000002</v>
      </c>
      <c r="G4" s="188">
        <v>1569445.3529999999</v>
      </c>
      <c r="H4" s="188">
        <v>889478.42729999998</v>
      </c>
      <c r="I4" s="192">
        <f t="shared" si="0"/>
        <v>1.308120135967372</v>
      </c>
    </row>
    <row r="5" spans="1:9">
      <c r="A5" s="168" t="s">
        <v>238</v>
      </c>
      <c r="B5" t="s">
        <v>237</v>
      </c>
      <c r="C5" s="188">
        <v>29743.071</v>
      </c>
      <c r="D5">
        <v>38.07</v>
      </c>
      <c r="E5">
        <v>33.115299999999998</v>
      </c>
      <c r="F5" s="188">
        <v>984950.75009999995</v>
      </c>
      <c r="G5" s="188">
        <v>1132318.713</v>
      </c>
      <c r="H5" s="188">
        <v>147367.96290000001</v>
      </c>
      <c r="I5" s="192">
        <f t="shared" si="0"/>
        <v>0.14961962604225446</v>
      </c>
    </row>
    <row r="6" spans="1:9">
      <c r="A6" s="168" t="s">
        <v>239</v>
      </c>
      <c r="B6" t="s">
        <v>233</v>
      </c>
      <c r="C6" s="188">
        <v>4270.0309999999999</v>
      </c>
      <c r="D6">
        <v>23.662099999999999</v>
      </c>
      <c r="E6">
        <v>25.759699999999999</v>
      </c>
      <c r="F6" s="188">
        <v>109994.5157</v>
      </c>
      <c r="G6" s="188">
        <v>101037.9005</v>
      </c>
      <c r="H6" s="188">
        <v>-8956.6152000000002</v>
      </c>
      <c r="I6" s="192">
        <f t="shared" si="0"/>
        <v>-8.1427834315197595E-2</v>
      </c>
    </row>
    <row r="7" spans="1:9">
      <c r="A7" s="168" t="s">
        <v>240</v>
      </c>
      <c r="B7" t="s">
        <v>241</v>
      </c>
      <c r="C7" s="188">
        <v>1857.5519999999999</v>
      </c>
      <c r="D7">
        <v>719.12739999999997</v>
      </c>
      <c r="E7">
        <v>366.02140000000003</v>
      </c>
      <c r="F7" s="188">
        <v>679903.69869999995</v>
      </c>
      <c r="G7" s="188">
        <v>1335816.5401000001</v>
      </c>
      <c r="H7" s="188">
        <v>655912.84140000003</v>
      </c>
      <c r="I7" s="192">
        <f t="shared" si="0"/>
        <v>0.96471433035903276</v>
      </c>
    </row>
    <row r="8" spans="1:9">
      <c r="A8" s="168" t="s">
        <v>242</v>
      </c>
      <c r="B8" t="s">
        <v>237</v>
      </c>
      <c r="C8" s="188">
        <v>4306.576</v>
      </c>
      <c r="D8">
        <v>138.61199999999999</v>
      </c>
      <c r="E8">
        <v>44.3917</v>
      </c>
      <c r="F8" s="188">
        <v>191176.2298</v>
      </c>
      <c r="G8" s="188">
        <v>596943.11250000005</v>
      </c>
      <c r="H8" s="188">
        <v>405766.88270000002</v>
      </c>
      <c r="I8" s="192">
        <f t="shared" si="0"/>
        <v>2.1224755981666505</v>
      </c>
    </row>
    <row r="9" spans="1:9">
      <c r="A9" s="168" t="s">
        <v>272</v>
      </c>
      <c r="B9" t="s">
        <v>235</v>
      </c>
      <c r="C9" s="188">
        <v>5805.7370000000001</v>
      </c>
      <c r="D9">
        <v>135.04400000000001</v>
      </c>
      <c r="E9">
        <v>41.940399999999997</v>
      </c>
      <c r="F9" s="188">
        <v>243495.1642</v>
      </c>
      <c r="G9" s="188">
        <v>784029.94739999995</v>
      </c>
      <c r="H9" s="188">
        <v>540534.78319999995</v>
      </c>
      <c r="I9" s="192">
        <f t="shared" si="0"/>
        <v>2.2198994586850196</v>
      </c>
    </row>
    <row r="10" spans="1:9">
      <c r="A10" s="168" t="s">
        <v>244</v>
      </c>
      <c r="B10" t="s">
        <v>233</v>
      </c>
      <c r="C10" s="188">
        <v>13136.35</v>
      </c>
      <c r="D10">
        <v>38.177700000000002</v>
      </c>
      <c r="E10">
        <v>29.687100000000001</v>
      </c>
      <c r="F10" s="188">
        <v>389980.446</v>
      </c>
      <c r="G10" s="188">
        <v>501515.62939999998</v>
      </c>
      <c r="H10" s="188">
        <v>111535.18339999999</v>
      </c>
      <c r="I10" s="192">
        <f t="shared" si="0"/>
        <v>0.28600198944333738</v>
      </c>
    </row>
    <row r="11" spans="1:9">
      <c r="A11" s="168" t="s">
        <v>273</v>
      </c>
      <c r="B11" t="s">
        <v>233</v>
      </c>
      <c r="C11" s="188">
        <v>82131.043999999994</v>
      </c>
      <c r="D11">
        <v>14.130599999999999</v>
      </c>
      <c r="E11">
        <v>9.9227000000000007</v>
      </c>
      <c r="F11" s="188">
        <v>814959.2439</v>
      </c>
      <c r="G11" s="188">
        <v>1160560.9302999999</v>
      </c>
      <c r="H11" s="188">
        <v>345601.68650000001</v>
      </c>
      <c r="I11" s="192">
        <f t="shared" si="0"/>
        <v>0.4240723558715867</v>
      </c>
    </row>
    <row r="12" spans="1:9">
      <c r="A12" s="168" t="s">
        <v>246</v>
      </c>
      <c r="B12" t="s">
        <v>241</v>
      </c>
      <c r="C12" s="188">
        <v>71662.639500000005</v>
      </c>
      <c r="D12">
        <v>15.094099999999999</v>
      </c>
      <c r="E12">
        <v>12.7049</v>
      </c>
      <c r="F12" s="188">
        <v>910465.01630000002</v>
      </c>
      <c r="G12" s="188">
        <v>1081683.0469</v>
      </c>
      <c r="H12" s="188">
        <v>171218.03049999999</v>
      </c>
      <c r="I12" s="192">
        <f t="shared" si="0"/>
        <v>0.18805558416270143</v>
      </c>
    </row>
    <row r="13" spans="1:9">
      <c r="A13" s="168" t="s">
        <v>247</v>
      </c>
      <c r="B13" t="s">
        <v>241</v>
      </c>
      <c r="C13" s="188">
        <v>46779.584000000003</v>
      </c>
      <c r="D13">
        <v>14.911899999999999</v>
      </c>
      <c r="E13">
        <v>14.1187</v>
      </c>
      <c r="F13" s="188">
        <v>660466.97759999998</v>
      </c>
      <c r="G13" s="188">
        <v>697572.47860000003</v>
      </c>
      <c r="H13" s="188">
        <v>37105.500999999997</v>
      </c>
      <c r="I13" s="192">
        <f t="shared" si="0"/>
        <v>5.6180705861833838E-2</v>
      </c>
    </row>
    <row r="14" spans="1:9">
      <c r="A14" s="168" t="s">
        <v>250</v>
      </c>
      <c r="B14" t="s">
        <v>251</v>
      </c>
      <c r="C14" s="188">
        <v>19397.659</v>
      </c>
      <c r="D14">
        <v>84.584900000000005</v>
      </c>
      <c r="E14">
        <v>44.640599999999999</v>
      </c>
      <c r="F14" s="188">
        <v>865923.00470000005</v>
      </c>
      <c r="G14" s="188">
        <v>1640749.0467000001</v>
      </c>
      <c r="H14" s="188">
        <v>774826.04209999996</v>
      </c>
      <c r="I14" s="192">
        <f t="shared" si="0"/>
        <v>0.89479784910950511</v>
      </c>
    </row>
    <row r="15" spans="1:9">
      <c r="A15" s="168" t="s">
        <v>274</v>
      </c>
      <c r="B15" t="s">
        <v>233</v>
      </c>
      <c r="C15" s="188">
        <v>6809.741</v>
      </c>
      <c r="D15">
        <v>41.7</v>
      </c>
      <c r="E15">
        <v>35.241999999999997</v>
      </c>
      <c r="F15" s="188">
        <v>239988.8371</v>
      </c>
      <c r="G15" s="188">
        <v>283966.1997</v>
      </c>
      <c r="H15" s="188">
        <v>43977.3626</v>
      </c>
      <c r="I15" s="192">
        <f t="shared" si="0"/>
        <v>0.18324753405790806</v>
      </c>
    </row>
    <row r="16" spans="1:9">
      <c r="A16" s="168" t="s">
        <v>253</v>
      </c>
      <c r="B16" t="s">
        <v>235</v>
      </c>
      <c r="C16" s="188">
        <v>5155.152</v>
      </c>
      <c r="D16">
        <v>230.6728</v>
      </c>
      <c r="E16">
        <v>197.91970000000001</v>
      </c>
      <c r="F16" s="188">
        <v>1020306.0696</v>
      </c>
      <c r="G16" s="188">
        <v>1189153.3463000001</v>
      </c>
      <c r="H16" s="188">
        <v>168847.27660000001</v>
      </c>
      <c r="I16" s="192">
        <f t="shared" si="0"/>
        <v>0.1654868883277297</v>
      </c>
    </row>
    <row r="17" spans="1:10">
      <c r="A17" s="168" t="s">
        <v>254</v>
      </c>
      <c r="B17" t="s">
        <v>237</v>
      </c>
      <c r="C17">
        <v>20.657</v>
      </c>
      <c r="D17">
        <v>251.96530000000001</v>
      </c>
      <c r="E17">
        <v>242.03909999999999</v>
      </c>
      <c r="F17" s="188">
        <v>4999.8017</v>
      </c>
      <c r="G17" s="188">
        <v>5204.8472000000002</v>
      </c>
      <c r="H17">
        <v>205.0455</v>
      </c>
      <c r="I17" s="192">
        <f t="shared" si="0"/>
        <v>4.1010726485412409E-2</v>
      </c>
    </row>
    <row r="18" spans="1:10">
      <c r="A18" s="168" t="s">
        <v>255</v>
      </c>
      <c r="B18" t="s">
        <v>241</v>
      </c>
      <c r="C18" s="188">
        <v>18996.168000000001</v>
      </c>
      <c r="D18">
        <v>23.220800000000001</v>
      </c>
      <c r="E18">
        <v>9.4700000000000006</v>
      </c>
      <c r="F18" s="188">
        <v>179893.71100000001</v>
      </c>
      <c r="G18" s="188">
        <v>441106.21789999999</v>
      </c>
      <c r="H18" s="188">
        <v>261212.50690000001</v>
      </c>
      <c r="I18" s="192">
        <f t="shared" si="0"/>
        <v>1.4520380142694371</v>
      </c>
    </row>
    <row r="19" spans="1:10">
      <c r="A19" s="168"/>
      <c r="B19"/>
      <c r="C19"/>
      <c r="D19"/>
      <c r="E19"/>
      <c r="F19" s="188"/>
      <c r="G19" s="188"/>
      <c r="H19"/>
      <c r="I19" s="192"/>
    </row>
    <row r="20" spans="1:10">
      <c r="A20" s="168"/>
      <c r="B20"/>
      <c r="C20"/>
      <c r="D20"/>
      <c r="E20"/>
      <c r="F20" s="188"/>
      <c r="G20" s="188"/>
      <c r="H20"/>
      <c r="I20" s="192"/>
    </row>
    <row r="21" spans="1:10">
      <c r="A21" s="168"/>
      <c r="B21"/>
      <c r="C21"/>
      <c r="D21"/>
      <c r="E21"/>
      <c r="F21" s="188"/>
      <c r="G21" s="188"/>
      <c r="H21"/>
      <c r="I21" s="192"/>
    </row>
    <row r="22" spans="1:10">
      <c r="A22" s="74" t="s">
        <v>11</v>
      </c>
      <c r="B22" s="75"/>
      <c r="C22" s="75">
        <f>SUM(C2:C21)</f>
        <v>366586.99849999999</v>
      </c>
      <c r="D22" s="75"/>
      <c r="E22" s="75"/>
      <c r="F22" s="75">
        <f t="shared" ref="F22:H22" si="1">SUM(F2:F21)</f>
        <v>8556541.5054000001</v>
      </c>
      <c r="G22" s="75">
        <f t="shared" si="1"/>
        <v>13292902.553100003</v>
      </c>
      <c r="H22" s="75">
        <f t="shared" si="1"/>
        <v>4736361.0477</v>
      </c>
      <c r="I22" s="53">
        <f t="shared" si="0"/>
        <v>0.55353685185900181</v>
      </c>
      <c r="J22" s="202"/>
    </row>
  </sheetData>
  <hyperlinks>
    <hyperlink ref="A2" r:id="rId1" location="/mf/1831632/41287/NULL" xr:uid="{BEABABC0-B2E6-45AF-81DB-C04AE53CA28E}"/>
    <hyperlink ref="A3" r:id="rId2" location="/mf/1831632/15690/NULL" xr:uid="{98A7CC84-426F-4AED-B855-3C4F099B9DA1}"/>
    <hyperlink ref="A4" r:id="rId3" location="/mf/1831632/22335/NULL" xr:uid="{C5FC4F91-BC10-4C09-96BC-067FAAAB2702}"/>
    <hyperlink ref="A5" r:id="rId4" location="/mf/1831632/38817/NULL" xr:uid="{DCC3F210-C46E-4404-B3C8-7BFAB1B23E43}"/>
    <hyperlink ref="A6" r:id="rId5" location="/mf/1831632/40665/NULL" xr:uid="{C3E8D681-05EA-4B7B-96A1-628268026029}"/>
    <hyperlink ref="A7" r:id="rId6" location="/mf/1831632/16071/NULL" xr:uid="{5702068A-29AD-4C29-B484-A38EC90BC531}"/>
    <hyperlink ref="A8" r:id="rId7" location="/mf/1831632/16617/NULL" xr:uid="{3A2CEC49-28D9-479E-8430-BDA9177E4AD9}"/>
    <hyperlink ref="A9" r:id="rId8" location="/mf/1831632/17134/NULL" xr:uid="{8CA1021E-E233-4165-BAE2-451409DF1EDC}"/>
    <hyperlink ref="A10" r:id="rId9" location="/mf/1831632/38228/NULL" xr:uid="{0DAB735B-D4A8-45D7-8AFE-E24CF34FA20A}"/>
    <hyperlink ref="A11" r:id="rId10" location="/mf/1831632/42135/NULL" xr:uid="{06AAD3B0-BD19-4E35-9F74-342A5958E905}"/>
    <hyperlink ref="A12" r:id="rId11" location="/mf/1831632/41574/NULL" xr:uid="{E4B9CB09-A98C-4BA2-A22E-B7065D8B6818}"/>
    <hyperlink ref="A13" r:id="rId12" location="/mf/1831632/41937/NULL" xr:uid="{29DCAE52-C940-42BC-82F0-35547CC9B9DD}"/>
    <hyperlink ref="A14" r:id="rId13" location="/mf/1831632/19701/NULL" xr:uid="{F9C6168F-8922-4E32-8959-B2A1DFF85C0A}"/>
    <hyperlink ref="A15" r:id="rId14" location="/mf/1831632/17348/NULL" xr:uid="{5B26C0C2-02EB-4031-B60F-656C3AEF02CD}"/>
    <hyperlink ref="A16" r:id="rId15" location="/mf/1831632/17375/NULL" xr:uid="{B4501A27-FD17-4657-972E-D544DEA77E11}"/>
    <hyperlink ref="A17" r:id="rId16" location="/mf/1831632/17366/NULL" xr:uid="{20971F49-EDB8-48A3-9B43-4A41EB21F507}"/>
    <hyperlink ref="A18" r:id="rId17" location="/mf/1831632/36491/NULL" xr:uid="{ED7AE355-3A34-4239-95A8-7D7DA5C00692}"/>
  </hyperlinks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83DD-DDA2-44A4-8AB4-EA13AC575250}">
  <dimension ref="A1:J10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3.5703125" style="6" customWidth="1"/>
    <col min="6" max="6" width="21.85546875" style="6" customWidth="1"/>
    <col min="7" max="7" width="22.5703125" style="6" bestFit="1" customWidth="1"/>
    <col min="8" max="8" width="13.85546875" style="177" bestFit="1" customWidth="1"/>
    <col min="9" max="9" width="13" style="6" bestFit="1" customWidth="1"/>
  </cols>
  <sheetData>
    <row r="1" spans="1:10" ht="15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129</v>
      </c>
      <c r="F1" s="189" t="s">
        <v>140</v>
      </c>
      <c r="G1" s="189" t="s">
        <v>141</v>
      </c>
      <c r="H1" s="191" t="s">
        <v>142</v>
      </c>
    </row>
    <row r="2" spans="1:10" ht="15.75">
      <c r="A2" s="149" t="s">
        <v>143</v>
      </c>
      <c r="B2" s="150">
        <v>100</v>
      </c>
      <c r="C2" s="150">
        <v>109.73</v>
      </c>
      <c r="D2" s="150">
        <v>104</v>
      </c>
      <c r="E2" s="150">
        <v>10972.5</v>
      </c>
      <c r="F2" s="150">
        <v>10400</v>
      </c>
      <c r="G2" s="150">
        <v>-572.5</v>
      </c>
      <c r="H2" s="191">
        <f>G2/E2</f>
        <v>-5.2175894281157438E-2</v>
      </c>
    </row>
    <row r="3" spans="1:10" ht="15.75">
      <c r="A3" s="149" t="s">
        <v>264</v>
      </c>
      <c r="B3" s="150">
        <v>13</v>
      </c>
      <c r="C3" s="150">
        <v>133.75</v>
      </c>
      <c r="D3" s="150">
        <v>1109</v>
      </c>
      <c r="E3" s="150">
        <v>1738.75</v>
      </c>
      <c r="F3" s="150">
        <v>14417</v>
      </c>
      <c r="G3" s="150">
        <v>12678.25</v>
      </c>
      <c r="H3" s="191">
        <f>G3/E3</f>
        <v>7.2915887850467289</v>
      </c>
    </row>
    <row r="4" spans="1:10" ht="15.75">
      <c r="A4" s="149" t="s">
        <v>144</v>
      </c>
      <c r="B4" s="150">
        <v>19</v>
      </c>
      <c r="C4" s="150">
        <v>489.54</v>
      </c>
      <c r="D4" s="150">
        <v>2487.5</v>
      </c>
      <c r="E4" s="150">
        <v>9301.2000000000007</v>
      </c>
      <c r="F4" s="150">
        <v>47262.5</v>
      </c>
      <c r="G4" s="150">
        <v>37961.300000000003</v>
      </c>
      <c r="H4" s="191">
        <f>G4/E4</f>
        <v>4.0813335913645554</v>
      </c>
    </row>
    <row r="5" spans="1:10" ht="15.75">
      <c r="A5" s="149" t="s">
        <v>145</v>
      </c>
      <c r="B5" s="150">
        <v>250</v>
      </c>
      <c r="C5" s="150">
        <v>183.59</v>
      </c>
      <c r="D5" s="150">
        <v>374.35</v>
      </c>
      <c r="E5" s="150">
        <v>45897.5</v>
      </c>
      <c r="F5" s="150">
        <v>93587.5</v>
      </c>
      <c r="G5" s="150">
        <v>47690</v>
      </c>
      <c r="H5" s="191">
        <f>G5/E5</f>
        <v>1.039054414728471</v>
      </c>
      <c r="J5" s="188"/>
    </row>
    <row r="6" spans="1:10" ht="15.75">
      <c r="A6" s="149" t="s">
        <v>275</v>
      </c>
      <c r="B6" s="150">
        <v>198</v>
      </c>
      <c r="C6" s="150">
        <v>171.53</v>
      </c>
      <c r="D6" s="150">
        <v>212.94</v>
      </c>
      <c r="E6" s="150">
        <v>33963.599999999999</v>
      </c>
      <c r="F6" s="150">
        <v>42162.12</v>
      </c>
      <c r="G6" s="150">
        <v>8198.52</v>
      </c>
      <c r="H6" s="191">
        <f>G6/E6</f>
        <v>0.24139137193937041</v>
      </c>
    </row>
    <row r="7" spans="1:10" ht="15.75">
      <c r="A7" s="149" t="s">
        <v>276</v>
      </c>
      <c r="B7" s="150">
        <v>16</v>
      </c>
      <c r="C7" s="150">
        <v>2247.85</v>
      </c>
      <c r="D7" s="150">
        <v>2179.9499999999998</v>
      </c>
      <c r="E7" s="150">
        <v>35965.599999999999</v>
      </c>
      <c r="F7" s="150">
        <v>34879.199999999997</v>
      </c>
      <c r="G7" s="150">
        <v>-1086.4000000000001</v>
      </c>
      <c r="H7" s="191">
        <f>G7/E7</f>
        <v>-3.0206641902262164E-2</v>
      </c>
    </row>
    <row r="8" spans="1:10" ht="15.75">
      <c r="A8" s="149" t="s">
        <v>277</v>
      </c>
      <c r="B8" s="150">
        <v>140</v>
      </c>
      <c r="C8" s="150">
        <v>579.77</v>
      </c>
      <c r="D8" s="150">
        <v>566</v>
      </c>
      <c r="E8" s="150">
        <v>81167.95</v>
      </c>
      <c r="F8" s="150">
        <v>79240</v>
      </c>
      <c r="G8" s="150">
        <v>-1927.95</v>
      </c>
      <c r="H8" s="191">
        <f>G8/E8</f>
        <v>-2.3752601858245775E-2</v>
      </c>
    </row>
    <row r="9" spans="1:10" ht="15.75">
      <c r="A9" s="149" t="s">
        <v>146</v>
      </c>
      <c r="B9" s="150">
        <v>62</v>
      </c>
      <c r="C9" s="150">
        <v>708.24</v>
      </c>
      <c r="D9" s="150">
        <v>1013</v>
      </c>
      <c r="E9" s="150">
        <v>43910.6</v>
      </c>
      <c r="F9" s="150">
        <v>62806</v>
      </c>
      <c r="G9" s="150">
        <v>18895.400000000001</v>
      </c>
      <c r="H9" s="191">
        <f>G9/E9</f>
        <v>0.43031523140198497</v>
      </c>
      <c r="J9" s="188"/>
    </row>
    <row r="10" spans="1:10" ht="15.75">
      <c r="A10" s="149" t="s">
        <v>147</v>
      </c>
      <c r="B10" s="150">
        <v>19</v>
      </c>
      <c r="C10" s="150">
        <v>3076.33</v>
      </c>
      <c r="D10" s="150">
        <v>7906.75</v>
      </c>
      <c r="E10" s="150">
        <v>58450.25</v>
      </c>
      <c r="F10" s="150">
        <v>150228.25</v>
      </c>
      <c r="G10" s="150">
        <v>91778</v>
      </c>
      <c r="H10" s="191">
        <f>G10/E10</f>
        <v>1.5701900334044765</v>
      </c>
    </row>
    <row r="11" spans="1:10" ht="15.75">
      <c r="A11" s="149" t="s">
        <v>148</v>
      </c>
      <c r="B11" s="150">
        <v>8</v>
      </c>
      <c r="C11" s="150">
        <v>6731.04</v>
      </c>
      <c r="D11" s="150">
        <v>8542.25</v>
      </c>
      <c r="E11" s="150">
        <v>53848.35</v>
      </c>
      <c r="F11" s="150">
        <v>68338</v>
      </c>
      <c r="G11" s="150">
        <v>14489.65</v>
      </c>
      <c r="H11" s="191">
        <f>G11/E11</f>
        <v>0.26908252527700477</v>
      </c>
      <c r="J11" s="188"/>
    </row>
    <row r="12" spans="1:10" ht="15.75">
      <c r="A12" s="149" t="s">
        <v>149</v>
      </c>
      <c r="B12" s="150">
        <v>15</v>
      </c>
      <c r="C12" s="150">
        <v>2427.4699999999998</v>
      </c>
      <c r="D12" s="150">
        <v>2618.5500000000002</v>
      </c>
      <c r="E12" s="150">
        <v>36412</v>
      </c>
      <c r="F12" s="150">
        <v>39278.25</v>
      </c>
      <c r="G12" s="150">
        <v>2866.25</v>
      </c>
      <c r="H12" s="191">
        <f>G12/E12</f>
        <v>7.8717181149071738E-2</v>
      </c>
      <c r="J12" s="188"/>
    </row>
    <row r="13" spans="1:10" ht="15.75">
      <c r="A13" s="149" t="s">
        <v>150</v>
      </c>
      <c r="B13" s="150">
        <v>155</v>
      </c>
      <c r="C13" s="150">
        <v>185</v>
      </c>
      <c r="D13" s="150">
        <v>197.7</v>
      </c>
      <c r="E13" s="150">
        <v>28675</v>
      </c>
      <c r="F13" s="150">
        <v>30643.5</v>
      </c>
      <c r="G13" s="150">
        <v>1968.5</v>
      </c>
      <c r="H13" s="191">
        <f>G13/E13</f>
        <v>6.8648648648648655E-2</v>
      </c>
      <c r="J13" s="188"/>
    </row>
    <row r="14" spans="1:10" ht="15.75">
      <c r="A14" s="149" t="s">
        <v>152</v>
      </c>
      <c r="B14" s="150">
        <v>180</v>
      </c>
      <c r="C14" s="150">
        <v>322.89</v>
      </c>
      <c r="D14" s="150">
        <v>1570.2</v>
      </c>
      <c r="E14" s="150">
        <v>58120</v>
      </c>
      <c r="F14" s="150">
        <v>282636</v>
      </c>
      <c r="G14" s="150">
        <v>224516</v>
      </c>
      <c r="H14" s="191">
        <f>G14/E14</f>
        <v>3.8629731589814176</v>
      </c>
    </row>
    <row r="15" spans="1:10" ht="15.75">
      <c r="A15" s="149" t="s">
        <v>153</v>
      </c>
      <c r="B15" s="150">
        <v>40</v>
      </c>
      <c r="C15" s="150">
        <v>446.04</v>
      </c>
      <c r="D15" s="150">
        <v>951.65</v>
      </c>
      <c r="E15" s="150">
        <v>17841.599999999999</v>
      </c>
      <c r="F15" s="150">
        <v>38066</v>
      </c>
      <c r="G15" s="150">
        <v>20224.400000000001</v>
      </c>
      <c r="H15" s="191">
        <v>0</v>
      </c>
      <c r="J15" s="188"/>
    </row>
    <row r="16" spans="1:10" ht="15.75">
      <c r="A16" s="149" t="s">
        <v>154</v>
      </c>
      <c r="B16" s="150">
        <v>14</v>
      </c>
      <c r="C16" s="150">
        <v>3489.94</v>
      </c>
      <c r="D16" s="150">
        <v>4603.05</v>
      </c>
      <c r="E16" s="150">
        <v>48859.1</v>
      </c>
      <c r="F16" s="150">
        <v>64442.7</v>
      </c>
      <c r="G16" s="150">
        <v>15583.6</v>
      </c>
      <c r="H16" s="191">
        <f>G16/E16</f>
        <v>0.31894979645552213</v>
      </c>
      <c r="J16" s="188"/>
    </row>
    <row r="17" spans="1:10" ht="15.75">
      <c r="A17" s="149" t="s">
        <v>278</v>
      </c>
      <c r="B17" s="150">
        <v>345</v>
      </c>
      <c r="C17" s="150">
        <v>107.29</v>
      </c>
      <c r="D17" s="150">
        <v>81.260000000000005</v>
      </c>
      <c r="E17" s="150">
        <v>37015.050000000003</v>
      </c>
      <c r="F17" s="150">
        <v>28034.7</v>
      </c>
      <c r="G17" s="150">
        <v>-8980.35</v>
      </c>
      <c r="H17" s="191">
        <f>G17/E17</f>
        <v>-0.24261347749091247</v>
      </c>
      <c r="J17" s="188"/>
    </row>
    <row r="18" spans="1:10" ht="15.75">
      <c r="A18" s="149" t="s">
        <v>155</v>
      </c>
      <c r="B18" s="150">
        <v>180</v>
      </c>
      <c r="C18" s="150">
        <v>155.25</v>
      </c>
      <c r="D18" s="150">
        <v>212.63</v>
      </c>
      <c r="E18" s="150">
        <v>27945</v>
      </c>
      <c r="F18" s="150">
        <v>38273.4</v>
      </c>
      <c r="G18" s="150">
        <v>10328.4</v>
      </c>
      <c r="H18" s="191">
        <f>G18/E18</f>
        <v>0.36959742351046698</v>
      </c>
    </row>
    <row r="19" spans="1:10" ht="15.75">
      <c r="A19" s="149" t="s">
        <v>156</v>
      </c>
      <c r="B19" s="150">
        <v>88</v>
      </c>
      <c r="C19" s="150">
        <v>373.58</v>
      </c>
      <c r="D19" s="150">
        <v>375.7</v>
      </c>
      <c r="E19" s="150">
        <v>32874.85</v>
      </c>
      <c r="F19" s="150">
        <v>33061.599999999999</v>
      </c>
      <c r="G19" s="150">
        <v>186.75</v>
      </c>
      <c r="H19" s="191">
        <f>G19/E19</f>
        <v>5.680634284262894E-3</v>
      </c>
    </row>
    <row r="20" spans="1:10" ht="15.75">
      <c r="A20" s="149" t="s">
        <v>157</v>
      </c>
      <c r="B20" s="150">
        <v>45</v>
      </c>
      <c r="C20" s="150">
        <v>990.66</v>
      </c>
      <c r="D20" s="150">
        <v>1409.45</v>
      </c>
      <c r="E20" s="150">
        <v>44579.85</v>
      </c>
      <c r="F20" s="150">
        <v>63425.25</v>
      </c>
      <c r="G20" s="150">
        <v>18845.400000000001</v>
      </c>
      <c r="H20" s="191">
        <f>G20/E20</f>
        <v>0.42273358927856425</v>
      </c>
    </row>
    <row r="21" spans="1:10" ht="15.75">
      <c r="A21" s="149" t="s">
        <v>158</v>
      </c>
      <c r="B21" s="150">
        <v>470</v>
      </c>
      <c r="C21" s="150">
        <v>194.39</v>
      </c>
      <c r="D21" s="150">
        <v>369.35</v>
      </c>
      <c r="E21" s="150">
        <v>91363.5</v>
      </c>
      <c r="F21" s="150">
        <v>173594.5</v>
      </c>
      <c r="G21" s="150">
        <v>82231</v>
      </c>
      <c r="H21" s="191">
        <f>G21/E21</f>
        <v>0.90004213936637711</v>
      </c>
      <c r="J21" s="188"/>
    </row>
    <row r="22" spans="1:10" ht="15.75">
      <c r="A22" s="149" t="s">
        <v>159</v>
      </c>
      <c r="B22" s="150">
        <v>13</v>
      </c>
      <c r="C22" s="150">
        <v>4545.26</v>
      </c>
      <c r="D22" s="150">
        <v>7363.85</v>
      </c>
      <c r="E22" s="150">
        <v>59088.4</v>
      </c>
      <c r="F22" s="150">
        <v>95730.05</v>
      </c>
      <c r="G22" s="150">
        <v>36641.65</v>
      </c>
      <c r="H22" s="191">
        <f>G22/E22</f>
        <v>0.62011579260904004</v>
      </c>
    </row>
    <row r="23" spans="1:10" ht="15.75">
      <c r="A23" s="149" t="s">
        <v>160</v>
      </c>
      <c r="B23" s="150">
        <v>21</v>
      </c>
      <c r="C23" s="150">
        <v>1503.03</v>
      </c>
      <c r="D23" s="150">
        <v>2464.6</v>
      </c>
      <c r="E23" s="150">
        <v>31563.7</v>
      </c>
      <c r="F23" s="150">
        <v>51756.6</v>
      </c>
      <c r="G23" s="150">
        <v>20192.900000000001</v>
      </c>
      <c r="H23" s="191">
        <f>G23/E23</f>
        <v>0.63975072630901952</v>
      </c>
      <c r="J23" s="188"/>
    </row>
    <row r="24" spans="1:10" ht="15.75">
      <c r="A24" s="149" t="s">
        <v>279</v>
      </c>
      <c r="B24" s="150">
        <v>98</v>
      </c>
      <c r="C24" s="150">
        <v>555.05999999999995</v>
      </c>
      <c r="D24" s="150">
        <v>494.15</v>
      </c>
      <c r="E24" s="150">
        <v>54396.05</v>
      </c>
      <c r="F24" s="150">
        <v>48426.7</v>
      </c>
      <c r="G24" s="150">
        <v>-5969.35</v>
      </c>
      <c r="H24" s="191">
        <f>G24/E24</f>
        <v>-0.10973866668627594</v>
      </c>
      <c r="J24" s="188"/>
    </row>
    <row r="25" spans="1:10" ht="15.75">
      <c r="A25" s="149" t="s">
        <v>161</v>
      </c>
      <c r="B25" s="150">
        <v>72</v>
      </c>
      <c r="C25" s="150">
        <v>531.82000000000005</v>
      </c>
      <c r="D25" s="150">
        <v>635.54999999999995</v>
      </c>
      <c r="E25" s="150">
        <v>38291.1</v>
      </c>
      <c r="F25" s="150">
        <v>45759.6</v>
      </c>
      <c r="G25" s="150">
        <v>7468.5</v>
      </c>
      <c r="H25" s="191">
        <f>G25/E25</f>
        <v>0.19504532384810047</v>
      </c>
    </row>
    <row r="26" spans="1:10" ht="15.75">
      <c r="A26" s="149" t="s">
        <v>162</v>
      </c>
      <c r="B26" s="150">
        <v>14</v>
      </c>
      <c r="C26" s="150">
        <v>3289.33</v>
      </c>
      <c r="D26" s="150">
        <v>3403.95</v>
      </c>
      <c r="E26" s="150">
        <v>46050.55</v>
      </c>
      <c r="F26" s="150">
        <v>47655.3</v>
      </c>
      <c r="G26" s="150">
        <v>1604.75</v>
      </c>
      <c r="H26" s="191">
        <f>G26/E26</f>
        <v>3.484757511039499E-2</v>
      </c>
    </row>
    <row r="27" spans="1:10" ht="15.75">
      <c r="A27" s="149" t="s">
        <v>163</v>
      </c>
      <c r="B27" s="150">
        <v>60</v>
      </c>
      <c r="C27" s="150">
        <v>992.6</v>
      </c>
      <c r="D27" s="150">
        <v>1117.6500000000001</v>
      </c>
      <c r="E27" s="150">
        <v>59555.95</v>
      </c>
      <c r="F27" s="150">
        <v>67059</v>
      </c>
      <c r="G27" s="150">
        <v>7503.05</v>
      </c>
      <c r="H27" s="191">
        <f>G27/E27</f>
        <v>0.12598321410371258</v>
      </c>
      <c r="J27" s="188"/>
    </row>
    <row r="28" spans="1:10" ht="15.75">
      <c r="A28" s="149" t="s">
        <v>164</v>
      </c>
      <c r="B28" s="150">
        <v>7</v>
      </c>
      <c r="C28" s="150">
        <v>3506.83</v>
      </c>
      <c r="D28" s="150">
        <v>4773.6000000000004</v>
      </c>
      <c r="E28" s="150">
        <v>24547.8</v>
      </c>
      <c r="F28" s="150">
        <v>33415.199999999997</v>
      </c>
      <c r="G28" s="150">
        <v>8867.4</v>
      </c>
      <c r="H28" s="191">
        <f>G28/E28</f>
        <v>0.36122992691809447</v>
      </c>
      <c r="J28" s="188"/>
    </row>
    <row r="29" spans="1:10" ht="15.75">
      <c r="A29" s="149" t="s">
        <v>270</v>
      </c>
      <c r="B29" s="150">
        <v>92</v>
      </c>
      <c r="C29" s="150">
        <v>359.33</v>
      </c>
      <c r="D29" s="150">
        <v>364.25</v>
      </c>
      <c r="E29" s="150">
        <v>33058.28</v>
      </c>
      <c r="F29" s="150">
        <v>33511</v>
      </c>
      <c r="G29" s="150">
        <v>452.72</v>
      </c>
      <c r="H29" s="191">
        <f>G29/E29</f>
        <v>1.369460238100712E-2</v>
      </c>
      <c r="J29" s="188"/>
    </row>
    <row r="30" spans="1:10" ht="15.75">
      <c r="A30" s="149" t="s">
        <v>166</v>
      </c>
      <c r="B30" s="150">
        <v>34</v>
      </c>
      <c r="C30" s="150">
        <v>1825.28</v>
      </c>
      <c r="D30" s="150">
        <v>1765.75</v>
      </c>
      <c r="E30" s="150">
        <v>62059.4</v>
      </c>
      <c r="F30" s="150">
        <v>60035.5</v>
      </c>
      <c r="G30" s="150">
        <v>-2023.9</v>
      </c>
      <c r="H30" s="191">
        <f>G30/E30</f>
        <v>-3.2612303696136283E-2</v>
      </c>
    </row>
    <row r="31" spans="1:10" ht="15.75">
      <c r="A31" s="149" t="s">
        <v>168</v>
      </c>
      <c r="B31" s="150">
        <v>50</v>
      </c>
      <c r="C31" s="150">
        <v>671.81</v>
      </c>
      <c r="D31" s="150">
        <v>1182.8</v>
      </c>
      <c r="E31" s="150">
        <v>33590.5</v>
      </c>
      <c r="F31" s="150">
        <v>59140</v>
      </c>
      <c r="G31" s="150">
        <v>25549.5</v>
      </c>
      <c r="H31" s="191">
        <f>G31/E31</f>
        <v>0.76061684107113614</v>
      </c>
      <c r="J31" s="188"/>
    </row>
    <row r="32" spans="1:10" ht="15.75">
      <c r="A32" s="149" t="s">
        <v>169</v>
      </c>
      <c r="B32" s="150">
        <v>209</v>
      </c>
      <c r="C32" s="150">
        <v>174.63</v>
      </c>
      <c r="D32" s="150">
        <v>347.8</v>
      </c>
      <c r="E32" s="150">
        <v>36496.75</v>
      </c>
      <c r="F32" s="150">
        <v>72690.2</v>
      </c>
      <c r="G32" s="150">
        <v>36193.449999999997</v>
      </c>
      <c r="H32" s="191">
        <f>G32/E32</f>
        <v>0.99168967099810246</v>
      </c>
      <c r="J32" s="188"/>
    </row>
    <row r="33" spans="1:10" ht="15.75">
      <c r="A33" s="149" t="s">
        <v>170</v>
      </c>
      <c r="B33" s="150">
        <v>323</v>
      </c>
      <c r="C33" s="150">
        <v>83.87</v>
      </c>
      <c r="D33" s="150">
        <v>177.62</v>
      </c>
      <c r="E33" s="150">
        <v>27091</v>
      </c>
      <c r="F33" s="150">
        <v>57371.26</v>
      </c>
      <c r="G33" s="150">
        <v>30280.26</v>
      </c>
      <c r="H33" s="191">
        <f>G33/E33</f>
        <v>1.117723967369237</v>
      </c>
    </row>
    <row r="34" spans="1:10" ht="15.75">
      <c r="A34" s="149" t="s">
        <v>280</v>
      </c>
      <c r="B34" s="150">
        <v>217</v>
      </c>
      <c r="C34" s="150">
        <v>379.33</v>
      </c>
      <c r="D34" s="150">
        <v>305.64999999999998</v>
      </c>
      <c r="E34" s="150">
        <v>82314.5</v>
      </c>
      <c r="F34" s="150">
        <v>66326.05</v>
      </c>
      <c r="G34" s="150">
        <v>-15988.45</v>
      </c>
      <c r="H34" s="191">
        <f>G34/E34</f>
        <v>-0.19423613093683373</v>
      </c>
    </row>
    <row r="35" spans="1:10" ht="15.75">
      <c r="A35" s="149" t="s">
        <v>172</v>
      </c>
      <c r="B35" s="150">
        <v>18</v>
      </c>
      <c r="C35" s="150">
        <v>1556.41</v>
      </c>
      <c r="D35" s="150">
        <v>1936.3</v>
      </c>
      <c r="E35" s="150">
        <v>28015.35</v>
      </c>
      <c r="F35" s="150">
        <v>34853.4</v>
      </c>
      <c r="G35" s="150">
        <v>6838.05</v>
      </c>
      <c r="H35" s="191">
        <f>G35/E35</f>
        <v>0.24408226204562858</v>
      </c>
    </row>
    <row r="36" spans="1:10" ht="15.75">
      <c r="A36" s="149" t="s">
        <v>281</v>
      </c>
      <c r="B36" s="150">
        <v>85</v>
      </c>
      <c r="C36" s="150">
        <v>313.68</v>
      </c>
      <c r="D36" s="150">
        <v>461.8</v>
      </c>
      <c r="E36" s="150">
        <v>26663.05</v>
      </c>
      <c r="F36" s="150">
        <v>39253</v>
      </c>
      <c r="G36" s="150">
        <v>12589.95</v>
      </c>
      <c r="H36" s="191">
        <f>G36/E36</f>
        <v>0.47218716538430527</v>
      </c>
      <c r="J36" s="188"/>
    </row>
    <row r="37" spans="1:10" ht="15.75">
      <c r="A37" s="149" t="s">
        <v>174</v>
      </c>
      <c r="B37" s="150">
        <v>74</v>
      </c>
      <c r="C37" s="150">
        <v>1149.02</v>
      </c>
      <c r="D37" s="150">
        <v>1575.05</v>
      </c>
      <c r="E37" s="150">
        <v>85027.5</v>
      </c>
      <c r="F37" s="150">
        <v>116553.7</v>
      </c>
      <c r="G37" s="150">
        <v>31526.2</v>
      </c>
      <c r="H37" s="191">
        <f>G37/E37</f>
        <v>0.37077651348093266</v>
      </c>
    </row>
    <row r="38" spans="1:10" ht="15.75">
      <c r="A38" s="149" t="s">
        <v>175</v>
      </c>
      <c r="B38" s="150">
        <v>34</v>
      </c>
      <c r="C38" s="150">
        <v>1623.57</v>
      </c>
      <c r="D38" s="150">
        <v>1732.4</v>
      </c>
      <c r="E38" s="150">
        <v>55201.5</v>
      </c>
      <c r="F38" s="150">
        <v>58901.599999999999</v>
      </c>
      <c r="G38" s="150">
        <v>3700.1</v>
      </c>
      <c r="H38" s="191">
        <f>G38/E38</f>
        <v>6.7028975661893239E-2</v>
      </c>
      <c r="J38" s="188"/>
    </row>
    <row r="39" spans="1:10" ht="15.75">
      <c r="A39" s="149" t="s">
        <v>176</v>
      </c>
      <c r="B39" s="150">
        <v>136</v>
      </c>
      <c r="C39" s="150">
        <v>596.66999999999996</v>
      </c>
      <c r="D39" s="150">
        <v>609</v>
      </c>
      <c r="E39" s="150">
        <v>81147.75</v>
      </c>
      <c r="F39" s="150">
        <v>82824</v>
      </c>
      <c r="G39" s="150">
        <v>1676.25</v>
      </c>
      <c r="H39" s="191">
        <f>G39/E39</f>
        <v>2.0656764974999308E-2</v>
      </c>
      <c r="J39" s="188"/>
    </row>
    <row r="40" spans="1:10" ht="15.75">
      <c r="A40" s="149" t="s">
        <v>177</v>
      </c>
      <c r="B40" s="150">
        <v>6</v>
      </c>
      <c r="C40" s="150">
        <v>2669.98</v>
      </c>
      <c r="D40" s="150">
        <v>3712.55</v>
      </c>
      <c r="E40" s="150">
        <v>16019.85</v>
      </c>
      <c r="F40" s="150">
        <v>22275.3</v>
      </c>
      <c r="G40" s="150">
        <v>6255.45</v>
      </c>
      <c r="H40" s="191">
        <f>G40/E40</f>
        <v>0.39048118428075168</v>
      </c>
    </row>
    <row r="41" spans="1:10" ht="15.75">
      <c r="A41" s="149" t="s">
        <v>282</v>
      </c>
      <c r="B41" s="150">
        <v>48</v>
      </c>
      <c r="C41" s="150">
        <v>2314.85</v>
      </c>
      <c r="D41" s="150">
        <v>2191.8000000000002</v>
      </c>
      <c r="E41" s="150">
        <v>111112.8</v>
      </c>
      <c r="F41" s="150">
        <v>105206.39999999999</v>
      </c>
      <c r="G41" s="150">
        <v>-5906.4</v>
      </c>
      <c r="H41" s="191">
        <f>G41/E41</f>
        <v>-5.3156792016761344E-2</v>
      </c>
      <c r="J41" s="188"/>
    </row>
    <row r="42" spans="1:10" ht="15.75">
      <c r="A42" s="149" t="s">
        <v>283</v>
      </c>
      <c r="B42" s="150">
        <v>17</v>
      </c>
      <c r="C42" s="150">
        <v>1782.3</v>
      </c>
      <c r="D42" s="150">
        <v>1729.9</v>
      </c>
      <c r="E42" s="150">
        <v>30299.1</v>
      </c>
      <c r="F42" s="150">
        <v>29408.3</v>
      </c>
      <c r="G42" s="150">
        <v>-890.8</v>
      </c>
      <c r="H42" s="191">
        <f>G42/E42</f>
        <v>-2.9400213207653032E-2</v>
      </c>
      <c r="J42" s="188"/>
    </row>
    <row r="43" spans="1:10" ht="15.75">
      <c r="A43" s="149" t="s">
        <v>178</v>
      </c>
      <c r="B43" s="150">
        <v>58</v>
      </c>
      <c r="C43" s="150">
        <v>646.03</v>
      </c>
      <c r="D43" s="150">
        <v>1204.0999999999999</v>
      </c>
      <c r="E43" s="150">
        <v>37469.550000000003</v>
      </c>
      <c r="F43" s="150">
        <v>69837.8</v>
      </c>
      <c r="G43" s="150">
        <v>32368.25</v>
      </c>
      <c r="H43" s="191">
        <f>G43/E43</f>
        <v>0.86385478341746824</v>
      </c>
      <c r="J43" s="188"/>
    </row>
    <row r="44" spans="1:10" ht="15.75">
      <c r="A44" s="149" t="s">
        <v>151</v>
      </c>
      <c r="B44" s="150">
        <v>7000</v>
      </c>
      <c r="C44" s="150">
        <v>50.27</v>
      </c>
      <c r="D44" s="150">
        <v>49.23</v>
      </c>
      <c r="E44" s="150">
        <v>351919.89</v>
      </c>
      <c r="F44" s="150">
        <v>344610</v>
      </c>
      <c r="G44" s="150">
        <v>-7309.89</v>
      </c>
      <c r="H44" s="191">
        <f>G44/E44</f>
        <v>-2.0771460232043151E-2</v>
      </c>
      <c r="J44" s="188"/>
    </row>
    <row r="45" spans="1:10" ht="15.75">
      <c r="A45" s="149" t="s">
        <v>179</v>
      </c>
      <c r="B45" s="150">
        <v>54</v>
      </c>
      <c r="C45" s="150">
        <v>1308.5899999999999</v>
      </c>
      <c r="D45" s="150">
        <v>1690.95</v>
      </c>
      <c r="E45" s="150">
        <v>70664.100000000006</v>
      </c>
      <c r="F45" s="150">
        <v>91311.3</v>
      </c>
      <c r="G45" s="150">
        <v>20647.2</v>
      </c>
      <c r="H45" s="191">
        <f>G45/E45</f>
        <v>0.29218797097819116</v>
      </c>
      <c r="J45" s="188"/>
    </row>
    <row r="46" spans="1:10" ht="15.75">
      <c r="A46" s="149" t="s">
        <v>180</v>
      </c>
      <c r="B46" s="150">
        <v>118</v>
      </c>
      <c r="C46" s="150">
        <v>492.05</v>
      </c>
      <c r="D46" s="150">
        <v>549.25</v>
      </c>
      <c r="E46" s="150">
        <v>58062.35</v>
      </c>
      <c r="F46" s="150">
        <v>64811.5</v>
      </c>
      <c r="G46" s="150">
        <v>6749.15</v>
      </c>
      <c r="H46" s="191">
        <f>G46/E46</f>
        <v>0.11623969749760386</v>
      </c>
    </row>
    <row r="47" spans="1:10" ht="15.75">
      <c r="A47" s="149" t="s">
        <v>284</v>
      </c>
      <c r="B47" s="150">
        <v>52</v>
      </c>
      <c r="C47" s="150">
        <v>938.7</v>
      </c>
      <c r="D47" s="150">
        <v>990.1</v>
      </c>
      <c r="E47" s="150">
        <v>48812.55</v>
      </c>
      <c r="F47" s="150">
        <v>51485.2</v>
      </c>
      <c r="G47" s="150">
        <v>2672.65</v>
      </c>
      <c r="H47" s="191">
        <f>G47/E47</f>
        <v>5.4753337000423043E-2</v>
      </c>
    </row>
    <row r="48" spans="1:10" ht="15.75">
      <c r="A48" s="149" t="s">
        <v>181</v>
      </c>
      <c r="B48" s="150">
        <v>65</v>
      </c>
      <c r="C48" s="150">
        <v>1576.72</v>
      </c>
      <c r="D48" s="150">
        <v>1688.05</v>
      </c>
      <c r="E48" s="150">
        <v>102486.6</v>
      </c>
      <c r="F48" s="150">
        <v>109723.25</v>
      </c>
      <c r="G48" s="150">
        <v>7236.65</v>
      </c>
      <c r="H48" s="191">
        <f>G48/E48</f>
        <v>7.0610694471277213E-2</v>
      </c>
      <c r="J48" s="188"/>
    </row>
    <row r="49" spans="1:10" ht="15.75">
      <c r="A49" s="149" t="s">
        <v>182</v>
      </c>
      <c r="B49" s="150">
        <v>759</v>
      </c>
      <c r="C49" s="150">
        <v>198.71</v>
      </c>
      <c r="D49" s="150">
        <v>395</v>
      </c>
      <c r="E49" s="150">
        <v>150817.41</v>
      </c>
      <c r="F49" s="150">
        <v>299805</v>
      </c>
      <c r="G49" s="150">
        <v>148987.59</v>
      </c>
      <c r="H49" s="191">
        <f>G49/E49</f>
        <v>0.98786731584901233</v>
      </c>
    </row>
    <row r="50" spans="1:10" ht="15.75">
      <c r="A50" s="149" t="s">
        <v>285</v>
      </c>
      <c r="B50" s="150">
        <v>75</v>
      </c>
      <c r="C50" s="150">
        <v>308.64</v>
      </c>
      <c r="D50" s="150">
        <v>163.81</v>
      </c>
      <c r="E50" s="150">
        <v>23148.22</v>
      </c>
      <c r="F50" s="150">
        <v>12285.75</v>
      </c>
      <c r="G50" s="150">
        <v>-10862.47</v>
      </c>
      <c r="H50" s="191">
        <f>G50/E50</f>
        <v>-0.46925724742550395</v>
      </c>
      <c r="J50" s="188"/>
    </row>
    <row r="51" spans="1:10" ht="15.75">
      <c r="A51" s="149" t="s">
        <v>183</v>
      </c>
      <c r="B51" s="150">
        <v>35</v>
      </c>
      <c r="C51" s="150">
        <v>858.14</v>
      </c>
      <c r="D51" s="150">
        <v>1650.75</v>
      </c>
      <c r="E51" s="150">
        <v>30034.799999999999</v>
      </c>
      <c r="F51" s="150">
        <v>57776.25</v>
      </c>
      <c r="G51" s="150">
        <v>27741.45</v>
      </c>
      <c r="H51" s="191">
        <f>G51/E51</f>
        <v>0.92364357345479253</v>
      </c>
    </row>
    <row r="52" spans="1:10" ht="15.75">
      <c r="A52" s="149" t="s">
        <v>184</v>
      </c>
      <c r="B52" s="150">
        <v>233</v>
      </c>
      <c r="C52" s="150">
        <v>124.86</v>
      </c>
      <c r="D52" s="150">
        <v>201.11</v>
      </c>
      <c r="E52" s="150">
        <v>29092.75</v>
      </c>
      <c r="F52" s="150">
        <v>46858.63</v>
      </c>
      <c r="G52" s="150">
        <v>17765.88</v>
      </c>
      <c r="H52" s="191">
        <f>G52/E52</f>
        <v>0.61066348145156446</v>
      </c>
      <c r="J52" s="188"/>
    </row>
    <row r="53" spans="1:10" ht="15.75">
      <c r="A53" s="149" t="s">
        <v>185</v>
      </c>
      <c r="B53" s="150">
        <v>66</v>
      </c>
      <c r="C53" s="150">
        <v>1730.9</v>
      </c>
      <c r="D53" s="150">
        <v>1902.95</v>
      </c>
      <c r="E53" s="150">
        <v>114239.65</v>
      </c>
      <c r="F53" s="150">
        <v>125594.7</v>
      </c>
      <c r="G53" s="150">
        <v>11355.05</v>
      </c>
      <c r="H53" s="191">
        <f>G53/E53</f>
        <v>9.9396750602789838E-2</v>
      </c>
      <c r="J53" s="188"/>
    </row>
    <row r="54" spans="1:10" ht="15.75">
      <c r="A54" s="149" t="s">
        <v>186</v>
      </c>
      <c r="B54" s="150">
        <v>80</v>
      </c>
      <c r="C54" s="150">
        <v>814.86</v>
      </c>
      <c r="D54" s="150">
        <v>1198.6500000000001</v>
      </c>
      <c r="E54" s="150">
        <v>65188.75</v>
      </c>
      <c r="F54" s="150">
        <v>95892</v>
      </c>
      <c r="G54" s="150">
        <v>30703.25</v>
      </c>
      <c r="H54" s="191">
        <f>G54/E54</f>
        <v>0.47099000977929473</v>
      </c>
      <c r="J54" s="188"/>
    </row>
    <row r="55" spans="1:10" ht="15.75">
      <c r="A55" s="149" t="s">
        <v>187</v>
      </c>
      <c r="B55" s="150">
        <v>20</v>
      </c>
      <c r="C55" s="150">
        <v>2295.38</v>
      </c>
      <c r="D55" s="150">
        <v>2310.4499999999998</v>
      </c>
      <c r="E55" s="150">
        <v>45907.6</v>
      </c>
      <c r="F55" s="150">
        <v>46209</v>
      </c>
      <c r="G55" s="150">
        <v>301.39999999999998</v>
      </c>
      <c r="H55" s="191">
        <f>G55/E55</f>
        <v>6.5653617265986454E-3</v>
      </c>
      <c r="J55" s="188"/>
    </row>
    <row r="56" spans="1:10" ht="15.75">
      <c r="A56" s="149" t="s">
        <v>188</v>
      </c>
      <c r="B56" s="150">
        <v>62</v>
      </c>
      <c r="C56" s="150">
        <v>1053.22</v>
      </c>
      <c r="D56" s="150">
        <v>3164.75</v>
      </c>
      <c r="E56" s="150">
        <v>65299.35</v>
      </c>
      <c r="F56" s="150">
        <v>196214.5</v>
      </c>
      <c r="G56" s="150">
        <v>130915.15</v>
      </c>
      <c r="H56" s="191">
        <f>G56/E56</f>
        <v>2.0048461431851923</v>
      </c>
      <c r="J56" s="188"/>
    </row>
    <row r="57" spans="1:10" ht="15.75">
      <c r="A57" s="149" t="s">
        <v>286</v>
      </c>
      <c r="B57" s="150">
        <v>25</v>
      </c>
      <c r="C57" s="150">
        <v>4933.3100000000004</v>
      </c>
      <c r="D57" s="150">
        <v>4663.45</v>
      </c>
      <c r="E57" s="150">
        <v>123332.83</v>
      </c>
      <c r="F57" s="150">
        <v>116586.25</v>
      </c>
      <c r="G57" s="150">
        <v>-6746.58</v>
      </c>
      <c r="H57" s="191">
        <f>G57/E57</f>
        <v>-5.4702223244208377E-2</v>
      </c>
      <c r="J57" s="188"/>
    </row>
    <row r="58" spans="1:10" ht="15.75">
      <c r="A58" s="149" t="s">
        <v>287</v>
      </c>
      <c r="B58" s="150">
        <v>26</v>
      </c>
      <c r="C58" s="150">
        <v>2259</v>
      </c>
      <c r="D58" s="150">
        <v>1906.2</v>
      </c>
      <c r="E58" s="150">
        <v>58734</v>
      </c>
      <c r="F58" s="150">
        <v>49561.2</v>
      </c>
      <c r="G58" s="150">
        <v>-9172.7999999999993</v>
      </c>
      <c r="H58" s="191">
        <f>G58/E58</f>
        <v>-0.15617529880478087</v>
      </c>
      <c r="J58" s="188"/>
    </row>
    <row r="59" spans="1:10" ht="15.75">
      <c r="A59" s="149" t="s">
        <v>189</v>
      </c>
      <c r="B59" s="150">
        <v>10</v>
      </c>
      <c r="C59" s="150">
        <v>1189.6300000000001</v>
      </c>
      <c r="D59" s="150">
        <v>2585.1</v>
      </c>
      <c r="E59" s="150">
        <v>11896.3</v>
      </c>
      <c r="F59" s="150">
        <v>25851</v>
      </c>
      <c r="G59" s="150">
        <v>13954.7</v>
      </c>
      <c r="H59" s="191">
        <f>G59/E59</f>
        <v>1.1730285887208629</v>
      </c>
    </row>
    <row r="60" spans="1:10" ht="15.75">
      <c r="A60" s="149" t="s">
        <v>190</v>
      </c>
      <c r="B60" s="150">
        <v>28</v>
      </c>
      <c r="C60" s="150">
        <v>2226.31</v>
      </c>
      <c r="D60" s="150">
        <v>2290.6</v>
      </c>
      <c r="E60" s="150">
        <v>62336.7</v>
      </c>
      <c r="F60" s="150">
        <v>64136.800000000003</v>
      </c>
      <c r="G60" s="150">
        <v>1800.1</v>
      </c>
      <c r="H60" s="191">
        <f>G60/E60</f>
        <v>2.8877049956125365E-2</v>
      </c>
      <c r="J60" s="188"/>
    </row>
    <row r="61" spans="1:10" ht="15.75">
      <c r="A61" s="149" t="s">
        <v>191</v>
      </c>
      <c r="B61" s="150">
        <v>114</v>
      </c>
      <c r="C61" s="150">
        <v>490.12</v>
      </c>
      <c r="D61" s="150">
        <v>600.6</v>
      </c>
      <c r="E61" s="150">
        <v>55873.65</v>
      </c>
      <c r="F61" s="150">
        <v>68468.399999999994</v>
      </c>
      <c r="G61" s="150">
        <v>12594.75</v>
      </c>
      <c r="H61" s="191">
        <f>G61/E61</f>
        <v>0.22541484223779903</v>
      </c>
    </row>
    <row r="62" spans="1:10" ht="15.75">
      <c r="A62" s="149" t="s">
        <v>192</v>
      </c>
      <c r="B62" s="150">
        <v>73</v>
      </c>
      <c r="C62" s="150">
        <v>735.56</v>
      </c>
      <c r="D62" s="150">
        <v>997</v>
      </c>
      <c r="E62" s="150">
        <v>53696.15</v>
      </c>
      <c r="F62" s="150">
        <v>72781</v>
      </c>
      <c r="G62" s="150">
        <v>19084.849999999999</v>
      </c>
      <c r="H62" s="191">
        <f>G62/E62</f>
        <v>0.35542306105745008</v>
      </c>
      <c r="J62" s="188"/>
    </row>
    <row r="63" spans="1:10" ht="15.75">
      <c r="A63" s="149" t="s">
        <v>265</v>
      </c>
      <c r="B63" s="150">
        <v>75</v>
      </c>
      <c r="C63" s="150">
        <v>337.52</v>
      </c>
      <c r="D63" s="150">
        <v>364.62</v>
      </c>
      <c r="E63" s="150">
        <v>25314.17</v>
      </c>
      <c r="F63" s="150">
        <v>27346.5</v>
      </c>
      <c r="G63" s="150">
        <v>2032.33</v>
      </c>
      <c r="H63" s="191">
        <f>G63/E63</f>
        <v>8.0284283466532783E-2</v>
      </c>
      <c r="J63" s="188"/>
    </row>
    <row r="64" spans="1:10" ht="15.75">
      <c r="A64" s="149" t="s">
        <v>194</v>
      </c>
      <c r="B64" s="150">
        <v>190</v>
      </c>
      <c r="C64" s="150">
        <v>76.63</v>
      </c>
      <c r="D64" s="150">
        <v>118.59</v>
      </c>
      <c r="E64" s="150">
        <v>14558.98</v>
      </c>
      <c r="F64" s="150">
        <v>22532.1</v>
      </c>
      <c r="G64" s="150">
        <v>7973.12</v>
      </c>
      <c r="H64" s="191">
        <f>G64/E64</f>
        <v>0.54764276068790529</v>
      </c>
    </row>
    <row r="65" spans="1:10" ht="15.75">
      <c r="A65" s="149" t="s">
        <v>195</v>
      </c>
      <c r="B65" s="150">
        <v>33</v>
      </c>
      <c r="C65" s="150">
        <v>2284.62</v>
      </c>
      <c r="D65" s="150">
        <v>2247.25</v>
      </c>
      <c r="E65" s="150">
        <v>75392.600000000006</v>
      </c>
      <c r="F65" s="150">
        <v>74159.25</v>
      </c>
      <c r="G65" s="150">
        <v>-1233.3499999999999</v>
      </c>
      <c r="H65" s="191">
        <f>G65/E65</f>
        <v>-1.6359032584099764E-2</v>
      </c>
      <c r="J65" s="188"/>
    </row>
    <row r="66" spans="1:10" ht="15.75">
      <c r="A66" s="149" t="s">
        <v>196</v>
      </c>
      <c r="B66" s="150">
        <v>21</v>
      </c>
      <c r="C66" s="150">
        <v>2605.84</v>
      </c>
      <c r="D66" s="150">
        <v>2189.8000000000002</v>
      </c>
      <c r="E66" s="150">
        <v>54722.6</v>
      </c>
      <c r="F66" s="150">
        <v>45985.8</v>
      </c>
      <c r="G66" s="150">
        <v>-8736.7999999999993</v>
      </c>
      <c r="H66" s="191">
        <f>G66/E66</f>
        <v>-0.15965615668846142</v>
      </c>
    </row>
    <row r="67" spans="1:10" ht="15.75">
      <c r="A67" s="149" t="s">
        <v>197</v>
      </c>
      <c r="B67" s="150">
        <v>145</v>
      </c>
      <c r="C67" s="150">
        <v>127.63</v>
      </c>
      <c r="D67" s="150">
        <v>131.30000000000001</v>
      </c>
      <c r="E67" s="150">
        <v>18506.099999999999</v>
      </c>
      <c r="F67" s="150">
        <v>19038.5</v>
      </c>
      <c r="G67" s="150">
        <v>532.4</v>
      </c>
      <c r="H67" s="191">
        <f>G67/E67</f>
        <v>2.8768892419256353E-2</v>
      </c>
      <c r="J67" s="188"/>
    </row>
    <row r="68" spans="1:10" ht="15.75">
      <c r="A68" s="149" t="s">
        <v>198</v>
      </c>
      <c r="B68" s="150">
        <v>88</v>
      </c>
      <c r="C68" s="150">
        <v>582.44000000000005</v>
      </c>
      <c r="D68" s="150">
        <v>1484.5</v>
      </c>
      <c r="E68" s="150">
        <v>51255.05</v>
      </c>
      <c r="F68" s="150">
        <v>130636</v>
      </c>
      <c r="G68" s="150">
        <v>79380.95</v>
      </c>
      <c r="H68" s="191">
        <f>G68/E68</f>
        <v>1.5487439774227123</v>
      </c>
      <c r="J68" s="188"/>
    </row>
    <row r="69" spans="1:10" ht="15.75">
      <c r="A69" s="149" t="s">
        <v>199</v>
      </c>
      <c r="B69" s="150">
        <v>10</v>
      </c>
      <c r="C69" s="150">
        <v>4342.57</v>
      </c>
      <c r="D69" s="150">
        <v>7763.9</v>
      </c>
      <c r="E69" s="150">
        <v>43425.7</v>
      </c>
      <c r="F69" s="150">
        <v>77639</v>
      </c>
      <c r="G69" s="150">
        <v>34213.300000000003</v>
      </c>
      <c r="H69" s="191">
        <f>G69/E69</f>
        <v>0.78785834194958293</v>
      </c>
      <c r="J69" s="188"/>
    </row>
    <row r="70" spans="1:10" ht="15.75">
      <c r="A70" s="149" t="s">
        <v>200</v>
      </c>
      <c r="B70" s="150">
        <v>300</v>
      </c>
      <c r="C70" s="150">
        <v>82.33</v>
      </c>
      <c r="D70" s="150">
        <v>225.3</v>
      </c>
      <c r="E70" s="150">
        <v>24700</v>
      </c>
      <c r="F70" s="150">
        <v>67590</v>
      </c>
      <c r="G70" s="150">
        <v>42890</v>
      </c>
      <c r="H70" s="191">
        <f>G70/E70</f>
        <v>1.7364372469635627</v>
      </c>
      <c r="J70" s="188"/>
    </row>
    <row r="71" spans="1:10" ht="15.75">
      <c r="A71" s="149" t="s">
        <v>201</v>
      </c>
      <c r="B71" s="150">
        <v>16</v>
      </c>
      <c r="C71" s="150">
        <v>2003.97</v>
      </c>
      <c r="D71" s="150">
        <v>5303.9</v>
      </c>
      <c r="E71" s="150">
        <v>32063.45</v>
      </c>
      <c r="F71" s="150">
        <v>84862.399999999994</v>
      </c>
      <c r="G71" s="150">
        <v>52798.95</v>
      </c>
      <c r="H71" s="191">
        <f>G71/E71</f>
        <v>1.6467020860200632</v>
      </c>
      <c r="J71" s="188"/>
    </row>
    <row r="72" spans="1:10" ht="15.75">
      <c r="A72" s="149" t="s">
        <v>202</v>
      </c>
      <c r="B72" s="150">
        <v>44</v>
      </c>
      <c r="C72" s="150">
        <v>684.86</v>
      </c>
      <c r="D72" s="150">
        <v>1548.1</v>
      </c>
      <c r="E72" s="150">
        <v>30133.7</v>
      </c>
      <c r="F72" s="150">
        <v>68116.399999999994</v>
      </c>
      <c r="G72" s="150">
        <v>37982.699999999997</v>
      </c>
      <c r="H72" s="191">
        <f>G72/E72</f>
        <v>1.2604724942506229</v>
      </c>
      <c r="J72" s="188"/>
    </row>
    <row r="73" spans="1:10" ht="15.75">
      <c r="A73" s="149" t="s">
        <v>203</v>
      </c>
      <c r="B73" s="150">
        <v>30</v>
      </c>
      <c r="C73" s="150">
        <v>2499.15</v>
      </c>
      <c r="D73" s="150">
        <v>2657.9</v>
      </c>
      <c r="E73" s="150">
        <v>74974.350000000006</v>
      </c>
      <c r="F73" s="150">
        <v>79737</v>
      </c>
      <c r="G73" s="150">
        <v>4762.6499999999996</v>
      </c>
      <c r="H73" s="191">
        <f>G73/E73</f>
        <v>6.3523725113988974E-2</v>
      </c>
    </row>
    <row r="74" spans="1:10" ht="15.75">
      <c r="A74" s="149" t="s">
        <v>288</v>
      </c>
      <c r="B74" s="150">
        <v>35</v>
      </c>
      <c r="C74" s="150">
        <v>1828.05</v>
      </c>
      <c r="D74" s="150">
        <v>1465.95</v>
      </c>
      <c r="E74" s="150">
        <v>63981.75</v>
      </c>
      <c r="F74" s="150">
        <v>51308.25</v>
      </c>
      <c r="G74" s="150">
        <v>-12673.5</v>
      </c>
      <c r="H74" s="191">
        <f>G74/E74</f>
        <v>-0.19807992122753754</v>
      </c>
      <c r="J74" s="188"/>
    </row>
    <row r="75" spans="1:10" ht="15.75">
      <c r="A75" s="149" t="s">
        <v>204</v>
      </c>
      <c r="B75" s="150">
        <v>24</v>
      </c>
      <c r="C75" s="150">
        <v>625.94000000000005</v>
      </c>
      <c r="D75" s="150">
        <v>1126.5999999999999</v>
      </c>
      <c r="E75" s="150">
        <v>15022.5</v>
      </c>
      <c r="F75" s="150">
        <v>27038.400000000001</v>
      </c>
      <c r="G75" s="150">
        <v>12015.9</v>
      </c>
      <c r="H75" s="191">
        <f>G75/E75</f>
        <v>0.79986020968547178</v>
      </c>
      <c r="J75" s="188"/>
    </row>
    <row r="76" spans="1:10" ht="15.75">
      <c r="A76" s="149" t="s">
        <v>205</v>
      </c>
      <c r="B76" s="150">
        <v>20</v>
      </c>
      <c r="C76" s="150">
        <v>1000</v>
      </c>
      <c r="D76" s="150">
        <v>1058.5</v>
      </c>
      <c r="E76" s="150">
        <v>20000</v>
      </c>
      <c r="F76" s="150">
        <v>21170</v>
      </c>
      <c r="G76" s="150">
        <v>0</v>
      </c>
      <c r="H76" s="191">
        <f>G76/E76</f>
        <v>0</v>
      </c>
      <c r="J76" s="188"/>
    </row>
    <row r="77" spans="1:10" ht="15.75">
      <c r="A77" s="149" t="s">
        <v>206</v>
      </c>
      <c r="B77" s="150">
        <v>54</v>
      </c>
      <c r="C77" s="150">
        <v>1278.8599999999999</v>
      </c>
      <c r="D77" s="150">
        <v>1429.5</v>
      </c>
      <c r="E77" s="150">
        <v>69058.3</v>
      </c>
      <c r="F77" s="150">
        <v>77193</v>
      </c>
      <c r="G77" s="150">
        <v>8134.7</v>
      </c>
      <c r="H77" s="191">
        <f>G77/E77</f>
        <v>0.11779467493407743</v>
      </c>
    </row>
    <row r="78" spans="1:10" ht="15.75">
      <c r="A78" s="149" t="s">
        <v>207</v>
      </c>
      <c r="B78" s="150">
        <v>59</v>
      </c>
      <c r="C78" s="150">
        <v>390.96</v>
      </c>
      <c r="D78" s="150">
        <v>688.8</v>
      </c>
      <c r="E78" s="150">
        <v>23066.5</v>
      </c>
      <c r="F78" s="150">
        <v>40639.199999999997</v>
      </c>
      <c r="G78" s="150">
        <v>17572.7</v>
      </c>
      <c r="H78" s="191">
        <f>G78/E78</f>
        <v>0.76182775887109011</v>
      </c>
    </row>
    <row r="79" spans="1:10" ht="15.75">
      <c r="A79" s="149" t="s">
        <v>208</v>
      </c>
      <c r="B79" s="150">
        <v>10</v>
      </c>
      <c r="C79" s="150">
        <v>5284</v>
      </c>
      <c r="D79" s="150">
        <v>8560</v>
      </c>
      <c r="E79" s="150">
        <v>52840</v>
      </c>
      <c r="F79" s="150">
        <v>85600</v>
      </c>
      <c r="G79" s="150">
        <v>32760</v>
      </c>
      <c r="H79" s="191">
        <f>G79/E79</f>
        <v>0.61998485995457986</v>
      </c>
    </row>
    <row r="80" spans="1:10" ht="15.75">
      <c r="A80" s="149" t="s">
        <v>260</v>
      </c>
      <c r="B80" s="150">
        <v>5</v>
      </c>
      <c r="C80" s="150">
        <v>4802</v>
      </c>
      <c r="D80" s="150">
        <v>8460</v>
      </c>
      <c r="E80" s="150">
        <v>24010</v>
      </c>
      <c r="F80" s="150">
        <v>42300</v>
      </c>
      <c r="G80" s="150">
        <v>18290</v>
      </c>
      <c r="H80" s="191">
        <f>G80/E80</f>
        <v>0.76176593086214073</v>
      </c>
      <c r="J80" s="188"/>
    </row>
    <row r="81" spans="1:10" ht="15.75">
      <c r="A81" s="149" t="s">
        <v>261</v>
      </c>
      <c r="B81" s="150">
        <v>10</v>
      </c>
      <c r="C81" s="150">
        <v>5002.45</v>
      </c>
      <c r="D81" s="150">
        <v>8504.9</v>
      </c>
      <c r="E81" s="150">
        <v>50024.5</v>
      </c>
      <c r="F81" s="150">
        <v>85049</v>
      </c>
      <c r="G81" s="150">
        <v>35024.5</v>
      </c>
      <c r="H81" s="191">
        <f>G81/E81</f>
        <v>0.70014692800527745</v>
      </c>
      <c r="J81" s="188"/>
    </row>
    <row r="82" spans="1:10" ht="15.75">
      <c r="A82" s="149" t="s">
        <v>211</v>
      </c>
      <c r="B82" s="150">
        <v>35</v>
      </c>
      <c r="C82" s="150">
        <v>984.23</v>
      </c>
      <c r="D82" s="150">
        <v>4623.5</v>
      </c>
      <c r="E82" s="150">
        <v>34448.050000000003</v>
      </c>
      <c r="F82" s="150">
        <v>161822.5</v>
      </c>
      <c r="G82" s="150">
        <v>127374.45</v>
      </c>
      <c r="H82" s="191">
        <f>G82/E82</f>
        <v>3.6975808500045715</v>
      </c>
    </row>
    <row r="83" spans="1:10" ht="15.75">
      <c r="A83" s="149" t="s">
        <v>289</v>
      </c>
      <c r="B83" s="150">
        <v>21</v>
      </c>
      <c r="C83" s="150">
        <v>1808</v>
      </c>
      <c r="D83" s="150">
        <v>1201.25</v>
      </c>
      <c r="E83" s="150">
        <v>37968</v>
      </c>
      <c r="F83" s="150">
        <v>25226.25</v>
      </c>
      <c r="G83" s="150">
        <v>-12741.75</v>
      </c>
      <c r="H83" s="191">
        <f>G83/E83</f>
        <v>-0.33559181415929201</v>
      </c>
    </row>
    <row r="84" spans="1:10" ht="15.75">
      <c r="A84" s="149" t="s">
        <v>290</v>
      </c>
      <c r="B84" s="150">
        <v>43</v>
      </c>
      <c r="C84" s="150">
        <v>566.69000000000005</v>
      </c>
      <c r="D84" s="150">
        <v>494.25</v>
      </c>
      <c r="E84" s="150">
        <v>24367.75</v>
      </c>
      <c r="F84" s="150">
        <v>21252.75</v>
      </c>
      <c r="G84" s="150">
        <v>-3115</v>
      </c>
      <c r="H84" s="191">
        <f>G84/E84</f>
        <v>-0.12783289388638672</v>
      </c>
      <c r="J84" s="188"/>
    </row>
    <row r="85" spans="1:10" ht="15.75">
      <c r="A85" s="149" t="s">
        <v>291</v>
      </c>
      <c r="B85" s="150">
        <v>208</v>
      </c>
      <c r="C85" s="150">
        <v>484.86</v>
      </c>
      <c r="D85" s="150">
        <v>375.3</v>
      </c>
      <c r="E85" s="150">
        <v>100851.5</v>
      </c>
      <c r="F85" s="150">
        <v>78062.399999999994</v>
      </c>
      <c r="G85" s="150">
        <v>-22789.1</v>
      </c>
      <c r="H85" s="191">
        <f>G85/E85</f>
        <v>-0.22596689191534086</v>
      </c>
      <c r="J85" s="188"/>
    </row>
    <row r="86" spans="1:10" ht="15.75">
      <c r="A86" s="149" t="s">
        <v>292</v>
      </c>
      <c r="B86" s="150">
        <v>59</v>
      </c>
      <c r="C86" s="150">
        <v>983.69</v>
      </c>
      <c r="D86" s="150">
        <v>933.9</v>
      </c>
      <c r="E86" s="150">
        <v>58037.5</v>
      </c>
      <c r="F86" s="150">
        <v>55100.1</v>
      </c>
      <c r="G86" s="150">
        <v>-2937.4</v>
      </c>
      <c r="H86" s="191">
        <f>G86/E86</f>
        <v>-5.0612104242946369E-2</v>
      </c>
    </row>
    <row r="87" spans="1:10" ht="15.75">
      <c r="A87" s="149" t="s">
        <v>212</v>
      </c>
      <c r="B87" s="150">
        <v>143</v>
      </c>
      <c r="C87" s="150">
        <v>579.84</v>
      </c>
      <c r="D87" s="150">
        <v>1593.9</v>
      </c>
      <c r="E87" s="150">
        <v>82917.149999999994</v>
      </c>
      <c r="F87" s="150">
        <v>227927.7</v>
      </c>
      <c r="G87" s="150">
        <v>145010.54999999999</v>
      </c>
      <c r="H87" s="191">
        <f>G87/E87</f>
        <v>1.7488607604096378</v>
      </c>
    </row>
    <row r="88" spans="1:10" ht="15.75">
      <c r="A88" s="149" t="s">
        <v>293</v>
      </c>
      <c r="B88" s="150">
        <v>47</v>
      </c>
      <c r="C88" s="150">
        <v>426.11</v>
      </c>
      <c r="D88" s="150">
        <v>406.25</v>
      </c>
      <c r="E88" s="150">
        <v>20027.3</v>
      </c>
      <c r="F88" s="150">
        <v>19093.75</v>
      </c>
      <c r="G88" s="150">
        <v>-933.55</v>
      </c>
      <c r="H88" s="191">
        <f>G88/E88</f>
        <v>-4.661387206463178E-2</v>
      </c>
      <c r="J88" s="188"/>
    </row>
    <row r="89" spans="1:10" ht="15.75">
      <c r="A89" s="149" t="s">
        <v>213</v>
      </c>
      <c r="B89" s="150">
        <v>75</v>
      </c>
      <c r="C89" s="150">
        <v>581.84</v>
      </c>
      <c r="D89" s="150">
        <v>652.5</v>
      </c>
      <c r="E89" s="150">
        <v>43638</v>
      </c>
      <c r="F89" s="150">
        <v>48937.5</v>
      </c>
      <c r="G89" s="150">
        <v>5299.5</v>
      </c>
      <c r="H89" s="191">
        <f>G89/E89</f>
        <v>0.12144232091296576</v>
      </c>
    </row>
    <row r="90" spans="1:10" ht="15.75">
      <c r="A90" s="149" t="s">
        <v>214</v>
      </c>
      <c r="B90" s="150">
        <v>46</v>
      </c>
      <c r="C90" s="150">
        <v>794.51</v>
      </c>
      <c r="D90" s="150">
        <v>963.7</v>
      </c>
      <c r="E90" s="150">
        <v>36547.300000000003</v>
      </c>
      <c r="F90" s="150">
        <v>44330.2</v>
      </c>
      <c r="G90" s="150">
        <v>7782.9</v>
      </c>
      <c r="H90" s="191">
        <f>G90/E90</f>
        <v>0.21295417171719933</v>
      </c>
    </row>
    <row r="91" spans="1:10" ht="15.75">
      <c r="A91" s="149" t="s">
        <v>267</v>
      </c>
      <c r="B91" s="150">
        <v>579</v>
      </c>
      <c r="C91" s="150">
        <v>203.54</v>
      </c>
      <c r="D91" s="150">
        <v>620.65</v>
      </c>
      <c r="E91" s="150">
        <v>117852.44</v>
      </c>
      <c r="F91" s="150">
        <v>359356.35</v>
      </c>
      <c r="G91" s="150">
        <v>241503.91</v>
      </c>
      <c r="H91" s="191">
        <f>G91/E91</f>
        <v>2.049205854371789</v>
      </c>
    </row>
    <row r="92" spans="1:10" ht="15.75">
      <c r="A92" s="149" t="s">
        <v>215</v>
      </c>
      <c r="B92" s="150">
        <v>1050</v>
      </c>
      <c r="C92" s="150">
        <v>40.479999999999997</v>
      </c>
      <c r="D92" s="150">
        <v>137.19999999999999</v>
      </c>
      <c r="E92" s="150">
        <v>42500.25</v>
      </c>
      <c r="F92" s="150">
        <v>144060</v>
      </c>
      <c r="G92" s="150">
        <v>101559.75</v>
      </c>
      <c r="H92" s="191">
        <f>G92/E92</f>
        <v>2.3896271198404717</v>
      </c>
    </row>
    <row r="93" spans="1:10" ht="15.75">
      <c r="A93" s="149" t="s">
        <v>216</v>
      </c>
      <c r="B93" s="150">
        <v>33</v>
      </c>
      <c r="C93" s="150">
        <v>3575.9</v>
      </c>
      <c r="D93" s="150">
        <v>3483.9</v>
      </c>
      <c r="E93" s="150">
        <v>118004.55</v>
      </c>
      <c r="F93" s="150">
        <v>114968.7</v>
      </c>
      <c r="G93" s="150">
        <v>-3035.85</v>
      </c>
      <c r="H93" s="191">
        <f>G93/E93</f>
        <v>-2.5726550374540642E-2</v>
      </c>
    </row>
    <row r="94" spans="1:10" ht="15.75">
      <c r="A94" s="149" t="s">
        <v>217</v>
      </c>
      <c r="B94" s="150">
        <v>24</v>
      </c>
      <c r="C94" s="150">
        <v>2584.4</v>
      </c>
      <c r="D94" s="150">
        <v>3077.25</v>
      </c>
      <c r="E94" s="150">
        <v>62025.599999999999</v>
      </c>
      <c r="F94" s="150">
        <v>73854</v>
      </c>
      <c r="G94" s="150">
        <v>11828.4</v>
      </c>
      <c r="H94" s="191">
        <f>G94/E94</f>
        <v>0.19070190373007273</v>
      </c>
    </row>
    <row r="95" spans="1:10" ht="15.75">
      <c r="A95" s="149" t="s">
        <v>220</v>
      </c>
      <c r="B95" s="150">
        <v>45</v>
      </c>
      <c r="C95" s="150">
        <v>355.21</v>
      </c>
      <c r="D95" s="150">
        <v>825.9</v>
      </c>
      <c r="E95" s="150">
        <v>15984.6</v>
      </c>
      <c r="F95" s="150">
        <v>37165.5</v>
      </c>
      <c r="G95" s="150">
        <v>21180.9</v>
      </c>
      <c r="H95" s="191">
        <f>G95/E95</f>
        <v>1.3250816410795392</v>
      </c>
    </row>
    <row r="96" spans="1:10" ht="15.75">
      <c r="A96" s="149" t="s">
        <v>221</v>
      </c>
      <c r="B96" s="150">
        <v>90</v>
      </c>
      <c r="C96" s="150">
        <v>48.04</v>
      </c>
      <c r="D96" s="150">
        <v>436.05</v>
      </c>
      <c r="E96" s="150">
        <v>4323.6499999999996</v>
      </c>
      <c r="F96" s="150">
        <v>39244.5</v>
      </c>
      <c r="G96" s="150">
        <v>34920.85</v>
      </c>
      <c r="H96" s="191">
        <f>G96/E96</f>
        <v>8.0767060238455937</v>
      </c>
    </row>
    <row r="97" spans="1:8" ht="16.5">
      <c r="A97" s="149"/>
      <c r="B97" s="150"/>
      <c r="C97" s="150"/>
      <c r="D97" s="150"/>
      <c r="E97" s="151"/>
      <c r="F97" s="150"/>
      <c r="G97" s="150"/>
      <c r="H97" s="191"/>
    </row>
    <row r="98" spans="1:8">
      <c r="A98" s="149"/>
      <c r="B98" s="150"/>
      <c r="C98" s="150"/>
      <c r="D98" s="150"/>
      <c r="E98" s="151"/>
      <c r="F98" s="150"/>
      <c r="G98" s="150"/>
      <c r="H98" s="174"/>
    </row>
    <row r="99" spans="1:8">
      <c r="A99" s="149"/>
      <c r="B99" s="150"/>
      <c r="C99" s="150"/>
      <c r="D99" s="150"/>
      <c r="E99" s="151"/>
      <c r="F99" s="150"/>
      <c r="G99" s="150"/>
      <c r="H99" s="174"/>
    </row>
    <row r="100" spans="1:8">
      <c r="A100" s="149"/>
      <c r="B100" s="150"/>
      <c r="C100" s="150"/>
      <c r="D100" s="150"/>
      <c r="E100" s="151"/>
      <c r="F100" s="150"/>
      <c r="G100" s="150"/>
      <c r="H100" s="174"/>
    </row>
    <row r="101" spans="1:8">
      <c r="A101" s="149"/>
      <c r="B101" s="150"/>
      <c r="C101" s="150"/>
      <c r="D101" s="150"/>
      <c r="E101" s="151"/>
      <c r="F101" s="150"/>
      <c r="G101" s="150"/>
      <c r="H101" s="174"/>
    </row>
    <row r="102" spans="1:8">
      <c r="A102" s="77"/>
      <c r="B102" s="76"/>
      <c r="C102" s="179"/>
      <c r="D102" s="179"/>
      <c r="E102" s="78"/>
      <c r="F102" s="179"/>
      <c r="G102" s="179"/>
      <c r="H102" s="175"/>
    </row>
    <row r="103" spans="1:8">
      <c r="A103" s="77"/>
      <c r="B103" s="76"/>
      <c r="C103" s="179"/>
      <c r="D103" s="179"/>
      <c r="E103" s="78"/>
      <c r="F103" s="179"/>
      <c r="G103" s="179"/>
      <c r="H103" s="175"/>
    </row>
    <row r="104" spans="1:8" ht="18">
      <c r="A104" s="44" t="s">
        <v>11</v>
      </c>
      <c r="B104" s="45">
        <f>SUM(B2:B103)</f>
        <v>16605</v>
      </c>
      <c r="C104" s="45"/>
      <c r="D104" s="45"/>
      <c r="E104" s="45">
        <f>SUM(E2:E103)</f>
        <v>4942050.2200000007</v>
      </c>
      <c r="F104" s="45">
        <f>SUM(F2:F103)</f>
        <v>7211071.1600000011</v>
      </c>
      <c r="G104" s="45">
        <f>SUM(G2:G103)</f>
        <v>2267850.939999999</v>
      </c>
      <c r="H104" s="176">
        <f>G104/E104</f>
        <v>0.45888868769933278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77A6-3BDE-4C0E-86F6-CDAEB78B14C1}">
  <dimension ref="A1:J18"/>
  <sheetViews>
    <sheetView workbookViewId="0">
      <selection activeCell="F8" sqref="F8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t="s">
        <v>233</v>
      </c>
      <c r="C2" s="188">
        <v>25782.983</v>
      </c>
      <c r="D2">
        <v>8.14</v>
      </c>
      <c r="E2">
        <v>7.7605000000000004</v>
      </c>
      <c r="F2" s="188">
        <v>200089.9999</v>
      </c>
      <c r="G2" s="188">
        <v>209873.4816</v>
      </c>
      <c r="H2" s="188">
        <v>9783.4817000000003</v>
      </c>
      <c r="I2" s="192">
        <f>H2/F2</f>
        <v>4.8895405591931333E-2</v>
      </c>
    </row>
    <row r="3" spans="1:9">
      <c r="A3" s="168" t="s">
        <v>234</v>
      </c>
      <c r="B3" t="s">
        <v>235</v>
      </c>
      <c r="C3" s="188">
        <v>4080.9659999999999</v>
      </c>
      <c r="D3">
        <v>109.2</v>
      </c>
      <c r="E3">
        <v>68.607799999999997</v>
      </c>
      <c r="F3" s="188">
        <v>279986.10960000003</v>
      </c>
      <c r="G3" s="188">
        <v>445641.48719999997</v>
      </c>
      <c r="H3" s="188">
        <v>165655.37760000001</v>
      </c>
      <c r="I3" s="192">
        <f t="shared" ref="I3:I18" si="0">H3/F3</f>
        <v>0.5916556997654715</v>
      </c>
    </row>
    <row r="4" spans="1:9">
      <c r="A4" s="168" t="s">
        <v>236</v>
      </c>
      <c r="B4" t="s">
        <v>237</v>
      </c>
      <c r="C4" s="188">
        <v>14235.332</v>
      </c>
      <c r="D4">
        <v>102.34</v>
      </c>
      <c r="E4">
        <v>47.766100000000002</v>
      </c>
      <c r="F4" s="188">
        <v>679966.92570000002</v>
      </c>
      <c r="G4" s="188">
        <v>1456843.8769</v>
      </c>
      <c r="H4" s="188">
        <v>776876.95120000001</v>
      </c>
      <c r="I4" s="192">
        <f t="shared" si="0"/>
        <v>1.142521675448015</v>
      </c>
    </row>
    <row r="5" spans="1:9">
      <c r="A5" s="168" t="s">
        <v>238</v>
      </c>
      <c r="B5" t="s">
        <v>237</v>
      </c>
      <c r="C5" s="188">
        <v>29743.071</v>
      </c>
      <c r="D5">
        <v>35.47</v>
      </c>
      <c r="E5">
        <v>33.115299999999998</v>
      </c>
      <c r="F5" s="188">
        <v>984950.75009999995</v>
      </c>
      <c r="G5" s="188">
        <v>1054986.7283999999</v>
      </c>
      <c r="H5" s="188">
        <v>70035.978300000002</v>
      </c>
      <c r="I5" s="192">
        <f t="shared" si="0"/>
        <v>7.1106071336957094E-2</v>
      </c>
    </row>
    <row r="6" spans="1:9">
      <c r="A6" s="168" t="s">
        <v>240</v>
      </c>
      <c r="B6" t="s">
        <v>241</v>
      </c>
      <c r="C6" s="188">
        <v>1857.5519999999999</v>
      </c>
      <c r="D6">
        <v>690.08360000000005</v>
      </c>
      <c r="E6">
        <v>366.02140000000003</v>
      </c>
      <c r="F6" s="188">
        <v>679903.69869999995</v>
      </c>
      <c r="G6" s="188">
        <v>1281866.1713</v>
      </c>
      <c r="H6" s="188">
        <v>601962.47270000004</v>
      </c>
      <c r="I6" s="192">
        <f t="shared" si="0"/>
        <v>0.88536431534491389</v>
      </c>
    </row>
    <row r="7" spans="1:9">
      <c r="A7" s="168" t="s">
        <v>242</v>
      </c>
      <c r="B7" t="s">
        <v>237</v>
      </c>
      <c r="C7" s="188">
        <v>4306.576</v>
      </c>
      <c r="D7">
        <v>128.96</v>
      </c>
      <c r="E7">
        <v>44.3917</v>
      </c>
      <c r="F7" s="188">
        <v>191176.2298</v>
      </c>
      <c r="G7" s="188">
        <v>555376.04099999997</v>
      </c>
      <c r="H7" s="188">
        <v>364199.81109999999</v>
      </c>
      <c r="I7" s="192">
        <f t="shared" si="0"/>
        <v>1.9050475651759087</v>
      </c>
    </row>
    <row r="8" spans="1:9">
      <c r="A8" s="168" t="s">
        <v>272</v>
      </c>
      <c r="B8" t="s">
        <v>235</v>
      </c>
      <c r="C8" s="188">
        <v>5805.7370000000001</v>
      </c>
      <c r="D8">
        <v>125.416</v>
      </c>
      <c r="E8">
        <v>41.940399999999997</v>
      </c>
      <c r="F8" s="188">
        <v>243495.1642</v>
      </c>
      <c r="G8" s="188">
        <v>728132.31160000002</v>
      </c>
      <c r="H8" s="188">
        <v>484637.14740000002</v>
      </c>
      <c r="I8" s="192">
        <f t="shared" si="0"/>
        <v>1.9903358203940873</v>
      </c>
    </row>
    <row r="9" spans="1:9">
      <c r="A9" s="168" t="s">
        <v>244</v>
      </c>
      <c r="B9" t="s">
        <v>233</v>
      </c>
      <c r="C9" s="188">
        <v>13136.35</v>
      </c>
      <c r="D9">
        <v>39.006900000000002</v>
      </c>
      <c r="E9">
        <v>29.687100000000001</v>
      </c>
      <c r="F9" s="188">
        <v>389980.446</v>
      </c>
      <c r="G9" s="188">
        <v>512408.29080000002</v>
      </c>
      <c r="H9" s="188">
        <v>122427.84480000001</v>
      </c>
      <c r="I9" s="192">
        <f t="shared" si="0"/>
        <v>0.31393329090146227</v>
      </c>
    </row>
    <row r="10" spans="1:9">
      <c r="A10" s="168" t="s">
        <v>273</v>
      </c>
      <c r="B10" t="s">
        <v>233</v>
      </c>
      <c r="C10" s="188">
        <v>82131.043999999994</v>
      </c>
      <c r="D10">
        <v>15.9876</v>
      </c>
      <c r="E10">
        <v>9.9227000000000007</v>
      </c>
      <c r="F10" s="188">
        <v>814959.2439</v>
      </c>
      <c r="G10" s="188">
        <v>1313078.2790999999</v>
      </c>
      <c r="H10" s="188">
        <v>498119.03519999998</v>
      </c>
      <c r="I10" s="192">
        <f t="shared" si="0"/>
        <v>0.61121956579846093</v>
      </c>
    </row>
    <row r="11" spans="1:9">
      <c r="A11" s="168" t="s">
        <v>246</v>
      </c>
      <c r="B11" t="s">
        <v>241</v>
      </c>
      <c r="C11" s="188">
        <v>71662.639500000005</v>
      </c>
      <c r="D11">
        <v>14.366199999999999</v>
      </c>
      <c r="E11">
        <v>12.7049</v>
      </c>
      <c r="F11" s="188">
        <v>910465.01630000002</v>
      </c>
      <c r="G11" s="188">
        <v>1029519.8116</v>
      </c>
      <c r="H11" s="188">
        <v>119054.79519999999</v>
      </c>
      <c r="I11" s="192">
        <f t="shared" si="0"/>
        <v>0.1307626246682401</v>
      </c>
    </row>
    <row r="12" spans="1:9">
      <c r="A12" s="168" t="s">
        <v>247</v>
      </c>
      <c r="B12" t="s">
        <v>241</v>
      </c>
      <c r="C12" s="188">
        <v>44083.591999999997</v>
      </c>
      <c r="D12">
        <v>13.498799999999999</v>
      </c>
      <c r="E12">
        <v>14.0748</v>
      </c>
      <c r="F12" s="188">
        <v>620468.97069999995</v>
      </c>
      <c r="G12" s="188">
        <v>595075.59169999999</v>
      </c>
      <c r="H12" s="188">
        <v>-25393.379000000001</v>
      </c>
      <c r="I12" s="192">
        <f t="shared" si="0"/>
        <v>-4.092610621825573E-2</v>
      </c>
    </row>
    <row r="13" spans="1:9">
      <c r="A13" s="168" t="s">
        <v>250</v>
      </c>
      <c r="B13" t="s">
        <v>251</v>
      </c>
      <c r="C13" s="188">
        <v>19397.659</v>
      </c>
      <c r="D13">
        <v>83.491299999999995</v>
      </c>
      <c r="E13">
        <v>44.640599999999999</v>
      </c>
      <c r="F13" s="188">
        <v>865923.00470000005</v>
      </c>
      <c r="G13" s="188">
        <v>1619535.7668999999</v>
      </c>
      <c r="H13" s="188">
        <v>753612.7622</v>
      </c>
      <c r="I13" s="192">
        <f t="shared" si="0"/>
        <v>0.8702999667517668</v>
      </c>
    </row>
    <row r="14" spans="1:9">
      <c r="A14" s="168" t="s">
        <v>274</v>
      </c>
      <c r="B14" t="s">
        <v>233</v>
      </c>
      <c r="C14" s="188">
        <v>6809.741</v>
      </c>
      <c r="D14">
        <v>48.48</v>
      </c>
      <c r="E14">
        <v>35.241999999999997</v>
      </c>
      <c r="F14" s="188">
        <v>239988.8371</v>
      </c>
      <c r="G14" s="188">
        <v>330136.24369999999</v>
      </c>
      <c r="H14" s="188">
        <v>90147.406600000002</v>
      </c>
      <c r="I14" s="192">
        <f t="shared" si="0"/>
        <v>0.37563166557799865</v>
      </c>
    </row>
    <row r="15" spans="1:9">
      <c r="A15" s="168" t="s">
        <v>253</v>
      </c>
      <c r="B15" t="s">
        <v>235</v>
      </c>
      <c r="C15" s="188">
        <v>4805.7539999999999</v>
      </c>
      <c r="D15">
        <v>209.93369999999999</v>
      </c>
      <c r="E15">
        <v>195.6634</v>
      </c>
      <c r="F15" s="188">
        <v>940310.17460000003</v>
      </c>
      <c r="G15" s="188">
        <v>1008889.7185</v>
      </c>
      <c r="H15" s="188">
        <v>68579.543900000004</v>
      </c>
      <c r="I15" s="192">
        <f t="shared" si="0"/>
        <v>7.2932895710900031E-2</v>
      </c>
    </row>
    <row r="16" spans="1:9">
      <c r="A16" s="168" t="s">
        <v>255</v>
      </c>
      <c r="B16" t="s">
        <v>241</v>
      </c>
      <c r="C16" s="188">
        <v>18996.168000000001</v>
      </c>
      <c r="D16">
        <v>20.996700000000001</v>
      </c>
      <c r="E16">
        <v>9.4700000000000006</v>
      </c>
      <c r="F16" s="188">
        <v>179893.71100000001</v>
      </c>
      <c r="G16" s="188">
        <v>398856.8406</v>
      </c>
      <c r="H16" s="188">
        <v>218963.12969999999</v>
      </c>
      <c r="I16" s="192">
        <f t="shared" si="0"/>
        <v>1.2171805700311558</v>
      </c>
    </row>
    <row r="17" spans="1:10">
      <c r="A17" s="168"/>
      <c r="B17"/>
      <c r="C17" s="188"/>
      <c r="D17"/>
      <c r="E17"/>
      <c r="F17" s="188"/>
      <c r="G17" s="188"/>
      <c r="H17" s="188"/>
      <c r="I17" s="192"/>
    </row>
    <row r="18" spans="1:10">
      <c r="A18" s="74" t="s">
        <v>11</v>
      </c>
      <c r="B18" s="75"/>
      <c r="C18" s="75">
        <f>SUM(C2:C17)</f>
        <v>346835.16449999996</v>
      </c>
      <c r="D18" s="75"/>
      <c r="E18" s="75"/>
      <c r="F18" s="75">
        <f>SUM(F2:F17)</f>
        <v>8221558.2823000001</v>
      </c>
      <c r="G18" s="75">
        <f>SUM(G2:G17)</f>
        <v>12540220.640899999</v>
      </c>
      <c r="H18" s="75">
        <f>G18-F18</f>
        <v>4318662.358599999</v>
      </c>
      <c r="I18" s="53">
        <f t="shared" si="0"/>
        <v>0.52528513577499603</v>
      </c>
      <c r="J18" s="202"/>
    </row>
  </sheetData>
  <hyperlinks>
    <hyperlink ref="A2" r:id="rId1" location="/mf/1831632/41287/NULL" xr:uid="{85AAAB16-89CA-4D13-80A3-226911610FC9}"/>
    <hyperlink ref="A3" r:id="rId2" location="/mf/1831632/15690/NULL" xr:uid="{A4476B0B-8C17-4DE2-98B8-9139A517F581}"/>
    <hyperlink ref="A4" r:id="rId3" location="/mf/1831632/22335/NULL" xr:uid="{94386507-B5AA-40D0-81F0-78862E7A42AA}"/>
    <hyperlink ref="A5" r:id="rId4" location="/mf/1831632/38817/NULL" xr:uid="{2791D75C-2A4C-4029-BDD5-7EC070AE75AB}"/>
    <hyperlink ref="A6" r:id="rId5" location="/mf/1831632/16071/NULL" xr:uid="{6D78E90F-38CB-4697-B4C8-A24B006BBBD1}"/>
    <hyperlink ref="A7" r:id="rId6" location="/mf/1831632/16617/NULL" xr:uid="{5D99FB1D-3646-4B17-883B-FA970C45EBB8}"/>
    <hyperlink ref="A8" r:id="rId7" location="/mf/1831632/17134/NULL" xr:uid="{5043AAA1-1D61-41CE-95A2-C4289E147FEC}"/>
    <hyperlink ref="A9" r:id="rId8" location="/mf/1831632/38228/NULL" xr:uid="{1A2B16FC-9207-4FA0-A040-469277D3EDF0}"/>
    <hyperlink ref="A10" r:id="rId9" location="/mf/1831632/42135/NULL" xr:uid="{67041A93-B654-4E0A-85B1-BE4893B80F94}"/>
    <hyperlink ref="A11" r:id="rId10" location="/mf/1831632/41574/NULL" xr:uid="{DEB2715C-3722-4950-B9F2-9F704902BD4A}"/>
    <hyperlink ref="A12" r:id="rId11" location="/mf/1831632/41937/NULL" xr:uid="{DE7D0663-4E6F-4750-95A3-71FC35376550}"/>
    <hyperlink ref="A13" r:id="rId12" location="/mf/1831632/19701/NULL" xr:uid="{CBEFA011-5465-4514-BA5B-D147F39AD849}"/>
    <hyperlink ref="A14" r:id="rId13" location="/mf/1831632/17348/NULL" xr:uid="{A3B6F634-9D43-440C-8A62-2E4F6BE3AB3F}"/>
    <hyperlink ref="A15" r:id="rId14" location="/mf/1831632/17375/NULL" xr:uid="{7C96DF2B-0339-4D4F-925F-E69D5D3E2F59}"/>
    <hyperlink ref="A16" r:id="rId15" location="/mf/1831632/36491/NULL" xr:uid="{DFA39FA9-3E13-4162-AC41-7C1C844A6FF2}"/>
  </hyperlinks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AD29-D1DF-49C9-8212-A441AD6359AA}">
  <dimension ref="A1:J10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10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10" ht="15.75">
      <c r="A2" s="207" t="s">
        <v>143</v>
      </c>
      <c r="B2" s="207">
        <v>100</v>
      </c>
      <c r="C2" s="207">
        <v>109.72499999999999</v>
      </c>
      <c r="D2" s="207">
        <v>102.54</v>
      </c>
      <c r="E2" s="150">
        <f>B2*D2</f>
        <v>10254</v>
      </c>
      <c r="F2" s="151">
        <f>E2-G2</f>
        <v>-718.5</v>
      </c>
      <c r="G2" s="151">
        <f>B2*C2</f>
        <v>10972.5</v>
      </c>
      <c r="H2" s="191">
        <f t="shared" ref="H2:H14" si="0">F2/G2</f>
        <v>-6.5481886534518113E-2</v>
      </c>
    </row>
    <row r="3" spans="1:10" ht="15.75">
      <c r="A3" s="208" t="s">
        <v>294</v>
      </c>
      <c r="B3" s="208">
        <v>20</v>
      </c>
      <c r="C3" s="208">
        <v>1000</v>
      </c>
      <c r="D3" s="208">
        <v>1055</v>
      </c>
      <c r="E3" s="150">
        <f>B3*D3</f>
        <v>21100</v>
      </c>
      <c r="F3" s="151">
        <f>E3-G3</f>
        <v>1100</v>
      </c>
      <c r="G3" s="151">
        <f>B3*C3</f>
        <v>20000</v>
      </c>
      <c r="H3" s="191">
        <f t="shared" si="0"/>
        <v>5.5E-2</v>
      </c>
    </row>
    <row r="4" spans="1:10" ht="15.75">
      <c r="A4" s="208" t="s">
        <v>259</v>
      </c>
      <c r="B4" s="208">
        <v>13</v>
      </c>
      <c r="C4" s="208">
        <v>133.75</v>
      </c>
      <c r="D4" s="208">
        <v>1199.25</v>
      </c>
      <c r="E4" s="150">
        <f>B4*D4</f>
        <v>15590.25</v>
      </c>
      <c r="F4" s="151">
        <f>E4-G4</f>
        <v>13851.5</v>
      </c>
      <c r="G4" s="151">
        <f>B4*C4</f>
        <v>1738.75</v>
      </c>
      <c r="H4" s="191">
        <f t="shared" si="0"/>
        <v>7.9663551401869155</v>
      </c>
    </row>
    <row r="5" spans="1:10" ht="15.75">
      <c r="A5" s="208" t="s">
        <v>144</v>
      </c>
      <c r="B5" s="208">
        <v>19</v>
      </c>
      <c r="C5" s="208">
        <v>489.53680000000003</v>
      </c>
      <c r="D5" s="208">
        <v>2698.4</v>
      </c>
      <c r="E5" s="150">
        <f>B5*D5</f>
        <v>51269.599999999999</v>
      </c>
      <c r="F5" s="151">
        <f>E5-G5</f>
        <v>41968.400799999996</v>
      </c>
      <c r="G5" s="151">
        <f>B5*C5</f>
        <v>9301.1992000000009</v>
      </c>
      <c r="H5" s="191">
        <f t="shared" si="0"/>
        <v>4.5121494441275907</v>
      </c>
      <c r="J5" s="188"/>
    </row>
    <row r="6" spans="1:10" ht="15.75">
      <c r="A6" s="208" t="s">
        <v>145</v>
      </c>
      <c r="B6" s="208">
        <v>250</v>
      </c>
      <c r="C6" s="208">
        <v>183.59</v>
      </c>
      <c r="D6" s="208">
        <v>437.3</v>
      </c>
      <c r="E6" s="150">
        <f>B6*D6</f>
        <v>109325</v>
      </c>
      <c r="F6" s="151">
        <f>E6-G6</f>
        <v>63427.5</v>
      </c>
      <c r="G6" s="151">
        <f>B6*C6</f>
        <v>45897.5</v>
      </c>
      <c r="H6" s="191">
        <f t="shared" si="0"/>
        <v>1.3819380140530531</v>
      </c>
    </row>
    <row r="7" spans="1:10" ht="15.75">
      <c r="A7" s="208" t="s">
        <v>275</v>
      </c>
      <c r="B7" s="208">
        <v>198</v>
      </c>
      <c r="C7" s="208">
        <v>171.5333</v>
      </c>
      <c r="D7" s="208">
        <v>216.9</v>
      </c>
      <c r="E7" s="150">
        <f>B7*D7</f>
        <v>42946.200000000004</v>
      </c>
      <c r="F7" s="151">
        <f>E7-G7</f>
        <v>8982.6066000000064</v>
      </c>
      <c r="G7" s="151">
        <f>B7*C7</f>
        <v>33963.593399999998</v>
      </c>
      <c r="H7" s="191">
        <f t="shared" si="0"/>
        <v>0.26447750961475142</v>
      </c>
    </row>
    <row r="8" spans="1:10" ht="15.75">
      <c r="A8" s="208" t="s">
        <v>277</v>
      </c>
      <c r="B8" s="208">
        <v>140</v>
      </c>
      <c r="C8" s="208">
        <v>579.77110000000005</v>
      </c>
      <c r="D8" s="208">
        <v>601.35</v>
      </c>
      <c r="E8" s="150">
        <f>B8*D8</f>
        <v>84189</v>
      </c>
      <c r="F8" s="151">
        <f>E8-G8</f>
        <v>3021.0459999999875</v>
      </c>
      <c r="G8" s="151">
        <f>B8*C8</f>
        <v>81167.954000000012</v>
      </c>
      <c r="H8" s="191">
        <f t="shared" si="0"/>
        <v>3.7219688942756735E-2</v>
      </c>
    </row>
    <row r="9" spans="1:10" ht="15.75">
      <c r="A9" s="208" t="s">
        <v>146</v>
      </c>
      <c r="B9" s="208">
        <v>62</v>
      </c>
      <c r="C9" s="208">
        <v>708.2355</v>
      </c>
      <c r="D9" s="208">
        <v>986.4</v>
      </c>
      <c r="E9" s="150">
        <f>B9*D9</f>
        <v>61156.799999999996</v>
      </c>
      <c r="F9" s="151">
        <f>E9-G9</f>
        <v>17246.198999999993</v>
      </c>
      <c r="G9" s="151">
        <f>B9*C9</f>
        <v>43910.601000000002</v>
      </c>
      <c r="H9" s="191">
        <f t="shared" si="0"/>
        <v>0.39275707021181494</v>
      </c>
      <c r="J9" s="188"/>
    </row>
    <row r="10" spans="1:10" ht="15.75">
      <c r="A10" s="208" t="s">
        <v>147</v>
      </c>
      <c r="B10" s="208">
        <v>19</v>
      </c>
      <c r="C10" s="208">
        <v>3076.3289</v>
      </c>
      <c r="D10" s="208">
        <v>8851</v>
      </c>
      <c r="E10" s="150">
        <f>B10*D10</f>
        <v>168169</v>
      </c>
      <c r="F10" s="151">
        <f>E10-G10</f>
        <v>109718.7509</v>
      </c>
      <c r="G10" s="151">
        <f>B10*C10</f>
        <v>58450.249100000001</v>
      </c>
      <c r="H10" s="191">
        <f t="shared" si="0"/>
        <v>1.8771305954964699</v>
      </c>
    </row>
    <row r="11" spans="1:10" ht="15.75">
      <c r="A11" s="208" t="s">
        <v>148</v>
      </c>
      <c r="B11" s="208">
        <v>8</v>
      </c>
      <c r="C11" s="208">
        <v>6731.0437000000002</v>
      </c>
      <c r="D11" s="208">
        <v>7885.55</v>
      </c>
      <c r="E11" s="150">
        <f>B11*D11</f>
        <v>63084.4</v>
      </c>
      <c r="F11" s="151">
        <f>E11-G11</f>
        <v>9236.0504000000001</v>
      </c>
      <c r="G11" s="151">
        <f>B11*C11</f>
        <v>53848.349600000001</v>
      </c>
      <c r="H11" s="191">
        <f t="shared" si="0"/>
        <v>0.17151965600817595</v>
      </c>
      <c r="J11" s="188"/>
    </row>
    <row r="12" spans="1:10" ht="15.75">
      <c r="A12" s="208" t="s">
        <v>149</v>
      </c>
      <c r="B12" s="208">
        <v>15</v>
      </c>
      <c r="C12" s="208">
        <v>2427.4666999999999</v>
      </c>
      <c r="D12" s="208">
        <v>2771.25</v>
      </c>
      <c r="E12" s="150">
        <f>B12*D12</f>
        <v>41568.75</v>
      </c>
      <c r="F12" s="151">
        <f>E12-G12</f>
        <v>5156.7494999999981</v>
      </c>
      <c r="G12" s="151">
        <f>B12*C12</f>
        <v>36412.000500000002</v>
      </c>
      <c r="H12" s="191">
        <f t="shared" si="0"/>
        <v>0.14162225170792245</v>
      </c>
      <c r="J12" s="188"/>
    </row>
    <row r="13" spans="1:10" ht="15.75">
      <c r="A13" s="208" t="s">
        <v>150</v>
      </c>
      <c r="B13" s="208">
        <v>155</v>
      </c>
      <c r="C13" s="208">
        <v>185</v>
      </c>
      <c r="D13" s="208">
        <v>213.4</v>
      </c>
      <c r="E13" s="150">
        <f>B13*D13</f>
        <v>33077</v>
      </c>
      <c r="F13" s="151">
        <f>E13-G13</f>
        <v>4402</v>
      </c>
      <c r="G13" s="151">
        <f>B13*C13</f>
        <v>28675</v>
      </c>
      <c r="H13" s="191">
        <f t="shared" si="0"/>
        <v>0.1535135135135135</v>
      </c>
      <c r="J13" s="188"/>
    </row>
    <row r="14" spans="1:10" ht="15.75">
      <c r="A14" s="208" t="s">
        <v>152</v>
      </c>
      <c r="B14" s="208">
        <v>180</v>
      </c>
      <c r="C14" s="208">
        <v>322.88889999999998</v>
      </c>
      <c r="D14" s="208">
        <v>1626.75</v>
      </c>
      <c r="E14" s="150">
        <f>B14*D14</f>
        <v>292815</v>
      </c>
      <c r="F14" s="151">
        <f>E14-G14</f>
        <v>234694.99800000002</v>
      </c>
      <c r="G14" s="151">
        <f>B14*C14</f>
        <v>58120.001999999993</v>
      </c>
      <c r="H14" s="191">
        <f t="shared" si="0"/>
        <v>4.0381106318613007</v>
      </c>
    </row>
    <row r="15" spans="1:10" ht="15.75">
      <c r="A15" s="208" t="s">
        <v>153</v>
      </c>
      <c r="B15" s="208">
        <v>40</v>
      </c>
      <c r="C15" s="208">
        <v>446.04</v>
      </c>
      <c r="D15" s="208">
        <v>1171.05</v>
      </c>
      <c r="E15" s="150">
        <f>B15*D15</f>
        <v>46842</v>
      </c>
      <c r="F15" s="151">
        <f>E15-G15</f>
        <v>29000.399999999998</v>
      </c>
      <c r="G15" s="151">
        <f>B15*C15</f>
        <v>17841.600000000002</v>
      </c>
      <c r="H15" s="191">
        <v>0</v>
      </c>
      <c r="J15" s="188"/>
    </row>
    <row r="16" spans="1:10" ht="15.75">
      <c r="A16" s="208" t="s">
        <v>154</v>
      </c>
      <c r="B16" s="208">
        <v>14</v>
      </c>
      <c r="C16" s="208">
        <v>3489.9357</v>
      </c>
      <c r="D16" s="208">
        <v>5129.6499999999996</v>
      </c>
      <c r="E16" s="150">
        <f>B16*D16</f>
        <v>71815.099999999991</v>
      </c>
      <c r="F16" s="151">
        <f>E16-G16</f>
        <v>22956.000199999995</v>
      </c>
      <c r="G16" s="151">
        <f>B16*C16</f>
        <v>48859.099799999996</v>
      </c>
      <c r="H16" s="191">
        <f t="shared" ref="H16:H79" si="1">F16/G16</f>
        <v>0.46984083403026589</v>
      </c>
      <c r="J16" s="188"/>
    </row>
    <row r="17" spans="1:10" ht="15.75">
      <c r="A17" s="208" t="s">
        <v>278</v>
      </c>
      <c r="B17" s="208">
        <v>345</v>
      </c>
      <c r="C17" s="208">
        <v>107.29</v>
      </c>
      <c r="D17" s="208">
        <v>93.3</v>
      </c>
      <c r="E17" s="150">
        <f>B17*D17</f>
        <v>32188.5</v>
      </c>
      <c r="F17" s="151">
        <f>E17-G17</f>
        <v>-4826.5500000000029</v>
      </c>
      <c r="G17" s="151">
        <f>B17*C17</f>
        <v>37015.050000000003</v>
      </c>
      <c r="H17" s="191">
        <f t="shared" si="1"/>
        <v>-0.13039425855158923</v>
      </c>
      <c r="J17" s="188"/>
    </row>
    <row r="18" spans="1:10" ht="15.75">
      <c r="A18" s="208" t="s">
        <v>155</v>
      </c>
      <c r="B18" s="208">
        <v>180</v>
      </c>
      <c r="C18" s="208">
        <v>155.25</v>
      </c>
      <c r="D18" s="208">
        <v>177.4</v>
      </c>
      <c r="E18" s="150">
        <f>B18*D18</f>
        <v>31932</v>
      </c>
      <c r="F18" s="151">
        <f>E18-G18</f>
        <v>3987</v>
      </c>
      <c r="G18" s="151">
        <f>B18*C18</f>
        <v>27945</v>
      </c>
      <c r="H18" s="191">
        <f t="shared" si="1"/>
        <v>0.1426731078904992</v>
      </c>
    </row>
    <row r="19" spans="1:10" ht="15.75">
      <c r="A19" s="208" t="s">
        <v>156</v>
      </c>
      <c r="B19" s="208">
        <v>88</v>
      </c>
      <c r="C19" s="208">
        <v>373.57780000000002</v>
      </c>
      <c r="D19" s="208">
        <v>464.45</v>
      </c>
      <c r="E19" s="150">
        <f>B19*D19</f>
        <v>40871.599999999999</v>
      </c>
      <c r="F19" s="151">
        <f>E19-G19</f>
        <v>7996.7535999999964</v>
      </c>
      <c r="G19" s="151">
        <f>B19*C19</f>
        <v>32874.846400000002</v>
      </c>
      <c r="H19" s="191">
        <f t="shared" si="1"/>
        <v>0.24324839431036843</v>
      </c>
    </row>
    <row r="20" spans="1:10" ht="15.75">
      <c r="A20" s="208" t="s">
        <v>157</v>
      </c>
      <c r="B20" s="208">
        <v>45</v>
      </c>
      <c r="C20" s="208">
        <v>990.66330000000005</v>
      </c>
      <c r="D20" s="208">
        <v>1479.4</v>
      </c>
      <c r="E20" s="150">
        <f>B20*D20</f>
        <v>66573</v>
      </c>
      <c r="F20" s="151">
        <f>E20-G20</f>
        <v>21993.1515</v>
      </c>
      <c r="G20" s="151">
        <f>B20*C20</f>
        <v>44579.8485</v>
      </c>
      <c r="H20" s="191">
        <f t="shared" si="1"/>
        <v>0.49334289460404962</v>
      </c>
    </row>
    <row r="21" spans="1:10" ht="15.75">
      <c r="A21" s="208" t="s">
        <v>158</v>
      </c>
      <c r="B21" s="208">
        <v>470</v>
      </c>
      <c r="C21" s="208">
        <v>194.3904</v>
      </c>
      <c r="D21" s="208">
        <v>395.9</v>
      </c>
      <c r="E21" s="150">
        <f>B21*D21</f>
        <v>186073</v>
      </c>
      <c r="F21" s="151">
        <f>E21-G21</f>
        <v>94709.512000000002</v>
      </c>
      <c r="G21" s="151">
        <f>B21*C21</f>
        <v>91363.487999999998</v>
      </c>
      <c r="H21" s="191">
        <f t="shared" si="1"/>
        <v>1.0366232077304229</v>
      </c>
      <c r="J21" s="188"/>
    </row>
    <row r="22" spans="1:10" ht="15.75">
      <c r="A22" s="208" t="s">
        <v>159</v>
      </c>
      <c r="B22" s="208">
        <v>13</v>
      </c>
      <c r="C22" s="208">
        <v>4545.2614999999996</v>
      </c>
      <c r="D22" s="208">
        <v>8264.7999999999993</v>
      </c>
      <c r="E22" s="150">
        <f>B22*D22</f>
        <v>107442.4</v>
      </c>
      <c r="F22" s="151">
        <f>E22-G22</f>
        <v>48354.000500000002</v>
      </c>
      <c r="G22" s="151">
        <f>B22*C22</f>
        <v>59088.399499999992</v>
      </c>
      <c r="H22" s="191">
        <f t="shared" si="1"/>
        <v>0.81833322461204938</v>
      </c>
    </row>
    <row r="23" spans="1:10" ht="15.75">
      <c r="A23" s="208" t="s">
        <v>160</v>
      </c>
      <c r="B23" s="208">
        <v>21</v>
      </c>
      <c r="C23" s="208">
        <v>1503.0333000000001</v>
      </c>
      <c r="D23" s="208">
        <v>2821.55</v>
      </c>
      <c r="E23" s="150">
        <f>B23*D23</f>
        <v>59252.55</v>
      </c>
      <c r="F23" s="151">
        <f>E23-G23</f>
        <v>27688.850700000003</v>
      </c>
      <c r="G23" s="151">
        <f>B23*C23</f>
        <v>31563.6993</v>
      </c>
      <c r="H23" s="191">
        <f t="shared" si="1"/>
        <v>0.87723718429924347</v>
      </c>
      <c r="J23" s="188"/>
    </row>
    <row r="24" spans="1:10" ht="15.75">
      <c r="A24" s="208" t="s">
        <v>279</v>
      </c>
      <c r="B24" s="208">
        <v>98</v>
      </c>
      <c r="C24" s="208">
        <v>555.06169999999997</v>
      </c>
      <c r="D24" s="208">
        <v>529.85</v>
      </c>
      <c r="E24" s="150">
        <f>B24*D24</f>
        <v>51925.3</v>
      </c>
      <c r="F24" s="151">
        <f>E24-G24</f>
        <v>-2470.7465999999913</v>
      </c>
      <c r="G24" s="151">
        <f>B24*C24</f>
        <v>54396.046599999994</v>
      </c>
      <c r="H24" s="191">
        <f t="shared" si="1"/>
        <v>-4.5421436932146307E-2</v>
      </c>
      <c r="J24" s="188"/>
    </row>
    <row r="25" spans="1:10" ht="15.75">
      <c r="A25" s="208" t="s">
        <v>161</v>
      </c>
      <c r="B25" s="208">
        <v>72</v>
      </c>
      <c r="C25" s="208">
        <v>531.82079999999996</v>
      </c>
      <c r="D25" s="208">
        <v>745.1</v>
      </c>
      <c r="E25" s="150">
        <f>B25*D25</f>
        <v>53647.200000000004</v>
      </c>
      <c r="F25" s="151">
        <f>E25-G25</f>
        <v>15356.102400000011</v>
      </c>
      <c r="G25" s="151">
        <f>B25*C25</f>
        <v>38291.097599999994</v>
      </c>
      <c r="H25" s="191">
        <f t="shared" si="1"/>
        <v>0.40103583763553474</v>
      </c>
    </row>
    <row r="26" spans="1:10" ht="15.75">
      <c r="A26" s="208" t="s">
        <v>162</v>
      </c>
      <c r="B26" s="208">
        <v>14</v>
      </c>
      <c r="C26" s="208">
        <v>3289.3249999999998</v>
      </c>
      <c r="D26" s="208">
        <v>3665.05</v>
      </c>
      <c r="E26" s="150">
        <f>B26*D26</f>
        <v>51310.700000000004</v>
      </c>
      <c r="F26" s="151">
        <f>E26-G26</f>
        <v>5260.1500000000087</v>
      </c>
      <c r="G26" s="151">
        <f>B26*C26</f>
        <v>46050.549999999996</v>
      </c>
      <c r="H26" s="191">
        <f t="shared" si="1"/>
        <v>0.11422556299544759</v>
      </c>
    </row>
    <row r="27" spans="1:10" ht="15.75">
      <c r="A27" s="208" t="s">
        <v>163</v>
      </c>
      <c r="B27" s="208">
        <v>60</v>
      </c>
      <c r="C27" s="208">
        <v>992.5992</v>
      </c>
      <c r="D27" s="208">
        <v>1217.5999999999999</v>
      </c>
      <c r="E27" s="150">
        <f>B27*D27</f>
        <v>73056</v>
      </c>
      <c r="F27" s="151">
        <f>E27-G27</f>
        <v>13500.048000000003</v>
      </c>
      <c r="G27" s="151">
        <f>B27*C27</f>
        <v>59555.951999999997</v>
      </c>
      <c r="H27" s="191">
        <f t="shared" si="1"/>
        <v>0.22667840151392429</v>
      </c>
      <c r="J27" s="188"/>
    </row>
    <row r="28" spans="1:10" ht="15.75">
      <c r="A28" s="208" t="s">
        <v>164</v>
      </c>
      <c r="B28" s="208">
        <v>7</v>
      </c>
      <c r="C28" s="208">
        <v>3506.8285999999998</v>
      </c>
      <c r="D28" s="208">
        <v>5196.6499999999996</v>
      </c>
      <c r="E28" s="150">
        <f>B28*D28</f>
        <v>36376.549999999996</v>
      </c>
      <c r="F28" s="151">
        <f>E28-G28</f>
        <v>11828.749799999998</v>
      </c>
      <c r="G28" s="151">
        <f>B28*C28</f>
        <v>24547.800199999998</v>
      </c>
      <c r="H28" s="191">
        <f t="shared" si="1"/>
        <v>0.48186597999115205</v>
      </c>
      <c r="J28" s="188"/>
    </row>
    <row r="29" spans="1:10" ht="15.75">
      <c r="A29" s="208" t="s">
        <v>165</v>
      </c>
      <c r="B29" s="208">
        <v>92</v>
      </c>
      <c r="C29" s="208">
        <v>359.32909999999998</v>
      </c>
      <c r="D29" s="208">
        <v>370.38</v>
      </c>
      <c r="E29" s="150">
        <f>B29*D29</f>
        <v>34074.959999999999</v>
      </c>
      <c r="F29" s="151">
        <f>E29-G29</f>
        <v>1016.6828000000023</v>
      </c>
      <c r="G29" s="151">
        <f>B29*C29</f>
        <v>33058.277199999997</v>
      </c>
      <c r="H29" s="191">
        <f t="shared" si="1"/>
        <v>3.0754258422154027E-2</v>
      </c>
      <c r="J29" s="188"/>
    </row>
    <row r="30" spans="1:10" ht="15.75">
      <c r="A30" s="208" t="s">
        <v>166</v>
      </c>
      <c r="B30" s="208">
        <v>34</v>
      </c>
      <c r="C30" s="208">
        <v>1825.2764999999999</v>
      </c>
      <c r="D30" s="208">
        <v>1990.3</v>
      </c>
      <c r="E30" s="150">
        <f>B30*D30</f>
        <v>67670.2</v>
      </c>
      <c r="F30" s="151">
        <f>E30-G30</f>
        <v>5610.7989999999991</v>
      </c>
      <c r="G30" s="151">
        <f>B30*C30</f>
        <v>62059.400999999998</v>
      </c>
      <c r="H30" s="191">
        <f t="shared" si="1"/>
        <v>9.0410137861304835E-2</v>
      </c>
    </row>
    <row r="31" spans="1:10" ht="15.75">
      <c r="A31" s="208" t="s">
        <v>168</v>
      </c>
      <c r="B31" s="208">
        <v>50</v>
      </c>
      <c r="C31" s="208">
        <v>671.81</v>
      </c>
      <c r="D31" s="208">
        <v>1228.4000000000001</v>
      </c>
      <c r="E31" s="150">
        <f>B31*D31</f>
        <v>61420.000000000007</v>
      </c>
      <c r="F31" s="151">
        <f>E31-G31</f>
        <v>27829.500000000007</v>
      </c>
      <c r="G31" s="151">
        <f>B31*C31</f>
        <v>33590.5</v>
      </c>
      <c r="H31" s="191">
        <f t="shared" si="1"/>
        <v>0.82849317515368948</v>
      </c>
      <c r="J31" s="188"/>
    </row>
    <row r="32" spans="1:10" ht="15.75">
      <c r="A32" s="208" t="s">
        <v>169</v>
      </c>
      <c r="B32" s="208">
        <v>209</v>
      </c>
      <c r="C32" s="208">
        <v>174.62559999999999</v>
      </c>
      <c r="D32" s="208">
        <v>374.5</v>
      </c>
      <c r="E32" s="150">
        <f>B32*D32</f>
        <v>78270.5</v>
      </c>
      <c r="F32" s="151">
        <f>E32-G32</f>
        <v>41773.749600000003</v>
      </c>
      <c r="G32" s="151">
        <f>B32*C32</f>
        <v>36496.750399999997</v>
      </c>
      <c r="H32" s="191">
        <f t="shared" si="1"/>
        <v>1.1445881932545974</v>
      </c>
      <c r="J32" s="188"/>
    </row>
    <row r="33" spans="1:10" ht="15.75">
      <c r="A33" s="208" t="s">
        <v>170</v>
      </c>
      <c r="B33" s="208">
        <v>323</v>
      </c>
      <c r="C33" s="208">
        <v>83.873099999999994</v>
      </c>
      <c r="D33" s="208">
        <v>187.5</v>
      </c>
      <c r="E33" s="150">
        <f>B33*D33</f>
        <v>60562.5</v>
      </c>
      <c r="F33" s="151">
        <f>E33-G33</f>
        <v>33471.488700000002</v>
      </c>
      <c r="G33" s="151">
        <f>B33*C33</f>
        <v>27091.011299999998</v>
      </c>
      <c r="H33" s="191">
        <f t="shared" si="1"/>
        <v>1.2355200892777305</v>
      </c>
    </row>
    <row r="34" spans="1:10" ht="15.75">
      <c r="A34" s="208" t="s">
        <v>280</v>
      </c>
      <c r="B34" s="208">
        <v>217</v>
      </c>
      <c r="C34" s="208">
        <v>379.3295</v>
      </c>
      <c r="D34" s="208">
        <v>297.7</v>
      </c>
      <c r="E34" s="150">
        <f>B34*D34</f>
        <v>64600.899999999994</v>
      </c>
      <c r="F34" s="151">
        <f>E34-G34</f>
        <v>-17713.601500000004</v>
      </c>
      <c r="G34" s="151">
        <f>B34*C34</f>
        <v>82314.501499999998</v>
      </c>
      <c r="H34" s="191">
        <f t="shared" si="1"/>
        <v>-0.21519417814854902</v>
      </c>
    </row>
    <row r="35" spans="1:10" ht="15.75">
      <c r="A35" s="208" t="s">
        <v>172</v>
      </c>
      <c r="B35" s="208">
        <v>18</v>
      </c>
      <c r="C35" s="208">
        <v>1556.4083000000001</v>
      </c>
      <c r="D35" s="208">
        <v>2329.5</v>
      </c>
      <c r="E35" s="150">
        <f>B35*D35</f>
        <v>41931</v>
      </c>
      <c r="F35" s="151">
        <f>E35-G35</f>
        <v>13915.650600000001</v>
      </c>
      <c r="G35" s="151">
        <f>B35*C35</f>
        <v>28015.349399999999</v>
      </c>
      <c r="H35" s="191">
        <f t="shared" si="1"/>
        <v>0.49671522568981419</v>
      </c>
    </row>
    <row r="36" spans="1:10" ht="15.75">
      <c r="A36" s="208" t="s">
        <v>281</v>
      </c>
      <c r="B36" s="208">
        <v>85</v>
      </c>
      <c r="C36" s="208">
        <v>313.68290000000002</v>
      </c>
      <c r="D36" s="208">
        <v>556.35</v>
      </c>
      <c r="E36" s="150">
        <f>B36*D36</f>
        <v>47289.75</v>
      </c>
      <c r="F36" s="151">
        <f>E36-G36</f>
        <v>20626.7035</v>
      </c>
      <c r="G36" s="151">
        <f>B36*C36</f>
        <v>26663.0465</v>
      </c>
      <c r="H36" s="191">
        <f t="shared" si="1"/>
        <v>0.77360640315426821</v>
      </c>
      <c r="J36" s="188"/>
    </row>
    <row r="37" spans="1:10" ht="15.75">
      <c r="A37" s="208" t="s">
        <v>174</v>
      </c>
      <c r="B37" s="208">
        <v>74</v>
      </c>
      <c r="C37" s="208">
        <v>1149.0202999999999</v>
      </c>
      <c r="D37" s="208">
        <v>1725.45</v>
      </c>
      <c r="E37" s="150">
        <f>B37*D37</f>
        <v>127683.3</v>
      </c>
      <c r="F37" s="151">
        <f>E37-G37</f>
        <v>42655.797800000015</v>
      </c>
      <c r="G37" s="151">
        <f>B37*C37</f>
        <v>85027.502199999988</v>
      </c>
      <c r="H37" s="191">
        <f t="shared" si="1"/>
        <v>0.50167059711651774</v>
      </c>
    </row>
    <row r="38" spans="1:10" ht="15.75">
      <c r="A38" s="208" t="s">
        <v>175</v>
      </c>
      <c r="B38" s="208">
        <v>34</v>
      </c>
      <c r="C38" s="208">
        <v>1623.5735</v>
      </c>
      <c r="D38" s="208">
        <v>1699.25</v>
      </c>
      <c r="E38" s="150">
        <f>B38*D38</f>
        <v>57774.5</v>
      </c>
      <c r="F38" s="151">
        <f>E38-G38</f>
        <v>2573.0010000000038</v>
      </c>
      <c r="G38" s="151">
        <f>B38*C38</f>
        <v>55201.498999999996</v>
      </c>
      <c r="H38" s="191">
        <f t="shared" si="1"/>
        <v>4.6611071195729742E-2</v>
      </c>
      <c r="J38" s="188"/>
    </row>
    <row r="39" spans="1:10" ht="15.75">
      <c r="A39" s="208" t="s">
        <v>176</v>
      </c>
      <c r="B39" s="208">
        <v>136</v>
      </c>
      <c r="C39" s="208">
        <v>596.67460000000005</v>
      </c>
      <c r="D39" s="208">
        <v>638.15</v>
      </c>
      <c r="E39" s="150">
        <f>B39*D39</f>
        <v>86788.4</v>
      </c>
      <c r="F39" s="151">
        <f>E39-G39</f>
        <v>5640.6543999999849</v>
      </c>
      <c r="G39" s="151">
        <f>B39*C39</f>
        <v>81147.745600000009</v>
      </c>
      <c r="H39" s="191">
        <f t="shared" si="1"/>
        <v>6.9510919352021833E-2</v>
      </c>
      <c r="J39" s="188"/>
    </row>
    <row r="40" spans="1:10" ht="15.75">
      <c r="A40" s="208" t="s">
        <v>177</v>
      </c>
      <c r="B40" s="208">
        <v>6</v>
      </c>
      <c r="C40" s="208">
        <v>2669.9749999999999</v>
      </c>
      <c r="D40" s="208">
        <v>4340.8500000000004</v>
      </c>
      <c r="E40" s="150">
        <f>B40*D40</f>
        <v>26045.100000000002</v>
      </c>
      <c r="F40" s="151">
        <f>E40-G40</f>
        <v>10025.250000000004</v>
      </c>
      <c r="G40" s="151">
        <f>B40*C40</f>
        <v>16019.849999999999</v>
      </c>
      <c r="H40" s="191">
        <f t="shared" si="1"/>
        <v>0.62580173971666431</v>
      </c>
    </row>
    <row r="41" spans="1:10" ht="15.75">
      <c r="A41" s="208" t="s">
        <v>282</v>
      </c>
      <c r="B41" s="208">
        <v>28</v>
      </c>
      <c r="C41" s="208">
        <v>2303.9571000000001</v>
      </c>
      <c r="D41" s="208">
        <v>2471.3000000000002</v>
      </c>
      <c r="E41" s="150">
        <f>B41*D41</f>
        <v>69196.400000000009</v>
      </c>
      <c r="F41" s="151">
        <f>E41-G41</f>
        <v>4685.6012000000046</v>
      </c>
      <c r="G41" s="151">
        <f>B41*C41</f>
        <v>64510.798800000004</v>
      </c>
      <c r="H41" s="191">
        <f t="shared" si="1"/>
        <v>7.2632819421854747E-2</v>
      </c>
      <c r="J41" s="188"/>
    </row>
    <row r="42" spans="1:10" ht="15.75">
      <c r="A42" s="208" t="s">
        <v>283</v>
      </c>
      <c r="B42" s="208">
        <v>17</v>
      </c>
      <c r="C42" s="208">
        <v>1782.3</v>
      </c>
      <c r="D42" s="208">
        <v>1678.25</v>
      </c>
      <c r="E42" s="150">
        <f>B42*D42</f>
        <v>28530.25</v>
      </c>
      <c r="F42" s="151">
        <f>E42-G42</f>
        <v>-1768.8499999999985</v>
      </c>
      <c r="G42" s="151">
        <f>B42*C42</f>
        <v>30299.1</v>
      </c>
      <c r="H42" s="191">
        <f t="shared" si="1"/>
        <v>-5.8379621836952209E-2</v>
      </c>
      <c r="J42" s="188"/>
    </row>
    <row r="43" spans="1:10" ht="15.75">
      <c r="A43" s="208" t="s">
        <v>178</v>
      </c>
      <c r="B43" s="208">
        <v>58</v>
      </c>
      <c r="C43" s="208">
        <v>646.02670000000001</v>
      </c>
      <c r="D43" s="208">
        <v>1252.8</v>
      </c>
      <c r="E43" s="150">
        <f>B43*D43</f>
        <v>72662.399999999994</v>
      </c>
      <c r="F43" s="151">
        <f>E43-G43</f>
        <v>35192.851399999992</v>
      </c>
      <c r="G43" s="151">
        <f>B43*C43</f>
        <v>37469.548600000002</v>
      </c>
      <c r="H43" s="191">
        <f t="shared" si="1"/>
        <v>0.93923873425045723</v>
      </c>
      <c r="J43" s="188"/>
    </row>
    <row r="44" spans="1:10" ht="15.75">
      <c r="A44" s="208" t="s">
        <v>295</v>
      </c>
      <c r="B44" s="208">
        <v>6000</v>
      </c>
      <c r="C44" s="208">
        <v>50.343299999999999</v>
      </c>
      <c r="D44" s="208">
        <v>50.41</v>
      </c>
      <c r="E44" s="150">
        <f>B44*D44</f>
        <v>302460</v>
      </c>
      <c r="F44" s="151">
        <f>E44-G44</f>
        <v>400.20000000001164</v>
      </c>
      <c r="G44" s="151">
        <f>B44*C44</f>
        <v>302059.8</v>
      </c>
      <c r="H44" s="191">
        <f t="shared" si="1"/>
        <v>1.3249032145290821E-3</v>
      </c>
      <c r="J44" s="188"/>
    </row>
    <row r="45" spans="1:10" ht="15.75">
      <c r="A45" s="208" t="s">
        <v>179</v>
      </c>
      <c r="B45" s="208">
        <v>54</v>
      </c>
      <c r="C45" s="208">
        <v>1308.5944</v>
      </c>
      <c r="D45" s="208">
        <v>1858.5</v>
      </c>
      <c r="E45" s="150">
        <f>B45*D45</f>
        <v>100359</v>
      </c>
      <c r="F45" s="151">
        <f>E45-G45</f>
        <v>29694.902400000006</v>
      </c>
      <c r="G45" s="151">
        <f>B45*C45</f>
        <v>70664.097599999994</v>
      </c>
      <c r="H45" s="191">
        <f t="shared" si="1"/>
        <v>0.420226160221991</v>
      </c>
      <c r="J45" s="188"/>
    </row>
    <row r="46" spans="1:10" ht="15.75">
      <c r="A46" s="208" t="s">
        <v>180</v>
      </c>
      <c r="B46" s="208">
        <v>118</v>
      </c>
      <c r="C46" s="208">
        <v>492.05380000000002</v>
      </c>
      <c r="D46" s="208">
        <v>616.6</v>
      </c>
      <c r="E46" s="150">
        <f>B46*D46</f>
        <v>72758.8</v>
      </c>
      <c r="F46" s="151">
        <f>E46-G46</f>
        <v>14696.4516</v>
      </c>
      <c r="G46" s="151">
        <f>B46*C46</f>
        <v>58062.348400000003</v>
      </c>
      <c r="H46" s="191">
        <f t="shared" si="1"/>
        <v>0.25311500490393529</v>
      </c>
    </row>
    <row r="47" spans="1:10" ht="15.75">
      <c r="A47" s="208" t="s">
        <v>284</v>
      </c>
      <c r="B47" s="208">
        <v>52</v>
      </c>
      <c r="C47" s="208">
        <v>938.7029</v>
      </c>
      <c r="D47" s="208">
        <v>992.15</v>
      </c>
      <c r="E47" s="150">
        <f>B47*D47</f>
        <v>51591.799999999996</v>
      </c>
      <c r="F47" s="151">
        <f>E47-G47</f>
        <v>2779.2491999999984</v>
      </c>
      <c r="G47" s="151">
        <f>B47*C47</f>
        <v>48812.550799999997</v>
      </c>
      <c r="H47" s="191">
        <f t="shared" si="1"/>
        <v>5.6937184278433542E-2</v>
      </c>
    </row>
    <row r="48" spans="1:10" ht="15.75">
      <c r="A48" s="208" t="s">
        <v>181</v>
      </c>
      <c r="B48" s="208">
        <v>65</v>
      </c>
      <c r="C48" s="208">
        <v>1576.7168999999999</v>
      </c>
      <c r="D48" s="208">
        <v>1880.05</v>
      </c>
      <c r="E48" s="150">
        <f>B48*D48</f>
        <v>122203.25</v>
      </c>
      <c r="F48" s="151">
        <f>E48-G48</f>
        <v>19716.651500000007</v>
      </c>
      <c r="G48" s="151">
        <f>B48*C48</f>
        <v>102486.59849999999</v>
      </c>
      <c r="H48" s="191">
        <f t="shared" si="1"/>
        <v>0.19238272894772684</v>
      </c>
      <c r="J48" s="188"/>
    </row>
    <row r="49" spans="1:10" ht="15.75">
      <c r="A49" s="208" t="s">
        <v>182</v>
      </c>
      <c r="B49" s="208">
        <v>759</v>
      </c>
      <c r="C49" s="208">
        <v>229.74379999999999</v>
      </c>
      <c r="D49" s="208">
        <v>447.55</v>
      </c>
      <c r="E49" s="150">
        <f>B49*D49</f>
        <v>339690.45</v>
      </c>
      <c r="F49" s="151">
        <f>E49-G49</f>
        <v>165314.90580000001</v>
      </c>
      <c r="G49" s="151">
        <f>B49*C49</f>
        <v>174375.5442</v>
      </c>
      <c r="H49" s="191">
        <f t="shared" si="1"/>
        <v>0.94803951183883961</v>
      </c>
    </row>
    <row r="50" spans="1:10" ht="15.75">
      <c r="A50" s="208" t="s">
        <v>296</v>
      </c>
      <c r="B50" s="208">
        <v>75</v>
      </c>
      <c r="C50" s="208">
        <v>0</v>
      </c>
      <c r="D50" s="208">
        <v>164.65</v>
      </c>
      <c r="E50" s="150">
        <f>B50*D50</f>
        <v>12348.75</v>
      </c>
      <c r="F50" s="151">
        <f>E50-G50</f>
        <v>12348.75</v>
      </c>
      <c r="G50" s="151">
        <f>B50*C50</f>
        <v>0</v>
      </c>
      <c r="H50" s="191" t="e">
        <f t="shared" si="1"/>
        <v>#DIV/0!</v>
      </c>
      <c r="J50" s="188"/>
    </row>
    <row r="51" spans="1:10" ht="15.75">
      <c r="A51" s="208" t="s">
        <v>183</v>
      </c>
      <c r="B51" s="208">
        <v>35</v>
      </c>
      <c r="C51" s="208">
        <v>858.13710000000003</v>
      </c>
      <c r="D51" s="208">
        <v>1763.9</v>
      </c>
      <c r="E51" s="150">
        <f>B51*D51</f>
        <v>61736.5</v>
      </c>
      <c r="F51" s="151">
        <f>E51-G51</f>
        <v>31701.701499999999</v>
      </c>
      <c r="G51" s="151">
        <f>B51*C51</f>
        <v>30034.798500000001</v>
      </c>
      <c r="H51" s="191">
        <f t="shared" si="1"/>
        <v>1.0554990572019318</v>
      </c>
    </row>
    <row r="52" spans="1:10" ht="15.75">
      <c r="A52" s="208" t="s">
        <v>184</v>
      </c>
      <c r="B52" s="208">
        <v>233</v>
      </c>
      <c r="C52" s="208">
        <v>124.8616</v>
      </c>
      <c r="D52" s="208">
        <v>238.22</v>
      </c>
      <c r="E52" s="150">
        <f>B52*D52</f>
        <v>55505.26</v>
      </c>
      <c r="F52" s="151">
        <f>E52-G52</f>
        <v>26412.507200000004</v>
      </c>
      <c r="G52" s="151">
        <f>B52*C52</f>
        <v>29092.752799999998</v>
      </c>
      <c r="H52" s="191">
        <f t="shared" si="1"/>
        <v>0.90787239631720262</v>
      </c>
      <c r="J52" s="188"/>
    </row>
    <row r="53" spans="1:10" ht="15.75">
      <c r="A53" s="208" t="s">
        <v>185</v>
      </c>
      <c r="B53" s="208">
        <v>66</v>
      </c>
      <c r="C53" s="208">
        <v>1730.9038</v>
      </c>
      <c r="D53" s="208">
        <v>1902.65</v>
      </c>
      <c r="E53" s="150">
        <f>B53*D53</f>
        <v>125574.90000000001</v>
      </c>
      <c r="F53" s="151">
        <f>E53-G53</f>
        <v>11335.249200000006</v>
      </c>
      <c r="G53" s="151">
        <f>B53*C53</f>
        <v>114239.6508</v>
      </c>
      <c r="H53" s="191">
        <f t="shared" si="1"/>
        <v>9.9223423046387718E-2</v>
      </c>
      <c r="J53" s="188"/>
    </row>
    <row r="54" spans="1:10" ht="15.75">
      <c r="A54" s="208" t="s">
        <v>186</v>
      </c>
      <c r="B54" s="208">
        <v>80</v>
      </c>
      <c r="C54" s="208">
        <v>814.85940000000005</v>
      </c>
      <c r="D54" s="208">
        <v>1409.5</v>
      </c>
      <c r="E54" s="150">
        <f>B54*D54</f>
        <v>112760</v>
      </c>
      <c r="F54" s="151">
        <f>E54-G54</f>
        <v>47571.247999999992</v>
      </c>
      <c r="G54" s="151">
        <f>B54*C54</f>
        <v>65188.752000000008</v>
      </c>
      <c r="H54" s="191">
        <f t="shared" si="1"/>
        <v>0.72974626052052638</v>
      </c>
      <c r="J54" s="188"/>
    </row>
    <row r="55" spans="1:10" ht="15.75">
      <c r="A55" s="208" t="s">
        <v>187</v>
      </c>
      <c r="B55" s="208">
        <v>20</v>
      </c>
      <c r="C55" s="208">
        <v>2295.38</v>
      </c>
      <c r="D55" s="208">
        <v>2853.05</v>
      </c>
      <c r="E55" s="150">
        <f>B55*D55</f>
        <v>57061</v>
      </c>
      <c r="F55" s="151">
        <f>E55-G55</f>
        <v>11153.399999999994</v>
      </c>
      <c r="G55" s="151">
        <f>B55*C55</f>
        <v>45907.600000000006</v>
      </c>
      <c r="H55" s="191">
        <f t="shared" si="1"/>
        <v>0.24295323650114561</v>
      </c>
      <c r="J55" s="188"/>
    </row>
    <row r="56" spans="1:10" ht="15.75">
      <c r="A56" s="208" t="s">
        <v>297</v>
      </c>
      <c r="B56" s="208">
        <v>0.214</v>
      </c>
      <c r="C56" s="208">
        <v>852.53459999999995</v>
      </c>
      <c r="D56" s="208">
        <v>1000</v>
      </c>
      <c r="E56" s="150">
        <f>B56*D56</f>
        <v>214</v>
      </c>
      <c r="F56" s="151">
        <f>E56-G56</f>
        <v>31.557595600000013</v>
      </c>
      <c r="G56" s="151">
        <f>B56*C56</f>
        <v>182.44240439999999</v>
      </c>
      <c r="H56" s="191">
        <f t="shared" si="1"/>
        <v>0.17297292098174089</v>
      </c>
      <c r="J56" s="188"/>
    </row>
    <row r="57" spans="1:10" ht="15.75">
      <c r="A57" s="208" t="s">
        <v>188</v>
      </c>
      <c r="B57" s="208">
        <v>62</v>
      </c>
      <c r="C57" s="208">
        <v>1053.2153000000001</v>
      </c>
      <c r="D57" s="208">
        <v>3567.4</v>
      </c>
      <c r="E57" s="150">
        <f>B57*D57</f>
        <v>221178.80000000002</v>
      </c>
      <c r="F57" s="151">
        <f>E57-G57</f>
        <v>155879.45140000002</v>
      </c>
      <c r="G57" s="151">
        <f>B57*C57</f>
        <v>65299.348600000005</v>
      </c>
      <c r="H57" s="191">
        <f t="shared" si="1"/>
        <v>2.3871517058288085</v>
      </c>
      <c r="J57" s="188"/>
    </row>
    <row r="58" spans="1:10" ht="15.75">
      <c r="A58" s="208" t="s">
        <v>286</v>
      </c>
      <c r="B58" s="208">
        <v>25</v>
      </c>
      <c r="C58" s="208">
        <v>4933.3134</v>
      </c>
      <c r="D58" s="208">
        <v>5917.6</v>
      </c>
      <c r="E58" s="150">
        <f>B58*D58</f>
        <v>147940</v>
      </c>
      <c r="F58" s="151">
        <f>E58-G58</f>
        <v>24607.164999999994</v>
      </c>
      <c r="G58" s="151">
        <f>B58*C58</f>
        <v>123332.83500000001</v>
      </c>
      <c r="H58" s="191">
        <f t="shared" si="1"/>
        <v>0.19951836021607702</v>
      </c>
      <c r="J58" s="188"/>
    </row>
    <row r="59" spans="1:10" ht="15.75">
      <c r="A59" s="208" t="s">
        <v>287</v>
      </c>
      <c r="B59" s="208">
        <v>26</v>
      </c>
      <c r="C59" s="208">
        <v>2259</v>
      </c>
      <c r="D59" s="208">
        <v>2080.8000000000002</v>
      </c>
      <c r="E59" s="150">
        <f>B59*D59</f>
        <v>54100.800000000003</v>
      </c>
      <c r="F59" s="151">
        <f>E59-G59</f>
        <v>-4633.1999999999971</v>
      </c>
      <c r="G59" s="151">
        <f>B59*C59</f>
        <v>58734</v>
      </c>
      <c r="H59" s="191">
        <f t="shared" si="1"/>
        <v>-7.8884462151394372E-2</v>
      </c>
    </row>
    <row r="60" spans="1:10" ht="15.75">
      <c r="A60" s="208" t="s">
        <v>190</v>
      </c>
      <c r="B60" s="208">
        <v>28</v>
      </c>
      <c r="C60" s="208">
        <v>2226.3107</v>
      </c>
      <c r="D60" s="208">
        <v>2436.9499999999998</v>
      </c>
      <c r="E60" s="150">
        <f>B60*D60</f>
        <v>68234.599999999991</v>
      </c>
      <c r="F60" s="151">
        <f>E60-G60</f>
        <v>5897.9003999999914</v>
      </c>
      <c r="G60" s="151">
        <f>B60*C60</f>
        <v>62336.6996</v>
      </c>
      <c r="H60" s="191">
        <f t="shared" si="1"/>
        <v>9.4613613454761589E-2</v>
      </c>
      <c r="J60" s="188"/>
    </row>
    <row r="61" spans="1:10" ht="15.75">
      <c r="A61" s="208" t="s">
        <v>191</v>
      </c>
      <c r="B61" s="208">
        <v>114</v>
      </c>
      <c r="C61" s="208">
        <v>490.11970000000002</v>
      </c>
      <c r="D61" s="208">
        <v>670.7</v>
      </c>
      <c r="E61" s="150">
        <f>B61*D61</f>
        <v>76459.8</v>
      </c>
      <c r="F61" s="151">
        <f>E61-G61</f>
        <v>20586.154199999997</v>
      </c>
      <c r="G61" s="151">
        <f>B61*C61</f>
        <v>55873.645800000006</v>
      </c>
      <c r="H61" s="191">
        <f t="shared" si="1"/>
        <v>0.3684412195633025</v>
      </c>
    </row>
    <row r="62" spans="1:10" ht="15.75">
      <c r="A62" s="208" t="s">
        <v>192</v>
      </c>
      <c r="B62" s="208">
        <v>73</v>
      </c>
      <c r="C62" s="208">
        <v>735.56370000000004</v>
      </c>
      <c r="D62" s="208">
        <v>1115.75</v>
      </c>
      <c r="E62" s="150">
        <f>B62*D62</f>
        <v>81449.75</v>
      </c>
      <c r="F62" s="151">
        <f>E62-G62</f>
        <v>27753.599899999994</v>
      </c>
      <c r="G62" s="151">
        <f>B62*C62</f>
        <v>53696.150100000006</v>
      </c>
      <c r="H62" s="191">
        <f t="shared" si="1"/>
        <v>0.51686386916591975</v>
      </c>
      <c r="J62" s="188"/>
    </row>
    <row r="63" spans="1:10" ht="15.75">
      <c r="A63" s="208" t="s">
        <v>193</v>
      </c>
      <c r="B63" s="208">
        <v>75</v>
      </c>
      <c r="C63" s="208">
        <v>337.52229999999997</v>
      </c>
      <c r="D63" s="208">
        <v>374.15</v>
      </c>
      <c r="E63" s="150">
        <f>B63*D63</f>
        <v>28061.25</v>
      </c>
      <c r="F63" s="151">
        <f>E63-G63</f>
        <v>2747.0775000000031</v>
      </c>
      <c r="G63" s="151">
        <f>B63*C63</f>
        <v>25314.172499999997</v>
      </c>
      <c r="H63" s="191">
        <f t="shared" si="1"/>
        <v>0.10851934820306701</v>
      </c>
      <c r="J63" s="188"/>
    </row>
    <row r="64" spans="1:10" ht="15.75">
      <c r="A64" s="208" t="s">
        <v>189</v>
      </c>
      <c r="B64" s="208">
        <v>10</v>
      </c>
      <c r="C64" s="208">
        <v>1189.6300000000001</v>
      </c>
      <c r="D64" s="208">
        <v>2991.65</v>
      </c>
      <c r="E64" s="150">
        <f>B64*D64</f>
        <v>29916.5</v>
      </c>
      <c r="F64" s="151">
        <f>E64-G64</f>
        <v>18020.199999999997</v>
      </c>
      <c r="G64" s="151">
        <f>B64*C64</f>
        <v>11896.300000000001</v>
      </c>
      <c r="H64" s="191">
        <f t="shared" si="1"/>
        <v>1.5147735010045136</v>
      </c>
    </row>
    <row r="65" spans="1:10" ht="15.75">
      <c r="A65" s="208" t="s">
        <v>298</v>
      </c>
      <c r="B65" s="208">
        <v>190</v>
      </c>
      <c r="C65" s="208">
        <v>76.626199999999997</v>
      </c>
      <c r="D65" s="208">
        <v>141.26</v>
      </c>
      <c r="E65" s="150">
        <f>B65*D65</f>
        <v>26839.399999999998</v>
      </c>
      <c r="F65" s="151">
        <f>E65-G65</f>
        <v>12280.421999999999</v>
      </c>
      <c r="G65" s="151">
        <f>B65*C65</f>
        <v>14558.977999999999</v>
      </c>
      <c r="H65" s="191">
        <f t="shared" si="1"/>
        <v>0.84349478376847598</v>
      </c>
      <c r="J65" s="188"/>
    </row>
    <row r="66" spans="1:10" ht="15.75">
      <c r="A66" s="208" t="s">
        <v>195</v>
      </c>
      <c r="B66" s="208">
        <v>33</v>
      </c>
      <c r="C66" s="208">
        <v>2284.6242000000002</v>
      </c>
      <c r="D66" s="208">
        <v>2870.35</v>
      </c>
      <c r="E66" s="150">
        <f>B66*D66</f>
        <v>94721.55</v>
      </c>
      <c r="F66" s="151">
        <f>E66-G66</f>
        <v>19328.951399999991</v>
      </c>
      <c r="G66" s="151">
        <f>B66*C66</f>
        <v>75392.598600000012</v>
      </c>
      <c r="H66" s="191">
        <f t="shared" si="1"/>
        <v>0.25637730704244471</v>
      </c>
    </row>
    <row r="67" spans="1:10" ht="15.75">
      <c r="A67" s="208" t="s">
        <v>196</v>
      </c>
      <c r="B67" s="208">
        <v>21</v>
      </c>
      <c r="C67" s="208">
        <v>2605.8380999999999</v>
      </c>
      <c r="D67" s="208">
        <v>2313.1999999999998</v>
      </c>
      <c r="E67" s="150">
        <f>B67*D67</f>
        <v>48577.2</v>
      </c>
      <c r="F67" s="151">
        <f>E67-G67</f>
        <v>-6145.4000999999989</v>
      </c>
      <c r="G67" s="151">
        <f>B67*C67</f>
        <v>54722.600099999996</v>
      </c>
      <c r="H67" s="191">
        <f t="shared" si="1"/>
        <v>-0.11230095223490667</v>
      </c>
      <c r="J67" s="188"/>
    </row>
    <row r="68" spans="1:10" ht="15.75">
      <c r="A68" s="208" t="s">
        <v>197</v>
      </c>
      <c r="B68" s="208">
        <v>145</v>
      </c>
      <c r="C68" s="208">
        <v>127.6283</v>
      </c>
      <c r="D68" s="208">
        <v>138.63999999999999</v>
      </c>
      <c r="E68" s="150">
        <f>B68*D68</f>
        <v>20102.8</v>
      </c>
      <c r="F68" s="151">
        <f>E68-G68</f>
        <v>1596.6964999999982</v>
      </c>
      <c r="G68" s="151">
        <f>B68*C68</f>
        <v>18506.103500000001</v>
      </c>
      <c r="H68" s="191">
        <f t="shared" si="1"/>
        <v>8.6279453694830907E-2</v>
      </c>
      <c r="J68" s="188"/>
    </row>
    <row r="69" spans="1:10" ht="15.75">
      <c r="A69" s="208" t="s">
        <v>198</v>
      </c>
      <c r="B69" s="208">
        <v>88</v>
      </c>
      <c r="C69" s="208">
        <v>582.44380000000001</v>
      </c>
      <c r="D69" s="208">
        <v>1812.65</v>
      </c>
      <c r="E69" s="150">
        <f>B69*D69</f>
        <v>159513.20000000001</v>
      </c>
      <c r="F69" s="151">
        <f>E69-G69</f>
        <v>108258.14560000002</v>
      </c>
      <c r="G69" s="151">
        <f>B69*C69</f>
        <v>51255.054400000001</v>
      </c>
      <c r="H69" s="191">
        <f t="shared" si="1"/>
        <v>2.1121457555218206</v>
      </c>
      <c r="J69" s="188"/>
    </row>
    <row r="70" spans="1:10" ht="15.75">
      <c r="A70" s="208" t="s">
        <v>199</v>
      </c>
      <c r="B70" s="208">
        <v>10</v>
      </c>
      <c r="C70" s="208">
        <v>4342.57</v>
      </c>
      <c r="D70" s="208">
        <v>9125.9500000000007</v>
      </c>
      <c r="E70" s="150">
        <f>B70*D70</f>
        <v>91259.5</v>
      </c>
      <c r="F70" s="151">
        <f>E70-G70</f>
        <v>47833.8</v>
      </c>
      <c r="G70" s="151">
        <f>B70*C70</f>
        <v>43425.7</v>
      </c>
      <c r="H70" s="191">
        <f t="shared" si="1"/>
        <v>1.1015090142473238</v>
      </c>
      <c r="J70" s="188"/>
    </row>
    <row r="71" spans="1:10" ht="15.75">
      <c r="A71" s="208" t="s">
        <v>200</v>
      </c>
      <c r="B71" s="208">
        <v>300</v>
      </c>
      <c r="C71" s="208">
        <v>82.333299999999994</v>
      </c>
      <c r="D71" s="208">
        <v>262.61</v>
      </c>
      <c r="E71" s="150">
        <f>B71*D71</f>
        <v>78783</v>
      </c>
      <c r="F71" s="151">
        <f>E71-G71</f>
        <v>54083.01</v>
      </c>
      <c r="G71" s="151">
        <f>B71*C71</f>
        <v>24699.989999999998</v>
      </c>
      <c r="H71" s="191">
        <f t="shared" si="1"/>
        <v>2.1895964330349935</v>
      </c>
      <c r="J71" s="188"/>
    </row>
    <row r="72" spans="1:10" ht="15.75">
      <c r="A72" s="208" t="s">
        <v>201</v>
      </c>
      <c r="B72" s="208">
        <v>16</v>
      </c>
      <c r="C72" s="208">
        <v>2003.9656</v>
      </c>
      <c r="D72" s="208">
        <v>6034.4</v>
      </c>
      <c r="E72" s="150">
        <f>B72*D72</f>
        <v>96550.399999999994</v>
      </c>
      <c r="F72" s="151">
        <f>E72-G72</f>
        <v>64486.950399999994</v>
      </c>
      <c r="G72" s="151">
        <f>B72*C72</f>
        <v>32063.4496</v>
      </c>
      <c r="H72" s="191">
        <f t="shared" si="1"/>
        <v>2.0112293344756016</v>
      </c>
      <c r="J72" s="188"/>
    </row>
    <row r="73" spans="1:10" ht="15.75">
      <c r="A73" s="208" t="s">
        <v>202</v>
      </c>
      <c r="B73" s="208">
        <v>44</v>
      </c>
      <c r="C73" s="208">
        <v>684.85680000000002</v>
      </c>
      <c r="D73" s="208">
        <v>1642.1</v>
      </c>
      <c r="E73" s="150">
        <f>B73*D73</f>
        <v>72252.399999999994</v>
      </c>
      <c r="F73" s="151">
        <f>E73-G73</f>
        <v>42118.700799999991</v>
      </c>
      <c r="G73" s="151">
        <f>B73*C73</f>
        <v>30133.699200000003</v>
      </c>
      <c r="H73" s="191">
        <f t="shared" si="1"/>
        <v>1.3977275249365995</v>
      </c>
    </row>
    <row r="74" spans="1:10" ht="15.75">
      <c r="A74" s="208" t="s">
        <v>203</v>
      </c>
      <c r="B74" s="208">
        <v>30</v>
      </c>
      <c r="C74" s="208">
        <v>2499.145</v>
      </c>
      <c r="D74" s="208">
        <v>2871.7</v>
      </c>
      <c r="E74" s="150">
        <f>B74*D74</f>
        <v>86151</v>
      </c>
      <c r="F74" s="151">
        <f>E74-G74</f>
        <v>11176.649999999994</v>
      </c>
      <c r="G74" s="151">
        <f>B74*C74</f>
        <v>74974.350000000006</v>
      </c>
      <c r="H74" s="191">
        <f t="shared" si="1"/>
        <v>0.1490729829601723</v>
      </c>
      <c r="J74" s="188"/>
    </row>
    <row r="75" spans="1:10" ht="15.75">
      <c r="A75" s="208" t="s">
        <v>288</v>
      </c>
      <c r="B75" s="208">
        <v>35</v>
      </c>
      <c r="C75" s="208">
        <v>1828.05</v>
      </c>
      <c r="D75" s="208">
        <v>1726.85</v>
      </c>
      <c r="E75" s="150">
        <f>B75*D75</f>
        <v>60439.75</v>
      </c>
      <c r="F75" s="151">
        <f>E75-G75</f>
        <v>-3542</v>
      </c>
      <c r="G75" s="151">
        <f>B75*C75</f>
        <v>63981.75</v>
      </c>
      <c r="H75" s="191">
        <f t="shared" si="1"/>
        <v>-5.535953611772107E-2</v>
      </c>
      <c r="J75" s="188"/>
    </row>
    <row r="76" spans="1:10" ht="15.75">
      <c r="A76" s="208" t="s">
        <v>204</v>
      </c>
      <c r="B76" s="208">
        <v>24</v>
      </c>
      <c r="C76" s="208">
        <v>625.9375</v>
      </c>
      <c r="D76" s="208">
        <v>1363</v>
      </c>
      <c r="E76" s="150">
        <f>B76*D76</f>
        <v>32712</v>
      </c>
      <c r="F76" s="151">
        <f>E76-G76</f>
        <v>17689.5</v>
      </c>
      <c r="G76" s="151">
        <f>B76*C76</f>
        <v>15022.5</v>
      </c>
      <c r="H76" s="191">
        <f t="shared" si="1"/>
        <v>1.1775336994508239</v>
      </c>
      <c r="J76" s="188"/>
    </row>
    <row r="77" spans="1:10" ht="15.75">
      <c r="A77" s="208" t="s">
        <v>206</v>
      </c>
      <c r="B77" s="208">
        <v>54</v>
      </c>
      <c r="C77" s="208">
        <v>1278.8574000000001</v>
      </c>
      <c r="D77" s="208">
        <v>1484.35</v>
      </c>
      <c r="E77" s="150">
        <f>B77*D77</f>
        <v>80154.899999999994</v>
      </c>
      <c r="F77" s="151">
        <f>E77-G77</f>
        <v>11096.600399999996</v>
      </c>
      <c r="G77" s="151">
        <f>B77*C77</f>
        <v>69058.299599999998</v>
      </c>
      <c r="H77" s="191">
        <f t="shared" si="1"/>
        <v>0.16068452979980405</v>
      </c>
    </row>
    <row r="78" spans="1:10" ht="15.75">
      <c r="A78" s="208" t="s">
        <v>207</v>
      </c>
      <c r="B78" s="208">
        <v>59</v>
      </c>
      <c r="C78" s="208">
        <v>390.95760000000001</v>
      </c>
      <c r="D78" s="208">
        <v>773.1</v>
      </c>
      <c r="E78" s="150">
        <f>B78*D78</f>
        <v>45612.9</v>
      </c>
      <c r="F78" s="151">
        <f>E78-G78</f>
        <v>22546.401600000001</v>
      </c>
      <c r="G78" s="151">
        <f>B78*C78</f>
        <v>23066.4984</v>
      </c>
      <c r="H78" s="191">
        <f t="shared" si="1"/>
        <v>0.97745228638604287</v>
      </c>
    </row>
    <row r="79" spans="1:10" ht="15.75">
      <c r="A79" s="208" t="s">
        <v>262</v>
      </c>
      <c r="B79" s="208">
        <v>10</v>
      </c>
      <c r="C79" s="208">
        <v>5284</v>
      </c>
      <c r="D79" s="208">
        <v>8339.76</v>
      </c>
      <c r="E79" s="150">
        <f>B79*D79</f>
        <v>83397.600000000006</v>
      </c>
      <c r="F79" s="151">
        <f>E79-G79</f>
        <v>30557.600000000006</v>
      </c>
      <c r="G79" s="151">
        <f>B79*C79</f>
        <v>52840</v>
      </c>
      <c r="H79" s="191">
        <f t="shared" si="1"/>
        <v>0.57830431491294487</v>
      </c>
    </row>
    <row r="80" spans="1:10" ht="15.75">
      <c r="A80" s="208" t="s">
        <v>209</v>
      </c>
      <c r="B80" s="208">
        <v>5</v>
      </c>
      <c r="C80" s="208">
        <v>4802</v>
      </c>
      <c r="D80" s="208">
        <v>8260</v>
      </c>
      <c r="E80" s="150">
        <f>B80*D80</f>
        <v>41300</v>
      </c>
      <c r="F80" s="151">
        <f>E80-G80</f>
        <v>17290</v>
      </c>
      <c r="G80" s="151">
        <f>B80*C80</f>
        <v>24010</v>
      </c>
      <c r="H80" s="191">
        <f t="shared" ref="H80:H111" si="2">F80/G80</f>
        <v>0.72011661807580174</v>
      </c>
      <c r="J80" s="188"/>
    </row>
    <row r="81" spans="1:10" ht="15.75">
      <c r="A81" s="208" t="s">
        <v>210</v>
      </c>
      <c r="B81" s="208">
        <v>10</v>
      </c>
      <c r="C81" s="208">
        <v>5002.45</v>
      </c>
      <c r="D81" s="208">
        <v>8273</v>
      </c>
      <c r="E81" s="150">
        <f>B81*D81</f>
        <v>82730</v>
      </c>
      <c r="F81" s="151">
        <f>E81-G81</f>
        <v>32705.5</v>
      </c>
      <c r="G81" s="151">
        <f>B81*C81</f>
        <v>50024.5</v>
      </c>
      <c r="H81" s="191">
        <f t="shared" si="2"/>
        <v>0.65378964307489329</v>
      </c>
      <c r="J81" s="188"/>
    </row>
    <row r="82" spans="1:10" ht="15.75">
      <c r="A82" s="208" t="s">
        <v>211</v>
      </c>
      <c r="B82" s="208">
        <v>35</v>
      </c>
      <c r="C82" s="208">
        <v>984.23</v>
      </c>
      <c r="D82" s="208">
        <v>6079.3</v>
      </c>
      <c r="E82" s="150">
        <f>B82*D82</f>
        <v>212775.5</v>
      </c>
      <c r="F82" s="151">
        <f>E82-G82</f>
        <v>178327.45</v>
      </c>
      <c r="G82" s="151">
        <f>B82*C82</f>
        <v>34448.050000000003</v>
      </c>
      <c r="H82" s="191">
        <f t="shared" si="2"/>
        <v>5.1767066640927428</v>
      </c>
    </row>
    <row r="83" spans="1:10" ht="15.75">
      <c r="A83" s="208" t="s">
        <v>289</v>
      </c>
      <c r="B83" s="208">
        <v>21</v>
      </c>
      <c r="C83" s="208">
        <v>1808</v>
      </c>
      <c r="D83" s="208">
        <v>1325.8</v>
      </c>
      <c r="E83" s="150">
        <f>B83*D83</f>
        <v>27841.8</v>
      </c>
      <c r="F83" s="151">
        <f>E83-G83</f>
        <v>-10126.200000000001</v>
      </c>
      <c r="G83" s="151">
        <f>B83*C83</f>
        <v>37968</v>
      </c>
      <c r="H83" s="191">
        <f t="shared" si="2"/>
        <v>-0.26670353982300887</v>
      </c>
    </row>
    <row r="84" spans="1:10" ht="15.75">
      <c r="A84" s="208" t="s">
        <v>290</v>
      </c>
      <c r="B84" s="208">
        <v>43</v>
      </c>
      <c r="C84" s="208">
        <v>566.69190000000003</v>
      </c>
      <c r="D84" s="208">
        <v>504.3</v>
      </c>
      <c r="E84" s="150">
        <f>B84*D84</f>
        <v>21684.9</v>
      </c>
      <c r="F84" s="151">
        <f>E84-G84</f>
        <v>-2682.8516999999993</v>
      </c>
      <c r="G84" s="151">
        <f>B84*C84</f>
        <v>24367.751700000001</v>
      </c>
      <c r="H84" s="191">
        <f t="shared" si="2"/>
        <v>-0.1100984503219474</v>
      </c>
      <c r="J84" s="188"/>
    </row>
    <row r="85" spans="1:10" ht="15.75">
      <c r="A85" s="208" t="s">
        <v>291</v>
      </c>
      <c r="B85" s="208">
        <v>208</v>
      </c>
      <c r="C85" s="208">
        <v>484.863</v>
      </c>
      <c r="D85" s="208">
        <v>433.55</v>
      </c>
      <c r="E85" s="150">
        <f>B85*D85</f>
        <v>90178.400000000009</v>
      </c>
      <c r="F85" s="151">
        <f>E85-G85</f>
        <v>-10673.103999999992</v>
      </c>
      <c r="G85" s="151">
        <f>B85*C85</f>
        <v>100851.504</v>
      </c>
      <c r="H85" s="191">
        <f t="shared" si="2"/>
        <v>-0.10582989421754178</v>
      </c>
      <c r="J85" s="188"/>
    </row>
    <row r="86" spans="1:10" ht="15.75">
      <c r="A86" s="208" t="s">
        <v>292</v>
      </c>
      <c r="B86" s="208">
        <v>59</v>
      </c>
      <c r="C86" s="208">
        <v>983.68640000000005</v>
      </c>
      <c r="D86" s="208">
        <v>1044.2</v>
      </c>
      <c r="E86" s="150">
        <f>B86*D86</f>
        <v>61607.8</v>
      </c>
      <c r="F86" s="151">
        <f>E86-G86</f>
        <v>3570.3024000000005</v>
      </c>
      <c r="G86" s="151">
        <f>B86*C86</f>
        <v>58037.497600000002</v>
      </c>
      <c r="H86" s="191">
        <f t="shared" si="2"/>
        <v>6.1517166446542315E-2</v>
      </c>
    </row>
    <row r="87" spans="1:10" ht="15.75">
      <c r="A87" s="208" t="s">
        <v>212</v>
      </c>
      <c r="B87" s="208">
        <v>143</v>
      </c>
      <c r="C87" s="208">
        <v>579.84019999999998</v>
      </c>
      <c r="D87" s="208">
        <v>1743.95</v>
      </c>
      <c r="E87" s="150">
        <f>B87*D87</f>
        <v>249384.85</v>
      </c>
      <c r="F87" s="151">
        <f>E87-G87</f>
        <v>166467.70140000002</v>
      </c>
      <c r="G87" s="151">
        <f>B87*C87</f>
        <v>82917.1486</v>
      </c>
      <c r="H87" s="191">
        <f t="shared" si="2"/>
        <v>2.0076390012282697</v>
      </c>
    </row>
    <row r="88" spans="1:10" ht="15.75">
      <c r="A88" s="208" t="s">
        <v>293</v>
      </c>
      <c r="B88" s="208">
        <v>47</v>
      </c>
      <c r="C88" s="208">
        <v>426.11279999999999</v>
      </c>
      <c r="D88" s="208">
        <v>406.75</v>
      </c>
      <c r="E88" s="150">
        <f>B88*D88</f>
        <v>19117.25</v>
      </c>
      <c r="F88" s="151">
        <f>E88-G88</f>
        <v>-910.05159999999887</v>
      </c>
      <c r="G88" s="151">
        <f>B88*C88</f>
        <v>20027.301599999999</v>
      </c>
      <c r="H88" s="191">
        <f t="shared" si="2"/>
        <v>-4.544055001398685E-2</v>
      </c>
      <c r="J88" s="188"/>
    </row>
    <row r="89" spans="1:10" ht="15.75">
      <c r="A89" s="208" t="s">
        <v>213</v>
      </c>
      <c r="B89" s="208">
        <v>75</v>
      </c>
      <c r="C89" s="208">
        <v>581.84</v>
      </c>
      <c r="D89" s="208">
        <v>747</v>
      </c>
      <c r="E89" s="150">
        <f>B89*D89</f>
        <v>56025</v>
      </c>
      <c r="F89" s="151">
        <f>E89-G89</f>
        <v>12387</v>
      </c>
      <c r="G89" s="151">
        <f>B89*C89</f>
        <v>43638</v>
      </c>
      <c r="H89" s="191">
        <f t="shared" si="2"/>
        <v>0.28385810532105044</v>
      </c>
    </row>
    <row r="90" spans="1:10" ht="15.75">
      <c r="A90" s="208" t="s">
        <v>214</v>
      </c>
      <c r="B90" s="208">
        <v>46</v>
      </c>
      <c r="C90" s="208">
        <v>794.50649999999996</v>
      </c>
      <c r="D90" s="208">
        <v>1024.6500000000001</v>
      </c>
      <c r="E90" s="150">
        <f>B90*D90</f>
        <v>47133.9</v>
      </c>
      <c r="F90" s="151">
        <f>E90-G90</f>
        <v>10586.601000000002</v>
      </c>
      <c r="G90" s="151">
        <f>B90*C90</f>
        <v>36547.298999999999</v>
      </c>
      <c r="H90" s="191">
        <f t="shared" si="2"/>
        <v>0.28966849232825664</v>
      </c>
    </row>
    <row r="91" spans="1:10" ht="15.75">
      <c r="A91" s="208" t="s">
        <v>267</v>
      </c>
      <c r="B91" s="208">
        <v>579</v>
      </c>
      <c r="C91" s="208">
        <v>203.54480000000001</v>
      </c>
      <c r="D91" s="208">
        <v>716.1</v>
      </c>
      <c r="E91" s="150">
        <f>B91*D91</f>
        <v>414621.9</v>
      </c>
      <c r="F91" s="151">
        <f>E91-G91</f>
        <v>296769.4608</v>
      </c>
      <c r="G91" s="151">
        <f>B91*C91</f>
        <v>117852.43920000001</v>
      </c>
      <c r="H91" s="191">
        <f t="shared" si="2"/>
        <v>2.5181444085036806</v>
      </c>
    </row>
    <row r="92" spans="1:10" ht="15.75">
      <c r="A92" s="208" t="s">
        <v>215</v>
      </c>
      <c r="B92" s="208">
        <v>1050</v>
      </c>
      <c r="C92" s="208">
        <v>40.476399999999998</v>
      </c>
      <c r="D92" s="208">
        <v>134.65</v>
      </c>
      <c r="E92" s="150">
        <f>B92*D92</f>
        <v>141382.5</v>
      </c>
      <c r="F92" s="151">
        <f>E92-G92</f>
        <v>98882.28</v>
      </c>
      <c r="G92" s="151">
        <f>B92*C92</f>
        <v>42500.22</v>
      </c>
      <c r="H92" s="191">
        <f t="shared" si="2"/>
        <v>2.3266298386220119</v>
      </c>
    </row>
    <row r="93" spans="1:10" ht="15.75">
      <c r="A93" s="208" t="s">
        <v>216</v>
      </c>
      <c r="B93" s="208">
        <v>33</v>
      </c>
      <c r="C93" s="208">
        <v>3575.8955000000001</v>
      </c>
      <c r="D93" s="208">
        <v>4112.3999999999996</v>
      </c>
      <c r="E93" s="150">
        <f>B93*D93</f>
        <v>135709.19999999998</v>
      </c>
      <c r="F93" s="151">
        <f>E93-G93</f>
        <v>17704.648499999981</v>
      </c>
      <c r="G93" s="151">
        <f>B93*C93</f>
        <v>118004.5515</v>
      </c>
      <c r="H93" s="191">
        <f t="shared" si="2"/>
        <v>0.15003360696642265</v>
      </c>
    </row>
    <row r="94" spans="1:10" ht="15.75">
      <c r="A94" s="208" t="s">
        <v>217</v>
      </c>
      <c r="B94" s="208">
        <v>24</v>
      </c>
      <c r="C94" s="208">
        <v>2584.4</v>
      </c>
      <c r="D94" s="208">
        <v>3490.25</v>
      </c>
      <c r="E94" s="150">
        <f>B94*D94</f>
        <v>83766</v>
      </c>
      <c r="F94" s="151">
        <f>E94-G94</f>
        <v>21740.399999999994</v>
      </c>
      <c r="G94" s="151">
        <f>B94*C94</f>
        <v>62025.600000000006</v>
      </c>
      <c r="H94" s="191">
        <f t="shared" si="2"/>
        <v>0.35050688747871833</v>
      </c>
    </row>
    <row r="95" spans="1:10" ht="15.75">
      <c r="A95" s="208" t="s">
        <v>220</v>
      </c>
      <c r="B95" s="208">
        <v>45</v>
      </c>
      <c r="C95" s="208">
        <v>355.2133</v>
      </c>
      <c r="D95" s="208">
        <v>945.95</v>
      </c>
      <c r="E95" s="150">
        <f>B95*D95</f>
        <v>42567.75</v>
      </c>
      <c r="F95" s="151">
        <f>E95-G95</f>
        <v>26583.1515</v>
      </c>
      <c r="G95" s="151">
        <f>B95*C95</f>
        <v>15984.5985</v>
      </c>
      <c r="H95" s="191">
        <f t="shared" si="2"/>
        <v>1.6630478081761015</v>
      </c>
    </row>
    <row r="96" spans="1:10" ht="15.75">
      <c r="A96" s="149"/>
      <c r="B96" s="209">
        <v>90</v>
      </c>
      <c r="C96" s="209">
        <v>48.040599999999998</v>
      </c>
      <c r="D96" s="209">
        <v>536.75</v>
      </c>
      <c r="E96" s="150">
        <f>B96*D96</f>
        <v>48307.5</v>
      </c>
      <c r="F96" s="151">
        <f>E96-G96</f>
        <v>43983.845999999998</v>
      </c>
      <c r="G96" s="151">
        <f>B96*C96</f>
        <v>4323.6539999999995</v>
      </c>
      <c r="H96" s="191">
        <f t="shared" si="2"/>
        <v>10.172841305062802</v>
      </c>
    </row>
    <row r="97" spans="1:8" ht="16.5">
      <c r="A97" s="149"/>
      <c r="B97" s="150"/>
      <c r="C97" s="150"/>
      <c r="D97" s="150"/>
      <c r="E97" s="150"/>
      <c r="F97" s="150"/>
      <c r="G97" s="151"/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15569.214</v>
      </c>
      <c r="C104" s="45"/>
      <c r="D104" s="45"/>
      <c r="E104" s="45">
        <f>SUM(E2:E103)</f>
        <v>7803158.120000001</v>
      </c>
      <c r="F104" s="45">
        <f>SUM(F2:F103)</f>
        <v>2992943.2870955998</v>
      </c>
      <c r="G104" s="45">
        <f>SUM(G2:G103)</f>
        <v>4810214.8329043994</v>
      </c>
      <c r="H104" s="176">
        <f>F104/G104</f>
        <v>0.62220574154449271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39D8-8FFF-4A70-8F88-40F07FF7A8AF}">
  <dimension ref="A1:J18"/>
  <sheetViews>
    <sheetView workbookViewId="0">
      <selection activeCell="G16" sqref="G16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t="s">
        <v>233</v>
      </c>
      <c r="C2" s="188">
        <v>20533.901999999998</v>
      </c>
      <c r="D2">
        <v>7.57</v>
      </c>
      <c r="E2">
        <v>7.7965</v>
      </c>
      <c r="F2" s="188">
        <v>160092.00270000001</v>
      </c>
      <c r="G2" s="188">
        <v>155441.63810000001</v>
      </c>
      <c r="H2" s="188">
        <v>-4650.3645999999999</v>
      </c>
      <c r="I2" s="192">
        <f>H2/F2</f>
        <v>-2.904807561633433E-2</v>
      </c>
    </row>
    <row r="3" spans="1:9">
      <c r="A3" s="168" t="s">
        <v>234</v>
      </c>
      <c r="B3" t="s">
        <v>235</v>
      </c>
      <c r="C3" s="188">
        <v>4080.9659999999999</v>
      </c>
      <c r="D3">
        <v>117.48</v>
      </c>
      <c r="E3">
        <v>68.607799999999997</v>
      </c>
      <c r="F3" s="188">
        <v>279986.10960000003</v>
      </c>
      <c r="G3" s="188">
        <v>479431.88569999998</v>
      </c>
      <c r="H3" s="188">
        <v>199445.77609999999</v>
      </c>
      <c r="I3" s="192">
        <f t="shared" ref="I3:I18" si="0">H3/F3</f>
        <v>0.71234168146747223</v>
      </c>
    </row>
    <row r="4" spans="1:9">
      <c r="A4" s="168" t="s">
        <v>236</v>
      </c>
      <c r="B4" t="s">
        <v>237</v>
      </c>
      <c r="C4" s="188">
        <v>14235.332</v>
      </c>
      <c r="D4">
        <v>112.03</v>
      </c>
      <c r="E4">
        <v>47.766100000000002</v>
      </c>
      <c r="F4" s="188">
        <v>679966.92570000002</v>
      </c>
      <c r="G4" s="188">
        <v>1594784.2439999999</v>
      </c>
      <c r="H4" s="188">
        <v>914817.31830000004</v>
      </c>
      <c r="I4" s="192">
        <f t="shared" si="0"/>
        <v>1.3453850234821796</v>
      </c>
    </row>
    <row r="5" spans="1:9">
      <c r="A5" s="168" t="s">
        <v>238</v>
      </c>
      <c r="B5" t="s">
        <v>237</v>
      </c>
      <c r="C5" s="188">
        <v>28728.922999999999</v>
      </c>
      <c r="D5">
        <v>39.44</v>
      </c>
      <c r="E5">
        <v>32.892000000000003</v>
      </c>
      <c r="F5" s="188">
        <v>944952.75300000003</v>
      </c>
      <c r="G5" s="188">
        <v>1133068.7231000001</v>
      </c>
      <c r="H5" s="188">
        <v>188115.97010000001</v>
      </c>
      <c r="I5" s="192">
        <f t="shared" si="0"/>
        <v>0.19907447171594198</v>
      </c>
    </row>
    <row r="6" spans="1:9">
      <c r="A6" s="168" t="s">
        <v>240</v>
      </c>
      <c r="B6" t="s">
        <v>241</v>
      </c>
      <c r="C6" s="188">
        <v>1857.5519999999999</v>
      </c>
      <c r="D6">
        <v>722.95360000000005</v>
      </c>
      <c r="E6">
        <v>366.02140000000003</v>
      </c>
      <c r="F6" s="188">
        <v>679903.69869999995</v>
      </c>
      <c r="G6" s="188">
        <v>1342923.9055999999</v>
      </c>
      <c r="H6" s="188">
        <v>663020.20689999999</v>
      </c>
      <c r="I6" s="192">
        <f t="shared" si="0"/>
        <v>0.97516781886569848</v>
      </c>
    </row>
    <row r="7" spans="1:9">
      <c r="A7" s="168" t="s">
        <v>242</v>
      </c>
      <c r="B7" t="s">
        <v>237</v>
      </c>
      <c r="C7" s="188">
        <v>4306.576</v>
      </c>
      <c r="D7">
        <v>142.60900000000001</v>
      </c>
      <c r="E7">
        <v>44.3917</v>
      </c>
      <c r="F7" s="188">
        <v>191176.2298</v>
      </c>
      <c r="G7" s="188">
        <v>614156.49679999996</v>
      </c>
      <c r="H7" s="188">
        <v>422980.26699999999</v>
      </c>
      <c r="I7" s="192">
        <f t="shared" si="0"/>
        <v>2.2125149525257557</v>
      </c>
    </row>
    <row r="8" spans="1:9">
      <c r="A8" s="168" t="s">
        <v>272</v>
      </c>
      <c r="B8" t="s">
        <v>235</v>
      </c>
      <c r="C8" s="188">
        <v>5805.7370000000001</v>
      </c>
      <c r="D8">
        <v>139.33099999999999</v>
      </c>
      <c r="E8">
        <v>41.940399999999997</v>
      </c>
      <c r="F8" s="188">
        <v>243495.1642</v>
      </c>
      <c r="G8" s="188">
        <v>808919.14190000005</v>
      </c>
      <c r="H8" s="188">
        <v>565423.97770000005</v>
      </c>
      <c r="I8" s="192">
        <f t="shared" si="0"/>
        <v>2.3221158397855364</v>
      </c>
    </row>
    <row r="9" spans="1:9">
      <c r="A9" s="168" t="s">
        <v>244</v>
      </c>
      <c r="B9" t="s">
        <v>233</v>
      </c>
      <c r="C9" s="188">
        <v>13136.35</v>
      </c>
      <c r="D9">
        <v>43.8949</v>
      </c>
      <c r="E9">
        <v>29.687100000000001</v>
      </c>
      <c r="F9" s="188">
        <v>389980.446</v>
      </c>
      <c r="G9" s="188">
        <v>576618.7696</v>
      </c>
      <c r="H9" s="188">
        <v>186638.3236</v>
      </c>
      <c r="I9" s="192">
        <f t="shared" si="0"/>
        <v>0.47858379955799119</v>
      </c>
    </row>
    <row r="10" spans="1:9">
      <c r="A10" s="168" t="s">
        <v>273</v>
      </c>
      <c r="B10" t="s">
        <v>233</v>
      </c>
      <c r="C10" s="188">
        <v>82131.043999999994</v>
      </c>
      <c r="D10">
        <v>16.601800000000001</v>
      </c>
      <c r="E10">
        <v>9.9227000000000007</v>
      </c>
      <c r="F10" s="188">
        <v>814959.2439</v>
      </c>
      <c r="G10" s="188">
        <v>1363523.1662999999</v>
      </c>
      <c r="H10" s="188">
        <v>548563.92240000004</v>
      </c>
      <c r="I10" s="192">
        <f t="shared" si="0"/>
        <v>0.67311822831144164</v>
      </c>
    </row>
    <row r="11" spans="1:9">
      <c r="A11" s="168" t="s">
        <v>246</v>
      </c>
      <c r="B11" t="s">
        <v>241</v>
      </c>
      <c r="C11" s="188">
        <v>71662.639500000005</v>
      </c>
      <c r="D11">
        <v>15.0776</v>
      </c>
      <c r="E11">
        <v>12.7049</v>
      </c>
      <c r="F11" s="188">
        <v>910465.01630000002</v>
      </c>
      <c r="G11" s="188">
        <v>1080500.6133000001</v>
      </c>
      <c r="H11" s="188">
        <v>170035.59700000001</v>
      </c>
      <c r="I11" s="192">
        <f t="shared" si="0"/>
        <v>0.18675687034192751</v>
      </c>
    </row>
    <row r="12" spans="1:9">
      <c r="A12" s="168" t="s">
        <v>247</v>
      </c>
      <c r="B12" t="s">
        <v>241</v>
      </c>
      <c r="C12" s="188">
        <v>41232.152000000002</v>
      </c>
      <c r="D12">
        <v>14.6957</v>
      </c>
      <c r="E12">
        <v>14.078099999999999</v>
      </c>
      <c r="F12" s="188">
        <v>580470.96640000003</v>
      </c>
      <c r="G12" s="188">
        <v>605935.33609999996</v>
      </c>
      <c r="H12" s="188">
        <v>25464.3698</v>
      </c>
      <c r="I12" s="192">
        <f t="shared" si="0"/>
        <v>4.386846418508486E-2</v>
      </c>
    </row>
    <row r="13" spans="1:9">
      <c r="A13" s="168" t="s">
        <v>250</v>
      </c>
      <c r="B13" t="s">
        <v>251</v>
      </c>
      <c r="C13" s="188">
        <v>19397.659</v>
      </c>
      <c r="D13">
        <v>86.454800000000006</v>
      </c>
      <c r="E13">
        <v>44.640599999999999</v>
      </c>
      <c r="F13" s="188">
        <v>865923.00470000005</v>
      </c>
      <c r="G13" s="188">
        <v>1677020.7293</v>
      </c>
      <c r="H13" s="188">
        <v>811097.72459999996</v>
      </c>
      <c r="I13" s="192">
        <f t="shared" si="0"/>
        <v>0.93668573325523974</v>
      </c>
    </row>
    <row r="14" spans="1:9">
      <c r="A14" s="168" t="s">
        <v>274</v>
      </c>
      <c r="B14" t="s">
        <v>233</v>
      </c>
      <c r="C14" s="188">
        <v>6809.741</v>
      </c>
      <c r="D14">
        <v>50.45</v>
      </c>
      <c r="E14">
        <v>35.241999999999997</v>
      </c>
      <c r="F14" s="188">
        <v>239988.8371</v>
      </c>
      <c r="G14" s="188">
        <v>343551.43339999998</v>
      </c>
      <c r="H14" s="188">
        <v>103562.5963</v>
      </c>
      <c r="I14" s="192">
        <f t="shared" si="0"/>
        <v>0.43153088931735151</v>
      </c>
    </row>
    <row r="15" spans="1:9">
      <c r="A15" s="168" t="s">
        <v>253</v>
      </c>
      <c r="B15" t="s">
        <v>235</v>
      </c>
      <c r="C15" s="188">
        <v>4626.78</v>
      </c>
      <c r="D15">
        <v>234.02109999999999</v>
      </c>
      <c r="E15">
        <v>194.5872</v>
      </c>
      <c r="F15" s="188">
        <v>900312.09869999997</v>
      </c>
      <c r="G15" s="188">
        <v>1082764.1451000001</v>
      </c>
      <c r="H15" s="188">
        <v>182452.04639999999</v>
      </c>
      <c r="I15" s="192">
        <f t="shared" si="0"/>
        <v>0.20265422031254549</v>
      </c>
    </row>
    <row r="16" spans="1:9">
      <c r="A16" s="168" t="s">
        <v>255</v>
      </c>
      <c r="B16" t="s">
        <v>241</v>
      </c>
      <c r="C16" s="188">
        <v>18996.168000000001</v>
      </c>
      <c r="D16">
        <v>22.8552</v>
      </c>
      <c r="E16">
        <v>9.4700000000000006</v>
      </c>
      <c r="F16" s="188">
        <v>179893.71100000001</v>
      </c>
      <c r="G16" s="188">
        <v>434161.21889999998</v>
      </c>
      <c r="H16" s="188">
        <v>254267.5079</v>
      </c>
      <c r="I16" s="192">
        <f t="shared" si="0"/>
        <v>1.4134318897896323</v>
      </c>
    </row>
    <row r="17" spans="1:10">
      <c r="A17" s="168"/>
      <c r="B17"/>
      <c r="C17" s="188"/>
      <c r="D17"/>
      <c r="E17"/>
      <c r="F17" s="188"/>
      <c r="G17" s="188"/>
      <c r="H17" s="188"/>
      <c r="I17" s="192"/>
    </row>
    <row r="18" spans="1:10">
      <c r="A18" s="74" t="s">
        <v>11</v>
      </c>
      <c r="B18" s="75"/>
      <c r="C18" s="75">
        <f>SUM(C2:C17)</f>
        <v>337541.52149999997</v>
      </c>
      <c r="D18" s="75"/>
      <c r="E18" s="75"/>
      <c r="F18" s="75">
        <f>SUM(F2:F17)</f>
        <v>8061566.2078000009</v>
      </c>
      <c r="G18" s="75">
        <f>SUM(G2:G17)</f>
        <v>13292801.447199998</v>
      </c>
      <c r="H18" s="75">
        <f>G18-F18</f>
        <v>5231235.2393999975</v>
      </c>
      <c r="I18" s="53">
        <f t="shared" si="0"/>
        <v>0.6489105348211982</v>
      </c>
      <c r="J18" s="202"/>
    </row>
  </sheetData>
  <hyperlinks>
    <hyperlink ref="A2" r:id="rId1" location="/mf/1831632/41287/NULL" xr:uid="{4D7FD39E-9E69-4694-8E82-959F63B9F227}"/>
    <hyperlink ref="A3" r:id="rId2" location="/mf/1831632/15690/NULL" xr:uid="{634127AE-D2BB-4887-BAB2-E50ACD860311}"/>
    <hyperlink ref="A4" r:id="rId3" location="/mf/1831632/22335/NULL" xr:uid="{13615E28-E7BB-4A25-AD80-791FC4553AFC}"/>
    <hyperlink ref="A5" r:id="rId4" location="/mf/1831632/38817/NULL" xr:uid="{6E32AF41-D34D-41EB-A13E-B3F39F707858}"/>
    <hyperlink ref="A6" r:id="rId5" location="/mf/1831632/16071/NULL" xr:uid="{6A6D16E0-408F-4165-88D7-EE00E62D53BE}"/>
    <hyperlink ref="A7" r:id="rId6" location="/mf/1831632/16617/NULL" xr:uid="{65548221-94BD-4ACE-851D-A8F96F05A640}"/>
    <hyperlink ref="A8" r:id="rId7" location="/mf/1831632/17134/NULL" xr:uid="{617AFCC8-81EB-4FB8-9CEC-501A2998BD8C}"/>
    <hyperlink ref="A9" r:id="rId8" location="/mf/1831632/38228/NULL" xr:uid="{6F6E4E74-1CB3-4B51-B6A8-2255BAEA0F9E}"/>
    <hyperlink ref="A10" r:id="rId9" location="/mf/1831632/42135/NULL" xr:uid="{90BBF816-B958-4888-9FE7-4C0A00001775}"/>
    <hyperlink ref="A11" r:id="rId10" location="/mf/1831632/41574/NULL" xr:uid="{B5FB242A-E1E0-485D-A5F0-B89BD501F6CA}"/>
    <hyperlink ref="A12" r:id="rId11" location="/mf/1831632/41937/NULL" xr:uid="{011D00C9-C1FA-49B6-B7C2-EDC973B3C7F5}"/>
    <hyperlink ref="A13" r:id="rId12" location="/mf/1831632/19701/NULL" xr:uid="{CD6A8224-2D7E-4196-B7F4-BEA1ABD28D55}"/>
    <hyperlink ref="A14" r:id="rId13" location="/mf/1831632/17348/NULL" xr:uid="{067E1760-1CA1-438B-8E83-371C2DE7C59F}"/>
    <hyperlink ref="A15" r:id="rId14" location="/mf/1831632/17375/NULL" xr:uid="{6EFDE569-5F55-4411-B44E-95948C0980FC}"/>
    <hyperlink ref="A16" r:id="rId15" location="/mf/1831632/36491/NULL" xr:uid="{6C9BC12E-75F9-4D3E-9BE3-36039CB0D9B5}"/>
  </hyperlinks>
  <pageMargins left="0.7" right="0.7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D760-6462-4D78-B736-58CEA74BAF50}">
  <dimension ref="A1:I10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258</v>
      </c>
      <c r="B2" s="150">
        <v>100</v>
      </c>
      <c r="C2" s="150">
        <v>109.73</v>
      </c>
      <c r="D2" s="150">
        <v>103.3</v>
      </c>
      <c r="E2" s="150">
        <v>10330</v>
      </c>
      <c r="F2" s="150">
        <v>-642.5</v>
      </c>
      <c r="G2" s="151">
        <f t="shared" ref="G2:G65" si="0">E2-F2</f>
        <v>10972.5</v>
      </c>
      <c r="H2" s="191">
        <f t="shared" ref="H2:H14" si="1">F2/G2</f>
        <v>-5.8555479608111187E-2</v>
      </c>
    </row>
    <row r="3" spans="1:8" ht="15.75">
      <c r="A3" s="149" t="s">
        <v>256</v>
      </c>
      <c r="B3" s="150">
        <v>20</v>
      </c>
      <c r="C3" s="150">
        <v>1000</v>
      </c>
      <c r="D3" s="150">
        <v>1049.0999999999999</v>
      </c>
      <c r="E3" s="150">
        <v>20982</v>
      </c>
      <c r="F3" s="150">
        <v>0</v>
      </c>
      <c r="G3" s="151">
        <f t="shared" si="0"/>
        <v>20982</v>
      </c>
      <c r="H3" s="191">
        <f t="shared" si="1"/>
        <v>0</v>
      </c>
    </row>
    <row r="4" spans="1:8" ht="15.75">
      <c r="A4" s="149" t="s">
        <v>259</v>
      </c>
      <c r="B4" s="150">
        <v>13</v>
      </c>
      <c r="C4" s="150">
        <v>133.75</v>
      </c>
      <c r="D4" s="150">
        <v>1180.6500000000001</v>
      </c>
      <c r="E4" s="150">
        <v>15348.45</v>
      </c>
      <c r="F4" s="150">
        <v>13609.7</v>
      </c>
      <c r="G4" s="151">
        <f t="shared" si="0"/>
        <v>1738.75</v>
      </c>
      <c r="H4" s="191">
        <f t="shared" si="1"/>
        <v>7.8272897196261688</v>
      </c>
    </row>
    <row r="5" spans="1:8" ht="15.75">
      <c r="A5" s="149" t="s">
        <v>144</v>
      </c>
      <c r="B5" s="150">
        <v>19</v>
      </c>
      <c r="C5" s="150">
        <v>489.54</v>
      </c>
      <c r="D5" s="150">
        <v>2873.75</v>
      </c>
      <c r="E5" s="150">
        <v>54601.25</v>
      </c>
      <c r="F5" s="150">
        <v>45300.05</v>
      </c>
      <c r="G5" s="151">
        <f t="shared" si="0"/>
        <v>9301.1999999999971</v>
      </c>
      <c r="H5" s="191">
        <f t="shared" si="1"/>
        <v>4.8703446867070932</v>
      </c>
    </row>
    <row r="6" spans="1:8" ht="15.75">
      <c r="A6" s="149" t="s">
        <v>145</v>
      </c>
      <c r="B6" s="150">
        <v>250</v>
      </c>
      <c r="C6" s="150">
        <v>183.59</v>
      </c>
      <c r="D6" s="150">
        <v>511.95</v>
      </c>
      <c r="E6" s="150">
        <v>127987.5</v>
      </c>
      <c r="F6" s="150">
        <v>82090</v>
      </c>
      <c r="G6" s="151">
        <f t="shared" si="0"/>
        <v>45897.5</v>
      </c>
      <c r="H6" s="191">
        <f t="shared" si="1"/>
        <v>1.7885505746500354</v>
      </c>
    </row>
    <row r="7" spans="1:8" ht="15.75">
      <c r="A7" s="149" t="s">
        <v>275</v>
      </c>
      <c r="B7" s="150">
        <v>198</v>
      </c>
      <c r="C7" s="150">
        <v>171.53</v>
      </c>
      <c r="D7" s="150">
        <v>234.13</v>
      </c>
      <c r="E7" s="150">
        <v>46357.74</v>
      </c>
      <c r="F7" s="150">
        <v>12394.14</v>
      </c>
      <c r="G7" s="151">
        <f t="shared" si="0"/>
        <v>33963.599999999999</v>
      </c>
      <c r="H7" s="191">
        <f t="shared" si="1"/>
        <v>0.36492421298095606</v>
      </c>
    </row>
    <row r="8" spans="1:8" ht="15.75">
      <c r="A8" s="149" t="s">
        <v>276</v>
      </c>
      <c r="B8" s="150">
        <v>28</v>
      </c>
      <c r="C8" s="150">
        <v>2757.87</v>
      </c>
      <c r="D8" s="150">
        <v>2335.9499999999998</v>
      </c>
      <c r="E8" s="150">
        <v>65406.6</v>
      </c>
      <c r="F8" s="150">
        <v>-11813.8</v>
      </c>
      <c r="G8" s="151">
        <f t="shared" si="0"/>
        <v>77220.399999999994</v>
      </c>
      <c r="H8" s="191">
        <f t="shared" si="1"/>
        <v>-0.15298807050986526</v>
      </c>
    </row>
    <row r="9" spans="1:8" ht="15.75">
      <c r="A9" s="149" t="s">
        <v>277</v>
      </c>
      <c r="B9" s="150">
        <v>140</v>
      </c>
      <c r="C9" s="150">
        <v>579.77</v>
      </c>
      <c r="D9" s="150">
        <v>573.54999999999995</v>
      </c>
      <c r="E9" s="150">
        <v>80297</v>
      </c>
      <c r="F9" s="150">
        <v>-870.95</v>
      </c>
      <c r="G9" s="151">
        <f t="shared" si="0"/>
        <v>81167.95</v>
      </c>
      <c r="H9" s="191">
        <f t="shared" si="1"/>
        <v>-1.0730220487273611E-2</v>
      </c>
    </row>
    <row r="10" spans="1:8" ht="15.75">
      <c r="A10" s="149" t="s">
        <v>146</v>
      </c>
      <c r="B10" s="150">
        <v>62</v>
      </c>
      <c r="C10" s="150">
        <v>708.24</v>
      </c>
      <c r="D10" s="150">
        <v>1084.9000000000001</v>
      </c>
      <c r="E10" s="150">
        <v>67263.8</v>
      </c>
      <c r="F10" s="150">
        <v>23353.200000000001</v>
      </c>
      <c r="G10" s="151">
        <f t="shared" si="0"/>
        <v>43910.600000000006</v>
      </c>
      <c r="H10" s="191">
        <f t="shared" si="1"/>
        <v>0.53183513775717017</v>
      </c>
    </row>
    <row r="11" spans="1:8" ht="15.75">
      <c r="A11" s="149" t="s">
        <v>147</v>
      </c>
      <c r="B11" s="150">
        <v>19</v>
      </c>
      <c r="C11" s="150">
        <v>3076.33</v>
      </c>
      <c r="D11" s="150">
        <v>8967</v>
      </c>
      <c r="E11" s="150">
        <v>170373</v>
      </c>
      <c r="F11" s="150">
        <v>111922.75</v>
      </c>
      <c r="G11" s="151">
        <f t="shared" si="0"/>
        <v>58450.25</v>
      </c>
      <c r="H11" s="191">
        <f t="shared" si="1"/>
        <v>1.9148378321735151</v>
      </c>
    </row>
    <row r="12" spans="1:8" ht="15.75">
      <c r="A12" s="149" t="s">
        <v>148</v>
      </c>
      <c r="B12" s="150">
        <v>8</v>
      </c>
      <c r="C12" s="150">
        <v>6731.04</v>
      </c>
      <c r="D12" s="150">
        <v>7411.5</v>
      </c>
      <c r="E12" s="150">
        <v>59292</v>
      </c>
      <c r="F12" s="150">
        <v>5443.65</v>
      </c>
      <c r="G12" s="151">
        <f t="shared" si="0"/>
        <v>53848.35</v>
      </c>
      <c r="H12" s="191">
        <f t="shared" si="1"/>
        <v>0.10109223402388373</v>
      </c>
    </row>
    <row r="13" spans="1:8" ht="15.75">
      <c r="A13" s="149" t="s">
        <v>149</v>
      </c>
      <c r="B13" s="150">
        <v>15</v>
      </c>
      <c r="C13" s="150">
        <v>2427.4699999999998</v>
      </c>
      <c r="D13" s="150">
        <v>2818.7</v>
      </c>
      <c r="E13" s="150">
        <v>42280.5</v>
      </c>
      <c r="F13" s="150">
        <v>5868.5</v>
      </c>
      <c r="G13" s="151">
        <f t="shared" si="0"/>
        <v>36412</v>
      </c>
      <c r="H13" s="191">
        <f t="shared" si="1"/>
        <v>0.1611693947050423</v>
      </c>
    </row>
    <row r="14" spans="1:8" ht="15.75">
      <c r="A14" s="149" t="s">
        <v>150</v>
      </c>
      <c r="B14" s="150">
        <v>155</v>
      </c>
      <c r="C14" s="150">
        <v>185</v>
      </c>
      <c r="D14" s="150">
        <v>241.64</v>
      </c>
      <c r="E14" s="150">
        <v>37454.199999999997</v>
      </c>
      <c r="F14" s="150">
        <v>8779.2000000000007</v>
      </c>
      <c r="G14" s="151">
        <f t="shared" si="0"/>
        <v>28674.999999999996</v>
      </c>
      <c r="H14" s="191">
        <f t="shared" si="1"/>
        <v>0.30616216216216224</v>
      </c>
    </row>
    <row r="15" spans="1:8" ht="15.75">
      <c r="A15" s="149" t="s">
        <v>152</v>
      </c>
      <c r="B15" s="150">
        <v>180</v>
      </c>
      <c r="C15" s="150">
        <v>322.89</v>
      </c>
      <c r="D15" s="150">
        <v>1594</v>
      </c>
      <c r="E15" s="150">
        <v>286920</v>
      </c>
      <c r="F15" s="150">
        <v>228800</v>
      </c>
      <c r="G15" s="151">
        <f t="shared" si="0"/>
        <v>58120</v>
      </c>
      <c r="H15" s="191">
        <v>0</v>
      </c>
    </row>
    <row r="16" spans="1:8" ht="15.75">
      <c r="A16" s="149" t="s">
        <v>153</v>
      </c>
      <c r="B16" s="150">
        <v>40</v>
      </c>
      <c r="C16" s="150">
        <v>446.04</v>
      </c>
      <c r="D16" s="150">
        <v>1295.0999999999999</v>
      </c>
      <c r="E16" s="150">
        <v>51804</v>
      </c>
      <c r="F16" s="150">
        <v>33962.400000000001</v>
      </c>
      <c r="G16" s="151">
        <f t="shared" si="0"/>
        <v>17841.599999999999</v>
      </c>
      <c r="H16" s="191">
        <f t="shared" ref="H16:H79" si="2">F16/G16</f>
        <v>1.9035512510088783</v>
      </c>
    </row>
    <row r="17" spans="1:8" ht="15.75">
      <c r="A17" s="149" t="s">
        <v>154</v>
      </c>
      <c r="B17" s="150">
        <v>14</v>
      </c>
      <c r="C17" s="150">
        <v>3489.94</v>
      </c>
      <c r="D17" s="150">
        <v>4835.3</v>
      </c>
      <c r="E17" s="150">
        <v>67694.2</v>
      </c>
      <c r="F17" s="150">
        <v>18835.099999999999</v>
      </c>
      <c r="G17" s="151">
        <f t="shared" si="0"/>
        <v>48859.1</v>
      </c>
      <c r="H17" s="191">
        <f t="shared" si="2"/>
        <v>0.38549830021428966</v>
      </c>
    </row>
    <row r="18" spans="1:8" ht="15.75">
      <c r="A18" s="149" t="s">
        <v>278</v>
      </c>
      <c r="B18" s="150">
        <v>345</v>
      </c>
      <c r="C18" s="150">
        <v>107.29</v>
      </c>
      <c r="D18" s="150">
        <v>101.45</v>
      </c>
      <c r="E18" s="150">
        <v>35000.25</v>
      </c>
      <c r="F18" s="150">
        <v>-2014.8</v>
      </c>
      <c r="G18" s="151">
        <f t="shared" si="0"/>
        <v>37015.050000000003</v>
      </c>
      <c r="H18" s="191">
        <f t="shared" si="2"/>
        <v>-5.4431913505452505E-2</v>
      </c>
    </row>
    <row r="19" spans="1:8" ht="15.75">
      <c r="A19" s="149" t="s">
        <v>155</v>
      </c>
      <c r="B19" s="150">
        <v>180</v>
      </c>
      <c r="C19" s="150">
        <v>155.25</v>
      </c>
      <c r="D19" s="150">
        <v>202.25</v>
      </c>
      <c r="E19" s="150">
        <v>36405</v>
      </c>
      <c r="F19" s="150">
        <v>8460</v>
      </c>
      <c r="G19" s="151">
        <f t="shared" si="0"/>
        <v>27945</v>
      </c>
      <c r="H19" s="191">
        <f t="shared" si="2"/>
        <v>0.30273752012882449</v>
      </c>
    </row>
    <row r="20" spans="1:8" ht="15.75">
      <c r="A20" s="149" t="s">
        <v>156</v>
      </c>
      <c r="B20" s="150">
        <v>88</v>
      </c>
      <c r="C20" s="150">
        <v>373.58</v>
      </c>
      <c r="D20" s="150">
        <v>486.45</v>
      </c>
      <c r="E20" s="150">
        <v>42807.6</v>
      </c>
      <c r="F20" s="150">
        <v>9932.75</v>
      </c>
      <c r="G20" s="151">
        <f t="shared" si="0"/>
        <v>32874.85</v>
      </c>
      <c r="H20" s="191">
        <f t="shared" si="2"/>
        <v>0.30213826070689298</v>
      </c>
    </row>
    <row r="21" spans="1:8" ht="15.75">
      <c r="A21" s="149" t="s">
        <v>157</v>
      </c>
      <c r="B21" s="150">
        <v>45</v>
      </c>
      <c r="C21" s="150">
        <v>990.66</v>
      </c>
      <c r="D21" s="150">
        <v>1511.25</v>
      </c>
      <c r="E21" s="150">
        <v>68006.25</v>
      </c>
      <c r="F21" s="150">
        <v>23426.400000000001</v>
      </c>
      <c r="G21" s="151">
        <f t="shared" si="0"/>
        <v>44579.85</v>
      </c>
      <c r="H21" s="191">
        <f t="shared" si="2"/>
        <v>0.52549301982846519</v>
      </c>
    </row>
    <row r="22" spans="1:8" ht="15.75">
      <c r="A22" s="149" t="s">
        <v>158</v>
      </c>
      <c r="B22" s="150">
        <v>470</v>
      </c>
      <c r="C22" s="150">
        <v>194.39</v>
      </c>
      <c r="D22" s="150">
        <v>393.9</v>
      </c>
      <c r="E22" s="150">
        <v>185133</v>
      </c>
      <c r="F22" s="150">
        <v>93769.5</v>
      </c>
      <c r="G22" s="151">
        <f t="shared" si="0"/>
        <v>91363.5</v>
      </c>
      <c r="H22" s="191">
        <f t="shared" si="2"/>
        <v>1.0263343676632353</v>
      </c>
    </row>
    <row r="23" spans="1:8" ht="15.75">
      <c r="A23" s="149" t="s">
        <v>159</v>
      </c>
      <c r="B23" s="150">
        <v>13</v>
      </c>
      <c r="C23" s="150">
        <v>4545.26</v>
      </c>
      <c r="D23" s="150">
        <v>9669.65</v>
      </c>
      <c r="E23" s="150">
        <v>125705.45</v>
      </c>
      <c r="F23" s="150">
        <v>66617.05</v>
      </c>
      <c r="G23" s="151">
        <f t="shared" si="0"/>
        <v>59088.399999999994</v>
      </c>
      <c r="H23" s="191">
        <f t="shared" si="2"/>
        <v>1.1274133332430734</v>
      </c>
    </row>
    <row r="24" spans="1:8" ht="15.75">
      <c r="A24" s="149" t="s">
        <v>160</v>
      </c>
      <c r="B24" s="150">
        <v>21</v>
      </c>
      <c r="C24" s="150">
        <v>1503.03</v>
      </c>
      <c r="D24" s="150">
        <v>2821.25</v>
      </c>
      <c r="E24" s="150">
        <v>59246.25</v>
      </c>
      <c r="F24" s="150">
        <v>27682.55</v>
      </c>
      <c r="G24" s="151">
        <f t="shared" si="0"/>
        <v>31563.7</v>
      </c>
      <c r="H24" s="191">
        <f t="shared" si="2"/>
        <v>0.87703754629526953</v>
      </c>
    </row>
    <row r="25" spans="1:8" ht="15.75">
      <c r="A25" s="149" t="s">
        <v>279</v>
      </c>
      <c r="B25" s="150">
        <v>98</v>
      </c>
      <c r="C25" s="150">
        <v>555.05999999999995</v>
      </c>
      <c r="D25" s="150">
        <v>525.04999999999995</v>
      </c>
      <c r="E25" s="150">
        <v>51454.9</v>
      </c>
      <c r="F25" s="150">
        <v>-2941.15</v>
      </c>
      <c r="G25" s="151">
        <f t="shared" si="0"/>
        <v>54396.05</v>
      </c>
      <c r="H25" s="191">
        <f t="shared" si="2"/>
        <v>-5.4069183332245634E-2</v>
      </c>
    </row>
    <row r="26" spans="1:8" ht="15.75">
      <c r="A26" s="149" t="s">
        <v>161</v>
      </c>
      <c r="B26" s="150">
        <v>72</v>
      </c>
      <c r="C26" s="150">
        <v>531.82000000000005</v>
      </c>
      <c r="D26" s="150">
        <v>828.05</v>
      </c>
      <c r="E26" s="150">
        <v>59619.6</v>
      </c>
      <c r="F26" s="150">
        <v>21328.5</v>
      </c>
      <c r="G26" s="151">
        <f t="shared" si="0"/>
        <v>38291.1</v>
      </c>
      <c r="H26" s="191">
        <f t="shared" si="2"/>
        <v>0.55700933115005835</v>
      </c>
    </row>
    <row r="27" spans="1:8" ht="15.75">
      <c r="A27" s="149" t="s">
        <v>162</v>
      </c>
      <c r="B27" s="150">
        <v>14</v>
      </c>
      <c r="C27" s="150">
        <v>3289.33</v>
      </c>
      <c r="D27" s="150">
        <v>4025.2</v>
      </c>
      <c r="E27" s="150">
        <v>56352.800000000003</v>
      </c>
      <c r="F27" s="150">
        <v>10302.25</v>
      </c>
      <c r="G27" s="151">
        <f t="shared" si="0"/>
        <v>46050.55</v>
      </c>
      <c r="H27" s="191">
        <f t="shared" si="2"/>
        <v>0.22371611196826094</v>
      </c>
    </row>
    <row r="28" spans="1:8" ht="15.75">
      <c r="A28" s="149" t="s">
        <v>163</v>
      </c>
      <c r="B28" s="150">
        <v>60</v>
      </c>
      <c r="C28" s="150">
        <v>992.6</v>
      </c>
      <c r="D28" s="150">
        <v>1352.75</v>
      </c>
      <c r="E28" s="150">
        <v>81165</v>
      </c>
      <c r="F28" s="150">
        <v>21609.05</v>
      </c>
      <c r="G28" s="151">
        <f t="shared" si="0"/>
        <v>59555.95</v>
      </c>
      <c r="H28" s="191">
        <f t="shared" si="2"/>
        <v>0.36283612300702112</v>
      </c>
    </row>
    <row r="29" spans="1:8" ht="15.75">
      <c r="A29" s="149" t="s">
        <v>164</v>
      </c>
      <c r="B29" s="150">
        <v>7</v>
      </c>
      <c r="C29" s="150">
        <v>3506.83</v>
      </c>
      <c r="D29" s="150">
        <v>5310.75</v>
      </c>
      <c r="E29" s="150">
        <v>37175.25</v>
      </c>
      <c r="F29" s="150">
        <v>12627.45</v>
      </c>
      <c r="G29" s="151">
        <f t="shared" si="0"/>
        <v>24547.8</v>
      </c>
      <c r="H29" s="191">
        <f t="shared" si="2"/>
        <v>0.51440251264879133</v>
      </c>
    </row>
    <row r="30" spans="1:8" ht="15.75">
      <c r="A30" s="149" t="s">
        <v>270</v>
      </c>
      <c r="B30" s="150">
        <v>92</v>
      </c>
      <c r="C30" s="150">
        <v>359.33</v>
      </c>
      <c r="D30" s="150">
        <v>370.63</v>
      </c>
      <c r="E30" s="150">
        <v>34097.96</v>
      </c>
      <c r="F30" s="150">
        <v>1039.68</v>
      </c>
      <c r="G30" s="151">
        <f t="shared" si="0"/>
        <v>33058.28</v>
      </c>
      <c r="H30" s="191">
        <f t="shared" si="2"/>
        <v>3.1449912094640133E-2</v>
      </c>
    </row>
    <row r="31" spans="1:8" ht="15.75">
      <c r="A31" s="149" t="s">
        <v>166</v>
      </c>
      <c r="B31" s="150">
        <v>34</v>
      </c>
      <c r="C31" s="150">
        <v>1825.28</v>
      </c>
      <c r="D31" s="150">
        <v>2194.75</v>
      </c>
      <c r="E31" s="150">
        <v>74621.5</v>
      </c>
      <c r="F31" s="150">
        <v>12562.1</v>
      </c>
      <c r="G31" s="151">
        <f t="shared" si="0"/>
        <v>62059.4</v>
      </c>
      <c r="H31" s="191">
        <f t="shared" si="2"/>
        <v>0.20242058415002401</v>
      </c>
    </row>
    <row r="32" spans="1:8" ht="15.75">
      <c r="A32" s="149" t="s">
        <v>168</v>
      </c>
      <c r="B32" s="150">
        <v>50</v>
      </c>
      <c r="C32" s="150">
        <v>671.81</v>
      </c>
      <c r="D32" s="150">
        <v>1296.05</v>
      </c>
      <c r="E32" s="150">
        <v>64802.5</v>
      </c>
      <c r="F32" s="150">
        <v>31212</v>
      </c>
      <c r="G32" s="151">
        <f t="shared" si="0"/>
        <v>33590.5</v>
      </c>
      <c r="H32" s="191">
        <f t="shared" si="2"/>
        <v>0.92919128920379279</v>
      </c>
    </row>
    <row r="33" spans="1:8" ht="15.75">
      <c r="A33" s="149" t="s">
        <v>169</v>
      </c>
      <c r="B33" s="150">
        <v>209</v>
      </c>
      <c r="C33" s="150">
        <v>174.63</v>
      </c>
      <c r="D33" s="150">
        <v>424.85</v>
      </c>
      <c r="E33" s="150">
        <v>88793.65</v>
      </c>
      <c r="F33" s="150">
        <v>52296.9</v>
      </c>
      <c r="G33" s="151">
        <f t="shared" si="0"/>
        <v>36496.749999999993</v>
      </c>
      <c r="H33" s="191">
        <f t="shared" si="2"/>
        <v>1.4329193695329039</v>
      </c>
    </row>
    <row r="34" spans="1:8" ht="15.75">
      <c r="A34" s="149" t="s">
        <v>170</v>
      </c>
      <c r="B34" s="150">
        <v>323</v>
      </c>
      <c r="C34" s="150">
        <v>83.87</v>
      </c>
      <c r="D34" s="150">
        <v>205.45</v>
      </c>
      <c r="E34" s="150">
        <v>66360.350000000006</v>
      </c>
      <c r="F34" s="150">
        <v>39269.35</v>
      </c>
      <c r="G34" s="151">
        <f t="shared" si="0"/>
        <v>27091.000000000007</v>
      </c>
      <c r="H34" s="191">
        <f t="shared" si="2"/>
        <v>1.4495349008895939</v>
      </c>
    </row>
    <row r="35" spans="1:8" ht="15.75">
      <c r="A35" s="149" t="s">
        <v>280</v>
      </c>
      <c r="B35" s="150">
        <v>217</v>
      </c>
      <c r="C35" s="150">
        <v>379.33</v>
      </c>
      <c r="D35" s="150">
        <v>327.7</v>
      </c>
      <c r="E35" s="150">
        <v>71110.899999999994</v>
      </c>
      <c r="F35" s="150">
        <v>-11203.6</v>
      </c>
      <c r="G35" s="151">
        <f t="shared" si="0"/>
        <v>82314.5</v>
      </c>
      <c r="H35" s="191">
        <f t="shared" si="2"/>
        <v>-0.13610724720432002</v>
      </c>
    </row>
    <row r="36" spans="1:8" ht="15.75">
      <c r="A36" s="149" t="s">
        <v>172</v>
      </c>
      <c r="B36" s="150">
        <v>18</v>
      </c>
      <c r="C36" s="150">
        <v>1556.41</v>
      </c>
      <c r="D36" s="150">
        <v>2734.1</v>
      </c>
      <c r="E36" s="150">
        <v>49213.8</v>
      </c>
      <c r="F36" s="150">
        <v>21198.45</v>
      </c>
      <c r="G36" s="151">
        <f t="shared" si="0"/>
        <v>28015.350000000002</v>
      </c>
      <c r="H36" s="191">
        <f t="shared" si="2"/>
        <v>0.75667268122654185</v>
      </c>
    </row>
    <row r="37" spans="1:8" ht="15.75">
      <c r="A37" s="149" t="s">
        <v>281</v>
      </c>
      <c r="B37" s="150">
        <v>85</v>
      </c>
      <c r="C37" s="150">
        <v>313.68</v>
      </c>
      <c r="D37" s="150">
        <v>606.20000000000005</v>
      </c>
      <c r="E37" s="150">
        <v>51527</v>
      </c>
      <c r="F37" s="150">
        <v>24863.95</v>
      </c>
      <c r="G37" s="151">
        <f t="shared" si="0"/>
        <v>26663.05</v>
      </c>
      <c r="H37" s="191">
        <f t="shared" si="2"/>
        <v>0.93252459864869175</v>
      </c>
    </row>
    <row r="38" spans="1:8" ht="15.75">
      <c r="A38" s="149" t="s">
        <v>174</v>
      </c>
      <c r="B38" s="150">
        <v>74</v>
      </c>
      <c r="C38" s="150">
        <v>1149.02</v>
      </c>
      <c r="D38" s="150">
        <v>1947.25</v>
      </c>
      <c r="E38" s="150">
        <v>144096.5</v>
      </c>
      <c r="F38" s="150">
        <v>59069</v>
      </c>
      <c r="G38" s="151">
        <f t="shared" si="0"/>
        <v>85027.5</v>
      </c>
      <c r="H38" s="191">
        <f t="shared" si="2"/>
        <v>0.69470465437652529</v>
      </c>
    </row>
    <row r="39" spans="1:8" ht="15.75">
      <c r="A39" s="149" t="s">
        <v>175</v>
      </c>
      <c r="B39" s="150">
        <v>34</v>
      </c>
      <c r="C39" s="150">
        <v>1623.57</v>
      </c>
      <c r="D39" s="150">
        <v>1749.3</v>
      </c>
      <c r="E39" s="150">
        <v>59476.2</v>
      </c>
      <c r="F39" s="150">
        <v>4274.7</v>
      </c>
      <c r="G39" s="151">
        <f t="shared" si="0"/>
        <v>55201.5</v>
      </c>
      <c r="H39" s="191">
        <f t="shared" si="2"/>
        <v>7.7438113094752861E-2</v>
      </c>
    </row>
    <row r="40" spans="1:8" ht="15.75">
      <c r="A40" s="149" t="s">
        <v>176</v>
      </c>
      <c r="B40" s="150">
        <v>136</v>
      </c>
      <c r="C40" s="150">
        <v>596.66999999999996</v>
      </c>
      <c r="D40" s="150">
        <v>623.04999999999995</v>
      </c>
      <c r="E40" s="150">
        <v>84734.8</v>
      </c>
      <c r="F40" s="150">
        <v>3587.05</v>
      </c>
      <c r="G40" s="151">
        <f t="shared" si="0"/>
        <v>81147.75</v>
      </c>
      <c r="H40" s="191">
        <f t="shared" si="2"/>
        <v>4.4203936646425815E-2</v>
      </c>
    </row>
    <row r="41" spans="1:8" ht="15.75">
      <c r="A41" s="149" t="s">
        <v>177</v>
      </c>
      <c r="B41" s="150">
        <v>6</v>
      </c>
      <c r="C41" s="150">
        <v>2669.98</v>
      </c>
      <c r="D41" s="150">
        <v>4243.1000000000004</v>
      </c>
      <c r="E41" s="150">
        <v>25458.6</v>
      </c>
      <c r="F41" s="150">
        <v>9438.75</v>
      </c>
      <c r="G41" s="151">
        <f t="shared" si="0"/>
        <v>16019.849999999999</v>
      </c>
      <c r="H41" s="191">
        <f t="shared" si="2"/>
        <v>0.58919091002724755</v>
      </c>
    </row>
    <row r="42" spans="1:8" ht="15.75">
      <c r="A42" s="149" t="s">
        <v>282</v>
      </c>
      <c r="B42" s="150">
        <v>28</v>
      </c>
      <c r="C42" s="150">
        <v>2303.96</v>
      </c>
      <c r="D42" s="150">
        <v>2406.25</v>
      </c>
      <c r="E42" s="150">
        <v>67375</v>
      </c>
      <c r="F42" s="150">
        <v>2864.2</v>
      </c>
      <c r="G42" s="151">
        <f t="shared" si="0"/>
        <v>64510.8</v>
      </c>
      <c r="H42" s="191">
        <f t="shared" si="2"/>
        <v>4.4398767338182127E-2</v>
      </c>
    </row>
    <row r="43" spans="1:8" ht="15.75">
      <c r="A43" s="149" t="s">
        <v>283</v>
      </c>
      <c r="B43" s="150">
        <v>17</v>
      </c>
      <c r="C43" s="150">
        <v>1782.3</v>
      </c>
      <c r="D43" s="150">
        <v>1828.65</v>
      </c>
      <c r="E43" s="150">
        <v>31087.05</v>
      </c>
      <c r="F43" s="150">
        <v>787.95</v>
      </c>
      <c r="G43" s="151">
        <f t="shared" si="0"/>
        <v>30299.1</v>
      </c>
      <c r="H43" s="191">
        <f t="shared" si="2"/>
        <v>2.6005722942265615E-2</v>
      </c>
    </row>
    <row r="44" spans="1:8" ht="15.75">
      <c r="A44" s="149" t="s">
        <v>178</v>
      </c>
      <c r="B44" s="150">
        <v>58</v>
      </c>
      <c r="C44" s="150">
        <v>646.03</v>
      </c>
      <c r="D44" s="150">
        <v>1265.5</v>
      </c>
      <c r="E44" s="150">
        <v>73399</v>
      </c>
      <c r="F44" s="150">
        <v>35929.449999999997</v>
      </c>
      <c r="G44" s="151">
        <f t="shared" si="0"/>
        <v>37469.550000000003</v>
      </c>
      <c r="H44" s="191">
        <f t="shared" si="2"/>
        <v>0.95889729126717549</v>
      </c>
    </row>
    <row r="45" spans="1:8" ht="15.75">
      <c r="A45" s="149" t="s">
        <v>151</v>
      </c>
      <c r="B45" s="150">
        <v>5500</v>
      </c>
      <c r="C45" s="150">
        <v>50.43</v>
      </c>
      <c r="D45" s="150">
        <v>51.89</v>
      </c>
      <c r="E45" s="150">
        <v>285395</v>
      </c>
      <c r="F45" s="150">
        <v>8030.11</v>
      </c>
      <c r="G45" s="151">
        <f t="shared" si="0"/>
        <v>277364.89</v>
      </c>
      <c r="H45" s="191">
        <f t="shared" si="2"/>
        <v>2.8951429288688987E-2</v>
      </c>
    </row>
    <row r="46" spans="1:8" ht="15.75">
      <c r="A46" s="149" t="s">
        <v>179</v>
      </c>
      <c r="B46" s="150">
        <v>54</v>
      </c>
      <c r="C46" s="150">
        <v>1308.5899999999999</v>
      </c>
      <c r="D46" s="150">
        <v>1838.2</v>
      </c>
      <c r="E46" s="150">
        <v>99262.8</v>
      </c>
      <c r="F46" s="150">
        <v>28598.7</v>
      </c>
      <c r="G46" s="151">
        <f t="shared" si="0"/>
        <v>70664.100000000006</v>
      </c>
      <c r="H46" s="191">
        <f t="shared" si="2"/>
        <v>0.40471328439759369</v>
      </c>
    </row>
    <row r="47" spans="1:8" ht="15.75">
      <c r="A47" s="149" t="s">
        <v>180</v>
      </c>
      <c r="B47" s="150">
        <v>118</v>
      </c>
      <c r="C47" s="150">
        <v>492.05</v>
      </c>
      <c r="D47" s="150">
        <v>674.1</v>
      </c>
      <c r="E47" s="150">
        <v>79543.8</v>
      </c>
      <c r="F47" s="150">
        <v>21481.45</v>
      </c>
      <c r="G47" s="151">
        <f t="shared" si="0"/>
        <v>58062.350000000006</v>
      </c>
      <c r="H47" s="191">
        <f t="shared" si="2"/>
        <v>0.36997210757056853</v>
      </c>
    </row>
    <row r="48" spans="1:8" ht="15.75">
      <c r="A48" s="149" t="s">
        <v>284</v>
      </c>
      <c r="B48" s="150">
        <v>52</v>
      </c>
      <c r="C48" s="150">
        <v>938.7</v>
      </c>
      <c r="D48" s="150">
        <v>998.1</v>
      </c>
      <c r="E48" s="150">
        <v>51901.2</v>
      </c>
      <c r="F48" s="150">
        <v>3088.65</v>
      </c>
      <c r="G48" s="151">
        <f t="shared" si="0"/>
        <v>48812.549999999996</v>
      </c>
      <c r="H48" s="191">
        <f t="shared" si="2"/>
        <v>6.3275735440988037E-2</v>
      </c>
    </row>
    <row r="49" spans="1:8" ht="15.75">
      <c r="A49" s="149" t="s">
        <v>181</v>
      </c>
      <c r="B49" s="150">
        <v>65</v>
      </c>
      <c r="C49" s="150">
        <v>1576.72</v>
      </c>
      <c r="D49" s="150">
        <v>1938.75</v>
      </c>
      <c r="E49" s="150">
        <v>126018.75</v>
      </c>
      <c r="F49" s="150">
        <v>23532.15</v>
      </c>
      <c r="G49" s="151">
        <f t="shared" si="0"/>
        <v>102486.6</v>
      </c>
      <c r="H49" s="191">
        <f t="shared" si="2"/>
        <v>0.22961196878421178</v>
      </c>
    </row>
    <row r="50" spans="1:8" ht="15.75">
      <c r="A50" s="149" t="s">
        <v>182</v>
      </c>
      <c r="B50" s="150">
        <v>759</v>
      </c>
      <c r="C50" s="150">
        <v>229.74</v>
      </c>
      <c r="D50" s="150">
        <v>482</v>
      </c>
      <c r="E50" s="150">
        <v>365838</v>
      </c>
      <c r="F50" s="150">
        <v>191462.45</v>
      </c>
      <c r="G50" s="151">
        <f t="shared" si="0"/>
        <v>174375.55</v>
      </c>
      <c r="H50" s="191">
        <f t="shared" si="2"/>
        <v>1.097989081611499</v>
      </c>
    </row>
    <row r="51" spans="1:8" ht="15.75">
      <c r="A51" s="149" t="s">
        <v>183</v>
      </c>
      <c r="B51" s="150">
        <v>35</v>
      </c>
      <c r="C51" s="150">
        <v>858.14</v>
      </c>
      <c r="D51" s="150">
        <v>1867.6</v>
      </c>
      <c r="E51" s="150">
        <v>65366</v>
      </c>
      <c r="F51" s="150">
        <v>35331.199999999997</v>
      </c>
      <c r="G51" s="151">
        <f t="shared" si="0"/>
        <v>30034.800000000003</v>
      </c>
      <c r="H51" s="191">
        <f t="shared" si="2"/>
        <v>1.1763421098192761</v>
      </c>
    </row>
    <row r="52" spans="1:8" ht="15.75">
      <c r="A52" s="149" t="s">
        <v>184</v>
      </c>
      <c r="B52" s="150">
        <v>233</v>
      </c>
      <c r="C52" s="150">
        <v>124.86</v>
      </c>
      <c r="D52" s="150">
        <v>222.85</v>
      </c>
      <c r="E52" s="150">
        <v>51924.05</v>
      </c>
      <c r="F52" s="150">
        <v>22831.3</v>
      </c>
      <c r="G52" s="151">
        <f t="shared" si="0"/>
        <v>29092.750000000004</v>
      </c>
      <c r="H52" s="191">
        <f t="shared" si="2"/>
        <v>0.78477627587629206</v>
      </c>
    </row>
    <row r="53" spans="1:8" ht="15.75">
      <c r="A53" s="149" t="s">
        <v>185</v>
      </c>
      <c r="B53" s="150">
        <v>66</v>
      </c>
      <c r="C53" s="150">
        <v>1730.9</v>
      </c>
      <c r="D53" s="150">
        <v>1839.15</v>
      </c>
      <c r="E53" s="150">
        <v>121383.9</v>
      </c>
      <c r="F53" s="150">
        <v>7144.25</v>
      </c>
      <c r="G53" s="151">
        <f t="shared" si="0"/>
        <v>114239.65</v>
      </c>
      <c r="H53" s="191">
        <f t="shared" si="2"/>
        <v>6.2537393978360403E-2</v>
      </c>
    </row>
    <row r="54" spans="1:8" ht="15.75">
      <c r="A54" s="149" t="s">
        <v>186</v>
      </c>
      <c r="B54" s="150">
        <v>80</v>
      </c>
      <c r="C54" s="150">
        <v>814.86</v>
      </c>
      <c r="D54" s="150">
        <v>1449.95</v>
      </c>
      <c r="E54" s="150">
        <v>115996</v>
      </c>
      <c r="F54" s="150">
        <v>50807.25</v>
      </c>
      <c r="G54" s="151">
        <f t="shared" si="0"/>
        <v>65188.75</v>
      </c>
      <c r="H54" s="191">
        <f t="shared" si="2"/>
        <v>0.77938678069452172</v>
      </c>
    </row>
    <row r="55" spans="1:8" ht="15.75">
      <c r="A55" s="149" t="s">
        <v>187</v>
      </c>
      <c r="B55" s="150">
        <v>20</v>
      </c>
      <c r="C55" s="150">
        <v>2295.38</v>
      </c>
      <c r="D55" s="150">
        <v>2942.85</v>
      </c>
      <c r="E55" s="150">
        <v>58857</v>
      </c>
      <c r="F55" s="150">
        <v>12949.4</v>
      </c>
      <c r="G55" s="151">
        <f t="shared" si="0"/>
        <v>45907.6</v>
      </c>
      <c r="H55" s="191">
        <f t="shared" si="2"/>
        <v>0.28207529907901957</v>
      </c>
    </row>
    <row r="56" spans="1:8" ht="15.75">
      <c r="A56" s="149" t="s">
        <v>188</v>
      </c>
      <c r="B56" s="150">
        <v>62</v>
      </c>
      <c r="C56" s="150">
        <v>1053.22</v>
      </c>
      <c r="D56" s="150">
        <v>3660.95</v>
      </c>
      <c r="E56" s="150">
        <v>226978.9</v>
      </c>
      <c r="F56" s="150">
        <v>161679.54999999999</v>
      </c>
      <c r="G56" s="151">
        <f t="shared" si="0"/>
        <v>65299.350000000006</v>
      </c>
      <c r="H56" s="191">
        <f t="shared" si="2"/>
        <v>2.4759748757070321</v>
      </c>
    </row>
    <row r="57" spans="1:8" ht="15.75">
      <c r="A57" s="149" t="s">
        <v>286</v>
      </c>
      <c r="B57" s="150">
        <v>25</v>
      </c>
      <c r="C57" s="150">
        <v>4933.3100000000004</v>
      </c>
      <c r="D57" s="150">
        <v>5739.55</v>
      </c>
      <c r="E57" s="150">
        <v>143488.75</v>
      </c>
      <c r="F57" s="150">
        <v>20155.919999999998</v>
      </c>
      <c r="G57" s="151">
        <f t="shared" si="0"/>
        <v>123332.83</v>
      </c>
      <c r="H57" s="191">
        <f t="shared" si="2"/>
        <v>0.16342704533740124</v>
      </c>
    </row>
    <row r="58" spans="1:8" ht="15.75">
      <c r="A58" s="149" t="s">
        <v>287</v>
      </c>
      <c r="B58" s="150">
        <v>26</v>
      </c>
      <c r="C58" s="150">
        <v>2259</v>
      </c>
      <c r="D58" s="150">
        <v>2368.85</v>
      </c>
      <c r="E58" s="150">
        <v>61590.1</v>
      </c>
      <c r="F58" s="150">
        <v>2856.1</v>
      </c>
      <c r="G58" s="151">
        <f t="shared" si="0"/>
        <v>58734</v>
      </c>
      <c r="H58" s="191">
        <f t="shared" si="2"/>
        <v>4.8627711376715357E-2</v>
      </c>
    </row>
    <row r="59" spans="1:8" ht="15.75">
      <c r="A59" s="149" t="s">
        <v>189</v>
      </c>
      <c r="B59" s="150">
        <v>10</v>
      </c>
      <c r="C59" s="150">
        <v>1189.6300000000001</v>
      </c>
      <c r="D59" s="150">
        <v>3190.55</v>
      </c>
      <c r="E59" s="150">
        <v>31905.5</v>
      </c>
      <c r="F59" s="150">
        <v>20009.2</v>
      </c>
      <c r="G59" s="151">
        <f t="shared" si="0"/>
        <v>11896.3</v>
      </c>
      <c r="H59" s="191">
        <f t="shared" si="2"/>
        <v>1.6819683430982744</v>
      </c>
    </row>
    <row r="60" spans="1:8" ht="15.75">
      <c r="A60" s="149" t="s">
        <v>190</v>
      </c>
      <c r="B60" s="150">
        <v>28</v>
      </c>
      <c r="C60" s="150">
        <v>2226.31</v>
      </c>
      <c r="D60" s="150">
        <v>2932.2</v>
      </c>
      <c r="E60" s="150">
        <v>82101.600000000006</v>
      </c>
      <c r="F60" s="150">
        <v>19764.900000000001</v>
      </c>
      <c r="G60" s="151">
        <f t="shared" si="0"/>
        <v>62336.700000000004</v>
      </c>
      <c r="H60" s="191">
        <f t="shared" si="2"/>
        <v>0.31706683221922238</v>
      </c>
    </row>
    <row r="61" spans="1:8" ht="15.75">
      <c r="A61" s="149" t="s">
        <v>191</v>
      </c>
      <c r="B61" s="150">
        <v>114</v>
      </c>
      <c r="C61" s="150">
        <v>490.12</v>
      </c>
      <c r="D61" s="150">
        <v>660.95</v>
      </c>
      <c r="E61" s="150">
        <v>75348.3</v>
      </c>
      <c r="F61" s="150">
        <v>19474.650000000001</v>
      </c>
      <c r="G61" s="151">
        <f t="shared" si="0"/>
        <v>55873.65</v>
      </c>
      <c r="H61" s="191">
        <f t="shared" si="2"/>
        <v>0.34854801860984563</v>
      </c>
    </row>
    <row r="62" spans="1:8" ht="15.75">
      <c r="A62" s="149" t="s">
        <v>192</v>
      </c>
      <c r="B62" s="150">
        <v>73</v>
      </c>
      <c r="C62" s="150">
        <v>735.56</v>
      </c>
      <c r="D62" s="150">
        <v>1109.8</v>
      </c>
      <c r="E62" s="150">
        <v>81015.399999999994</v>
      </c>
      <c r="F62" s="150">
        <v>27319.25</v>
      </c>
      <c r="G62" s="151">
        <f t="shared" si="0"/>
        <v>53696.149999999994</v>
      </c>
      <c r="H62" s="191">
        <f t="shared" si="2"/>
        <v>0.50877483767458198</v>
      </c>
    </row>
    <row r="63" spans="1:8" ht="15.75">
      <c r="A63" s="149" t="s">
        <v>265</v>
      </c>
      <c r="B63" s="150">
        <v>75</v>
      </c>
      <c r="C63" s="150">
        <v>337.52</v>
      </c>
      <c r="D63" s="150">
        <v>369.94</v>
      </c>
      <c r="E63" s="150">
        <v>27745.5</v>
      </c>
      <c r="F63" s="150">
        <v>2431.33</v>
      </c>
      <c r="G63" s="151">
        <f t="shared" si="0"/>
        <v>25314.17</v>
      </c>
      <c r="H63" s="191">
        <f t="shared" si="2"/>
        <v>9.6046206531756717E-2</v>
      </c>
    </row>
    <row r="64" spans="1:8" ht="15.75">
      <c r="A64" s="149" t="s">
        <v>194</v>
      </c>
      <c r="B64" s="150">
        <v>190</v>
      </c>
      <c r="C64" s="150">
        <v>76.63</v>
      </c>
      <c r="D64" s="150">
        <v>160.08000000000001</v>
      </c>
      <c r="E64" s="150">
        <v>30415.200000000001</v>
      </c>
      <c r="F64" s="150">
        <v>15856.22</v>
      </c>
      <c r="G64" s="151">
        <f t="shared" si="0"/>
        <v>14558.980000000001</v>
      </c>
      <c r="H64" s="191">
        <f t="shared" si="2"/>
        <v>1.0891023959096033</v>
      </c>
    </row>
    <row r="65" spans="1:8" ht="15.75">
      <c r="A65" s="149" t="s">
        <v>195</v>
      </c>
      <c r="B65" s="150">
        <v>33</v>
      </c>
      <c r="C65" s="150">
        <v>2284.62</v>
      </c>
      <c r="D65" s="150">
        <v>2869.25</v>
      </c>
      <c r="E65" s="150">
        <v>94685.25</v>
      </c>
      <c r="F65" s="150">
        <v>19292.650000000001</v>
      </c>
      <c r="G65" s="151">
        <f t="shared" si="0"/>
        <v>75392.600000000006</v>
      </c>
      <c r="H65" s="191">
        <f t="shared" si="2"/>
        <v>0.25589580409748436</v>
      </c>
    </row>
    <row r="66" spans="1:8" ht="15.75">
      <c r="A66" s="149" t="s">
        <v>196</v>
      </c>
      <c r="B66" s="150">
        <v>21</v>
      </c>
      <c r="C66" s="150">
        <v>2605.84</v>
      </c>
      <c r="D66" s="150">
        <v>2232.6999999999998</v>
      </c>
      <c r="E66" s="150">
        <v>46886.7</v>
      </c>
      <c r="F66" s="150">
        <v>-7835.9</v>
      </c>
      <c r="G66" s="151">
        <f t="shared" ref="G66:G97" si="3">E66-F66</f>
        <v>54722.6</v>
      </c>
      <c r="H66" s="191">
        <f t="shared" si="2"/>
        <v>-0.14319312313376922</v>
      </c>
    </row>
    <row r="67" spans="1:8" ht="15.75">
      <c r="A67" s="149" t="s">
        <v>266</v>
      </c>
      <c r="B67" s="150">
        <v>145</v>
      </c>
      <c r="C67" s="150">
        <v>127.63</v>
      </c>
      <c r="D67" s="150">
        <v>139.80000000000001</v>
      </c>
      <c r="E67" s="150">
        <v>20271</v>
      </c>
      <c r="F67" s="150">
        <v>1764.9</v>
      </c>
      <c r="G67" s="151">
        <f t="shared" si="3"/>
        <v>18506.099999999999</v>
      </c>
      <c r="H67" s="191">
        <f t="shared" si="2"/>
        <v>9.5368554152414617E-2</v>
      </c>
    </row>
    <row r="68" spans="1:8" ht="15.75">
      <c r="A68" s="149" t="s">
        <v>198</v>
      </c>
      <c r="B68" s="150">
        <v>88</v>
      </c>
      <c r="C68" s="150">
        <v>582.44000000000005</v>
      </c>
      <c r="D68" s="150">
        <v>2255.1999999999998</v>
      </c>
      <c r="E68" s="150">
        <v>198457.60000000001</v>
      </c>
      <c r="F68" s="150">
        <v>147202.54999999999</v>
      </c>
      <c r="G68" s="151">
        <f t="shared" si="3"/>
        <v>51255.050000000017</v>
      </c>
      <c r="H68" s="191">
        <f t="shared" si="2"/>
        <v>2.8719618847313568</v>
      </c>
    </row>
    <row r="69" spans="1:8" ht="15.75">
      <c r="A69" s="149" t="s">
        <v>199</v>
      </c>
      <c r="B69" s="150">
        <v>10</v>
      </c>
      <c r="C69" s="150">
        <v>4342.57</v>
      </c>
      <c r="D69" s="150">
        <v>12401</v>
      </c>
      <c r="E69" s="150">
        <v>124010</v>
      </c>
      <c r="F69" s="150">
        <v>80584.3</v>
      </c>
      <c r="G69" s="151">
        <f t="shared" si="3"/>
        <v>43425.7</v>
      </c>
      <c r="H69" s="191">
        <f t="shared" si="2"/>
        <v>1.8556822342529886</v>
      </c>
    </row>
    <row r="70" spans="1:8" ht="15.75">
      <c r="A70" s="149" t="s">
        <v>200</v>
      </c>
      <c r="B70" s="150">
        <v>300</v>
      </c>
      <c r="C70" s="150">
        <v>82.33</v>
      </c>
      <c r="D70" s="150">
        <v>258.89</v>
      </c>
      <c r="E70" s="150">
        <v>77667</v>
      </c>
      <c r="F70" s="150">
        <v>52967</v>
      </c>
      <c r="G70" s="151">
        <f t="shared" si="3"/>
        <v>24700</v>
      </c>
      <c r="H70" s="191">
        <f t="shared" si="2"/>
        <v>2.1444129554655871</v>
      </c>
    </row>
    <row r="71" spans="1:8" ht="15.75">
      <c r="A71" s="149" t="s">
        <v>201</v>
      </c>
      <c r="B71" s="150">
        <v>16</v>
      </c>
      <c r="C71" s="150">
        <v>2003.97</v>
      </c>
      <c r="D71" s="150">
        <v>6405.95</v>
      </c>
      <c r="E71" s="150">
        <v>102495.2</v>
      </c>
      <c r="F71" s="150">
        <v>70431.75</v>
      </c>
      <c r="G71" s="151">
        <f t="shared" si="3"/>
        <v>32063.449999999997</v>
      </c>
      <c r="H71" s="191">
        <f t="shared" si="2"/>
        <v>2.1966366688550361</v>
      </c>
    </row>
    <row r="72" spans="1:8" ht="15.75">
      <c r="A72" s="149" t="s">
        <v>202</v>
      </c>
      <c r="B72" s="150">
        <v>44</v>
      </c>
      <c r="C72" s="150">
        <v>684.86</v>
      </c>
      <c r="D72" s="150">
        <v>1574.4</v>
      </c>
      <c r="E72" s="150">
        <v>69273.600000000006</v>
      </c>
      <c r="F72" s="150">
        <v>39139.9</v>
      </c>
      <c r="G72" s="151">
        <f t="shared" si="3"/>
        <v>30133.700000000004</v>
      </c>
      <c r="H72" s="191">
        <f t="shared" si="2"/>
        <v>1.2988746818346235</v>
      </c>
    </row>
    <row r="73" spans="1:8" ht="15.75">
      <c r="A73" s="149" t="s">
        <v>203</v>
      </c>
      <c r="B73" s="150">
        <v>30</v>
      </c>
      <c r="C73" s="150">
        <v>2499.15</v>
      </c>
      <c r="D73" s="150">
        <v>2932.35</v>
      </c>
      <c r="E73" s="150">
        <v>87970.5</v>
      </c>
      <c r="F73" s="150">
        <v>12996.15</v>
      </c>
      <c r="G73" s="151">
        <f t="shared" si="3"/>
        <v>74974.350000000006</v>
      </c>
      <c r="H73" s="191">
        <f t="shared" si="2"/>
        <v>0.17334128271868976</v>
      </c>
    </row>
    <row r="74" spans="1:8" ht="15.75">
      <c r="A74" s="149" t="s">
        <v>288</v>
      </c>
      <c r="B74" s="150">
        <v>35</v>
      </c>
      <c r="C74" s="150">
        <v>1828.05</v>
      </c>
      <c r="D74" s="150">
        <v>2215.85</v>
      </c>
      <c r="E74" s="150">
        <v>77554.75</v>
      </c>
      <c r="F74" s="150">
        <v>13573</v>
      </c>
      <c r="G74" s="151">
        <f t="shared" si="3"/>
        <v>63981.75</v>
      </c>
      <c r="H74" s="191">
        <f t="shared" si="2"/>
        <v>0.21213861765269001</v>
      </c>
    </row>
    <row r="75" spans="1:8" ht="15.75">
      <c r="A75" s="149" t="s">
        <v>204</v>
      </c>
      <c r="B75" s="150">
        <v>24</v>
      </c>
      <c r="C75" s="150">
        <v>625.94000000000005</v>
      </c>
      <c r="D75" s="150">
        <v>1655</v>
      </c>
      <c r="E75" s="150">
        <v>39720</v>
      </c>
      <c r="F75" s="150">
        <v>24697.5</v>
      </c>
      <c r="G75" s="151">
        <f t="shared" si="3"/>
        <v>15022.5</v>
      </c>
      <c r="H75" s="191">
        <f t="shared" si="2"/>
        <v>1.6440339490763853</v>
      </c>
    </row>
    <row r="76" spans="1:8" ht="15.75">
      <c r="A76" s="149" t="s">
        <v>299</v>
      </c>
      <c r="B76" s="150">
        <v>49</v>
      </c>
      <c r="C76" s="150">
        <v>952.78</v>
      </c>
      <c r="D76" s="150">
        <v>636</v>
      </c>
      <c r="E76" s="150">
        <v>31164</v>
      </c>
      <c r="F76" s="150">
        <v>-15522.15</v>
      </c>
      <c r="G76" s="151">
        <f t="shared" si="3"/>
        <v>46686.15</v>
      </c>
      <c r="H76" s="191">
        <f t="shared" si="2"/>
        <v>-0.33247869014686365</v>
      </c>
    </row>
    <row r="77" spans="1:8" ht="15.75">
      <c r="A77" s="149" t="s">
        <v>206</v>
      </c>
      <c r="B77" s="150">
        <v>54</v>
      </c>
      <c r="C77" s="150">
        <v>1278.8599999999999</v>
      </c>
      <c r="D77" s="150">
        <v>1447.7</v>
      </c>
      <c r="E77" s="150">
        <v>78175.8</v>
      </c>
      <c r="F77" s="150">
        <v>9117.5</v>
      </c>
      <c r="G77" s="151">
        <f t="shared" si="3"/>
        <v>69058.3</v>
      </c>
      <c r="H77" s="191">
        <f t="shared" si="2"/>
        <v>0.13202612864782365</v>
      </c>
    </row>
    <row r="78" spans="1:8" ht="15.75">
      <c r="A78" s="149" t="s">
        <v>207</v>
      </c>
      <c r="B78" s="150">
        <v>59</v>
      </c>
      <c r="C78" s="150">
        <v>390.96</v>
      </c>
      <c r="D78" s="150">
        <v>793.5</v>
      </c>
      <c r="E78" s="150">
        <v>46816.5</v>
      </c>
      <c r="F78" s="150">
        <v>23750</v>
      </c>
      <c r="G78" s="151">
        <f t="shared" si="3"/>
        <v>23066.5</v>
      </c>
      <c r="H78" s="191">
        <f t="shared" si="2"/>
        <v>1.0296317169921747</v>
      </c>
    </row>
    <row r="79" spans="1:8" ht="15.75">
      <c r="A79" s="149" t="s">
        <v>208</v>
      </c>
      <c r="B79" s="150">
        <v>10</v>
      </c>
      <c r="C79" s="150">
        <v>5284</v>
      </c>
      <c r="D79" s="150">
        <v>8160</v>
      </c>
      <c r="E79" s="150">
        <v>81600</v>
      </c>
      <c r="F79" s="150">
        <v>28760</v>
      </c>
      <c r="G79" s="151">
        <f t="shared" si="3"/>
        <v>52840</v>
      </c>
      <c r="H79" s="191">
        <f t="shared" si="2"/>
        <v>0.54428463285389861</v>
      </c>
    </row>
    <row r="80" spans="1:8" ht="15.75">
      <c r="A80" s="149" t="s">
        <v>209</v>
      </c>
      <c r="B80" s="150">
        <v>5</v>
      </c>
      <c r="C80" s="150">
        <v>4802</v>
      </c>
      <c r="D80" s="150">
        <v>8145.93</v>
      </c>
      <c r="E80" s="150">
        <v>40729.65</v>
      </c>
      <c r="F80" s="150">
        <v>16719.650000000001</v>
      </c>
      <c r="G80" s="151">
        <f t="shared" si="3"/>
        <v>24010</v>
      </c>
      <c r="H80" s="191">
        <f t="shared" ref="H80:H111" si="4">F80/G80</f>
        <v>0.69636193252811329</v>
      </c>
    </row>
    <row r="81" spans="1:8" ht="15.75">
      <c r="A81" s="149" t="s">
        <v>210</v>
      </c>
      <c r="B81" s="150">
        <v>10</v>
      </c>
      <c r="C81" s="150">
        <v>5002.45</v>
      </c>
      <c r="D81" s="150">
        <v>8114.94</v>
      </c>
      <c r="E81" s="150">
        <v>81149.399999999994</v>
      </c>
      <c r="F81" s="150">
        <v>31124.9</v>
      </c>
      <c r="G81" s="151">
        <f t="shared" si="3"/>
        <v>50024.499999999993</v>
      </c>
      <c r="H81" s="191">
        <f t="shared" si="4"/>
        <v>0.62219312536856952</v>
      </c>
    </row>
    <row r="82" spans="1:8" ht="15.75">
      <c r="A82" s="149" t="s">
        <v>211</v>
      </c>
      <c r="B82" s="150">
        <v>35</v>
      </c>
      <c r="C82" s="150">
        <v>984.23</v>
      </c>
      <c r="D82" s="150">
        <v>6609.7</v>
      </c>
      <c r="E82" s="150">
        <v>231339.5</v>
      </c>
      <c r="F82" s="150">
        <v>196891.45</v>
      </c>
      <c r="G82" s="151">
        <f t="shared" si="3"/>
        <v>34448.049999999988</v>
      </c>
      <c r="H82" s="191">
        <f t="shared" si="4"/>
        <v>5.7156050923056627</v>
      </c>
    </row>
    <row r="83" spans="1:8" ht="15.75">
      <c r="A83" s="149" t="s">
        <v>289</v>
      </c>
      <c r="B83" s="150">
        <v>21</v>
      </c>
      <c r="C83" s="150">
        <v>1808</v>
      </c>
      <c r="D83" s="150">
        <v>1545.25</v>
      </c>
      <c r="E83" s="150">
        <v>32450.25</v>
      </c>
      <c r="F83" s="150">
        <v>-5517.75</v>
      </c>
      <c r="G83" s="151">
        <f t="shared" si="3"/>
        <v>37968</v>
      </c>
      <c r="H83" s="191">
        <f t="shared" si="4"/>
        <v>-0.14532632743362831</v>
      </c>
    </row>
    <row r="84" spans="1:8" ht="15.75">
      <c r="A84" s="149" t="s">
        <v>290</v>
      </c>
      <c r="B84" s="150">
        <v>43</v>
      </c>
      <c r="C84" s="150">
        <v>566.69000000000005</v>
      </c>
      <c r="D84" s="150">
        <v>591</v>
      </c>
      <c r="E84" s="150">
        <v>25413</v>
      </c>
      <c r="F84" s="150">
        <v>1045.25</v>
      </c>
      <c r="G84" s="151">
        <f t="shared" si="3"/>
        <v>24367.75</v>
      </c>
      <c r="H84" s="191">
        <f t="shared" si="4"/>
        <v>4.289480973828113E-2</v>
      </c>
    </row>
    <row r="85" spans="1:8" ht="15.75">
      <c r="A85" s="149" t="s">
        <v>291</v>
      </c>
      <c r="B85" s="150">
        <v>222</v>
      </c>
      <c r="C85" s="150">
        <v>539.69000000000005</v>
      </c>
      <c r="D85" s="150">
        <v>482.95</v>
      </c>
      <c r="E85" s="150">
        <v>107214.9</v>
      </c>
      <c r="F85" s="150">
        <v>-12595.85</v>
      </c>
      <c r="G85" s="151">
        <f t="shared" si="3"/>
        <v>119810.75</v>
      </c>
      <c r="H85" s="191">
        <f t="shared" si="4"/>
        <v>-0.10513121735737403</v>
      </c>
    </row>
    <row r="86" spans="1:8" ht="15.75">
      <c r="A86" s="149" t="s">
        <v>292</v>
      </c>
      <c r="B86" s="150">
        <v>59</v>
      </c>
      <c r="C86" s="150">
        <v>983.69</v>
      </c>
      <c r="D86" s="150">
        <v>1076.55</v>
      </c>
      <c r="E86" s="150">
        <v>63516.45</v>
      </c>
      <c r="F86" s="150">
        <v>5478.95</v>
      </c>
      <c r="G86" s="151">
        <f t="shared" si="3"/>
        <v>58037.5</v>
      </c>
      <c r="H86" s="191">
        <f t="shared" si="4"/>
        <v>9.440361835020461E-2</v>
      </c>
    </row>
    <row r="87" spans="1:8" ht="15.75">
      <c r="A87" s="149" t="s">
        <v>212</v>
      </c>
      <c r="B87" s="150">
        <v>143</v>
      </c>
      <c r="C87" s="150">
        <v>579.84</v>
      </c>
      <c r="D87" s="150">
        <v>1849.65</v>
      </c>
      <c r="E87" s="150">
        <v>264499.95</v>
      </c>
      <c r="F87" s="150">
        <v>181582.8</v>
      </c>
      <c r="G87" s="151">
        <f t="shared" si="3"/>
        <v>82917.150000000023</v>
      </c>
      <c r="H87" s="191">
        <f t="shared" si="4"/>
        <v>2.1899305511585956</v>
      </c>
    </row>
    <row r="88" spans="1:8" ht="15.75">
      <c r="A88" s="149" t="s">
        <v>293</v>
      </c>
      <c r="B88" s="150">
        <v>47</v>
      </c>
      <c r="C88" s="150">
        <v>426.11</v>
      </c>
      <c r="D88" s="150">
        <v>456.75</v>
      </c>
      <c r="E88" s="150">
        <v>21467.25</v>
      </c>
      <c r="F88" s="150">
        <v>1439.95</v>
      </c>
      <c r="G88" s="151">
        <f t="shared" si="3"/>
        <v>20027.3</v>
      </c>
      <c r="H88" s="191">
        <f t="shared" si="4"/>
        <v>7.1899357377180159E-2</v>
      </c>
    </row>
    <row r="89" spans="1:8" ht="15.75">
      <c r="A89" s="149" t="s">
        <v>213</v>
      </c>
      <c r="B89" s="150">
        <v>75</v>
      </c>
      <c r="C89" s="150">
        <v>581.84</v>
      </c>
      <c r="D89" s="150">
        <v>857.5</v>
      </c>
      <c r="E89" s="150">
        <v>64312.5</v>
      </c>
      <c r="F89" s="150">
        <v>20674.5</v>
      </c>
      <c r="G89" s="151">
        <f t="shared" si="3"/>
        <v>43638</v>
      </c>
      <c r="H89" s="191">
        <f t="shared" si="4"/>
        <v>0.4737728585178056</v>
      </c>
    </row>
    <row r="90" spans="1:8" ht="15.75">
      <c r="A90" s="149" t="s">
        <v>214</v>
      </c>
      <c r="B90" s="150">
        <v>46</v>
      </c>
      <c r="C90" s="150">
        <v>794.51</v>
      </c>
      <c r="D90" s="150">
        <v>939.45</v>
      </c>
      <c r="E90" s="150">
        <v>43214.7</v>
      </c>
      <c r="F90" s="150">
        <v>6667.4</v>
      </c>
      <c r="G90" s="151">
        <f t="shared" si="3"/>
        <v>36547.299999999996</v>
      </c>
      <c r="H90" s="191">
        <f t="shared" si="4"/>
        <v>0.18243208116605059</v>
      </c>
    </row>
    <row r="91" spans="1:8" ht="15.75">
      <c r="A91" s="149" t="s">
        <v>267</v>
      </c>
      <c r="B91" s="150">
        <v>584</v>
      </c>
      <c r="C91" s="150">
        <v>204.1</v>
      </c>
      <c r="D91" s="150">
        <v>790.4</v>
      </c>
      <c r="E91" s="150">
        <v>461593.59999999998</v>
      </c>
      <c r="F91" s="150">
        <v>342396.87</v>
      </c>
      <c r="G91" s="151">
        <f t="shared" si="3"/>
        <v>119196.72999999998</v>
      </c>
      <c r="H91" s="191">
        <f t="shared" si="4"/>
        <v>2.872535765033152</v>
      </c>
    </row>
    <row r="92" spans="1:8" ht="15.75">
      <c r="A92" s="149" t="s">
        <v>215</v>
      </c>
      <c r="B92" s="150">
        <v>1050</v>
      </c>
      <c r="C92" s="150">
        <v>40.479999999999997</v>
      </c>
      <c r="D92" s="150">
        <v>138.36000000000001</v>
      </c>
      <c r="E92" s="150">
        <v>145278</v>
      </c>
      <c r="F92" s="150">
        <v>102777.75</v>
      </c>
      <c r="G92" s="151">
        <f t="shared" si="3"/>
        <v>42500.25</v>
      </c>
      <c r="H92" s="191">
        <f t="shared" si="4"/>
        <v>2.4182857747895601</v>
      </c>
    </row>
    <row r="93" spans="1:8" ht="15.75">
      <c r="A93" s="149" t="s">
        <v>216</v>
      </c>
      <c r="B93" s="150">
        <v>33</v>
      </c>
      <c r="C93" s="150">
        <v>3575.9</v>
      </c>
      <c r="D93" s="150">
        <v>4099.8999999999996</v>
      </c>
      <c r="E93" s="150">
        <v>135296.70000000001</v>
      </c>
      <c r="F93" s="150">
        <v>17292.150000000001</v>
      </c>
      <c r="G93" s="151">
        <f>C93*B93</f>
        <v>118004.7</v>
      </c>
      <c r="H93" s="191">
        <f t="shared" si="4"/>
        <v>0.14653780739241742</v>
      </c>
    </row>
    <row r="94" spans="1:8" ht="15.75">
      <c r="A94" s="149" t="s">
        <v>217</v>
      </c>
      <c r="B94" s="150">
        <v>24</v>
      </c>
      <c r="C94" s="150">
        <v>2584.4</v>
      </c>
      <c r="D94" s="150">
        <v>3451.65</v>
      </c>
      <c r="E94" s="150">
        <v>82839.600000000006</v>
      </c>
      <c r="F94" s="150">
        <v>20814</v>
      </c>
      <c r="G94" s="151">
        <f t="shared" ref="G94:G96" si="5">C94*B94</f>
        <v>62025.600000000006</v>
      </c>
      <c r="H94" s="191">
        <f t="shared" si="4"/>
        <v>0.33557111902182324</v>
      </c>
    </row>
    <row r="95" spans="1:8" ht="15.75">
      <c r="A95" s="149" t="s">
        <v>220</v>
      </c>
      <c r="B95" s="150">
        <v>45</v>
      </c>
      <c r="C95" s="150">
        <v>355.21</v>
      </c>
      <c r="D95" s="150">
        <v>1067.8499999999999</v>
      </c>
      <c r="E95" s="150">
        <v>48053.25</v>
      </c>
      <c r="F95" s="150">
        <v>32068.65</v>
      </c>
      <c r="G95" s="151">
        <f t="shared" si="5"/>
        <v>15984.449999999999</v>
      </c>
      <c r="H95" s="191">
        <f t="shared" si="4"/>
        <v>2.0062404399275549</v>
      </c>
    </row>
    <row r="96" spans="1:8" ht="15.75">
      <c r="A96" s="149" t="s">
        <v>221</v>
      </c>
      <c r="B96" s="150">
        <v>90</v>
      </c>
      <c r="C96" s="150">
        <v>48.04</v>
      </c>
      <c r="D96" s="150">
        <v>652.29999999999995</v>
      </c>
      <c r="E96" s="150">
        <v>58707</v>
      </c>
      <c r="F96" s="150">
        <v>54383.35</v>
      </c>
      <c r="G96" s="151">
        <f t="shared" si="5"/>
        <v>4323.6000000000004</v>
      </c>
      <c r="H96" s="191">
        <f t="shared" si="4"/>
        <v>12.578256545471366</v>
      </c>
    </row>
    <row r="97" spans="1:8" ht="15.75">
      <c r="A97" s="149" t="s">
        <v>300</v>
      </c>
      <c r="B97" s="150">
        <v>2525</v>
      </c>
      <c r="C97" s="150">
        <v>27.54</v>
      </c>
      <c r="D97" s="150">
        <v>19.96</v>
      </c>
      <c r="E97" s="150">
        <v>50399</v>
      </c>
      <c r="F97" s="150">
        <v>-19138.5</v>
      </c>
      <c r="G97" s="151">
        <f t="shared" si="3"/>
        <v>69537.5</v>
      </c>
      <c r="H97" s="191">
        <f t="shared" si="4"/>
        <v>-0.27522559769908322</v>
      </c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17615</v>
      </c>
      <c r="C104" s="45"/>
      <c r="D104" s="45"/>
      <c r="E104" s="45">
        <f>SUM(E2:E103)</f>
        <v>8344916.75</v>
      </c>
      <c r="F104" s="45">
        <f>SUM(F2:F103)</f>
        <v>3344849.6199999992</v>
      </c>
      <c r="G104" s="45">
        <f>SUM(G2:G103)</f>
        <v>5000067.08</v>
      </c>
      <c r="H104" s="176">
        <f>F104/G104</f>
        <v>0.66896094921990512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0AB5-F227-4194-A10E-C7FAD36DE145}">
  <dimension ref="A1:J18"/>
  <sheetViews>
    <sheetView workbookViewId="0">
      <selection activeCell="H14" sqref="H14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t="s">
        <v>233</v>
      </c>
      <c r="C2" s="188">
        <v>20533.901999999998</v>
      </c>
      <c r="D2">
        <v>7.47</v>
      </c>
      <c r="E2">
        <v>7.7965</v>
      </c>
      <c r="F2" s="188">
        <v>160092.00270000001</v>
      </c>
      <c r="G2" s="188">
        <v>153388.24789999999</v>
      </c>
      <c r="H2" s="188">
        <v>-6703.7547999999997</v>
      </c>
      <c r="I2" s="192">
        <f>H2/F2</f>
        <v>-4.1874389019683364E-2</v>
      </c>
    </row>
    <row r="3" spans="1:9">
      <c r="A3" s="168" t="s">
        <v>234</v>
      </c>
      <c r="B3" t="s">
        <v>235</v>
      </c>
      <c r="C3" s="188">
        <v>4080.9659999999999</v>
      </c>
      <c r="D3">
        <v>130.91999999999999</v>
      </c>
      <c r="E3">
        <v>68.607799999999997</v>
      </c>
      <c r="F3" s="188">
        <v>279986.10960000003</v>
      </c>
      <c r="G3" s="188">
        <v>534280.06869999995</v>
      </c>
      <c r="H3" s="188">
        <v>254293.95920000001</v>
      </c>
      <c r="I3" s="192">
        <f t="shared" ref="I3:I18" si="0">H3/F3</f>
        <v>0.90823776780674981</v>
      </c>
    </row>
    <row r="4" spans="1:9">
      <c r="A4" s="168" t="s">
        <v>236</v>
      </c>
      <c r="B4" t="s">
        <v>237</v>
      </c>
      <c r="C4" s="188">
        <v>14235.332</v>
      </c>
      <c r="D4">
        <v>124.49</v>
      </c>
      <c r="E4">
        <v>47.766100000000002</v>
      </c>
      <c r="F4" s="188">
        <v>679966.92570000002</v>
      </c>
      <c r="G4" s="188">
        <v>1772156.4807</v>
      </c>
      <c r="H4" s="188">
        <v>1092189.5549999999</v>
      </c>
      <c r="I4" s="192">
        <f t="shared" si="0"/>
        <v>1.6062392356446344</v>
      </c>
    </row>
    <row r="5" spans="1:9">
      <c r="A5" s="168" t="s">
        <v>238</v>
      </c>
      <c r="B5" t="s">
        <v>237</v>
      </c>
      <c r="C5" s="188">
        <v>27771.804</v>
      </c>
      <c r="D5">
        <v>44.45</v>
      </c>
      <c r="E5">
        <v>32.5854</v>
      </c>
      <c r="F5" s="188">
        <v>904954.75</v>
      </c>
      <c r="G5" s="188">
        <v>1234456.6878</v>
      </c>
      <c r="H5" s="188">
        <v>329501.93780000001</v>
      </c>
      <c r="I5" s="192">
        <f t="shared" si="0"/>
        <v>0.36410874444274699</v>
      </c>
    </row>
    <row r="6" spans="1:9">
      <c r="A6" s="168" t="s">
        <v>240</v>
      </c>
      <c r="B6" t="s">
        <v>241</v>
      </c>
      <c r="C6" s="188">
        <v>1857.5519999999999</v>
      </c>
      <c r="D6">
        <v>746.06970000000001</v>
      </c>
      <c r="E6">
        <v>366.02140000000003</v>
      </c>
      <c r="F6" s="188">
        <v>679903.69869999995</v>
      </c>
      <c r="G6" s="188">
        <v>1385863.2634000001</v>
      </c>
      <c r="H6" s="188">
        <v>705959.56469999999</v>
      </c>
      <c r="I6" s="192">
        <f t="shared" si="0"/>
        <v>1.0383228772689717</v>
      </c>
    </row>
    <row r="7" spans="1:9">
      <c r="A7" s="168" t="s">
        <v>242</v>
      </c>
      <c r="B7" t="s">
        <v>237</v>
      </c>
      <c r="C7" s="188">
        <v>4306.576</v>
      </c>
      <c r="D7">
        <v>160.19</v>
      </c>
      <c r="E7">
        <v>44.3917</v>
      </c>
      <c r="F7" s="188">
        <v>191176.2298</v>
      </c>
      <c r="G7" s="188">
        <v>689870.4094</v>
      </c>
      <c r="H7" s="188">
        <v>498694.17959999997</v>
      </c>
      <c r="I7" s="192">
        <f t="shared" si="0"/>
        <v>2.6085574557135658</v>
      </c>
    </row>
    <row r="8" spans="1:9">
      <c r="A8" s="168" t="s">
        <v>272</v>
      </c>
      <c r="B8" t="s">
        <v>235</v>
      </c>
      <c r="C8" s="188">
        <v>5805.7370000000001</v>
      </c>
      <c r="D8">
        <v>156.08500000000001</v>
      </c>
      <c r="E8">
        <v>41.940399999999997</v>
      </c>
      <c r="F8" s="188">
        <v>243495.1642</v>
      </c>
      <c r="G8" s="188">
        <v>906188.45959999994</v>
      </c>
      <c r="H8" s="188">
        <v>662693.29539999994</v>
      </c>
      <c r="I8" s="192">
        <f t="shared" si="0"/>
        <v>2.7215870901472301</v>
      </c>
    </row>
    <row r="9" spans="1:9">
      <c r="A9" s="168" t="s">
        <v>244</v>
      </c>
      <c r="B9" t="s">
        <v>233</v>
      </c>
      <c r="C9" s="188">
        <v>13136.35</v>
      </c>
      <c r="D9">
        <v>44.729700000000001</v>
      </c>
      <c r="E9">
        <v>29.687100000000001</v>
      </c>
      <c r="F9" s="188">
        <v>389980.446</v>
      </c>
      <c r="G9" s="188">
        <v>587584.99459999998</v>
      </c>
      <c r="H9" s="188">
        <v>197604.54860000001</v>
      </c>
      <c r="I9" s="192">
        <f t="shared" si="0"/>
        <v>0.50670373508932298</v>
      </c>
    </row>
    <row r="10" spans="1:9">
      <c r="A10" s="168" t="s">
        <v>273</v>
      </c>
      <c r="B10" t="s">
        <v>233</v>
      </c>
      <c r="C10" s="188">
        <v>82131.043999999994</v>
      </c>
      <c r="D10">
        <v>16.033200000000001</v>
      </c>
      <c r="E10">
        <v>9.9227000000000007</v>
      </c>
      <c r="F10" s="188">
        <v>814959.2439</v>
      </c>
      <c r="G10" s="188">
        <v>1316823.4546999999</v>
      </c>
      <c r="H10" s="188">
        <v>501864.2108</v>
      </c>
      <c r="I10" s="192">
        <f t="shared" si="0"/>
        <v>0.61581510309438436</v>
      </c>
    </row>
    <row r="11" spans="1:9">
      <c r="A11" s="168" t="s">
        <v>246</v>
      </c>
      <c r="B11" t="s">
        <v>241</v>
      </c>
      <c r="C11" s="188">
        <v>71662.639500000005</v>
      </c>
      <c r="D11">
        <v>15.5525</v>
      </c>
      <c r="E11">
        <v>12.7049</v>
      </c>
      <c r="F11" s="188">
        <v>910465.01630000002</v>
      </c>
      <c r="G11" s="188">
        <v>1114533.2008</v>
      </c>
      <c r="H11" s="188">
        <v>204068.1845</v>
      </c>
      <c r="I11" s="192">
        <f t="shared" si="0"/>
        <v>0.22413621703918291</v>
      </c>
    </row>
    <row r="12" spans="1:9">
      <c r="A12" s="168" t="s">
        <v>247</v>
      </c>
      <c r="B12" t="s">
        <v>241</v>
      </c>
      <c r="C12" s="188">
        <v>38444.777000000002</v>
      </c>
      <c r="D12">
        <v>16.350999999999999</v>
      </c>
      <c r="E12">
        <v>14.058400000000001</v>
      </c>
      <c r="F12" s="188">
        <v>540472.97129999998</v>
      </c>
      <c r="G12" s="188">
        <v>628610.54870000004</v>
      </c>
      <c r="H12" s="188">
        <v>88137.577399999995</v>
      </c>
      <c r="I12" s="192">
        <f t="shared" si="0"/>
        <v>0.16307490305759903</v>
      </c>
    </row>
    <row r="13" spans="1:9">
      <c r="A13" s="168" t="s">
        <v>250</v>
      </c>
      <c r="B13" t="s">
        <v>251</v>
      </c>
      <c r="C13" s="188">
        <v>19397.659</v>
      </c>
      <c r="D13">
        <v>89.010599999999997</v>
      </c>
      <c r="E13">
        <v>44.640599999999999</v>
      </c>
      <c r="F13" s="188">
        <v>865923.00470000005</v>
      </c>
      <c r="G13" s="188">
        <v>1726597.2662</v>
      </c>
      <c r="H13" s="188">
        <v>860674.26150000002</v>
      </c>
      <c r="I13" s="192">
        <f t="shared" si="0"/>
        <v>0.99393855669440445</v>
      </c>
    </row>
    <row r="14" spans="1:9">
      <c r="A14" s="168" t="s">
        <v>274</v>
      </c>
      <c r="B14" t="s">
        <v>233</v>
      </c>
      <c r="C14" s="188">
        <v>6809.741</v>
      </c>
      <c r="D14">
        <v>48.88</v>
      </c>
      <c r="E14">
        <v>35.241999999999997</v>
      </c>
      <c r="F14" s="188">
        <v>239988.8371</v>
      </c>
      <c r="G14" s="188">
        <v>332860.14010000002</v>
      </c>
      <c r="H14" s="188">
        <v>92871.303</v>
      </c>
      <c r="I14" s="192">
        <f t="shared" si="0"/>
        <v>0.38698176182795463</v>
      </c>
    </row>
    <row r="15" spans="1:9">
      <c r="A15" s="168" t="s">
        <v>253</v>
      </c>
      <c r="B15" t="s">
        <v>235</v>
      </c>
      <c r="C15" s="188">
        <v>4462.442</v>
      </c>
      <c r="D15">
        <v>251.75579999999999</v>
      </c>
      <c r="E15">
        <v>192.79</v>
      </c>
      <c r="F15" s="188">
        <v>860314.07010000001</v>
      </c>
      <c r="G15" s="188">
        <v>1123445.6557</v>
      </c>
      <c r="H15" s="188">
        <v>263131.58559999999</v>
      </c>
      <c r="I15" s="192">
        <f t="shared" si="0"/>
        <v>0.30585526233392241</v>
      </c>
    </row>
    <row r="16" spans="1:9">
      <c r="A16" s="168" t="s">
        <v>255</v>
      </c>
      <c r="B16" t="s">
        <v>241</v>
      </c>
      <c r="C16" s="188">
        <v>18996.168000000001</v>
      </c>
      <c r="D16">
        <v>25.428100000000001</v>
      </c>
      <c r="E16">
        <v>9.4700000000000006</v>
      </c>
      <c r="F16" s="188">
        <v>179893.71100000001</v>
      </c>
      <c r="G16" s="188">
        <v>483036.4595</v>
      </c>
      <c r="H16" s="188">
        <v>303142.74859999999</v>
      </c>
      <c r="I16" s="192">
        <f t="shared" si="0"/>
        <v>1.6851214359572579</v>
      </c>
    </row>
    <row r="17" spans="1:10">
      <c r="A17" s="168"/>
      <c r="B17"/>
      <c r="C17" s="188"/>
      <c r="D17"/>
      <c r="E17"/>
      <c r="F17" s="188"/>
      <c r="G17" s="188"/>
      <c r="H17" s="188"/>
      <c r="I17" s="192"/>
    </row>
    <row r="18" spans="1:10">
      <c r="A18" s="74" t="s">
        <v>11</v>
      </c>
      <c r="B18" s="75"/>
      <c r="C18" s="75">
        <f>SUM(C2:C17)</f>
        <v>333632.68949999992</v>
      </c>
      <c r="D18" s="75"/>
      <c r="E18" s="75"/>
      <c r="F18" s="75">
        <f>SUM(F2:F17)</f>
        <v>7941572.1811000016</v>
      </c>
      <c r="G18" s="75">
        <f>SUM(G2:G17)</f>
        <v>13989695.3378</v>
      </c>
      <c r="H18" s="75">
        <f>G18-F18</f>
        <v>6048123.1566999983</v>
      </c>
      <c r="I18" s="53">
        <f t="shared" si="0"/>
        <v>0.76157755904980795</v>
      </c>
      <c r="J18" s="202"/>
    </row>
  </sheetData>
  <hyperlinks>
    <hyperlink ref="A2" r:id="rId1" location="/mf/1831632/41287/NULL" xr:uid="{AF01E4DE-90F9-4E01-8C50-C7F3FD407666}"/>
    <hyperlink ref="A3" r:id="rId2" location="/mf/1831632/15690/NULL" xr:uid="{43BF5EE0-AB3E-4952-9ADB-C639616ADF27}"/>
    <hyperlink ref="A4" r:id="rId3" location="/mf/1831632/22335/NULL" xr:uid="{39BA7DB8-1DA3-4877-B69B-8702B2E7A284}"/>
    <hyperlink ref="A5" r:id="rId4" location="/mf/1831632/38817/NULL" xr:uid="{2A01D7C1-18C1-4423-8C7C-4AA0415E5765}"/>
    <hyperlink ref="A6" r:id="rId5" location="/mf/1831632/16071/NULL" xr:uid="{47C96D7F-460D-4548-83C7-7F523ED49AC4}"/>
    <hyperlink ref="A7" r:id="rId6" location="/mf/1831632/16617/NULL" xr:uid="{6940F04A-F850-4B10-A6C2-0BF276CC9294}"/>
    <hyperlink ref="A8" r:id="rId7" location="/mf/1831632/17134/NULL" xr:uid="{D3D792AE-8D42-4B5B-875B-0434310688CD}"/>
    <hyperlink ref="A9" r:id="rId8" location="/mf/1831632/38228/NULL" xr:uid="{8E337897-D138-4214-B142-6810AEB7A8D1}"/>
    <hyperlink ref="A10" r:id="rId9" location="/mf/1831632/42135/NULL" xr:uid="{B8748B35-C513-4460-89ED-5C3E623074A6}"/>
    <hyperlink ref="A11" r:id="rId10" location="/mf/1831632/41574/NULL" xr:uid="{CB17A8B7-4A3E-4E07-8954-7FBD13CE428F}"/>
    <hyperlink ref="A12" r:id="rId11" location="/mf/1831632/41937/NULL" xr:uid="{E76BA31B-48F2-4F82-9E2C-0AD9CC78C0A0}"/>
    <hyperlink ref="A13" r:id="rId12" location="/mf/1831632/19701/NULL" xr:uid="{936429D2-AD50-42BD-9738-84DC5B5FA117}"/>
    <hyperlink ref="A14" r:id="rId13" location="/mf/1831632/17348/NULL" xr:uid="{697E4747-3811-49C6-80E6-6D23F7D24F52}"/>
    <hyperlink ref="A15" r:id="rId14" location="/mf/1831632/17375/NULL" xr:uid="{7F32F742-7C0A-49B6-B980-819B1C7F7738}"/>
    <hyperlink ref="A16" r:id="rId15" location="/mf/1831632/36491/NULL" xr:uid="{C709106B-A4BB-4514-9CB5-5FA9081F546F}"/>
  </hyperlinks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5963-3BAD-4FF7-9893-416867961A0A}">
  <dimension ref="A1:I10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143</v>
      </c>
      <c r="B2" s="150">
        <v>100</v>
      </c>
      <c r="C2" s="150">
        <v>109.73</v>
      </c>
      <c r="D2" s="150">
        <v>102</v>
      </c>
      <c r="E2" s="150">
        <v>10200</v>
      </c>
      <c r="F2" s="150">
        <v>-772.5</v>
      </c>
      <c r="G2" s="151">
        <f t="shared" ref="G2:G65" si="0">E2-F2</f>
        <v>10972.5</v>
      </c>
      <c r="H2" s="191">
        <f t="shared" ref="H2:H14" si="1">F2/G2</f>
        <v>-7.0403280929596718E-2</v>
      </c>
    </row>
    <row r="3" spans="1:8" ht="15.75">
      <c r="A3" s="149" t="s">
        <v>205</v>
      </c>
      <c r="B3" s="150">
        <v>20</v>
      </c>
      <c r="C3" s="150">
        <v>1000</v>
      </c>
      <c r="D3" s="150">
        <v>1044.25</v>
      </c>
      <c r="E3" s="150">
        <v>20885</v>
      </c>
      <c r="F3" s="150">
        <v>0</v>
      </c>
      <c r="G3" s="151">
        <f t="shared" si="0"/>
        <v>20885</v>
      </c>
      <c r="H3" s="191">
        <f t="shared" si="1"/>
        <v>0</v>
      </c>
    </row>
    <row r="4" spans="1:8" ht="15.75">
      <c r="A4" s="149" t="s">
        <v>259</v>
      </c>
      <c r="B4" s="150">
        <v>13</v>
      </c>
      <c r="C4" s="150">
        <v>133.75</v>
      </c>
      <c r="D4" s="150">
        <v>1215.8</v>
      </c>
      <c r="E4" s="150">
        <v>15805.4</v>
      </c>
      <c r="F4" s="150">
        <v>14066.65</v>
      </c>
      <c r="G4" s="151">
        <f t="shared" si="0"/>
        <v>1738.75</v>
      </c>
      <c r="H4" s="191">
        <f t="shared" si="1"/>
        <v>8.0900934579439259</v>
      </c>
    </row>
    <row r="5" spans="1:8" ht="15.75">
      <c r="A5" s="149" t="s">
        <v>144</v>
      </c>
      <c r="B5" s="150">
        <v>19</v>
      </c>
      <c r="C5" s="150">
        <v>489.54</v>
      </c>
      <c r="D5" s="150">
        <v>3016.15</v>
      </c>
      <c r="E5" s="150">
        <v>57306.85</v>
      </c>
      <c r="F5" s="150">
        <v>48005.65</v>
      </c>
      <c r="G5" s="151">
        <f t="shared" si="0"/>
        <v>9301.1999999999971</v>
      </c>
      <c r="H5" s="191">
        <f t="shared" si="1"/>
        <v>5.1612318840579725</v>
      </c>
    </row>
    <row r="6" spans="1:8" ht="15.75">
      <c r="A6" s="149" t="s">
        <v>145</v>
      </c>
      <c r="B6" s="150">
        <v>250</v>
      </c>
      <c r="C6" s="150">
        <v>183.59</v>
      </c>
      <c r="D6" s="150">
        <v>509</v>
      </c>
      <c r="E6" s="150">
        <v>127250</v>
      </c>
      <c r="F6" s="150">
        <v>81352.5</v>
      </c>
      <c r="G6" s="151">
        <f t="shared" si="0"/>
        <v>45897.5</v>
      </c>
      <c r="H6" s="191">
        <f t="shared" si="1"/>
        <v>1.7724821613377635</v>
      </c>
    </row>
    <row r="7" spans="1:8" ht="15.75">
      <c r="A7" s="149" t="s">
        <v>275</v>
      </c>
      <c r="B7" s="150">
        <v>165</v>
      </c>
      <c r="C7" s="150">
        <v>160.15</v>
      </c>
      <c r="D7" s="150">
        <v>232.08</v>
      </c>
      <c r="E7" s="150">
        <v>38293.199999999997</v>
      </c>
      <c r="F7" s="150">
        <v>11868.45</v>
      </c>
      <c r="G7" s="151">
        <f t="shared" si="0"/>
        <v>26424.749999999996</v>
      </c>
      <c r="H7" s="191">
        <f t="shared" si="1"/>
        <v>0.44914142990945999</v>
      </c>
    </row>
    <row r="8" spans="1:8" ht="15.75">
      <c r="A8" s="149" t="s">
        <v>276</v>
      </c>
      <c r="B8" s="150">
        <v>28</v>
      </c>
      <c r="C8" s="150">
        <v>2757.87</v>
      </c>
      <c r="D8" s="150">
        <v>2479.9499999999998</v>
      </c>
      <c r="E8" s="150">
        <v>69438.600000000006</v>
      </c>
      <c r="F8" s="150">
        <v>-7781.8</v>
      </c>
      <c r="G8" s="151">
        <f t="shared" si="0"/>
        <v>77220.400000000009</v>
      </c>
      <c r="H8" s="191">
        <f t="shared" si="1"/>
        <v>-0.10077388876514495</v>
      </c>
    </row>
    <row r="9" spans="1:8" ht="15.75">
      <c r="A9" s="149" t="s">
        <v>277</v>
      </c>
      <c r="B9" s="150">
        <v>97</v>
      </c>
      <c r="C9" s="150">
        <v>578.23</v>
      </c>
      <c r="D9" s="150">
        <v>583.35</v>
      </c>
      <c r="E9" s="150">
        <v>56584.95</v>
      </c>
      <c r="F9" s="150">
        <v>496.75</v>
      </c>
      <c r="G9" s="151">
        <f t="shared" si="0"/>
        <v>56088.2</v>
      </c>
      <c r="H9" s="191">
        <f t="shared" si="1"/>
        <v>8.8565865904058263E-3</v>
      </c>
    </row>
    <row r="10" spans="1:8" ht="15.75">
      <c r="A10" s="149" t="s">
        <v>146</v>
      </c>
      <c r="B10" s="150">
        <v>62</v>
      </c>
      <c r="C10" s="150">
        <v>708.24</v>
      </c>
      <c r="D10" s="150">
        <v>1136.7</v>
      </c>
      <c r="E10" s="150">
        <v>70475.399999999994</v>
      </c>
      <c r="F10" s="150">
        <v>26564.799999999999</v>
      </c>
      <c r="G10" s="151">
        <f t="shared" si="0"/>
        <v>43910.599999999991</v>
      </c>
      <c r="H10" s="191">
        <f t="shared" si="1"/>
        <v>0.60497465304505071</v>
      </c>
    </row>
    <row r="11" spans="1:8" ht="15.75">
      <c r="A11" s="149" t="s">
        <v>147</v>
      </c>
      <c r="B11" s="150">
        <v>20</v>
      </c>
      <c r="C11" s="150">
        <v>3008.26</v>
      </c>
      <c r="D11" s="150">
        <v>9033.65</v>
      </c>
      <c r="E11" s="150">
        <v>180673</v>
      </c>
      <c r="F11" s="150">
        <v>120507.75</v>
      </c>
      <c r="G11" s="151">
        <f t="shared" si="0"/>
        <v>60165.25</v>
      </c>
      <c r="H11" s="191">
        <f t="shared" si="1"/>
        <v>2.0029460527463945</v>
      </c>
    </row>
    <row r="12" spans="1:8" ht="15.75">
      <c r="A12" s="149" t="s">
        <v>148</v>
      </c>
      <c r="B12" s="150">
        <v>8</v>
      </c>
      <c r="C12" s="150">
        <v>6731.04</v>
      </c>
      <c r="D12" s="150">
        <v>6577.45</v>
      </c>
      <c r="E12" s="150">
        <v>52619.6</v>
      </c>
      <c r="F12" s="150">
        <v>-1228.75</v>
      </c>
      <c r="G12" s="151">
        <f t="shared" si="0"/>
        <v>53848.35</v>
      </c>
      <c r="H12" s="191">
        <f t="shared" si="1"/>
        <v>-2.2818712179667529E-2</v>
      </c>
    </row>
    <row r="13" spans="1:8" ht="15.75">
      <c r="A13" s="149" t="s">
        <v>149</v>
      </c>
      <c r="B13" s="150">
        <v>15</v>
      </c>
      <c r="C13" s="150">
        <v>2427.4699999999998</v>
      </c>
      <c r="D13" s="150">
        <v>2780.15</v>
      </c>
      <c r="E13" s="150">
        <v>41702.25</v>
      </c>
      <c r="F13" s="150">
        <v>5290.25</v>
      </c>
      <c r="G13" s="151">
        <f t="shared" si="0"/>
        <v>36412</v>
      </c>
      <c r="H13" s="191">
        <f t="shared" si="1"/>
        <v>0.14528864110732725</v>
      </c>
    </row>
    <row r="14" spans="1:8" ht="15.75">
      <c r="A14" s="149" t="s">
        <v>150</v>
      </c>
      <c r="B14" s="150">
        <v>184</v>
      </c>
      <c r="C14" s="150">
        <v>185</v>
      </c>
      <c r="D14" s="150">
        <v>246.4</v>
      </c>
      <c r="E14" s="150">
        <v>45337.599999999999</v>
      </c>
      <c r="F14" s="150">
        <v>11297.6</v>
      </c>
      <c r="G14" s="151">
        <f t="shared" si="0"/>
        <v>34040</v>
      </c>
      <c r="H14" s="191">
        <f t="shared" si="1"/>
        <v>0.33189189189189189</v>
      </c>
    </row>
    <row r="15" spans="1:8" ht="15.75">
      <c r="A15" s="149" t="s">
        <v>151</v>
      </c>
      <c r="B15" s="150">
        <v>5000</v>
      </c>
      <c r="C15" s="150">
        <v>50.04</v>
      </c>
      <c r="D15" s="150">
        <v>53.01</v>
      </c>
      <c r="E15" s="150">
        <v>265050</v>
      </c>
      <c r="F15" s="150">
        <v>14845.11</v>
      </c>
      <c r="G15" s="151">
        <f t="shared" si="0"/>
        <v>250204.89</v>
      </c>
      <c r="H15" s="191">
        <v>0</v>
      </c>
    </row>
    <row r="16" spans="1:8" ht="15.75">
      <c r="A16" s="149" t="s">
        <v>152</v>
      </c>
      <c r="B16" s="150">
        <v>180</v>
      </c>
      <c r="C16" s="150">
        <v>322.89</v>
      </c>
      <c r="D16" s="150">
        <v>1627.45</v>
      </c>
      <c r="E16" s="150">
        <v>292941</v>
      </c>
      <c r="F16" s="150">
        <v>234821</v>
      </c>
      <c r="G16" s="151">
        <f t="shared" si="0"/>
        <v>58120</v>
      </c>
      <c r="H16" s="191">
        <f t="shared" ref="H16:H79" si="2">F16/G16</f>
        <v>4.0402787336545076</v>
      </c>
    </row>
    <row r="17" spans="1:8" ht="15.75">
      <c r="A17" s="149" t="s">
        <v>153</v>
      </c>
      <c r="B17" s="150">
        <v>40</v>
      </c>
      <c r="C17" s="150">
        <v>446.04</v>
      </c>
      <c r="D17" s="150">
        <v>1240.9000000000001</v>
      </c>
      <c r="E17" s="150">
        <v>49636</v>
      </c>
      <c r="F17" s="150">
        <v>31794.400000000001</v>
      </c>
      <c r="G17" s="151">
        <f t="shared" si="0"/>
        <v>17841.599999999999</v>
      </c>
      <c r="H17" s="191">
        <f t="shared" si="2"/>
        <v>1.7820374854273162</v>
      </c>
    </row>
    <row r="18" spans="1:8" ht="15.75">
      <c r="A18" s="149" t="s">
        <v>154</v>
      </c>
      <c r="B18" s="150">
        <v>14</v>
      </c>
      <c r="C18" s="150">
        <v>3489.94</v>
      </c>
      <c r="D18" s="150">
        <v>4944.8999999999996</v>
      </c>
      <c r="E18" s="150">
        <v>69228.600000000006</v>
      </c>
      <c r="F18" s="150">
        <v>20369.5</v>
      </c>
      <c r="G18" s="151">
        <f t="shared" si="0"/>
        <v>48859.100000000006</v>
      </c>
      <c r="H18" s="191">
        <f t="shared" si="2"/>
        <v>0.41690289014738291</v>
      </c>
    </row>
    <row r="19" spans="1:8" ht="15.75">
      <c r="A19" s="149" t="s">
        <v>278</v>
      </c>
      <c r="B19" s="150">
        <v>345</v>
      </c>
      <c r="C19" s="150">
        <v>107.29</v>
      </c>
      <c r="D19" s="150">
        <v>102.01</v>
      </c>
      <c r="E19" s="150">
        <v>35193.449999999997</v>
      </c>
      <c r="F19" s="150">
        <v>-1821.6</v>
      </c>
      <c r="G19" s="151">
        <f t="shared" si="0"/>
        <v>37015.049999999996</v>
      </c>
      <c r="H19" s="191">
        <f t="shared" si="2"/>
        <v>-4.9212414950135154E-2</v>
      </c>
    </row>
    <row r="20" spans="1:8" ht="15.75">
      <c r="A20" s="149" t="s">
        <v>155</v>
      </c>
      <c r="B20" s="150">
        <v>180</v>
      </c>
      <c r="C20" s="150">
        <v>155.25</v>
      </c>
      <c r="D20" s="150">
        <v>200.73</v>
      </c>
      <c r="E20" s="150">
        <v>36131.4</v>
      </c>
      <c r="F20" s="150">
        <v>8186.4</v>
      </c>
      <c r="G20" s="151">
        <f t="shared" si="0"/>
        <v>27945</v>
      </c>
      <c r="H20" s="191">
        <f t="shared" si="2"/>
        <v>0.29294685990338165</v>
      </c>
    </row>
    <row r="21" spans="1:8" ht="15.75">
      <c r="A21" s="149" t="s">
        <v>156</v>
      </c>
      <c r="B21" s="150">
        <v>88</v>
      </c>
      <c r="C21" s="150">
        <v>373.58</v>
      </c>
      <c r="D21" s="150">
        <v>480.3</v>
      </c>
      <c r="E21" s="150">
        <v>42266.400000000001</v>
      </c>
      <c r="F21" s="150">
        <v>9391.5499999999993</v>
      </c>
      <c r="G21" s="151">
        <f t="shared" si="0"/>
        <v>32874.850000000006</v>
      </c>
      <c r="H21" s="191">
        <f t="shared" si="2"/>
        <v>0.28567582817868364</v>
      </c>
    </row>
    <row r="22" spans="1:8" ht="15.75">
      <c r="A22" s="149" t="s">
        <v>157</v>
      </c>
      <c r="B22" s="150">
        <v>45</v>
      </c>
      <c r="C22" s="150">
        <v>990.66</v>
      </c>
      <c r="D22" s="150">
        <v>1529.9</v>
      </c>
      <c r="E22" s="150">
        <v>68845.5</v>
      </c>
      <c r="F22" s="150">
        <v>24265.65</v>
      </c>
      <c r="G22" s="151">
        <f t="shared" si="0"/>
        <v>44579.85</v>
      </c>
      <c r="H22" s="191">
        <f t="shared" si="2"/>
        <v>0.54431878976712578</v>
      </c>
    </row>
    <row r="23" spans="1:8" ht="15.75">
      <c r="A23" s="149" t="s">
        <v>158</v>
      </c>
      <c r="B23" s="150">
        <v>470</v>
      </c>
      <c r="C23" s="150">
        <v>194.39</v>
      </c>
      <c r="D23" s="150">
        <v>416.55</v>
      </c>
      <c r="E23" s="150">
        <v>195778.5</v>
      </c>
      <c r="F23" s="150">
        <v>104415</v>
      </c>
      <c r="G23" s="151">
        <f t="shared" si="0"/>
        <v>91363.5</v>
      </c>
      <c r="H23" s="191">
        <f t="shared" si="2"/>
        <v>1.1428524520185852</v>
      </c>
    </row>
    <row r="24" spans="1:8" ht="15.75">
      <c r="A24" s="149" t="s">
        <v>159</v>
      </c>
      <c r="B24" s="150">
        <v>13</v>
      </c>
      <c r="C24" s="150">
        <v>4545.26</v>
      </c>
      <c r="D24" s="150">
        <v>8694.6</v>
      </c>
      <c r="E24" s="150">
        <v>113029.8</v>
      </c>
      <c r="F24" s="150">
        <v>53941.4</v>
      </c>
      <c r="G24" s="151">
        <f t="shared" si="0"/>
        <v>59088.4</v>
      </c>
      <c r="H24" s="191">
        <f t="shared" si="2"/>
        <v>0.91289322438922027</v>
      </c>
    </row>
    <row r="25" spans="1:8" ht="15.75">
      <c r="A25" s="149" t="s">
        <v>160</v>
      </c>
      <c r="B25" s="150">
        <v>21</v>
      </c>
      <c r="C25" s="150">
        <v>1503.03</v>
      </c>
      <c r="D25" s="150">
        <v>2889.8</v>
      </c>
      <c r="E25" s="150">
        <v>60685.8</v>
      </c>
      <c r="F25" s="150">
        <v>29122.1</v>
      </c>
      <c r="G25" s="151">
        <f t="shared" si="0"/>
        <v>31563.700000000004</v>
      </c>
      <c r="H25" s="191">
        <f t="shared" si="2"/>
        <v>0.92264531724734411</v>
      </c>
    </row>
    <row r="26" spans="1:8" ht="15.75">
      <c r="A26" s="149" t="s">
        <v>279</v>
      </c>
      <c r="B26" s="150">
        <v>98</v>
      </c>
      <c r="C26" s="150">
        <v>555.05999999999995</v>
      </c>
      <c r="D26" s="150">
        <v>527.15</v>
      </c>
      <c r="E26" s="150">
        <v>51660.7</v>
      </c>
      <c r="F26" s="150">
        <v>-2735.35</v>
      </c>
      <c r="G26" s="151">
        <f t="shared" si="0"/>
        <v>54396.049999999996</v>
      </c>
      <c r="H26" s="191">
        <f t="shared" si="2"/>
        <v>-5.0285820385855225E-2</v>
      </c>
    </row>
    <row r="27" spans="1:8" ht="15.75">
      <c r="A27" s="149" t="s">
        <v>161</v>
      </c>
      <c r="B27" s="150">
        <v>72</v>
      </c>
      <c r="C27" s="150">
        <v>531.82000000000005</v>
      </c>
      <c r="D27" s="150">
        <v>822.95</v>
      </c>
      <c r="E27" s="150">
        <v>59252.4</v>
      </c>
      <c r="F27" s="150">
        <v>20961.3</v>
      </c>
      <c r="G27" s="151">
        <f t="shared" si="0"/>
        <v>38291.100000000006</v>
      </c>
      <c r="H27" s="191">
        <f t="shared" si="2"/>
        <v>0.54741963537218818</v>
      </c>
    </row>
    <row r="28" spans="1:8" ht="15.75">
      <c r="A28" s="149" t="s">
        <v>162</v>
      </c>
      <c r="B28" s="150">
        <v>14</v>
      </c>
      <c r="C28" s="150">
        <v>3289.33</v>
      </c>
      <c r="D28" s="150">
        <v>3709.6</v>
      </c>
      <c r="E28" s="150">
        <v>51934.400000000001</v>
      </c>
      <c r="F28" s="150">
        <v>5883.85</v>
      </c>
      <c r="G28" s="151">
        <f t="shared" si="0"/>
        <v>46050.55</v>
      </c>
      <c r="H28" s="191">
        <f t="shared" si="2"/>
        <v>0.12776937517575795</v>
      </c>
    </row>
    <row r="29" spans="1:8" ht="15.75">
      <c r="A29" s="149" t="s">
        <v>163</v>
      </c>
      <c r="B29" s="150">
        <v>60</v>
      </c>
      <c r="C29" s="150">
        <v>992.6</v>
      </c>
      <c r="D29" s="150">
        <v>1202.3499999999999</v>
      </c>
      <c r="E29" s="150">
        <v>72141</v>
      </c>
      <c r="F29" s="150">
        <v>12585.05</v>
      </c>
      <c r="G29" s="151">
        <f t="shared" si="0"/>
        <v>59555.95</v>
      </c>
      <c r="H29" s="191">
        <f t="shared" si="2"/>
        <v>0.21131473849380289</v>
      </c>
    </row>
    <row r="30" spans="1:8" ht="15.75">
      <c r="A30" s="149" t="s">
        <v>164</v>
      </c>
      <c r="B30" s="150">
        <v>11</v>
      </c>
      <c r="C30" s="150">
        <v>3144.55</v>
      </c>
      <c r="D30" s="150">
        <v>4829.2</v>
      </c>
      <c r="E30" s="150">
        <v>53121.2</v>
      </c>
      <c r="F30" s="150">
        <v>18531.2</v>
      </c>
      <c r="G30" s="151">
        <f t="shared" si="0"/>
        <v>34590</v>
      </c>
      <c r="H30" s="191">
        <f t="shared" si="2"/>
        <v>0.53573865278982369</v>
      </c>
    </row>
    <row r="31" spans="1:8" ht="15.75">
      <c r="A31" s="149" t="s">
        <v>270</v>
      </c>
      <c r="B31" s="150">
        <v>92</v>
      </c>
      <c r="C31" s="150">
        <v>359.33</v>
      </c>
      <c r="D31" s="150">
        <v>371.72</v>
      </c>
      <c r="E31" s="150">
        <v>34198.239999999998</v>
      </c>
      <c r="F31" s="150">
        <v>1139.96</v>
      </c>
      <c r="G31" s="151">
        <f t="shared" si="0"/>
        <v>33058.28</v>
      </c>
      <c r="H31" s="191">
        <f t="shared" si="2"/>
        <v>3.4483342751044518E-2</v>
      </c>
    </row>
    <row r="32" spans="1:8" ht="15.75">
      <c r="A32" s="149" t="s">
        <v>166</v>
      </c>
      <c r="B32" s="150">
        <v>16</v>
      </c>
      <c r="C32" s="150">
        <v>1304.44</v>
      </c>
      <c r="D32" s="150">
        <v>2348.1</v>
      </c>
      <c r="E32" s="150">
        <v>37569.599999999999</v>
      </c>
      <c r="F32" s="150">
        <v>16698.55</v>
      </c>
      <c r="G32" s="151">
        <f t="shared" si="0"/>
        <v>20871.05</v>
      </c>
      <c r="H32" s="191">
        <f t="shared" si="2"/>
        <v>0.80008193167090302</v>
      </c>
    </row>
    <row r="33" spans="1:8" ht="15.75">
      <c r="A33" s="149" t="s">
        <v>168</v>
      </c>
      <c r="B33" s="150">
        <v>50</v>
      </c>
      <c r="C33" s="150">
        <v>671.81</v>
      </c>
      <c r="D33" s="150">
        <v>1441.4</v>
      </c>
      <c r="E33" s="150">
        <v>72070</v>
      </c>
      <c r="F33" s="150">
        <v>38479.5</v>
      </c>
      <c r="G33" s="151">
        <f t="shared" si="0"/>
        <v>33590.5</v>
      </c>
      <c r="H33" s="191">
        <f t="shared" si="2"/>
        <v>1.1455471040919307</v>
      </c>
    </row>
    <row r="34" spans="1:8" ht="15.75">
      <c r="A34" s="149" t="s">
        <v>169</v>
      </c>
      <c r="B34" s="150">
        <v>209</v>
      </c>
      <c r="C34" s="150">
        <v>174.63</v>
      </c>
      <c r="D34" s="150">
        <v>452.65</v>
      </c>
      <c r="E34" s="150">
        <v>94603.85</v>
      </c>
      <c r="F34" s="150">
        <v>58107.1</v>
      </c>
      <c r="G34" s="151">
        <f t="shared" si="0"/>
        <v>36496.750000000007</v>
      </c>
      <c r="H34" s="191">
        <f t="shared" si="2"/>
        <v>1.5921171063176855</v>
      </c>
    </row>
    <row r="35" spans="1:8" ht="15.75">
      <c r="A35" s="149" t="s">
        <v>170</v>
      </c>
      <c r="B35" s="150">
        <v>323</v>
      </c>
      <c r="C35" s="150">
        <v>83.87</v>
      </c>
      <c r="D35" s="150">
        <v>210.78</v>
      </c>
      <c r="E35" s="150">
        <v>68081.94</v>
      </c>
      <c r="F35" s="150">
        <v>40990.94</v>
      </c>
      <c r="G35" s="151">
        <f t="shared" si="0"/>
        <v>27091</v>
      </c>
      <c r="H35" s="191">
        <f t="shared" si="2"/>
        <v>1.5130833118009672</v>
      </c>
    </row>
    <row r="36" spans="1:8" ht="15.75">
      <c r="A36" s="149" t="s">
        <v>280</v>
      </c>
      <c r="B36" s="150">
        <v>217</v>
      </c>
      <c r="C36" s="150">
        <v>379.33</v>
      </c>
      <c r="D36" s="150">
        <v>342.8</v>
      </c>
      <c r="E36" s="150">
        <v>74387.600000000006</v>
      </c>
      <c r="F36" s="150">
        <v>-7926.9</v>
      </c>
      <c r="G36" s="151">
        <f t="shared" si="0"/>
        <v>82314.5</v>
      </c>
      <c r="H36" s="191">
        <f t="shared" si="2"/>
        <v>-9.6300165827405859E-2</v>
      </c>
    </row>
    <row r="37" spans="1:8" ht="15.75">
      <c r="A37" s="149" t="s">
        <v>172</v>
      </c>
      <c r="B37" s="150">
        <v>18</v>
      </c>
      <c r="C37" s="150">
        <v>1556.41</v>
      </c>
      <c r="D37" s="150">
        <v>2777.45</v>
      </c>
      <c r="E37" s="150">
        <v>49994.1</v>
      </c>
      <c r="F37" s="150">
        <v>21978.75</v>
      </c>
      <c r="G37" s="151">
        <f t="shared" si="0"/>
        <v>28015.35</v>
      </c>
      <c r="H37" s="191">
        <f t="shared" si="2"/>
        <v>0.78452526918278731</v>
      </c>
    </row>
    <row r="38" spans="1:8" ht="15.75">
      <c r="A38" s="149" t="s">
        <v>281</v>
      </c>
      <c r="B38" s="150">
        <v>85</v>
      </c>
      <c r="C38" s="150">
        <v>313.68</v>
      </c>
      <c r="D38" s="150">
        <v>586.85</v>
      </c>
      <c r="E38" s="150">
        <v>49882.25</v>
      </c>
      <c r="F38" s="150">
        <v>23219.200000000001</v>
      </c>
      <c r="G38" s="151">
        <f t="shared" si="0"/>
        <v>26663.05</v>
      </c>
      <c r="H38" s="191">
        <f t="shared" si="2"/>
        <v>0.87083810741831869</v>
      </c>
    </row>
    <row r="39" spans="1:8" ht="15.75">
      <c r="A39" s="149" t="s">
        <v>174</v>
      </c>
      <c r="B39" s="150">
        <v>67</v>
      </c>
      <c r="C39" s="150">
        <v>1067.9000000000001</v>
      </c>
      <c r="D39" s="150">
        <v>1850.6</v>
      </c>
      <c r="E39" s="150">
        <v>123990.2</v>
      </c>
      <c r="F39" s="150">
        <v>52441.2</v>
      </c>
      <c r="G39" s="151">
        <f t="shared" si="0"/>
        <v>71549</v>
      </c>
      <c r="H39" s="191">
        <f t="shared" si="2"/>
        <v>0.73294106137052928</v>
      </c>
    </row>
    <row r="40" spans="1:8" ht="15.75">
      <c r="A40" s="149" t="s">
        <v>175</v>
      </c>
      <c r="B40" s="150">
        <v>34</v>
      </c>
      <c r="C40" s="150">
        <v>1623.57</v>
      </c>
      <c r="D40" s="150">
        <v>1797.65</v>
      </c>
      <c r="E40" s="150">
        <v>61120.1</v>
      </c>
      <c r="F40" s="150">
        <v>5918.6</v>
      </c>
      <c r="G40" s="151">
        <f t="shared" si="0"/>
        <v>55201.5</v>
      </c>
      <c r="H40" s="191">
        <f t="shared" si="2"/>
        <v>0.10721810095740153</v>
      </c>
    </row>
    <row r="41" spans="1:8" ht="15.75">
      <c r="A41" s="149" t="s">
        <v>176</v>
      </c>
      <c r="B41" s="150">
        <v>123</v>
      </c>
      <c r="C41" s="150">
        <v>593.58000000000004</v>
      </c>
      <c r="D41" s="150">
        <v>657.75</v>
      </c>
      <c r="E41" s="150">
        <v>80903.25</v>
      </c>
      <c r="F41" s="150">
        <v>7893.5</v>
      </c>
      <c r="G41" s="151">
        <f t="shared" si="0"/>
        <v>73009.75</v>
      </c>
      <c r="H41" s="191">
        <f t="shared" si="2"/>
        <v>0.10811569687610216</v>
      </c>
    </row>
    <row r="42" spans="1:8" ht="15.75">
      <c r="A42" s="149" t="s">
        <v>177</v>
      </c>
      <c r="B42" s="150">
        <v>10</v>
      </c>
      <c r="C42" s="150">
        <v>2735.04</v>
      </c>
      <c r="D42" s="150">
        <v>4761.7</v>
      </c>
      <c r="E42" s="150">
        <v>47617</v>
      </c>
      <c r="F42" s="150">
        <v>20266.599999999999</v>
      </c>
      <c r="G42" s="151">
        <f t="shared" si="0"/>
        <v>27350.400000000001</v>
      </c>
      <c r="H42" s="191">
        <f t="shared" si="2"/>
        <v>0.74099830349830342</v>
      </c>
    </row>
    <row r="43" spans="1:8" ht="15.75">
      <c r="A43" s="149" t="s">
        <v>282</v>
      </c>
      <c r="B43" s="150">
        <v>28</v>
      </c>
      <c r="C43" s="150">
        <v>2303.96</v>
      </c>
      <c r="D43" s="150">
        <v>2496.25</v>
      </c>
      <c r="E43" s="150">
        <v>69895</v>
      </c>
      <c r="F43" s="150">
        <v>5384.2</v>
      </c>
      <c r="G43" s="151">
        <f t="shared" si="0"/>
        <v>64510.8</v>
      </c>
      <c r="H43" s="191">
        <f t="shared" si="2"/>
        <v>8.3461993960701142E-2</v>
      </c>
    </row>
    <row r="44" spans="1:8" ht="15.75">
      <c r="A44" s="149" t="s">
        <v>178</v>
      </c>
      <c r="B44" s="150">
        <v>73</v>
      </c>
      <c r="C44" s="150">
        <v>589.26</v>
      </c>
      <c r="D44" s="150">
        <v>1300.6500000000001</v>
      </c>
      <c r="E44" s="150">
        <v>94947.45</v>
      </c>
      <c r="F44" s="150">
        <v>51931.8</v>
      </c>
      <c r="G44" s="151">
        <f t="shared" si="0"/>
        <v>43015.649999999994</v>
      </c>
      <c r="H44" s="191">
        <f t="shared" si="2"/>
        <v>1.2072768864355186</v>
      </c>
    </row>
    <row r="45" spans="1:8" ht="15.75">
      <c r="A45" s="149" t="s">
        <v>179</v>
      </c>
      <c r="B45" s="150">
        <v>54</v>
      </c>
      <c r="C45" s="150">
        <v>1308.5899999999999</v>
      </c>
      <c r="D45" s="150">
        <v>1867.75</v>
      </c>
      <c r="E45" s="150">
        <v>100858.5</v>
      </c>
      <c r="F45" s="150">
        <v>30194.400000000001</v>
      </c>
      <c r="G45" s="151">
        <f t="shared" si="0"/>
        <v>70664.100000000006</v>
      </c>
      <c r="H45" s="191">
        <f t="shared" si="2"/>
        <v>0.42729476495136848</v>
      </c>
    </row>
    <row r="46" spans="1:8" ht="15.75">
      <c r="A46" s="149" t="s">
        <v>180</v>
      </c>
      <c r="B46" s="150">
        <v>107</v>
      </c>
      <c r="C46" s="150">
        <v>472.02</v>
      </c>
      <c r="D46" s="150">
        <v>699.65</v>
      </c>
      <c r="E46" s="150">
        <v>74862.55</v>
      </c>
      <c r="F46" s="150">
        <v>24356.65</v>
      </c>
      <c r="G46" s="151">
        <f t="shared" si="0"/>
        <v>50505.9</v>
      </c>
      <c r="H46" s="191">
        <f t="shared" si="2"/>
        <v>0.48225355849514612</v>
      </c>
    </row>
    <row r="47" spans="1:8" ht="15.75">
      <c r="A47" s="149" t="s">
        <v>284</v>
      </c>
      <c r="B47" s="150">
        <v>35</v>
      </c>
      <c r="C47" s="150">
        <v>917.94</v>
      </c>
      <c r="D47" s="150">
        <v>996.4</v>
      </c>
      <c r="E47" s="150">
        <v>34874</v>
      </c>
      <c r="F47" s="150">
        <v>2746.1</v>
      </c>
      <c r="G47" s="151">
        <f t="shared" si="0"/>
        <v>32127.9</v>
      </c>
      <c r="H47" s="191">
        <f t="shared" si="2"/>
        <v>8.547399612175087E-2</v>
      </c>
    </row>
    <row r="48" spans="1:8" ht="15.75">
      <c r="A48" s="149" t="s">
        <v>181</v>
      </c>
      <c r="B48" s="150">
        <v>57</v>
      </c>
      <c r="C48" s="150">
        <v>1521.67</v>
      </c>
      <c r="D48" s="150">
        <v>1858.45</v>
      </c>
      <c r="E48" s="150">
        <v>105931.65</v>
      </c>
      <c r="F48" s="150">
        <v>19196.25</v>
      </c>
      <c r="G48" s="151">
        <f t="shared" si="0"/>
        <v>86735.4</v>
      </c>
      <c r="H48" s="191">
        <f t="shared" si="2"/>
        <v>0.22131966878575532</v>
      </c>
    </row>
    <row r="49" spans="1:8" ht="15.75">
      <c r="A49" s="149" t="s">
        <v>182</v>
      </c>
      <c r="B49" s="150">
        <v>759</v>
      </c>
      <c r="C49" s="150">
        <v>229.74</v>
      </c>
      <c r="D49" s="150">
        <v>477.05</v>
      </c>
      <c r="E49" s="150">
        <v>362080.95</v>
      </c>
      <c r="F49" s="150">
        <v>187705.4</v>
      </c>
      <c r="G49" s="151">
        <f t="shared" si="0"/>
        <v>174375.55000000002</v>
      </c>
      <c r="H49" s="191">
        <f t="shared" si="2"/>
        <v>1.0764433431177707</v>
      </c>
    </row>
    <row r="50" spans="1:8" ht="15.75">
      <c r="A50" s="149" t="s">
        <v>183</v>
      </c>
      <c r="B50" s="150">
        <v>35</v>
      </c>
      <c r="C50" s="150">
        <v>858.14</v>
      </c>
      <c r="D50" s="150">
        <v>1735.3</v>
      </c>
      <c r="E50" s="150">
        <v>60735.5</v>
      </c>
      <c r="F50" s="150">
        <v>30700.7</v>
      </c>
      <c r="G50" s="151">
        <f t="shared" si="0"/>
        <v>30034.799999999999</v>
      </c>
      <c r="H50" s="191">
        <f t="shared" si="2"/>
        <v>1.0221709483665615</v>
      </c>
    </row>
    <row r="51" spans="1:8" ht="15.75">
      <c r="A51" s="149" t="s">
        <v>184</v>
      </c>
      <c r="B51" s="150">
        <v>329</v>
      </c>
      <c r="C51" s="150">
        <v>121.11</v>
      </c>
      <c r="D51" s="150">
        <v>236.15</v>
      </c>
      <c r="E51" s="150">
        <v>77693.350000000006</v>
      </c>
      <c r="F51" s="150">
        <v>37848.6</v>
      </c>
      <c r="G51" s="151">
        <f t="shared" si="0"/>
        <v>39844.750000000007</v>
      </c>
      <c r="H51" s="191">
        <f t="shared" si="2"/>
        <v>0.94990180638603561</v>
      </c>
    </row>
    <row r="52" spans="1:8" ht="15.75">
      <c r="A52" s="149" t="s">
        <v>185</v>
      </c>
      <c r="B52" s="150">
        <v>55</v>
      </c>
      <c r="C52" s="150">
        <v>1723.54</v>
      </c>
      <c r="D52" s="150">
        <v>1766.8</v>
      </c>
      <c r="E52" s="150">
        <v>97174</v>
      </c>
      <c r="F52" s="150">
        <v>2379.0500000000002</v>
      </c>
      <c r="G52" s="151">
        <f t="shared" si="0"/>
        <v>94794.95</v>
      </c>
      <c r="H52" s="191">
        <f t="shared" si="2"/>
        <v>2.509680104267158E-2</v>
      </c>
    </row>
    <row r="53" spans="1:8" ht="15.75">
      <c r="A53" s="149" t="s">
        <v>186</v>
      </c>
      <c r="B53" s="150">
        <v>67</v>
      </c>
      <c r="C53" s="150">
        <v>676.11</v>
      </c>
      <c r="D53" s="150">
        <v>1369.05</v>
      </c>
      <c r="E53" s="150">
        <v>91726.35</v>
      </c>
      <c r="F53" s="150">
        <v>46426.95</v>
      </c>
      <c r="G53" s="151">
        <f t="shared" si="0"/>
        <v>45299.400000000009</v>
      </c>
      <c r="H53" s="191">
        <f t="shared" si="2"/>
        <v>1.0248910581597104</v>
      </c>
    </row>
    <row r="54" spans="1:8" ht="15.75">
      <c r="A54" s="149" t="s">
        <v>187</v>
      </c>
      <c r="B54" s="150">
        <v>20</v>
      </c>
      <c r="C54" s="150">
        <v>2295.38</v>
      </c>
      <c r="D54" s="150">
        <v>2998.4</v>
      </c>
      <c r="E54" s="150">
        <v>59968</v>
      </c>
      <c r="F54" s="150">
        <v>14060.4</v>
      </c>
      <c r="G54" s="151">
        <f t="shared" si="0"/>
        <v>45907.6</v>
      </c>
      <c r="H54" s="191">
        <f t="shared" si="2"/>
        <v>0.30627608500553283</v>
      </c>
    </row>
    <row r="55" spans="1:8" ht="15.75">
      <c r="A55" s="149" t="s">
        <v>188</v>
      </c>
      <c r="B55" s="150">
        <v>62</v>
      </c>
      <c r="C55" s="150">
        <v>1053.22</v>
      </c>
      <c r="D55" s="150">
        <v>3725.9</v>
      </c>
      <c r="E55" s="150">
        <v>231005.8</v>
      </c>
      <c r="F55" s="150">
        <v>165706.45000000001</v>
      </c>
      <c r="G55" s="151">
        <f t="shared" si="0"/>
        <v>65299.349999999977</v>
      </c>
      <c r="H55" s="191">
        <f t="shared" si="2"/>
        <v>2.5376431771526069</v>
      </c>
    </row>
    <row r="56" spans="1:8" ht="15.75">
      <c r="A56" s="149" t="s">
        <v>286</v>
      </c>
      <c r="B56" s="150">
        <v>25</v>
      </c>
      <c r="C56" s="150">
        <v>4933.3100000000004</v>
      </c>
      <c r="D56" s="150">
        <v>6168.45</v>
      </c>
      <c r="E56" s="150">
        <v>154211.25</v>
      </c>
      <c r="F56" s="150">
        <v>30878.42</v>
      </c>
      <c r="G56" s="151">
        <f t="shared" si="0"/>
        <v>123332.83</v>
      </c>
      <c r="H56" s="191">
        <f t="shared" si="2"/>
        <v>0.25036658933391859</v>
      </c>
    </row>
    <row r="57" spans="1:8" ht="15.75">
      <c r="A57" s="149" t="s">
        <v>287</v>
      </c>
      <c r="B57" s="150">
        <v>26</v>
      </c>
      <c r="C57" s="150">
        <v>2259</v>
      </c>
      <c r="D57" s="150">
        <v>2050.75</v>
      </c>
      <c r="E57" s="150">
        <v>53319.5</v>
      </c>
      <c r="F57" s="150">
        <v>-5414.5</v>
      </c>
      <c r="G57" s="151">
        <f t="shared" si="0"/>
        <v>58734</v>
      </c>
      <c r="H57" s="191">
        <f t="shared" si="2"/>
        <v>-9.2186808322266486E-2</v>
      </c>
    </row>
    <row r="58" spans="1:8" ht="15.75">
      <c r="A58" s="149" t="s">
        <v>189</v>
      </c>
      <c r="B58" s="150">
        <v>15</v>
      </c>
      <c r="C58" s="150">
        <v>1077.04</v>
      </c>
      <c r="D58" s="150">
        <v>2968.95</v>
      </c>
      <c r="E58" s="150">
        <v>44534.25</v>
      </c>
      <c r="F58" s="150">
        <v>28378.7</v>
      </c>
      <c r="G58" s="151">
        <f t="shared" si="0"/>
        <v>16155.55</v>
      </c>
      <c r="H58" s="191">
        <f t="shared" si="2"/>
        <v>1.7565913880988269</v>
      </c>
    </row>
    <row r="59" spans="1:8" ht="15.75">
      <c r="A59" s="149" t="s">
        <v>190</v>
      </c>
      <c r="B59" s="150">
        <v>28</v>
      </c>
      <c r="C59" s="150">
        <v>2226.31</v>
      </c>
      <c r="D59" s="150">
        <v>2562.25</v>
      </c>
      <c r="E59" s="150">
        <v>71743</v>
      </c>
      <c r="F59" s="150">
        <v>9406.2999999999993</v>
      </c>
      <c r="G59" s="151">
        <f t="shared" si="0"/>
        <v>62336.7</v>
      </c>
      <c r="H59" s="191">
        <f t="shared" si="2"/>
        <v>0.15089505860913394</v>
      </c>
    </row>
    <row r="60" spans="1:8" ht="15.75">
      <c r="A60" s="149" t="s">
        <v>191</v>
      </c>
      <c r="B60" s="150">
        <v>114</v>
      </c>
      <c r="C60" s="150">
        <v>490.12</v>
      </c>
      <c r="D60" s="150">
        <v>645.15</v>
      </c>
      <c r="E60" s="150">
        <v>73547.100000000006</v>
      </c>
      <c r="F60" s="150">
        <v>17673.45</v>
      </c>
      <c r="G60" s="151">
        <f t="shared" si="0"/>
        <v>55873.650000000009</v>
      </c>
      <c r="H60" s="191">
        <f t="shared" si="2"/>
        <v>0.31631099811807528</v>
      </c>
    </row>
    <row r="61" spans="1:8" ht="15.75">
      <c r="A61" s="149" t="s">
        <v>192</v>
      </c>
      <c r="B61" s="150">
        <v>73</v>
      </c>
      <c r="C61" s="150">
        <v>735.56</v>
      </c>
      <c r="D61" s="150">
        <v>1133.95</v>
      </c>
      <c r="E61" s="150">
        <v>82778.350000000006</v>
      </c>
      <c r="F61" s="150">
        <v>29082.2</v>
      </c>
      <c r="G61" s="151">
        <f t="shared" si="0"/>
        <v>53696.150000000009</v>
      </c>
      <c r="H61" s="191">
        <f t="shared" si="2"/>
        <v>0.54160680048755816</v>
      </c>
    </row>
    <row r="62" spans="1:8" ht="15.75">
      <c r="A62" s="149" t="s">
        <v>265</v>
      </c>
      <c r="B62" s="150">
        <v>75</v>
      </c>
      <c r="C62" s="150">
        <v>337.52</v>
      </c>
      <c r="D62" s="150">
        <v>368.69</v>
      </c>
      <c r="E62" s="150">
        <v>27651.75</v>
      </c>
      <c r="F62" s="150">
        <v>2337.58</v>
      </c>
      <c r="G62" s="151">
        <f t="shared" si="0"/>
        <v>25314.17</v>
      </c>
      <c r="H62" s="191">
        <f t="shared" si="2"/>
        <v>9.2342747164927783E-2</v>
      </c>
    </row>
    <row r="63" spans="1:8" ht="15.75">
      <c r="A63" s="149" t="s">
        <v>194</v>
      </c>
      <c r="B63" s="150">
        <v>255</v>
      </c>
      <c r="C63" s="150">
        <v>99.4</v>
      </c>
      <c r="D63" s="150">
        <v>162.46</v>
      </c>
      <c r="E63" s="150">
        <v>41427.300000000003</v>
      </c>
      <c r="F63" s="150">
        <v>16079.8</v>
      </c>
      <c r="G63" s="151">
        <f t="shared" si="0"/>
        <v>25347.500000000004</v>
      </c>
      <c r="H63" s="191">
        <f t="shared" si="2"/>
        <v>0.63437419863891886</v>
      </c>
    </row>
    <row r="64" spans="1:8" ht="15.75">
      <c r="A64" s="149" t="s">
        <v>195</v>
      </c>
      <c r="B64" s="150">
        <v>37</v>
      </c>
      <c r="C64" s="150">
        <v>2300.56</v>
      </c>
      <c r="D64" s="150">
        <v>2965.4</v>
      </c>
      <c r="E64" s="150">
        <v>109719.8</v>
      </c>
      <c r="F64" s="150">
        <v>24599.05</v>
      </c>
      <c r="G64" s="151">
        <f t="shared" si="0"/>
        <v>85120.75</v>
      </c>
      <c r="H64" s="191">
        <f t="shared" si="2"/>
        <v>0.28899005236678482</v>
      </c>
    </row>
    <row r="65" spans="1:8" ht="15.75">
      <c r="A65" s="149" t="s">
        <v>196</v>
      </c>
      <c r="B65" s="150">
        <v>21</v>
      </c>
      <c r="C65" s="150">
        <v>2605.84</v>
      </c>
      <c r="D65" s="150">
        <v>2237</v>
      </c>
      <c r="E65" s="150">
        <v>46977</v>
      </c>
      <c r="F65" s="150">
        <v>-7745.6</v>
      </c>
      <c r="G65" s="151">
        <f t="shared" si="0"/>
        <v>54722.6</v>
      </c>
      <c r="H65" s="191">
        <f t="shared" si="2"/>
        <v>-0.14154298224134088</v>
      </c>
    </row>
    <row r="66" spans="1:8" ht="15.75">
      <c r="A66" s="149" t="s">
        <v>197</v>
      </c>
      <c r="B66" s="150">
        <v>145</v>
      </c>
      <c r="C66" s="150">
        <v>127.63</v>
      </c>
      <c r="D66" s="150">
        <v>144.16999999999999</v>
      </c>
      <c r="E66" s="150">
        <v>20904.650000000001</v>
      </c>
      <c r="F66" s="150">
        <v>2398.5500000000002</v>
      </c>
      <c r="G66" s="151">
        <f t="shared" ref="G66:G97" si="3">E66-F66</f>
        <v>18506.100000000002</v>
      </c>
      <c r="H66" s="191">
        <f t="shared" si="2"/>
        <v>0.12960861553757949</v>
      </c>
    </row>
    <row r="67" spans="1:8" ht="15.75">
      <c r="A67" s="149" t="s">
        <v>198</v>
      </c>
      <c r="B67" s="150">
        <v>88</v>
      </c>
      <c r="C67" s="150">
        <v>582.44000000000005</v>
      </c>
      <c r="D67" s="150">
        <v>2007.35</v>
      </c>
      <c r="E67" s="150">
        <v>176646.8</v>
      </c>
      <c r="F67" s="150">
        <v>125391.75</v>
      </c>
      <c r="G67" s="151">
        <f t="shared" si="3"/>
        <v>51255.049999999988</v>
      </c>
      <c r="H67" s="191">
        <f t="shared" si="2"/>
        <v>2.4464272300973278</v>
      </c>
    </row>
    <row r="68" spans="1:8" ht="15.75">
      <c r="A68" s="149" t="s">
        <v>199</v>
      </c>
      <c r="B68" s="150">
        <v>12</v>
      </c>
      <c r="C68" s="150">
        <v>4216.4799999999996</v>
      </c>
      <c r="D68" s="150">
        <v>11696.45</v>
      </c>
      <c r="E68" s="150">
        <v>140357.4</v>
      </c>
      <c r="F68" s="150">
        <v>89759.7</v>
      </c>
      <c r="G68" s="151">
        <f t="shared" si="3"/>
        <v>50597.7</v>
      </c>
      <c r="H68" s="191">
        <f t="shared" si="2"/>
        <v>1.7739877504313437</v>
      </c>
    </row>
    <row r="69" spans="1:8" ht="15.75">
      <c r="A69" s="149" t="s">
        <v>200</v>
      </c>
      <c r="B69" s="150">
        <v>300</v>
      </c>
      <c r="C69" s="150">
        <v>82.33</v>
      </c>
      <c r="D69" s="150">
        <v>256.75</v>
      </c>
      <c r="E69" s="150">
        <v>77025</v>
      </c>
      <c r="F69" s="150">
        <v>52325</v>
      </c>
      <c r="G69" s="151">
        <f t="shared" si="3"/>
        <v>24700</v>
      </c>
      <c r="H69" s="191">
        <f t="shared" si="2"/>
        <v>2.1184210526315788</v>
      </c>
    </row>
    <row r="70" spans="1:8" ht="15.75">
      <c r="A70" s="149" t="s">
        <v>201</v>
      </c>
      <c r="B70" s="150">
        <v>20</v>
      </c>
      <c r="C70" s="150">
        <v>2053.08</v>
      </c>
      <c r="D70" s="150">
        <v>5898.95</v>
      </c>
      <c r="E70" s="150">
        <v>117979</v>
      </c>
      <c r="F70" s="150">
        <v>76917.350000000006</v>
      </c>
      <c r="G70" s="151">
        <f t="shared" si="3"/>
        <v>41061.649999999994</v>
      </c>
      <c r="H70" s="191">
        <f t="shared" si="2"/>
        <v>1.8732162492252507</v>
      </c>
    </row>
    <row r="71" spans="1:8" ht="15.75">
      <c r="A71" s="149" t="s">
        <v>202</v>
      </c>
      <c r="B71" s="150">
        <v>44</v>
      </c>
      <c r="C71" s="150">
        <v>684.86</v>
      </c>
      <c r="D71" s="150">
        <v>1656.25</v>
      </c>
      <c r="E71" s="150">
        <v>72875</v>
      </c>
      <c r="F71" s="150">
        <v>42741.3</v>
      </c>
      <c r="G71" s="151">
        <f t="shared" si="3"/>
        <v>30133.699999999997</v>
      </c>
      <c r="H71" s="191">
        <f t="shared" si="2"/>
        <v>1.4183887142966183</v>
      </c>
    </row>
    <row r="72" spans="1:8" ht="15.75">
      <c r="A72" s="149" t="s">
        <v>203</v>
      </c>
      <c r="B72" s="150">
        <v>30</v>
      </c>
      <c r="C72" s="150">
        <v>2499.15</v>
      </c>
      <c r="D72" s="150">
        <v>3066.2</v>
      </c>
      <c r="E72" s="150">
        <v>91986</v>
      </c>
      <c r="F72" s="150">
        <v>17011.650000000001</v>
      </c>
      <c r="G72" s="151">
        <f t="shared" si="3"/>
        <v>74974.350000000006</v>
      </c>
      <c r="H72" s="191">
        <f t="shared" si="2"/>
        <v>0.22689959966308479</v>
      </c>
    </row>
    <row r="73" spans="1:8" ht="15.75">
      <c r="A73" s="149" t="s">
        <v>288</v>
      </c>
      <c r="B73" s="150">
        <v>47</v>
      </c>
      <c r="C73" s="150">
        <v>1828.05</v>
      </c>
      <c r="D73" s="150">
        <v>1894.15</v>
      </c>
      <c r="E73" s="150">
        <v>89025.05</v>
      </c>
      <c r="F73" s="150">
        <v>3106.7</v>
      </c>
      <c r="G73" s="151">
        <f t="shared" si="3"/>
        <v>85918.35</v>
      </c>
      <c r="H73" s="191">
        <f t="shared" si="2"/>
        <v>3.6158748393096463E-2</v>
      </c>
    </row>
    <row r="74" spans="1:8" ht="15.75">
      <c r="A74" s="149" t="s">
        <v>204</v>
      </c>
      <c r="B74" s="150">
        <v>24</v>
      </c>
      <c r="C74" s="150">
        <v>625.94000000000005</v>
      </c>
      <c r="D74" s="150">
        <v>1650.55</v>
      </c>
      <c r="E74" s="150">
        <v>39613.199999999997</v>
      </c>
      <c r="F74" s="150">
        <v>24590.7</v>
      </c>
      <c r="G74" s="151">
        <f t="shared" si="3"/>
        <v>15022.499999999996</v>
      </c>
      <c r="H74" s="191">
        <f t="shared" si="2"/>
        <v>1.6369246130803798</v>
      </c>
    </row>
    <row r="75" spans="1:8" ht="15.75">
      <c r="A75" s="149" t="s">
        <v>299</v>
      </c>
      <c r="B75" s="150">
        <v>49</v>
      </c>
      <c r="C75" s="150">
        <v>952.78</v>
      </c>
      <c r="D75" s="150">
        <v>670</v>
      </c>
      <c r="E75" s="150">
        <v>32830</v>
      </c>
      <c r="F75" s="150">
        <v>-13856.15</v>
      </c>
      <c r="G75" s="151">
        <f t="shared" si="3"/>
        <v>46686.15</v>
      </c>
      <c r="H75" s="191">
        <f t="shared" si="2"/>
        <v>-0.29679358867672745</v>
      </c>
    </row>
    <row r="76" spans="1:8" ht="15.75">
      <c r="A76" s="149" t="s">
        <v>206</v>
      </c>
      <c r="B76" s="150">
        <v>54</v>
      </c>
      <c r="C76" s="150">
        <v>1278.8599999999999</v>
      </c>
      <c r="D76" s="150">
        <v>1437.75</v>
      </c>
      <c r="E76" s="150">
        <v>77638.5</v>
      </c>
      <c r="F76" s="150">
        <v>8580.2000000000007</v>
      </c>
      <c r="G76" s="151">
        <f t="shared" si="3"/>
        <v>69058.3</v>
      </c>
      <c r="H76" s="191">
        <f t="shared" si="2"/>
        <v>0.12424574598563823</v>
      </c>
    </row>
    <row r="77" spans="1:8" ht="15.75">
      <c r="A77" s="149" t="s">
        <v>207</v>
      </c>
      <c r="B77" s="150">
        <v>72</v>
      </c>
      <c r="C77" s="150">
        <v>355.35</v>
      </c>
      <c r="D77" s="150">
        <v>838.35</v>
      </c>
      <c r="E77" s="150">
        <v>60361.2</v>
      </c>
      <c r="F77" s="150">
        <v>34775.949999999997</v>
      </c>
      <c r="G77" s="151">
        <f t="shared" si="3"/>
        <v>25585.25</v>
      </c>
      <c r="H77" s="191">
        <f t="shared" si="2"/>
        <v>1.3592186904564152</v>
      </c>
    </row>
    <row r="78" spans="1:8" ht="15.75">
      <c r="A78" s="149" t="s">
        <v>262</v>
      </c>
      <c r="B78" s="150">
        <v>10</v>
      </c>
      <c r="C78" s="150">
        <v>5284</v>
      </c>
      <c r="D78" s="150">
        <v>8061.4</v>
      </c>
      <c r="E78" s="150">
        <v>80614</v>
      </c>
      <c r="F78" s="150">
        <v>27774</v>
      </c>
      <c r="G78" s="151">
        <f t="shared" si="3"/>
        <v>52840</v>
      </c>
      <c r="H78" s="191">
        <f t="shared" si="2"/>
        <v>0.52562452687358063</v>
      </c>
    </row>
    <row r="79" spans="1:8" ht="15.75">
      <c r="A79" s="149" t="s">
        <v>209</v>
      </c>
      <c r="B79" s="150">
        <v>5</v>
      </c>
      <c r="C79" s="150">
        <v>4802</v>
      </c>
      <c r="D79" s="150">
        <v>8098.95</v>
      </c>
      <c r="E79" s="150">
        <v>40494.75</v>
      </c>
      <c r="F79" s="150">
        <v>16484.75</v>
      </c>
      <c r="G79" s="151">
        <f t="shared" si="3"/>
        <v>24010</v>
      </c>
      <c r="H79" s="191">
        <f t="shared" si="2"/>
        <v>0.68657850895460226</v>
      </c>
    </row>
    <row r="80" spans="1:8" ht="15.75">
      <c r="A80" s="149" t="s">
        <v>210</v>
      </c>
      <c r="B80" s="150">
        <v>10</v>
      </c>
      <c r="C80" s="150">
        <v>5002.45</v>
      </c>
      <c r="D80" s="150">
        <v>8049.54</v>
      </c>
      <c r="E80" s="150">
        <v>80495.399999999994</v>
      </c>
      <c r="F80" s="150">
        <v>30470.9</v>
      </c>
      <c r="G80" s="151">
        <f t="shared" si="3"/>
        <v>50024.499999999993</v>
      </c>
      <c r="H80" s="191">
        <f t="shared" ref="H80:H111" si="4">F80/G80</f>
        <v>0.60911953142959963</v>
      </c>
    </row>
    <row r="81" spans="1:8" ht="15.75">
      <c r="A81" s="149" t="s">
        <v>211</v>
      </c>
      <c r="B81" s="150">
        <v>35</v>
      </c>
      <c r="C81" s="150">
        <v>984.23</v>
      </c>
      <c r="D81" s="150">
        <v>7571.5</v>
      </c>
      <c r="E81" s="150">
        <v>265002.5</v>
      </c>
      <c r="F81" s="150">
        <v>230554.45</v>
      </c>
      <c r="G81" s="151">
        <f t="shared" si="3"/>
        <v>34448.049999999988</v>
      </c>
      <c r="H81" s="191">
        <f t="shared" si="4"/>
        <v>6.6928157036465077</v>
      </c>
    </row>
    <row r="82" spans="1:8" ht="15.75">
      <c r="A82" s="149" t="s">
        <v>289</v>
      </c>
      <c r="B82" s="150">
        <v>21</v>
      </c>
      <c r="C82" s="150">
        <v>1808</v>
      </c>
      <c r="D82" s="150">
        <v>1666</v>
      </c>
      <c r="E82" s="150">
        <v>34986</v>
      </c>
      <c r="F82" s="150">
        <v>-2982</v>
      </c>
      <c r="G82" s="151">
        <f t="shared" si="3"/>
        <v>37968</v>
      </c>
      <c r="H82" s="191">
        <f t="shared" si="4"/>
        <v>-7.8539823008849555E-2</v>
      </c>
    </row>
    <row r="83" spans="1:8" ht="15.75">
      <c r="A83" s="149" t="s">
        <v>290</v>
      </c>
      <c r="B83" s="150">
        <v>62</v>
      </c>
      <c r="C83" s="150">
        <v>592.30999999999995</v>
      </c>
      <c r="D83" s="150">
        <v>671.7</v>
      </c>
      <c r="E83" s="150">
        <v>41645.4</v>
      </c>
      <c r="F83" s="150">
        <v>4922.05</v>
      </c>
      <c r="G83" s="151">
        <f t="shared" si="3"/>
        <v>36723.35</v>
      </c>
      <c r="H83" s="191">
        <f t="shared" si="4"/>
        <v>0.13403052826062983</v>
      </c>
    </row>
    <row r="84" spans="1:8" ht="15.75">
      <c r="A84" s="149" t="s">
        <v>291</v>
      </c>
      <c r="B84" s="150">
        <v>201</v>
      </c>
      <c r="C84" s="150">
        <v>547.6</v>
      </c>
      <c r="D84" s="150">
        <v>469.75</v>
      </c>
      <c r="E84" s="150">
        <v>94419.75</v>
      </c>
      <c r="F84" s="150">
        <v>-15648.05</v>
      </c>
      <c r="G84" s="151">
        <f t="shared" si="3"/>
        <v>110067.8</v>
      </c>
      <c r="H84" s="191">
        <f t="shared" si="4"/>
        <v>-0.14216737320088163</v>
      </c>
    </row>
    <row r="85" spans="1:8" ht="15.75">
      <c r="A85" s="149" t="s">
        <v>292</v>
      </c>
      <c r="B85" s="150">
        <v>51</v>
      </c>
      <c r="C85" s="150">
        <v>958.21</v>
      </c>
      <c r="D85" s="150">
        <v>1152.1500000000001</v>
      </c>
      <c r="E85" s="150">
        <v>58759.65</v>
      </c>
      <c r="F85" s="150">
        <v>9891.1</v>
      </c>
      <c r="G85" s="151">
        <f t="shared" si="3"/>
        <v>48868.55</v>
      </c>
      <c r="H85" s="191">
        <f t="shared" si="4"/>
        <v>0.20240215844341605</v>
      </c>
    </row>
    <row r="86" spans="1:8" ht="15.75">
      <c r="A86" s="149" t="s">
        <v>212</v>
      </c>
      <c r="B86" s="150">
        <v>143</v>
      </c>
      <c r="C86" s="150">
        <v>579.84</v>
      </c>
      <c r="D86" s="150">
        <v>1781.65</v>
      </c>
      <c r="E86" s="150">
        <v>254775.95</v>
      </c>
      <c r="F86" s="150">
        <v>171858.8</v>
      </c>
      <c r="G86" s="151">
        <f t="shared" si="3"/>
        <v>82917.150000000023</v>
      </c>
      <c r="H86" s="191">
        <f t="shared" si="4"/>
        <v>2.0726568629047182</v>
      </c>
    </row>
    <row r="87" spans="1:8" ht="15.75">
      <c r="A87" s="149" t="s">
        <v>293</v>
      </c>
      <c r="B87" s="150">
        <v>83</v>
      </c>
      <c r="C87" s="150">
        <v>396.43</v>
      </c>
      <c r="D87" s="150">
        <v>464.35</v>
      </c>
      <c r="E87" s="150">
        <v>38541.050000000003</v>
      </c>
      <c r="F87" s="150">
        <v>5637.75</v>
      </c>
      <c r="G87" s="151">
        <f t="shared" si="3"/>
        <v>32903.300000000003</v>
      </c>
      <c r="H87" s="191">
        <f t="shared" si="4"/>
        <v>0.17134299599128353</v>
      </c>
    </row>
    <row r="88" spans="1:8" ht="15.75">
      <c r="A88" s="149" t="s">
        <v>213</v>
      </c>
      <c r="B88" s="150">
        <v>75</v>
      </c>
      <c r="C88" s="150">
        <v>581.84</v>
      </c>
      <c r="D88" s="150">
        <v>940.8</v>
      </c>
      <c r="E88" s="150">
        <v>70560</v>
      </c>
      <c r="F88" s="150">
        <v>26922</v>
      </c>
      <c r="G88" s="151">
        <f t="shared" si="3"/>
        <v>43638</v>
      </c>
      <c r="H88" s="191">
        <f t="shared" si="4"/>
        <v>0.61693936477382094</v>
      </c>
    </row>
    <row r="89" spans="1:8" ht="15.75">
      <c r="A89" s="149" t="s">
        <v>214</v>
      </c>
      <c r="B89" s="150">
        <v>46</v>
      </c>
      <c r="C89" s="150">
        <v>794.51</v>
      </c>
      <c r="D89" s="150">
        <v>958.65</v>
      </c>
      <c r="E89" s="150">
        <v>44097.9</v>
      </c>
      <c r="F89" s="150">
        <v>7550.6</v>
      </c>
      <c r="G89" s="151">
        <f t="shared" si="3"/>
        <v>36547.300000000003</v>
      </c>
      <c r="H89" s="191">
        <f t="shared" si="4"/>
        <v>0.20659802502510444</v>
      </c>
    </row>
    <row r="90" spans="1:8" ht="15.75">
      <c r="A90" s="149" t="s">
        <v>267</v>
      </c>
      <c r="B90" s="150">
        <v>566</v>
      </c>
      <c r="C90" s="150">
        <v>185.65</v>
      </c>
      <c r="D90" s="150">
        <v>786.85</v>
      </c>
      <c r="E90" s="150">
        <v>445357.1</v>
      </c>
      <c r="F90" s="150">
        <v>340281.37</v>
      </c>
      <c r="G90" s="151">
        <f t="shared" si="3"/>
        <v>105075.72999999998</v>
      </c>
      <c r="H90" s="191">
        <f t="shared" si="4"/>
        <v>3.2384392666127568</v>
      </c>
    </row>
    <row r="91" spans="1:8" ht="15.75">
      <c r="A91" s="149" t="s">
        <v>215</v>
      </c>
      <c r="B91" s="150">
        <v>1050</v>
      </c>
      <c r="C91" s="150">
        <v>40.479999999999997</v>
      </c>
      <c r="D91" s="150">
        <v>144.55000000000001</v>
      </c>
      <c r="E91" s="150">
        <v>151777.5</v>
      </c>
      <c r="F91" s="150">
        <v>109277.25</v>
      </c>
      <c r="G91" s="151">
        <f t="shared" si="3"/>
        <v>42500.25</v>
      </c>
      <c r="H91" s="191">
        <f t="shared" si="4"/>
        <v>2.5712142869747825</v>
      </c>
    </row>
    <row r="92" spans="1:8" ht="15.75">
      <c r="A92" s="149" t="s">
        <v>216</v>
      </c>
      <c r="B92" s="150">
        <v>30</v>
      </c>
      <c r="C92" s="150">
        <v>3490.64</v>
      </c>
      <c r="D92" s="150">
        <v>4273.55</v>
      </c>
      <c r="E92" s="150">
        <v>128206.5</v>
      </c>
      <c r="F92" s="150">
        <v>23487.45</v>
      </c>
      <c r="G92" s="151">
        <f t="shared" si="3"/>
        <v>104719.05</v>
      </c>
      <c r="H92" s="191">
        <f t="shared" si="4"/>
        <v>0.22429013632190131</v>
      </c>
    </row>
    <row r="93" spans="1:8" ht="15.75">
      <c r="A93" s="149" t="s">
        <v>217</v>
      </c>
      <c r="B93" s="150">
        <v>24</v>
      </c>
      <c r="C93" s="150">
        <v>2584.4</v>
      </c>
      <c r="D93" s="150">
        <v>3249.45</v>
      </c>
      <c r="E93" s="150">
        <v>77986.8</v>
      </c>
      <c r="F93" s="150">
        <v>15961.2</v>
      </c>
      <c r="G93" s="151">
        <f>C93*B93</f>
        <v>62025.600000000006</v>
      </c>
      <c r="H93" s="191">
        <f t="shared" si="4"/>
        <v>0.25733245627611823</v>
      </c>
    </row>
    <row r="94" spans="1:8" ht="15.75">
      <c r="A94" s="149" t="s">
        <v>220</v>
      </c>
      <c r="B94" s="150">
        <v>45</v>
      </c>
      <c r="C94" s="150">
        <v>355.21</v>
      </c>
      <c r="D94" s="150">
        <v>1049.1500000000001</v>
      </c>
      <c r="E94" s="150">
        <v>47211.75</v>
      </c>
      <c r="F94" s="150">
        <v>31227.15</v>
      </c>
      <c r="G94" s="151">
        <f t="shared" ref="G94:G96" si="5">C94*B94</f>
        <v>15984.449999999999</v>
      </c>
      <c r="H94" s="191">
        <f t="shared" si="4"/>
        <v>1.9535955256514927</v>
      </c>
    </row>
    <row r="95" spans="1:8" ht="15.75">
      <c r="A95" s="149" t="s">
        <v>221</v>
      </c>
      <c r="B95" s="150">
        <v>90</v>
      </c>
      <c r="C95" s="150">
        <v>48.04</v>
      </c>
      <c r="D95" s="150">
        <v>621.20000000000005</v>
      </c>
      <c r="E95" s="150">
        <v>55908</v>
      </c>
      <c r="F95" s="150">
        <v>51584.35</v>
      </c>
      <c r="G95" s="151">
        <f t="shared" si="5"/>
        <v>4323.6000000000004</v>
      </c>
      <c r="H95" s="191">
        <f t="shared" si="4"/>
        <v>11.930879359792764</v>
      </c>
    </row>
    <row r="96" spans="1:8" ht="15.75">
      <c r="A96" s="149" t="s">
        <v>300</v>
      </c>
      <c r="B96" s="150">
        <v>2525</v>
      </c>
      <c r="C96" s="150">
        <v>27.54</v>
      </c>
      <c r="D96" s="150">
        <v>19.97</v>
      </c>
      <c r="E96" s="150">
        <v>50424.25</v>
      </c>
      <c r="F96" s="150">
        <v>-19113.25</v>
      </c>
      <c r="G96" s="151">
        <f t="shared" si="5"/>
        <v>69538.5</v>
      </c>
      <c r="H96" s="191">
        <f t="shared" si="4"/>
        <v>-0.27485853160479445</v>
      </c>
    </row>
    <row r="97" spans="1:8" ht="16.5">
      <c r="A97" s="149"/>
      <c r="B97" s="150"/>
      <c r="C97" s="150"/>
      <c r="D97" s="150"/>
      <c r="E97" s="150"/>
      <c r="F97" s="150"/>
      <c r="G97" s="151">
        <f t="shared" si="3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17183</v>
      </c>
      <c r="C104" s="45"/>
      <c r="D104" s="45"/>
      <c r="E104" s="45">
        <f>SUM(E2:E103)</f>
        <v>8324054.580000001</v>
      </c>
      <c r="F104" s="45">
        <f>SUM(F2:F103)</f>
        <v>3467227.830000001</v>
      </c>
      <c r="G104" s="45">
        <f>SUM(G2:G103)</f>
        <v>4856827.5499999989</v>
      </c>
      <c r="H104" s="176">
        <f>F104/G104</f>
        <v>0.71388736666180408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0269-1E7A-4621-A1B0-83A32C51E31A}">
  <dimension ref="A1:J18"/>
  <sheetViews>
    <sheetView workbookViewId="0">
      <selection activeCell="A2" sqref="A2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t="s">
        <v>233</v>
      </c>
      <c r="C2" s="188">
        <v>9881.6689999999999</v>
      </c>
      <c r="D2">
        <v>7.46</v>
      </c>
      <c r="E2">
        <v>8.1054999999999993</v>
      </c>
      <c r="F2" s="188">
        <v>80096.002399999998</v>
      </c>
      <c r="G2" s="188">
        <v>73717.250700000004</v>
      </c>
      <c r="H2" s="188">
        <v>-6378.7515999999996</v>
      </c>
      <c r="I2" s="192">
        <f>H2/F2</f>
        <v>-7.9638826019611683E-2</v>
      </c>
    </row>
    <row r="3" spans="1:9">
      <c r="A3" s="168" t="s">
        <v>234</v>
      </c>
      <c r="B3" t="s">
        <v>235</v>
      </c>
      <c r="C3" s="188">
        <v>4080.9659999999999</v>
      </c>
      <c r="D3">
        <v>127.42</v>
      </c>
      <c r="E3">
        <v>68.607799999999997</v>
      </c>
      <c r="F3" s="188">
        <v>279986.10960000003</v>
      </c>
      <c r="G3" s="188">
        <v>519996.68770000001</v>
      </c>
      <c r="H3" s="188">
        <v>240010.57819999999</v>
      </c>
      <c r="I3" s="192">
        <f t="shared" ref="I3:I18" si="0">H3/F3</f>
        <v>0.8572231620450359</v>
      </c>
    </row>
    <row r="4" spans="1:9">
      <c r="A4" s="168" t="s">
        <v>236</v>
      </c>
      <c r="B4" t="s">
        <v>237</v>
      </c>
      <c r="C4" s="188">
        <v>14235.332</v>
      </c>
      <c r="D4">
        <v>121.67</v>
      </c>
      <c r="E4">
        <v>47.766100000000002</v>
      </c>
      <c r="F4" s="188">
        <v>679966.92570000002</v>
      </c>
      <c r="G4" s="188">
        <v>1732012.8444000001</v>
      </c>
      <c r="H4" s="188">
        <v>1052045.9188000001</v>
      </c>
      <c r="I4" s="192">
        <f t="shared" si="0"/>
        <v>1.5472016050147719</v>
      </c>
    </row>
    <row r="5" spans="1:9">
      <c r="A5" s="168" t="s">
        <v>238</v>
      </c>
      <c r="B5" t="s">
        <v>237</v>
      </c>
      <c r="C5" s="188">
        <v>26878.393</v>
      </c>
      <c r="D5">
        <v>44.35</v>
      </c>
      <c r="E5">
        <v>32.180399999999999</v>
      </c>
      <c r="F5" s="188">
        <v>864956.73950000003</v>
      </c>
      <c r="G5" s="188">
        <v>1192056.7296</v>
      </c>
      <c r="H5" s="188">
        <v>327099.99</v>
      </c>
      <c r="I5" s="192">
        <f t="shared" si="0"/>
        <v>0.37816919050666575</v>
      </c>
    </row>
    <row r="6" spans="1:9">
      <c r="A6" s="168" t="s">
        <v>268</v>
      </c>
      <c r="B6" t="s">
        <v>269</v>
      </c>
      <c r="C6">
        <v>16.042000000000002</v>
      </c>
      <c r="D6" s="188">
        <v>3270.7053999999998</v>
      </c>
      <c r="E6" s="188">
        <v>3191.1046000000001</v>
      </c>
      <c r="F6" s="188">
        <v>51191.7</v>
      </c>
      <c r="G6" s="188">
        <v>52468.656000000003</v>
      </c>
      <c r="H6" s="188">
        <v>1276.9559999999999</v>
      </c>
      <c r="I6" s="192">
        <f t="shared" si="0"/>
        <v>2.4944590626996173E-2</v>
      </c>
    </row>
    <row r="7" spans="1:9">
      <c r="A7" s="168" t="s">
        <v>240</v>
      </c>
      <c r="B7" t="s">
        <v>241</v>
      </c>
      <c r="C7" s="188">
        <v>1857.5519999999999</v>
      </c>
      <c r="D7">
        <v>751.76170000000002</v>
      </c>
      <c r="E7">
        <v>366.02140000000003</v>
      </c>
      <c r="F7" s="188">
        <v>679903.69869999995</v>
      </c>
      <c r="G7" s="188">
        <v>1396436.4494</v>
      </c>
      <c r="H7" s="188">
        <v>716532.75069999998</v>
      </c>
      <c r="I7" s="192">
        <f t="shared" si="0"/>
        <v>1.0538738825366534</v>
      </c>
    </row>
    <row r="8" spans="1:9">
      <c r="A8" s="168" t="s">
        <v>242</v>
      </c>
      <c r="B8" t="s">
        <v>237</v>
      </c>
      <c r="C8" s="188">
        <v>4306.576</v>
      </c>
      <c r="D8">
        <v>158.27600000000001</v>
      </c>
      <c r="E8">
        <v>44.3917</v>
      </c>
      <c r="F8" s="188">
        <v>191176.2298</v>
      </c>
      <c r="G8" s="188">
        <v>681627.62300000002</v>
      </c>
      <c r="H8" s="188">
        <v>490451.39319999999</v>
      </c>
      <c r="I8" s="192">
        <f t="shared" si="0"/>
        <v>2.5654412879314976</v>
      </c>
    </row>
    <row r="9" spans="1:9">
      <c r="A9" s="168" t="s">
        <v>272</v>
      </c>
      <c r="B9" t="s">
        <v>235</v>
      </c>
      <c r="C9" s="188">
        <v>5805.7370000000001</v>
      </c>
      <c r="D9">
        <v>152.614</v>
      </c>
      <c r="E9">
        <v>41.940399999999997</v>
      </c>
      <c r="F9" s="188">
        <v>243495.1642</v>
      </c>
      <c r="G9" s="188">
        <v>886036.74650000001</v>
      </c>
      <c r="H9" s="188">
        <v>642541.58230000001</v>
      </c>
      <c r="I9" s="192">
        <f t="shared" si="0"/>
        <v>2.6388268712073257</v>
      </c>
    </row>
    <row r="10" spans="1:9">
      <c r="A10" s="168" t="s">
        <v>244</v>
      </c>
      <c r="B10" t="s">
        <v>233</v>
      </c>
      <c r="C10" s="188">
        <v>11843.941000000001</v>
      </c>
      <c r="D10">
        <v>37.467199999999998</v>
      </c>
      <c r="E10">
        <v>28.705200000000001</v>
      </c>
      <c r="F10" s="188">
        <v>339982.95760000002</v>
      </c>
      <c r="G10" s="188">
        <v>443759.30619999999</v>
      </c>
      <c r="H10" s="188">
        <v>103776.3486</v>
      </c>
      <c r="I10" s="192">
        <f t="shared" si="0"/>
        <v>0.30523985476382592</v>
      </c>
    </row>
    <row r="11" spans="1:9">
      <c r="A11" s="168" t="s">
        <v>273</v>
      </c>
      <c r="B11" t="s">
        <v>233</v>
      </c>
      <c r="C11" s="188">
        <v>82131.043999999994</v>
      </c>
      <c r="D11">
        <v>15.622</v>
      </c>
      <c r="E11">
        <v>9.9227000000000007</v>
      </c>
      <c r="F11" s="188">
        <v>814959.2439</v>
      </c>
      <c r="G11" s="188">
        <v>1283051.1694</v>
      </c>
      <c r="H11" s="188">
        <v>468091.92550000001</v>
      </c>
      <c r="I11" s="192">
        <f t="shared" si="0"/>
        <v>0.57437464389009063</v>
      </c>
    </row>
    <row r="12" spans="1:9">
      <c r="A12" s="168" t="s">
        <v>246</v>
      </c>
      <c r="B12" t="s">
        <v>241</v>
      </c>
      <c r="C12" s="188">
        <v>69154.267500000002</v>
      </c>
      <c r="D12">
        <v>15.6364</v>
      </c>
      <c r="E12">
        <v>12.587199999999999</v>
      </c>
      <c r="F12" s="188">
        <v>870456.48289999994</v>
      </c>
      <c r="G12" s="188">
        <v>1081323.7882999999</v>
      </c>
      <c r="H12" s="188">
        <v>210867.30540000001</v>
      </c>
      <c r="I12" s="192">
        <f t="shared" si="0"/>
        <v>0.2422491066956933</v>
      </c>
    </row>
    <row r="13" spans="1:9">
      <c r="A13" s="168" t="s">
        <v>247</v>
      </c>
      <c r="B13" t="s">
        <v>241</v>
      </c>
      <c r="C13" s="188">
        <v>35990.701000000001</v>
      </c>
      <c r="D13">
        <v>16.656300000000002</v>
      </c>
      <c r="E13">
        <v>13.9057</v>
      </c>
      <c r="F13" s="188">
        <v>500474.96830000001</v>
      </c>
      <c r="G13" s="188">
        <v>599471.91310000001</v>
      </c>
      <c r="H13" s="188">
        <v>98996.944799999997</v>
      </c>
      <c r="I13" s="192">
        <f t="shared" si="0"/>
        <v>0.19780598645376846</v>
      </c>
    </row>
    <row r="14" spans="1:9">
      <c r="A14" s="168" t="s">
        <v>250</v>
      </c>
      <c r="B14" t="s">
        <v>251</v>
      </c>
      <c r="C14" s="188">
        <v>19397.659</v>
      </c>
      <c r="D14">
        <v>86.763900000000007</v>
      </c>
      <c r="E14">
        <v>44.640599999999999</v>
      </c>
      <c r="F14" s="188">
        <v>865923.00470000005</v>
      </c>
      <c r="G14" s="188">
        <v>1683016.5456999999</v>
      </c>
      <c r="H14" s="188">
        <v>817093.54099999997</v>
      </c>
      <c r="I14" s="192">
        <f t="shared" si="0"/>
        <v>0.94360992439862812</v>
      </c>
    </row>
    <row r="15" spans="1:9">
      <c r="A15" s="168" t="s">
        <v>274</v>
      </c>
      <c r="B15" t="s">
        <v>233</v>
      </c>
      <c r="C15" s="188">
        <v>6809.741</v>
      </c>
      <c r="D15">
        <v>48.93</v>
      </c>
      <c r="E15">
        <v>35.241999999999997</v>
      </c>
      <c r="F15" s="188">
        <v>239988.8371</v>
      </c>
      <c r="G15" s="188">
        <v>333200.62709999998</v>
      </c>
      <c r="H15" s="188">
        <v>93211.79</v>
      </c>
      <c r="I15" s="192">
        <f t="shared" si="0"/>
        <v>0.38840052365085603</v>
      </c>
    </row>
    <row r="16" spans="1:9">
      <c r="A16" s="168" t="s">
        <v>253</v>
      </c>
      <c r="B16" t="s">
        <v>235</v>
      </c>
      <c r="C16" s="188">
        <v>4297.2659999999996</v>
      </c>
      <c r="D16">
        <v>249.1551</v>
      </c>
      <c r="E16">
        <v>190.89250000000001</v>
      </c>
      <c r="F16" s="188">
        <v>820316.00789999997</v>
      </c>
      <c r="G16" s="188">
        <v>1070685.74</v>
      </c>
      <c r="H16" s="188">
        <v>250369.73199999999</v>
      </c>
      <c r="I16" s="192">
        <f t="shared" si="0"/>
        <v>0.30521132050189265</v>
      </c>
    </row>
    <row r="17" spans="1:10">
      <c r="A17" s="168" t="s">
        <v>255</v>
      </c>
      <c r="B17" t="s">
        <v>241</v>
      </c>
      <c r="C17" s="188">
        <v>18996.168000000001</v>
      </c>
      <c r="D17">
        <v>25.9618</v>
      </c>
      <c r="E17">
        <v>9.4700000000000006</v>
      </c>
      <c r="F17" s="188">
        <v>179893.71100000001</v>
      </c>
      <c r="G17" s="188">
        <v>493174.7144</v>
      </c>
      <c r="H17" s="188">
        <v>313281.00339999999</v>
      </c>
      <c r="I17" s="192">
        <f t="shared" si="0"/>
        <v>1.7414783521809718</v>
      </c>
    </row>
    <row r="18" spans="1:10">
      <c r="A18" s="74" t="s">
        <v>11</v>
      </c>
      <c r="B18" s="75"/>
      <c r="C18" s="75">
        <f>SUM(C2:C17)</f>
        <v>315683.05449999997</v>
      </c>
      <c r="D18" s="75"/>
      <c r="E18" s="75"/>
      <c r="F18" s="75">
        <f>SUM(F2:F17)</f>
        <v>7702767.7832999993</v>
      </c>
      <c r="G18" s="75">
        <f>SUM(G2:G17)</f>
        <v>13522036.791500002</v>
      </c>
      <c r="H18" s="75">
        <f>G18-F18</f>
        <v>5819269.0082000028</v>
      </c>
      <c r="I18" s="53">
        <f t="shared" si="0"/>
        <v>0.75547766360248847</v>
      </c>
      <c r="J18" s="202"/>
    </row>
  </sheetData>
  <hyperlinks>
    <hyperlink ref="A2" r:id="rId1" location="/mf/1831632/41287/NULL" xr:uid="{4AB8FB76-F8B0-4B07-A61F-428562B7BE21}"/>
    <hyperlink ref="A3" r:id="rId2" location="/mf/1831632/15690/NULL" xr:uid="{C0D0B71C-8B3A-407A-A2FA-BBE73E806D6B}"/>
    <hyperlink ref="A4" r:id="rId3" location="/mf/1831632/22335/NULL" xr:uid="{6600F651-C7FC-41AD-A39B-67E0D87FADD6}"/>
    <hyperlink ref="A5" r:id="rId4" location="/mf/1831632/38817/NULL" xr:uid="{E1851F3C-3FAB-416F-B286-AA9E966B7614}"/>
    <hyperlink ref="A6" r:id="rId5" location="/mf/1831632/16576/NULL" xr:uid="{8D328379-F9BB-406B-8EB3-C39C55D50BEF}"/>
    <hyperlink ref="A7" r:id="rId6" location="/mf/1831632/16071/NULL" xr:uid="{37AC8404-0241-4F87-9EDC-DDA75108C279}"/>
    <hyperlink ref="A8" r:id="rId7" location="/mf/1831632/16617/NULL" xr:uid="{760E34C4-8B80-4C65-9205-F206DD3018B7}"/>
    <hyperlink ref="A9" r:id="rId8" location="/mf/1831632/17134/NULL" xr:uid="{33EAC6BB-A68D-467F-AF8D-941F4D4F62FF}"/>
    <hyperlink ref="A10" r:id="rId9" location="/mf/1831632/38228/NULL" xr:uid="{8D81A809-73B6-4AF8-B36F-F49E06776EB9}"/>
    <hyperlink ref="A11" r:id="rId10" location="/mf/1831632/42135/NULL" xr:uid="{7E62A839-3FE7-4179-9888-F2A2F1AE0FD7}"/>
    <hyperlink ref="A12" r:id="rId11" location="/mf/1831632/41574/NULL" xr:uid="{DE2C6628-B9AF-4A58-88D6-318EB10361BC}"/>
    <hyperlink ref="A13" r:id="rId12" location="/mf/1831632/41937/NULL" xr:uid="{4D8537C0-0267-43CD-B79A-C3613947062D}"/>
    <hyperlink ref="A14" r:id="rId13" location="/mf/1831632/19701/NULL" xr:uid="{F6BF12BB-45E0-4E17-AD36-1C0931691CFC}"/>
    <hyperlink ref="A15" r:id="rId14" location="/mf/1831632/17348/NULL" xr:uid="{707511EE-4147-4CD4-AD58-06834AD732CD}"/>
    <hyperlink ref="A16" r:id="rId15" location="/mf/1831632/17375/NULL" xr:uid="{F4E7D93F-36CE-44ED-A992-1D35F282607A}"/>
    <hyperlink ref="A17" r:id="rId16" location="/mf/1831632/36491/NULL" xr:uid="{38D3A41E-D7F2-4EA2-BC9E-5CD9BBC2E43E}"/>
  </hyperlinks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4042-1542-4871-A373-7455FB5ACFE8}">
  <dimension ref="A1:I10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258</v>
      </c>
      <c r="B2" s="150">
        <v>100</v>
      </c>
      <c r="C2" s="150">
        <v>109.73</v>
      </c>
      <c r="D2" s="150">
        <v>101</v>
      </c>
      <c r="E2" s="150">
        <v>10100</v>
      </c>
      <c r="F2" s="150">
        <v>-872.5</v>
      </c>
      <c r="G2" s="151">
        <f t="shared" ref="G2:G65" si="0">E2-F2</f>
        <v>10972.5</v>
      </c>
      <c r="H2" s="191">
        <f t="shared" ref="H2:H14" si="1">F2/G2</f>
        <v>-7.9516974253816361E-2</v>
      </c>
    </row>
    <row r="3" spans="1:8" ht="15.75">
      <c r="A3" s="149" t="s">
        <v>264</v>
      </c>
      <c r="B3" s="150">
        <v>13</v>
      </c>
      <c r="C3" s="150">
        <v>133.75</v>
      </c>
      <c r="D3" s="150">
        <v>1206.9000000000001</v>
      </c>
      <c r="E3" s="150">
        <v>15689.7</v>
      </c>
      <c r="F3" s="150">
        <v>13950.95</v>
      </c>
      <c r="G3" s="151">
        <f t="shared" si="0"/>
        <v>1738.75</v>
      </c>
      <c r="H3" s="191">
        <f t="shared" si="1"/>
        <v>8.0235514018691596</v>
      </c>
    </row>
    <row r="4" spans="1:8" ht="15.75">
      <c r="A4" s="149" t="s">
        <v>144</v>
      </c>
      <c r="B4" s="150">
        <v>19</v>
      </c>
      <c r="C4" s="150">
        <v>489.54</v>
      </c>
      <c r="D4" s="150">
        <v>3086.15</v>
      </c>
      <c r="E4" s="150">
        <v>58636.85</v>
      </c>
      <c r="F4" s="150">
        <v>49335.65</v>
      </c>
      <c r="G4" s="151">
        <f t="shared" si="0"/>
        <v>9301.1999999999971</v>
      </c>
      <c r="H4" s="191">
        <f t="shared" si="1"/>
        <v>5.3042241861265227</v>
      </c>
    </row>
    <row r="5" spans="1:8" ht="15.75">
      <c r="A5" s="149" t="s">
        <v>145</v>
      </c>
      <c r="B5" s="150">
        <v>250</v>
      </c>
      <c r="C5" s="150">
        <v>183.59</v>
      </c>
      <c r="D5" s="150">
        <v>503.35</v>
      </c>
      <c r="E5" s="150">
        <v>125837.5</v>
      </c>
      <c r="F5" s="150">
        <v>79940</v>
      </c>
      <c r="G5" s="151">
        <f t="shared" si="0"/>
        <v>45897.5</v>
      </c>
      <c r="H5" s="191">
        <f t="shared" si="1"/>
        <v>1.7417070646549377</v>
      </c>
    </row>
    <row r="6" spans="1:8" ht="15.75">
      <c r="A6" s="149" t="s">
        <v>275</v>
      </c>
      <c r="B6" s="150">
        <v>165</v>
      </c>
      <c r="C6" s="150">
        <v>160.15</v>
      </c>
      <c r="D6" s="150">
        <v>209.25</v>
      </c>
      <c r="E6" s="150">
        <v>34526.25</v>
      </c>
      <c r="F6" s="150">
        <v>8101.5</v>
      </c>
      <c r="G6" s="151">
        <f t="shared" si="0"/>
        <v>26424.75</v>
      </c>
      <c r="H6" s="191">
        <f t="shared" si="1"/>
        <v>0.3065875741492351</v>
      </c>
    </row>
    <row r="7" spans="1:8" ht="15.75">
      <c r="A7" s="149" t="s">
        <v>276</v>
      </c>
      <c r="B7" s="150">
        <v>28</v>
      </c>
      <c r="C7" s="150">
        <v>2757.87</v>
      </c>
      <c r="D7" s="150">
        <v>2940</v>
      </c>
      <c r="E7" s="150">
        <v>82320</v>
      </c>
      <c r="F7" s="150">
        <v>5099.6000000000004</v>
      </c>
      <c r="G7" s="151">
        <f t="shared" si="0"/>
        <v>77220.399999999994</v>
      </c>
      <c r="H7" s="191">
        <f t="shared" si="1"/>
        <v>6.6039543954706278E-2</v>
      </c>
    </row>
    <row r="8" spans="1:8" ht="15.75">
      <c r="A8" s="149" t="s">
        <v>277</v>
      </c>
      <c r="B8" s="150">
        <v>97</v>
      </c>
      <c r="C8" s="150">
        <v>578.23</v>
      </c>
      <c r="D8" s="150">
        <v>617.35</v>
      </c>
      <c r="E8" s="150">
        <v>59882.95</v>
      </c>
      <c r="F8" s="150">
        <v>3794.75</v>
      </c>
      <c r="G8" s="151">
        <f t="shared" si="0"/>
        <v>56088.2</v>
      </c>
      <c r="H8" s="191">
        <f t="shared" si="1"/>
        <v>6.7656833344625078E-2</v>
      </c>
    </row>
    <row r="9" spans="1:8" ht="15.75">
      <c r="A9" s="149" t="s">
        <v>146</v>
      </c>
      <c r="B9" s="150">
        <v>62</v>
      </c>
      <c r="C9" s="150">
        <v>708.24</v>
      </c>
      <c r="D9" s="150">
        <v>1169.55</v>
      </c>
      <c r="E9" s="150">
        <v>72512.100000000006</v>
      </c>
      <c r="F9" s="150">
        <v>28601.5</v>
      </c>
      <c r="G9" s="151">
        <f t="shared" si="0"/>
        <v>43910.600000000006</v>
      </c>
      <c r="H9" s="191">
        <f t="shared" si="1"/>
        <v>0.6513575309834071</v>
      </c>
    </row>
    <row r="10" spans="1:8" ht="15.75">
      <c r="A10" s="149" t="s">
        <v>147</v>
      </c>
      <c r="B10" s="150">
        <v>20</v>
      </c>
      <c r="C10" s="150">
        <v>3008.26</v>
      </c>
      <c r="D10" s="150">
        <v>9883.85</v>
      </c>
      <c r="E10" s="150">
        <v>197677</v>
      </c>
      <c r="F10" s="150">
        <v>137511.75</v>
      </c>
      <c r="G10" s="151">
        <f t="shared" si="0"/>
        <v>60165.25</v>
      </c>
      <c r="H10" s="191">
        <f t="shared" si="1"/>
        <v>2.2855676657206612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6923.8</v>
      </c>
      <c r="E11" s="150">
        <v>55390.400000000001</v>
      </c>
      <c r="F11" s="150">
        <v>1542.05</v>
      </c>
      <c r="G11" s="151">
        <f t="shared" si="0"/>
        <v>53848.35</v>
      </c>
      <c r="H11" s="191">
        <f t="shared" si="1"/>
        <v>2.8636903452009206E-2</v>
      </c>
    </row>
    <row r="12" spans="1:8" ht="15.75">
      <c r="A12" s="149" t="s">
        <v>149</v>
      </c>
      <c r="B12" s="150">
        <v>15</v>
      </c>
      <c r="C12" s="150">
        <v>2427.4699999999998</v>
      </c>
      <c r="D12" s="150">
        <v>2835.2</v>
      </c>
      <c r="E12" s="150">
        <v>42528</v>
      </c>
      <c r="F12" s="150">
        <v>6116</v>
      </c>
      <c r="G12" s="151">
        <f t="shared" si="0"/>
        <v>36412</v>
      </c>
      <c r="H12" s="191">
        <f t="shared" si="1"/>
        <v>0.16796660441612654</v>
      </c>
    </row>
    <row r="13" spans="1:8" ht="15.75">
      <c r="A13" s="149" t="s">
        <v>150</v>
      </c>
      <c r="B13" s="150">
        <v>184</v>
      </c>
      <c r="C13" s="150">
        <v>185</v>
      </c>
      <c r="D13" s="150">
        <v>253.7</v>
      </c>
      <c r="E13" s="150">
        <v>46680.800000000003</v>
      </c>
      <c r="F13" s="150">
        <v>12640.8</v>
      </c>
      <c r="G13" s="151">
        <f t="shared" si="0"/>
        <v>34040</v>
      </c>
      <c r="H13" s="191">
        <f t="shared" si="1"/>
        <v>0.37135135135135133</v>
      </c>
    </row>
    <row r="14" spans="1:8" ht="15.75">
      <c r="A14" s="149" t="s">
        <v>151</v>
      </c>
      <c r="B14" s="150">
        <v>4500</v>
      </c>
      <c r="C14" s="150">
        <v>49.91</v>
      </c>
      <c r="D14" s="150">
        <v>52.58</v>
      </c>
      <c r="E14" s="150">
        <v>236610</v>
      </c>
      <c r="F14" s="150">
        <v>12025.11</v>
      </c>
      <c r="G14" s="151">
        <f t="shared" si="0"/>
        <v>224584.89</v>
      </c>
      <c r="H14" s="191">
        <f t="shared" si="1"/>
        <v>5.3543717923320668E-2</v>
      </c>
    </row>
    <row r="15" spans="1:8" ht="15.75">
      <c r="A15" s="149" t="s">
        <v>152</v>
      </c>
      <c r="B15" s="150">
        <v>180</v>
      </c>
      <c r="C15" s="150">
        <v>322.89</v>
      </c>
      <c r="D15" s="150">
        <v>1616.45</v>
      </c>
      <c r="E15" s="150">
        <v>290961</v>
      </c>
      <c r="F15" s="150">
        <v>232841</v>
      </c>
      <c r="G15" s="151">
        <f t="shared" si="0"/>
        <v>58120</v>
      </c>
      <c r="H15" s="191">
        <v>0</v>
      </c>
    </row>
    <row r="16" spans="1:8" ht="15.75">
      <c r="A16" s="149" t="s">
        <v>153</v>
      </c>
      <c r="B16" s="150">
        <v>40</v>
      </c>
      <c r="C16" s="150">
        <v>446.04</v>
      </c>
      <c r="D16" s="150">
        <v>1251.5999999999999</v>
      </c>
      <c r="E16" s="150">
        <v>50064</v>
      </c>
      <c r="F16" s="150">
        <v>32222.400000000001</v>
      </c>
      <c r="G16" s="151">
        <f t="shared" si="0"/>
        <v>17841.599999999999</v>
      </c>
      <c r="H16" s="191">
        <f t="shared" ref="H16:H79" si="2">F16/G16</f>
        <v>1.8060263653483994</v>
      </c>
    </row>
    <row r="17" spans="1:8" ht="15.75">
      <c r="A17" s="149" t="s">
        <v>154</v>
      </c>
      <c r="B17" s="150">
        <v>14</v>
      </c>
      <c r="C17" s="150">
        <v>3489.94</v>
      </c>
      <c r="D17" s="150">
        <v>5703.2</v>
      </c>
      <c r="E17" s="150">
        <v>79844.800000000003</v>
      </c>
      <c r="F17" s="150">
        <v>30985.7</v>
      </c>
      <c r="G17" s="151">
        <f t="shared" si="0"/>
        <v>48859.100000000006</v>
      </c>
      <c r="H17" s="191">
        <f t="shared" si="2"/>
        <v>0.63418482943811894</v>
      </c>
    </row>
    <row r="18" spans="1:8" ht="15.75">
      <c r="A18" s="149" t="s">
        <v>278</v>
      </c>
      <c r="B18" s="150">
        <v>345</v>
      </c>
      <c r="C18" s="150">
        <v>107.29</v>
      </c>
      <c r="D18" s="150">
        <v>103.96</v>
      </c>
      <c r="E18" s="150">
        <v>35866.199999999997</v>
      </c>
      <c r="F18" s="150">
        <v>-1148.8499999999999</v>
      </c>
      <c r="G18" s="151">
        <f t="shared" si="0"/>
        <v>37015.049999999996</v>
      </c>
      <c r="H18" s="191">
        <f t="shared" si="2"/>
        <v>-3.1037375337869329E-2</v>
      </c>
    </row>
    <row r="19" spans="1:8" ht="15.75">
      <c r="A19" s="149" t="s">
        <v>155</v>
      </c>
      <c r="B19" s="150">
        <v>180</v>
      </c>
      <c r="C19" s="150">
        <v>155.25</v>
      </c>
      <c r="D19" s="150">
        <v>214.2</v>
      </c>
      <c r="E19" s="150">
        <v>38556</v>
      </c>
      <c r="F19" s="150">
        <v>10611</v>
      </c>
      <c r="G19" s="151">
        <f t="shared" si="0"/>
        <v>27945</v>
      </c>
      <c r="H19" s="191">
        <f t="shared" si="2"/>
        <v>0.37971014492753624</v>
      </c>
    </row>
    <row r="20" spans="1:8" ht="15.75">
      <c r="A20" s="149" t="s">
        <v>156</v>
      </c>
      <c r="B20" s="150">
        <v>88</v>
      </c>
      <c r="C20" s="150">
        <v>373.58</v>
      </c>
      <c r="D20" s="150">
        <v>504</v>
      </c>
      <c r="E20" s="150">
        <v>44352</v>
      </c>
      <c r="F20" s="150">
        <v>11477.15</v>
      </c>
      <c r="G20" s="151">
        <f t="shared" si="0"/>
        <v>32874.85</v>
      </c>
      <c r="H20" s="191">
        <f t="shared" si="2"/>
        <v>0.3491164218239779</v>
      </c>
    </row>
    <row r="21" spans="1:8" ht="15.75">
      <c r="A21" s="149" t="s">
        <v>157</v>
      </c>
      <c r="B21" s="150">
        <v>45</v>
      </c>
      <c r="C21" s="150">
        <v>990.66</v>
      </c>
      <c r="D21" s="150">
        <v>1559.55</v>
      </c>
      <c r="E21" s="150">
        <v>70179.75</v>
      </c>
      <c r="F21" s="150">
        <v>25599.9</v>
      </c>
      <c r="G21" s="151">
        <f t="shared" si="0"/>
        <v>44579.85</v>
      </c>
      <c r="H21" s="191">
        <f t="shared" si="2"/>
        <v>0.57424823098328059</v>
      </c>
    </row>
    <row r="22" spans="1:8" ht="15.75">
      <c r="A22" s="149" t="s">
        <v>158</v>
      </c>
      <c r="B22" s="150">
        <v>470</v>
      </c>
      <c r="C22" s="150">
        <v>194.39</v>
      </c>
      <c r="D22" s="150">
        <v>454.4</v>
      </c>
      <c r="E22" s="150">
        <v>213568</v>
      </c>
      <c r="F22" s="150">
        <v>122204.5</v>
      </c>
      <c r="G22" s="151">
        <f t="shared" si="0"/>
        <v>91363.5</v>
      </c>
      <c r="H22" s="191">
        <f t="shared" si="2"/>
        <v>1.3375636879060018</v>
      </c>
    </row>
    <row r="23" spans="1:8" ht="15.75">
      <c r="A23" s="149" t="s">
        <v>159</v>
      </c>
      <c r="B23" s="150">
        <v>13</v>
      </c>
      <c r="C23" s="150">
        <v>4545.26</v>
      </c>
      <c r="D23" s="150">
        <v>7553.5</v>
      </c>
      <c r="E23" s="150">
        <v>98195.5</v>
      </c>
      <c r="F23" s="150">
        <v>39107.1</v>
      </c>
      <c r="G23" s="151">
        <f t="shared" si="0"/>
        <v>59088.4</v>
      </c>
      <c r="H23" s="191">
        <f t="shared" si="2"/>
        <v>0.66184056430703819</v>
      </c>
    </row>
    <row r="24" spans="1:8" ht="15.75">
      <c r="A24" s="149" t="s">
        <v>160</v>
      </c>
      <c r="B24" s="150">
        <v>21</v>
      </c>
      <c r="C24" s="150">
        <v>1503.03</v>
      </c>
      <c r="D24" s="150">
        <v>3066.1</v>
      </c>
      <c r="E24" s="150">
        <v>64388.1</v>
      </c>
      <c r="F24" s="150">
        <v>32824.400000000001</v>
      </c>
      <c r="G24" s="151">
        <f t="shared" si="0"/>
        <v>31563.699999999997</v>
      </c>
      <c r="H24" s="191">
        <f t="shared" si="2"/>
        <v>1.0399414517309442</v>
      </c>
    </row>
    <row r="25" spans="1:8" ht="15.75">
      <c r="A25" s="149" t="s">
        <v>279</v>
      </c>
      <c r="B25" s="150">
        <v>98</v>
      </c>
      <c r="C25" s="150">
        <v>555.05999999999995</v>
      </c>
      <c r="D25" s="150">
        <v>542.9</v>
      </c>
      <c r="E25" s="150">
        <v>53204.2</v>
      </c>
      <c r="F25" s="150">
        <v>-1191.8499999999999</v>
      </c>
      <c r="G25" s="151">
        <f t="shared" si="0"/>
        <v>54396.049999999996</v>
      </c>
      <c r="H25" s="191">
        <f t="shared" si="2"/>
        <v>-2.1910598287927158E-2</v>
      </c>
    </row>
    <row r="26" spans="1:8" ht="15.75">
      <c r="A26" s="149" t="s">
        <v>161</v>
      </c>
      <c r="B26" s="150">
        <v>72</v>
      </c>
      <c r="C26" s="150">
        <v>531.82000000000005</v>
      </c>
      <c r="D26" s="150">
        <v>823.75</v>
      </c>
      <c r="E26" s="150">
        <v>59310</v>
      </c>
      <c r="F26" s="150">
        <v>21018.9</v>
      </c>
      <c r="G26" s="151">
        <f t="shared" si="0"/>
        <v>38291.1</v>
      </c>
      <c r="H26" s="191">
        <f t="shared" si="2"/>
        <v>0.54892390137656011</v>
      </c>
    </row>
    <row r="27" spans="1:8" ht="15.75">
      <c r="A27" s="149" t="s">
        <v>162</v>
      </c>
      <c r="B27" s="150">
        <v>14</v>
      </c>
      <c r="C27" s="150">
        <v>3289.33</v>
      </c>
      <c r="D27" s="150">
        <v>4009.65</v>
      </c>
      <c r="E27" s="150">
        <v>56135.1</v>
      </c>
      <c r="F27" s="150">
        <v>10084.549999999999</v>
      </c>
      <c r="G27" s="151">
        <f t="shared" si="0"/>
        <v>46050.55</v>
      </c>
      <c r="H27" s="191">
        <f t="shared" si="2"/>
        <v>0.21898869828916265</v>
      </c>
    </row>
    <row r="28" spans="1:8" ht="15.75">
      <c r="A28" s="149" t="s">
        <v>163</v>
      </c>
      <c r="B28" s="150">
        <v>60</v>
      </c>
      <c r="C28" s="150">
        <v>992.6</v>
      </c>
      <c r="D28" s="150">
        <v>1259.5999999999999</v>
      </c>
      <c r="E28" s="150">
        <v>75576</v>
      </c>
      <c r="F28" s="150">
        <v>16020.05</v>
      </c>
      <c r="G28" s="151">
        <f t="shared" si="0"/>
        <v>59555.95</v>
      </c>
      <c r="H28" s="191">
        <f t="shared" si="2"/>
        <v>0.26899159529820277</v>
      </c>
    </row>
    <row r="29" spans="1:8" ht="15.75">
      <c r="A29" s="149" t="s">
        <v>164</v>
      </c>
      <c r="B29" s="150">
        <v>11</v>
      </c>
      <c r="C29" s="150">
        <v>3144.55</v>
      </c>
      <c r="D29" s="150">
        <v>4953.6000000000004</v>
      </c>
      <c r="E29" s="150">
        <v>54489.599999999999</v>
      </c>
      <c r="F29" s="150">
        <v>19899.599999999999</v>
      </c>
      <c r="G29" s="151">
        <f t="shared" si="0"/>
        <v>34590</v>
      </c>
      <c r="H29" s="191">
        <f t="shared" si="2"/>
        <v>0.57529921942758022</v>
      </c>
    </row>
    <row r="30" spans="1:8" ht="15.75">
      <c r="A30" s="149" t="s">
        <v>270</v>
      </c>
      <c r="B30" s="150">
        <v>92</v>
      </c>
      <c r="C30" s="150">
        <v>359.33</v>
      </c>
      <c r="D30" s="150">
        <v>396</v>
      </c>
      <c r="E30" s="150">
        <v>36432</v>
      </c>
      <c r="F30" s="150">
        <v>3373.72</v>
      </c>
      <c r="G30" s="151">
        <f t="shared" si="0"/>
        <v>33058.28</v>
      </c>
      <c r="H30" s="191">
        <f t="shared" si="2"/>
        <v>0.10205370636342846</v>
      </c>
    </row>
    <row r="31" spans="1:8" ht="15.75">
      <c r="A31" s="149" t="s">
        <v>166</v>
      </c>
      <c r="B31" s="150">
        <v>16</v>
      </c>
      <c r="C31" s="150">
        <v>1304.44</v>
      </c>
      <c r="D31" s="150">
        <v>2405.65</v>
      </c>
      <c r="E31" s="150">
        <v>38490.400000000001</v>
      </c>
      <c r="F31" s="150">
        <v>17619.349999999999</v>
      </c>
      <c r="G31" s="151">
        <f t="shared" si="0"/>
        <v>20871.050000000003</v>
      </c>
      <c r="H31" s="191">
        <f t="shared" si="2"/>
        <v>0.84420045948814249</v>
      </c>
    </row>
    <row r="32" spans="1:8" ht="15.75">
      <c r="A32" s="149" t="s">
        <v>168</v>
      </c>
      <c r="B32" s="150">
        <v>50</v>
      </c>
      <c r="C32" s="150">
        <v>671.81</v>
      </c>
      <c r="D32" s="150">
        <v>1350.4</v>
      </c>
      <c r="E32" s="150">
        <v>67520</v>
      </c>
      <c r="F32" s="150">
        <v>33929.5</v>
      </c>
      <c r="G32" s="151">
        <f t="shared" si="0"/>
        <v>33590.5</v>
      </c>
      <c r="H32" s="191">
        <f t="shared" si="2"/>
        <v>1.0100921391464848</v>
      </c>
    </row>
    <row r="33" spans="1:8" ht="15.75">
      <c r="A33" s="149" t="s">
        <v>169</v>
      </c>
      <c r="B33" s="150">
        <v>209</v>
      </c>
      <c r="C33" s="150">
        <v>174.63</v>
      </c>
      <c r="D33" s="150">
        <v>458.95</v>
      </c>
      <c r="E33" s="150">
        <v>95920.55</v>
      </c>
      <c r="F33" s="150">
        <v>59423.8</v>
      </c>
      <c r="G33" s="151">
        <f t="shared" si="0"/>
        <v>36496.75</v>
      </c>
      <c r="H33" s="191">
        <f t="shared" si="2"/>
        <v>1.6281942912725107</v>
      </c>
    </row>
    <row r="34" spans="1:8" ht="15.75">
      <c r="A34" s="149" t="s">
        <v>170</v>
      </c>
      <c r="B34" s="150">
        <v>323</v>
      </c>
      <c r="C34" s="150">
        <v>83.87</v>
      </c>
      <c r="D34" s="150">
        <v>204.25</v>
      </c>
      <c r="E34" s="150">
        <v>65972.75</v>
      </c>
      <c r="F34" s="150">
        <v>38881.75</v>
      </c>
      <c r="G34" s="151">
        <f t="shared" si="0"/>
        <v>27091</v>
      </c>
      <c r="H34" s="191">
        <f t="shared" si="2"/>
        <v>1.4352275663504486</v>
      </c>
    </row>
    <row r="35" spans="1:8" ht="15.75">
      <c r="A35" s="149" t="s">
        <v>280</v>
      </c>
      <c r="B35" s="150">
        <v>217</v>
      </c>
      <c r="C35" s="150">
        <v>379.33</v>
      </c>
      <c r="D35" s="150">
        <v>340</v>
      </c>
      <c r="E35" s="150">
        <v>73780</v>
      </c>
      <c r="F35" s="150">
        <v>-8534.5</v>
      </c>
      <c r="G35" s="151">
        <f t="shared" si="0"/>
        <v>82314.5</v>
      </c>
      <c r="H35" s="191">
        <f t="shared" si="2"/>
        <v>-0.10368161138074095</v>
      </c>
    </row>
    <row r="36" spans="1:8" ht="15.75">
      <c r="A36" s="149" t="s">
        <v>172</v>
      </c>
      <c r="B36" s="150">
        <v>18</v>
      </c>
      <c r="C36" s="150">
        <v>1556.41</v>
      </c>
      <c r="D36" s="150">
        <v>2884.35</v>
      </c>
      <c r="E36" s="150">
        <v>51918.3</v>
      </c>
      <c r="F36" s="150">
        <v>23902.95</v>
      </c>
      <c r="G36" s="151">
        <f t="shared" si="0"/>
        <v>28015.350000000002</v>
      </c>
      <c r="H36" s="191">
        <f t="shared" si="2"/>
        <v>0.85320904432748468</v>
      </c>
    </row>
    <row r="37" spans="1:8" ht="15.75">
      <c r="A37" s="149" t="s">
        <v>281</v>
      </c>
      <c r="B37" s="150">
        <v>85</v>
      </c>
      <c r="C37" s="150">
        <v>313.68</v>
      </c>
      <c r="D37" s="150">
        <v>570.20000000000005</v>
      </c>
      <c r="E37" s="150">
        <v>48467</v>
      </c>
      <c r="F37" s="150">
        <v>21803.95</v>
      </c>
      <c r="G37" s="151">
        <f t="shared" si="0"/>
        <v>26663.05</v>
      </c>
      <c r="H37" s="191">
        <f t="shared" si="2"/>
        <v>0.81775903356892787</v>
      </c>
    </row>
    <row r="38" spans="1:8" ht="15.75">
      <c r="A38" s="149" t="s">
        <v>174</v>
      </c>
      <c r="B38" s="150">
        <v>67</v>
      </c>
      <c r="C38" s="150">
        <v>1067.9000000000001</v>
      </c>
      <c r="D38" s="150">
        <v>1758.2</v>
      </c>
      <c r="E38" s="150">
        <v>117799.4</v>
      </c>
      <c r="F38" s="150">
        <v>46250.400000000001</v>
      </c>
      <c r="G38" s="151">
        <f t="shared" si="0"/>
        <v>71549</v>
      </c>
      <c r="H38" s="191">
        <f t="shared" si="2"/>
        <v>0.64641574305720562</v>
      </c>
    </row>
    <row r="39" spans="1:8" ht="15.75">
      <c r="A39" s="149" t="s">
        <v>175</v>
      </c>
      <c r="B39" s="150">
        <v>34</v>
      </c>
      <c r="C39" s="150">
        <v>1623.57</v>
      </c>
      <c r="D39" s="150">
        <v>1737.8</v>
      </c>
      <c r="E39" s="150">
        <v>59085.2</v>
      </c>
      <c r="F39" s="150">
        <v>3883.7</v>
      </c>
      <c r="G39" s="151">
        <f t="shared" si="0"/>
        <v>55201.5</v>
      </c>
      <c r="H39" s="191">
        <f t="shared" si="2"/>
        <v>7.0354972238073243E-2</v>
      </c>
    </row>
    <row r="40" spans="1:8" ht="15.75">
      <c r="A40" s="149" t="s">
        <v>176</v>
      </c>
      <c r="B40" s="150">
        <v>123</v>
      </c>
      <c r="C40" s="150">
        <v>593.58000000000004</v>
      </c>
      <c r="D40" s="150">
        <v>722.9</v>
      </c>
      <c r="E40" s="150">
        <v>88916.7</v>
      </c>
      <c r="F40" s="150">
        <v>15906.95</v>
      </c>
      <c r="G40" s="151">
        <f t="shared" si="0"/>
        <v>73009.75</v>
      </c>
      <c r="H40" s="191">
        <f t="shared" si="2"/>
        <v>0.21787432500453707</v>
      </c>
    </row>
    <row r="41" spans="1:8" ht="15.75">
      <c r="A41" s="149" t="s">
        <v>177</v>
      </c>
      <c r="B41" s="150">
        <v>10</v>
      </c>
      <c r="C41" s="150">
        <v>2735.04</v>
      </c>
      <c r="D41" s="150">
        <v>5020.5</v>
      </c>
      <c r="E41" s="150">
        <v>50205</v>
      </c>
      <c r="F41" s="150">
        <v>22854.6</v>
      </c>
      <c r="G41" s="151">
        <f t="shared" si="0"/>
        <v>27350.400000000001</v>
      </c>
      <c r="H41" s="191">
        <f t="shared" si="2"/>
        <v>0.83562214812214808</v>
      </c>
    </row>
    <row r="42" spans="1:8" ht="15.75">
      <c r="A42" s="149" t="s">
        <v>282</v>
      </c>
      <c r="B42" s="150">
        <v>28</v>
      </c>
      <c r="C42" s="150">
        <v>2303.96</v>
      </c>
      <c r="D42" s="150">
        <v>2538.35</v>
      </c>
      <c r="E42" s="150">
        <v>71073.8</v>
      </c>
      <c r="F42" s="150">
        <v>6563</v>
      </c>
      <c r="G42" s="151">
        <f t="shared" si="0"/>
        <v>64510.8</v>
      </c>
      <c r="H42" s="191">
        <f t="shared" si="2"/>
        <v>0.10173490330301282</v>
      </c>
    </row>
    <row r="43" spans="1:8" ht="15.75">
      <c r="A43" s="149" t="s">
        <v>178</v>
      </c>
      <c r="B43" s="150">
        <v>73</v>
      </c>
      <c r="C43" s="150">
        <v>589.26</v>
      </c>
      <c r="D43" s="150">
        <v>1291</v>
      </c>
      <c r="E43" s="150">
        <v>94243</v>
      </c>
      <c r="F43" s="150">
        <v>51227.35</v>
      </c>
      <c r="G43" s="151">
        <f t="shared" si="0"/>
        <v>43015.65</v>
      </c>
      <c r="H43" s="191">
        <f t="shared" si="2"/>
        <v>1.1909002886158875</v>
      </c>
    </row>
    <row r="44" spans="1:8" ht="15.75">
      <c r="A44" s="149" t="s">
        <v>179</v>
      </c>
      <c r="B44" s="150">
        <v>54</v>
      </c>
      <c r="C44" s="150">
        <v>1308.5899999999999</v>
      </c>
      <c r="D44" s="150">
        <v>1918</v>
      </c>
      <c r="E44" s="150">
        <v>103572</v>
      </c>
      <c r="F44" s="150">
        <v>32907.9</v>
      </c>
      <c r="G44" s="151">
        <f t="shared" si="0"/>
        <v>70664.100000000006</v>
      </c>
      <c r="H44" s="191">
        <f t="shared" si="2"/>
        <v>0.46569474457326987</v>
      </c>
    </row>
    <row r="45" spans="1:8" ht="15.75">
      <c r="A45" s="149" t="s">
        <v>180</v>
      </c>
      <c r="B45" s="150">
        <v>107</v>
      </c>
      <c r="C45" s="150">
        <v>472.02</v>
      </c>
      <c r="D45" s="150">
        <v>743.7</v>
      </c>
      <c r="E45" s="150">
        <v>79575.899999999994</v>
      </c>
      <c r="F45" s="150">
        <v>29070</v>
      </c>
      <c r="G45" s="151">
        <f t="shared" si="0"/>
        <v>50505.899999999994</v>
      </c>
      <c r="H45" s="191">
        <f t="shared" si="2"/>
        <v>0.57557631880631777</v>
      </c>
    </row>
    <row r="46" spans="1:8" ht="15.75">
      <c r="A46" s="149" t="s">
        <v>284</v>
      </c>
      <c r="B46" s="150">
        <v>35</v>
      </c>
      <c r="C46" s="150">
        <v>917.94</v>
      </c>
      <c r="D46" s="150">
        <v>1062.55</v>
      </c>
      <c r="E46" s="150">
        <v>37189.25</v>
      </c>
      <c r="F46" s="150">
        <v>5061.3500000000004</v>
      </c>
      <c r="G46" s="151">
        <f t="shared" si="0"/>
        <v>32127.9</v>
      </c>
      <c r="H46" s="191">
        <f t="shared" si="2"/>
        <v>0.15753752968603613</v>
      </c>
    </row>
    <row r="47" spans="1:8" ht="15.75">
      <c r="A47" s="149" t="s">
        <v>181</v>
      </c>
      <c r="B47" s="150">
        <v>57</v>
      </c>
      <c r="C47" s="150">
        <v>1521.67</v>
      </c>
      <c r="D47" s="150">
        <v>1761.6</v>
      </c>
      <c r="E47" s="150">
        <v>100411.2</v>
      </c>
      <c r="F47" s="150">
        <v>13675.8</v>
      </c>
      <c r="G47" s="151">
        <f t="shared" si="0"/>
        <v>86735.4</v>
      </c>
      <c r="H47" s="191">
        <f t="shared" si="2"/>
        <v>0.1576726457709309</v>
      </c>
    </row>
    <row r="48" spans="1:8" ht="15.75">
      <c r="A48" s="149" t="s">
        <v>182</v>
      </c>
      <c r="B48" s="150">
        <v>759</v>
      </c>
      <c r="C48" s="150">
        <v>229.74</v>
      </c>
      <c r="D48" s="150">
        <v>490.55</v>
      </c>
      <c r="E48" s="150">
        <v>372327.45</v>
      </c>
      <c r="F48" s="150">
        <v>197951.9</v>
      </c>
      <c r="G48" s="151">
        <f t="shared" si="0"/>
        <v>174375.55000000002</v>
      </c>
      <c r="H48" s="191">
        <f t="shared" si="2"/>
        <v>1.1352044481006653</v>
      </c>
    </row>
    <row r="49" spans="1:8" ht="15.75">
      <c r="A49" s="149" t="s">
        <v>183</v>
      </c>
      <c r="B49" s="150">
        <v>35</v>
      </c>
      <c r="C49" s="150">
        <v>858.14</v>
      </c>
      <c r="D49" s="150">
        <v>1948</v>
      </c>
      <c r="E49" s="150">
        <v>68180</v>
      </c>
      <c r="F49" s="150">
        <v>38145.199999999997</v>
      </c>
      <c r="G49" s="151">
        <f t="shared" si="0"/>
        <v>30034.800000000003</v>
      </c>
      <c r="H49" s="191">
        <f t="shared" si="2"/>
        <v>1.2700334278903136</v>
      </c>
    </row>
    <row r="50" spans="1:8" ht="15.75">
      <c r="A50" s="149" t="s">
        <v>184</v>
      </c>
      <c r="B50" s="150">
        <v>329</v>
      </c>
      <c r="C50" s="150">
        <v>121.11</v>
      </c>
      <c r="D50" s="150">
        <v>227</v>
      </c>
      <c r="E50" s="150">
        <v>74683</v>
      </c>
      <c r="F50" s="150">
        <v>34838.25</v>
      </c>
      <c r="G50" s="151">
        <f t="shared" si="0"/>
        <v>39844.75</v>
      </c>
      <c r="H50" s="191">
        <f t="shared" si="2"/>
        <v>0.87434982023980579</v>
      </c>
    </row>
    <row r="51" spans="1:8" ht="15.75">
      <c r="A51" s="149" t="s">
        <v>185</v>
      </c>
      <c r="B51" s="150">
        <v>55</v>
      </c>
      <c r="C51" s="150">
        <v>1723.54</v>
      </c>
      <c r="D51" s="150">
        <v>1744.85</v>
      </c>
      <c r="E51" s="150">
        <v>95966.75</v>
      </c>
      <c r="F51" s="150">
        <v>1171.8</v>
      </c>
      <c r="G51" s="151">
        <f t="shared" si="0"/>
        <v>94794.95</v>
      </c>
      <c r="H51" s="191">
        <f t="shared" si="2"/>
        <v>1.2361417986928629E-2</v>
      </c>
    </row>
    <row r="52" spans="1:8" ht="15.75">
      <c r="A52" s="149" t="s">
        <v>186</v>
      </c>
      <c r="B52" s="150">
        <v>67</v>
      </c>
      <c r="C52" s="150">
        <v>676.11</v>
      </c>
      <c r="D52" s="150">
        <v>1424.25</v>
      </c>
      <c r="E52" s="150">
        <v>95424.75</v>
      </c>
      <c r="F52" s="150">
        <v>50125.35</v>
      </c>
      <c r="G52" s="151">
        <f t="shared" si="0"/>
        <v>45299.4</v>
      </c>
      <c r="H52" s="191">
        <f t="shared" si="2"/>
        <v>1.1065345236360746</v>
      </c>
    </row>
    <row r="53" spans="1:8" ht="15.75">
      <c r="A53" s="149" t="s">
        <v>187</v>
      </c>
      <c r="B53" s="150">
        <v>20</v>
      </c>
      <c r="C53" s="150">
        <v>2295.38</v>
      </c>
      <c r="D53" s="150">
        <v>3082.75</v>
      </c>
      <c r="E53" s="150">
        <v>61655</v>
      </c>
      <c r="F53" s="150">
        <v>15747.4</v>
      </c>
      <c r="G53" s="151">
        <f t="shared" si="0"/>
        <v>45907.6</v>
      </c>
      <c r="H53" s="191">
        <f t="shared" si="2"/>
        <v>0.34302381305056245</v>
      </c>
    </row>
    <row r="54" spans="1:8" ht="15.75">
      <c r="A54" s="149" t="s">
        <v>188</v>
      </c>
      <c r="B54" s="150">
        <v>62</v>
      </c>
      <c r="C54" s="150">
        <v>1053.22</v>
      </c>
      <c r="D54" s="150">
        <v>3626.35</v>
      </c>
      <c r="E54" s="150">
        <v>224833.7</v>
      </c>
      <c r="F54" s="150">
        <v>159534.35</v>
      </c>
      <c r="G54" s="151">
        <f t="shared" si="0"/>
        <v>65299.350000000006</v>
      </c>
      <c r="H54" s="191">
        <f t="shared" si="2"/>
        <v>2.4431230938745943</v>
      </c>
    </row>
    <row r="55" spans="1:8" ht="15.75">
      <c r="A55" s="149" t="s">
        <v>286</v>
      </c>
      <c r="B55" s="150">
        <v>25</v>
      </c>
      <c r="C55" s="150">
        <v>4933.3100000000004</v>
      </c>
      <c r="D55" s="150">
        <v>5715.55</v>
      </c>
      <c r="E55" s="150">
        <v>142888.75</v>
      </c>
      <c r="F55" s="150">
        <v>19555.919999999998</v>
      </c>
      <c r="G55" s="151">
        <f t="shared" si="0"/>
        <v>123332.83</v>
      </c>
      <c r="H55" s="191">
        <f t="shared" si="2"/>
        <v>0.15856216061854736</v>
      </c>
    </row>
    <row r="56" spans="1:8" ht="15.75">
      <c r="A56" s="149" t="s">
        <v>287</v>
      </c>
      <c r="B56" s="150">
        <v>26</v>
      </c>
      <c r="C56" s="150">
        <v>2259</v>
      </c>
      <c r="D56" s="150">
        <v>2201.8000000000002</v>
      </c>
      <c r="E56" s="150">
        <v>57246.8</v>
      </c>
      <c r="F56" s="150">
        <v>-1487.2</v>
      </c>
      <c r="G56" s="151">
        <f t="shared" si="0"/>
        <v>58734</v>
      </c>
      <c r="H56" s="191">
        <f t="shared" si="2"/>
        <v>-2.5320938468348826E-2</v>
      </c>
    </row>
    <row r="57" spans="1:8" ht="15.75">
      <c r="A57" s="149" t="s">
        <v>189</v>
      </c>
      <c r="B57" s="150">
        <v>15</v>
      </c>
      <c r="C57" s="150">
        <v>1077.04</v>
      </c>
      <c r="D57" s="150">
        <v>2817.65</v>
      </c>
      <c r="E57" s="150">
        <v>42264.75</v>
      </c>
      <c r="F57" s="150">
        <v>26109.200000000001</v>
      </c>
      <c r="G57" s="151">
        <f t="shared" si="0"/>
        <v>16155.55</v>
      </c>
      <c r="H57" s="191">
        <f t="shared" si="2"/>
        <v>1.6161133480444803</v>
      </c>
    </row>
    <row r="58" spans="1:8" ht="15.75">
      <c r="A58" s="149" t="s">
        <v>190</v>
      </c>
      <c r="B58" s="150">
        <v>28</v>
      </c>
      <c r="C58" s="150">
        <v>2226.31</v>
      </c>
      <c r="D58" s="150">
        <v>2661.85</v>
      </c>
      <c r="E58" s="150">
        <v>74531.8</v>
      </c>
      <c r="F58" s="150">
        <v>12195.1</v>
      </c>
      <c r="G58" s="151">
        <f t="shared" si="0"/>
        <v>62336.700000000004</v>
      </c>
      <c r="H58" s="191">
        <f t="shared" si="2"/>
        <v>0.19563274924723317</v>
      </c>
    </row>
    <row r="59" spans="1:8" ht="15.75">
      <c r="A59" s="149" t="s">
        <v>191</v>
      </c>
      <c r="B59" s="150">
        <v>114</v>
      </c>
      <c r="C59" s="150">
        <v>490.12</v>
      </c>
      <c r="D59" s="150">
        <v>649</v>
      </c>
      <c r="E59" s="150">
        <v>73986</v>
      </c>
      <c r="F59" s="150">
        <v>18112.349999999999</v>
      </c>
      <c r="G59" s="151">
        <f t="shared" si="0"/>
        <v>55873.65</v>
      </c>
      <c r="H59" s="191">
        <f t="shared" si="2"/>
        <v>0.32416622146575352</v>
      </c>
    </row>
    <row r="60" spans="1:8" ht="15.75">
      <c r="A60" s="149" t="s">
        <v>192</v>
      </c>
      <c r="B60" s="150">
        <v>73</v>
      </c>
      <c r="C60" s="150">
        <v>735.56</v>
      </c>
      <c r="D60" s="150">
        <v>1286.25</v>
      </c>
      <c r="E60" s="150">
        <v>93896.25</v>
      </c>
      <c r="F60" s="150">
        <v>40200.1</v>
      </c>
      <c r="G60" s="151">
        <f t="shared" si="0"/>
        <v>53696.15</v>
      </c>
      <c r="H60" s="191">
        <f t="shared" si="2"/>
        <v>0.74865888895200117</v>
      </c>
    </row>
    <row r="61" spans="1:8" ht="15.75">
      <c r="A61" s="149" t="s">
        <v>193</v>
      </c>
      <c r="B61" s="150">
        <v>75</v>
      </c>
      <c r="C61" s="150">
        <v>337.52</v>
      </c>
      <c r="D61" s="150">
        <v>374.82</v>
      </c>
      <c r="E61" s="150">
        <v>28111.5</v>
      </c>
      <c r="F61" s="150">
        <v>2797.33</v>
      </c>
      <c r="G61" s="151">
        <f t="shared" si="0"/>
        <v>25314.17</v>
      </c>
      <c r="H61" s="191">
        <f t="shared" si="2"/>
        <v>0.11050451189985688</v>
      </c>
    </row>
    <row r="62" spans="1:8" ht="15.75">
      <c r="A62" s="149" t="s">
        <v>194</v>
      </c>
      <c r="B62" s="150">
        <v>255</v>
      </c>
      <c r="C62" s="150">
        <v>99.4</v>
      </c>
      <c r="D62" s="150">
        <v>182.55</v>
      </c>
      <c r="E62" s="150">
        <v>46550.25</v>
      </c>
      <c r="F62" s="150">
        <v>21202.75</v>
      </c>
      <c r="G62" s="151">
        <f t="shared" si="0"/>
        <v>25347.5</v>
      </c>
      <c r="H62" s="191">
        <f t="shared" si="2"/>
        <v>0.83648288785876324</v>
      </c>
    </row>
    <row r="63" spans="1:8" ht="15.75">
      <c r="A63" s="149" t="s">
        <v>195</v>
      </c>
      <c r="B63" s="150">
        <v>37</v>
      </c>
      <c r="C63" s="150">
        <v>2300.56</v>
      </c>
      <c r="D63" s="150">
        <v>2901</v>
      </c>
      <c r="E63" s="150">
        <v>107337</v>
      </c>
      <c r="F63" s="150">
        <v>22216.25</v>
      </c>
      <c r="G63" s="151">
        <f t="shared" si="0"/>
        <v>85120.75</v>
      </c>
      <c r="H63" s="191">
        <f t="shared" si="2"/>
        <v>0.26099687796453863</v>
      </c>
    </row>
    <row r="64" spans="1:8" ht="15.75">
      <c r="A64" s="149" t="s">
        <v>196</v>
      </c>
      <c r="B64" s="150">
        <v>21</v>
      </c>
      <c r="C64" s="150">
        <v>2605.84</v>
      </c>
      <c r="D64" s="150">
        <v>2282.3000000000002</v>
      </c>
      <c r="E64" s="150">
        <v>47928.3</v>
      </c>
      <c r="F64" s="150">
        <v>-6794.3</v>
      </c>
      <c r="G64" s="151">
        <f t="shared" si="0"/>
        <v>54722.600000000006</v>
      </c>
      <c r="H64" s="191">
        <f t="shared" si="2"/>
        <v>-0.12415893981645608</v>
      </c>
    </row>
    <row r="65" spans="1:8" ht="15.75">
      <c r="A65" s="149" t="s">
        <v>266</v>
      </c>
      <c r="B65" s="150">
        <v>145</v>
      </c>
      <c r="C65" s="150">
        <v>127.63</v>
      </c>
      <c r="D65" s="150">
        <v>144.9</v>
      </c>
      <c r="E65" s="150">
        <v>21010.5</v>
      </c>
      <c r="F65" s="150">
        <v>2504.4</v>
      </c>
      <c r="G65" s="151">
        <f t="shared" si="0"/>
        <v>18506.099999999999</v>
      </c>
      <c r="H65" s="191">
        <f t="shared" si="2"/>
        <v>0.13532835119230957</v>
      </c>
    </row>
    <row r="66" spans="1:8" ht="15.75">
      <c r="A66" s="149" t="s">
        <v>198</v>
      </c>
      <c r="B66" s="150">
        <v>88</v>
      </c>
      <c r="C66" s="150">
        <v>582.44000000000005</v>
      </c>
      <c r="D66" s="150">
        <v>1973.3</v>
      </c>
      <c r="E66" s="150">
        <v>173650.4</v>
      </c>
      <c r="F66" s="150">
        <v>122395.35</v>
      </c>
      <c r="G66" s="151">
        <f t="shared" ref="G66:G97" si="3">E66-F66</f>
        <v>51255.049999999988</v>
      </c>
      <c r="H66" s="191">
        <f t="shared" si="2"/>
        <v>2.3879666491399392</v>
      </c>
    </row>
    <row r="67" spans="1:8" ht="15.75">
      <c r="A67" s="149" t="s">
        <v>199</v>
      </c>
      <c r="B67" s="150">
        <v>12</v>
      </c>
      <c r="C67" s="150">
        <v>4216.4799999999996</v>
      </c>
      <c r="D67" s="150">
        <v>10850</v>
      </c>
      <c r="E67" s="150">
        <v>130200</v>
      </c>
      <c r="F67" s="150">
        <v>79602.3</v>
      </c>
      <c r="G67" s="151">
        <f t="shared" si="3"/>
        <v>50597.7</v>
      </c>
      <c r="H67" s="191">
        <f t="shared" si="2"/>
        <v>1.5732394950758632</v>
      </c>
    </row>
    <row r="68" spans="1:8" ht="15.75">
      <c r="A68" s="149" t="s">
        <v>200</v>
      </c>
      <c r="B68" s="150">
        <v>300</v>
      </c>
      <c r="C68" s="150">
        <v>82.33</v>
      </c>
      <c r="D68" s="150">
        <v>271.85000000000002</v>
      </c>
      <c r="E68" s="150">
        <v>81555</v>
      </c>
      <c r="F68" s="150">
        <v>56855</v>
      </c>
      <c r="G68" s="151">
        <f t="shared" si="3"/>
        <v>24700</v>
      </c>
      <c r="H68" s="191">
        <f t="shared" si="2"/>
        <v>2.3018218623481781</v>
      </c>
    </row>
    <row r="69" spans="1:8" ht="15.75">
      <c r="A69" s="149" t="s">
        <v>201</v>
      </c>
      <c r="B69" s="150">
        <v>20</v>
      </c>
      <c r="C69" s="150">
        <v>2053.08</v>
      </c>
      <c r="D69" s="150">
        <v>5389</v>
      </c>
      <c r="E69" s="150">
        <v>107780</v>
      </c>
      <c r="F69" s="150">
        <v>66718.350000000006</v>
      </c>
      <c r="G69" s="151">
        <f t="shared" si="3"/>
        <v>41061.649999999994</v>
      </c>
      <c r="H69" s="191">
        <f t="shared" si="2"/>
        <v>1.6248336343035414</v>
      </c>
    </row>
    <row r="70" spans="1:8" ht="15.75">
      <c r="A70" s="149" t="s">
        <v>202</v>
      </c>
      <c r="B70" s="150">
        <v>44</v>
      </c>
      <c r="C70" s="150">
        <v>684.86</v>
      </c>
      <c r="D70" s="150">
        <v>1551.45</v>
      </c>
      <c r="E70" s="150">
        <v>68263.8</v>
      </c>
      <c r="F70" s="150">
        <v>38130.1</v>
      </c>
      <c r="G70" s="151">
        <f t="shared" si="3"/>
        <v>30133.700000000004</v>
      </c>
      <c r="H70" s="191">
        <f t="shared" si="2"/>
        <v>1.2653640276501057</v>
      </c>
    </row>
    <row r="71" spans="1:8" ht="15.75">
      <c r="A71" s="149" t="s">
        <v>203</v>
      </c>
      <c r="B71" s="150">
        <v>30</v>
      </c>
      <c r="C71" s="150">
        <v>2499.15</v>
      </c>
      <c r="D71" s="150">
        <v>3152.75</v>
      </c>
      <c r="E71" s="150">
        <v>94582.5</v>
      </c>
      <c r="F71" s="150">
        <v>19608.150000000001</v>
      </c>
      <c r="G71" s="151">
        <f t="shared" si="3"/>
        <v>74974.350000000006</v>
      </c>
      <c r="H71" s="191">
        <f t="shared" si="2"/>
        <v>0.2615314437537638</v>
      </c>
    </row>
    <row r="72" spans="1:8" ht="15.75">
      <c r="A72" s="149" t="s">
        <v>288</v>
      </c>
      <c r="B72" s="150">
        <v>47</v>
      </c>
      <c r="C72" s="150">
        <v>1828.05</v>
      </c>
      <c r="D72" s="150">
        <v>1706.3</v>
      </c>
      <c r="E72" s="150">
        <v>80196.100000000006</v>
      </c>
      <c r="F72" s="150">
        <v>-5722.25</v>
      </c>
      <c r="G72" s="151">
        <f t="shared" si="3"/>
        <v>85918.35</v>
      </c>
      <c r="H72" s="191">
        <f t="shared" si="2"/>
        <v>-6.6601022947949992E-2</v>
      </c>
    </row>
    <row r="73" spans="1:8" ht="15.75">
      <c r="A73" s="149" t="s">
        <v>204</v>
      </c>
      <c r="B73" s="150">
        <v>24</v>
      </c>
      <c r="C73" s="150">
        <v>625.94000000000005</v>
      </c>
      <c r="D73" s="150">
        <v>1639.75</v>
      </c>
      <c r="E73" s="150">
        <v>39354</v>
      </c>
      <c r="F73" s="150">
        <v>24331.5</v>
      </c>
      <c r="G73" s="151">
        <f t="shared" si="3"/>
        <v>15022.5</v>
      </c>
      <c r="H73" s="191">
        <f t="shared" si="2"/>
        <v>1.619670494258612</v>
      </c>
    </row>
    <row r="74" spans="1:8" ht="15.75">
      <c r="A74" s="149" t="s">
        <v>205</v>
      </c>
      <c r="B74" s="150">
        <v>20</v>
      </c>
      <c r="C74" s="150">
        <v>1000</v>
      </c>
      <c r="D74" s="150">
        <v>1115</v>
      </c>
      <c r="E74" s="150">
        <v>22300</v>
      </c>
      <c r="F74" s="150">
        <v>0</v>
      </c>
      <c r="G74" s="151">
        <f t="shared" si="3"/>
        <v>22300</v>
      </c>
      <c r="H74" s="191">
        <f t="shared" si="2"/>
        <v>0</v>
      </c>
    </row>
    <row r="75" spans="1:8" ht="15.75">
      <c r="A75" s="149" t="s">
        <v>299</v>
      </c>
      <c r="B75" s="150">
        <v>49</v>
      </c>
      <c r="C75" s="150">
        <v>952.78</v>
      </c>
      <c r="D75" s="150">
        <v>781.55</v>
      </c>
      <c r="E75" s="150">
        <v>38295.949999999997</v>
      </c>
      <c r="F75" s="150">
        <v>-8390.2000000000007</v>
      </c>
      <c r="G75" s="151">
        <f t="shared" si="3"/>
        <v>46686.149999999994</v>
      </c>
      <c r="H75" s="191">
        <f t="shared" si="2"/>
        <v>-0.17971496900044234</v>
      </c>
    </row>
    <row r="76" spans="1:8" ht="15.75">
      <c r="A76" s="149" t="s">
        <v>206</v>
      </c>
      <c r="B76" s="150">
        <v>54</v>
      </c>
      <c r="C76" s="150">
        <v>1278.8599999999999</v>
      </c>
      <c r="D76" s="150">
        <v>1634</v>
      </c>
      <c r="E76" s="150">
        <v>88236</v>
      </c>
      <c r="F76" s="150">
        <v>19177.7</v>
      </c>
      <c r="G76" s="151">
        <f t="shared" si="3"/>
        <v>69058.3</v>
      </c>
      <c r="H76" s="191">
        <f t="shared" si="2"/>
        <v>0.27770304221215986</v>
      </c>
    </row>
    <row r="77" spans="1:8" ht="15.75">
      <c r="A77" s="149" t="s">
        <v>207</v>
      </c>
      <c r="B77" s="150">
        <v>72</v>
      </c>
      <c r="C77" s="150">
        <v>355.35</v>
      </c>
      <c r="D77" s="150">
        <v>821.2</v>
      </c>
      <c r="E77" s="150">
        <v>59126.400000000001</v>
      </c>
      <c r="F77" s="150">
        <v>33541.15</v>
      </c>
      <c r="G77" s="151">
        <f t="shared" si="3"/>
        <v>25585.25</v>
      </c>
      <c r="H77" s="191">
        <f t="shared" si="2"/>
        <v>1.3109565081443411</v>
      </c>
    </row>
    <row r="78" spans="1:8" ht="15.75">
      <c r="A78" s="149" t="s">
        <v>208</v>
      </c>
      <c r="B78" s="150">
        <v>10</v>
      </c>
      <c r="C78" s="150">
        <v>5284</v>
      </c>
      <c r="D78" s="150">
        <v>8306</v>
      </c>
      <c r="E78" s="150">
        <v>83060</v>
      </c>
      <c r="F78" s="150">
        <v>30220</v>
      </c>
      <c r="G78" s="151">
        <f t="shared" si="3"/>
        <v>52840</v>
      </c>
      <c r="H78" s="191">
        <f t="shared" si="2"/>
        <v>0.57191521574564719</v>
      </c>
    </row>
    <row r="79" spans="1:8" ht="15.75">
      <c r="A79" s="149" t="s">
        <v>209</v>
      </c>
      <c r="B79" s="150">
        <v>5</v>
      </c>
      <c r="C79" s="150">
        <v>4802</v>
      </c>
      <c r="D79" s="150">
        <v>8317.01</v>
      </c>
      <c r="E79" s="150">
        <v>41585.050000000003</v>
      </c>
      <c r="F79" s="150">
        <v>17575.05</v>
      </c>
      <c r="G79" s="151">
        <f t="shared" si="3"/>
        <v>24010.000000000004</v>
      </c>
      <c r="H79" s="191">
        <f t="shared" si="2"/>
        <v>0.73198875468554758</v>
      </c>
    </row>
    <row r="80" spans="1:8" ht="15.75">
      <c r="A80" s="149" t="s">
        <v>210</v>
      </c>
      <c r="B80" s="150">
        <v>10</v>
      </c>
      <c r="C80" s="150">
        <v>5002.45</v>
      </c>
      <c r="D80" s="150">
        <v>8416.36</v>
      </c>
      <c r="E80" s="150">
        <v>84163.6</v>
      </c>
      <c r="F80" s="150">
        <v>34139.1</v>
      </c>
      <c r="G80" s="151">
        <f t="shared" si="3"/>
        <v>50024.500000000007</v>
      </c>
      <c r="H80" s="191">
        <f t="shared" ref="H80:H111" si="4">F80/G80</f>
        <v>0.68244760067566879</v>
      </c>
    </row>
    <row r="81" spans="1:8" ht="15.75">
      <c r="A81" s="149" t="s">
        <v>211</v>
      </c>
      <c r="B81" s="150">
        <v>35</v>
      </c>
      <c r="C81" s="150">
        <v>984.23</v>
      </c>
      <c r="D81" s="150">
        <v>6949.1</v>
      </c>
      <c r="E81" s="150">
        <v>243218.5</v>
      </c>
      <c r="F81" s="150">
        <v>208770.45</v>
      </c>
      <c r="G81" s="151">
        <f t="shared" si="3"/>
        <v>34448.049999999988</v>
      </c>
      <c r="H81" s="191">
        <f t="shared" si="4"/>
        <v>6.0604431890919832</v>
      </c>
    </row>
    <row r="82" spans="1:8" ht="15.75">
      <c r="A82" s="149" t="s">
        <v>289</v>
      </c>
      <c r="B82" s="150">
        <v>21</v>
      </c>
      <c r="C82" s="150">
        <v>1808</v>
      </c>
      <c r="D82" s="150">
        <v>1590</v>
      </c>
      <c r="E82" s="150">
        <v>33390</v>
      </c>
      <c r="F82" s="150">
        <v>-4578</v>
      </c>
      <c r="G82" s="151">
        <f t="shared" si="3"/>
        <v>37968</v>
      </c>
      <c r="H82" s="191">
        <f t="shared" si="4"/>
        <v>-0.12057522123893805</v>
      </c>
    </row>
    <row r="83" spans="1:8" ht="15.75">
      <c r="A83" s="149" t="s">
        <v>290</v>
      </c>
      <c r="B83" s="150">
        <v>62</v>
      </c>
      <c r="C83" s="150">
        <v>592.30999999999995</v>
      </c>
      <c r="D83" s="150">
        <v>698.5</v>
      </c>
      <c r="E83" s="150">
        <v>43307</v>
      </c>
      <c r="F83" s="150">
        <v>6583.65</v>
      </c>
      <c r="G83" s="151">
        <f t="shared" si="3"/>
        <v>36723.35</v>
      </c>
      <c r="H83" s="191">
        <f t="shared" si="4"/>
        <v>0.17927694504994779</v>
      </c>
    </row>
    <row r="84" spans="1:8" ht="15.75">
      <c r="A84" s="149" t="s">
        <v>291</v>
      </c>
      <c r="B84" s="150">
        <v>201</v>
      </c>
      <c r="C84" s="150">
        <v>547.6</v>
      </c>
      <c r="D84" s="150">
        <v>512.65</v>
      </c>
      <c r="E84" s="150">
        <v>103042.65</v>
      </c>
      <c r="F84" s="150">
        <v>-7025.15</v>
      </c>
      <c r="G84" s="151">
        <f t="shared" si="3"/>
        <v>110067.79999999999</v>
      </c>
      <c r="H84" s="191">
        <f t="shared" si="4"/>
        <v>-6.3825660183995686E-2</v>
      </c>
    </row>
    <row r="85" spans="1:8" ht="15.75">
      <c r="A85" s="149" t="s">
        <v>292</v>
      </c>
      <c r="B85" s="150">
        <v>51</v>
      </c>
      <c r="C85" s="150">
        <v>958.21</v>
      </c>
      <c r="D85" s="150">
        <v>1341.95</v>
      </c>
      <c r="E85" s="150">
        <v>68439.45</v>
      </c>
      <c r="F85" s="150">
        <v>19570.900000000001</v>
      </c>
      <c r="G85" s="151">
        <f t="shared" si="3"/>
        <v>48868.549999999996</v>
      </c>
      <c r="H85" s="191">
        <f t="shared" si="4"/>
        <v>0.40048047261480041</v>
      </c>
    </row>
    <row r="86" spans="1:8" ht="15.75">
      <c r="A86" s="149" t="s">
        <v>212</v>
      </c>
      <c r="B86" s="150">
        <v>143</v>
      </c>
      <c r="C86" s="150">
        <v>579.84</v>
      </c>
      <c r="D86" s="150">
        <v>1858.7</v>
      </c>
      <c r="E86" s="150">
        <v>265794.09999999998</v>
      </c>
      <c r="F86" s="150">
        <v>182876.95</v>
      </c>
      <c r="G86" s="151">
        <f t="shared" si="3"/>
        <v>82917.149999999965</v>
      </c>
      <c r="H86" s="191">
        <f t="shared" si="4"/>
        <v>2.2055382993747386</v>
      </c>
    </row>
    <row r="87" spans="1:8" ht="15.75">
      <c r="A87" s="149" t="s">
        <v>293</v>
      </c>
      <c r="B87" s="150">
        <v>83</v>
      </c>
      <c r="C87" s="150">
        <v>396.43</v>
      </c>
      <c r="D87" s="150">
        <v>522.5</v>
      </c>
      <c r="E87" s="150">
        <v>43367.5</v>
      </c>
      <c r="F87" s="150">
        <v>10464.200000000001</v>
      </c>
      <c r="G87" s="151">
        <f t="shared" si="3"/>
        <v>32903.300000000003</v>
      </c>
      <c r="H87" s="191">
        <f t="shared" si="4"/>
        <v>0.31802889071916796</v>
      </c>
    </row>
    <row r="88" spans="1:8" ht="15.75">
      <c r="A88" s="149" t="s">
        <v>213</v>
      </c>
      <c r="B88" s="150">
        <v>75</v>
      </c>
      <c r="C88" s="150">
        <v>581.84</v>
      </c>
      <c r="D88" s="150">
        <v>862.9</v>
      </c>
      <c r="E88" s="150">
        <v>64717.5</v>
      </c>
      <c r="F88" s="150">
        <v>21079.5</v>
      </c>
      <c r="G88" s="151">
        <f t="shared" si="3"/>
        <v>43638</v>
      </c>
      <c r="H88" s="191">
        <f t="shared" si="4"/>
        <v>0.48305376048398185</v>
      </c>
    </row>
    <row r="89" spans="1:8" ht="15.75">
      <c r="A89" s="149" t="s">
        <v>214</v>
      </c>
      <c r="B89" s="150">
        <v>46</v>
      </c>
      <c r="C89" s="150">
        <v>794.51</v>
      </c>
      <c r="D89" s="150">
        <v>1005.6</v>
      </c>
      <c r="E89" s="150">
        <v>46257.599999999999</v>
      </c>
      <c r="F89" s="150">
        <v>9710.2999999999993</v>
      </c>
      <c r="G89" s="151">
        <f t="shared" si="3"/>
        <v>36547.300000000003</v>
      </c>
      <c r="H89" s="191">
        <f t="shared" si="4"/>
        <v>0.26569130961794712</v>
      </c>
    </row>
    <row r="90" spans="1:8" ht="15.75">
      <c r="A90" s="149" t="s">
        <v>267</v>
      </c>
      <c r="B90" s="150">
        <v>566</v>
      </c>
      <c r="C90" s="150">
        <v>185.65</v>
      </c>
      <c r="D90" s="150">
        <v>843.6</v>
      </c>
      <c r="E90" s="150">
        <v>477477.6</v>
      </c>
      <c r="F90" s="150">
        <v>372401.87</v>
      </c>
      <c r="G90" s="151">
        <f t="shared" si="3"/>
        <v>105075.72999999998</v>
      </c>
      <c r="H90" s="191">
        <f t="shared" si="4"/>
        <v>3.5441283158346848</v>
      </c>
    </row>
    <row r="91" spans="1:8" ht="15.75">
      <c r="A91" s="149" t="s">
        <v>215</v>
      </c>
      <c r="B91" s="150">
        <v>1050</v>
      </c>
      <c r="C91" s="150">
        <v>40.479999999999997</v>
      </c>
      <c r="D91" s="150">
        <v>149.75</v>
      </c>
      <c r="E91" s="150">
        <v>157237.5</v>
      </c>
      <c r="F91" s="150">
        <v>114737.25</v>
      </c>
      <c r="G91" s="151">
        <f t="shared" si="3"/>
        <v>42500.25</v>
      </c>
      <c r="H91" s="191">
        <f t="shared" si="4"/>
        <v>2.6996841195051795</v>
      </c>
    </row>
    <row r="92" spans="1:8" ht="15.75">
      <c r="A92" s="149" t="s">
        <v>216</v>
      </c>
      <c r="B92" s="150">
        <v>30</v>
      </c>
      <c r="C92" s="150">
        <v>3490.64</v>
      </c>
      <c r="D92" s="150">
        <v>3985.4</v>
      </c>
      <c r="E92" s="150">
        <v>119562</v>
      </c>
      <c r="F92" s="150">
        <v>14842.95</v>
      </c>
      <c r="G92" s="151">
        <f t="shared" si="3"/>
        <v>104719.05</v>
      </c>
      <c r="H92" s="191">
        <f t="shared" si="4"/>
        <v>0.1417406861502277</v>
      </c>
    </row>
    <row r="93" spans="1:8" ht="15.75">
      <c r="A93" s="149" t="s">
        <v>217</v>
      </c>
      <c r="B93" s="150">
        <v>24</v>
      </c>
      <c r="C93" s="150">
        <v>2584.4</v>
      </c>
      <c r="D93" s="150">
        <v>3293.7</v>
      </c>
      <c r="E93" s="150">
        <v>79048.800000000003</v>
      </c>
      <c r="F93" s="150">
        <v>17023.2</v>
      </c>
      <c r="G93" s="151">
        <f>C93*B93</f>
        <v>62025.600000000006</v>
      </c>
      <c r="H93" s="191">
        <f t="shared" si="4"/>
        <v>0.274454418820616</v>
      </c>
    </row>
    <row r="94" spans="1:8" ht="15.75">
      <c r="A94" s="149" t="s">
        <v>220</v>
      </c>
      <c r="B94" s="150">
        <v>45</v>
      </c>
      <c r="C94" s="150">
        <v>355.21</v>
      </c>
      <c r="D94" s="150">
        <v>978.05</v>
      </c>
      <c r="E94" s="150">
        <v>44012.25</v>
      </c>
      <c r="F94" s="150">
        <v>28027.65</v>
      </c>
      <c r="G94" s="151">
        <f t="shared" ref="G94:G96" si="5">C94*B94</f>
        <v>15984.449999999999</v>
      </c>
      <c r="H94" s="191">
        <f t="shared" si="4"/>
        <v>1.7534322419601553</v>
      </c>
    </row>
    <row r="95" spans="1:8" ht="15.75">
      <c r="A95" s="149" t="s">
        <v>221</v>
      </c>
      <c r="B95" s="150">
        <v>90</v>
      </c>
      <c r="C95" s="150">
        <v>48.04</v>
      </c>
      <c r="D95" s="150">
        <v>608.5</v>
      </c>
      <c r="E95" s="150">
        <v>54765</v>
      </c>
      <c r="F95" s="150">
        <v>50441.35</v>
      </c>
      <c r="G95" s="151">
        <f t="shared" si="5"/>
        <v>4323.6000000000004</v>
      </c>
      <c r="H95" s="191">
        <f t="shared" si="4"/>
        <v>11.666516328985104</v>
      </c>
    </row>
    <row r="96" spans="1:8" ht="15.75">
      <c r="A96" s="149" t="s">
        <v>300</v>
      </c>
      <c r="B96" s="150">
        <v>2525</v>
      </c>
      <c r="C96" s="150">
        <v>27.54</v>
      </c>
      <c r="D96" s="150">
        <v>20.71</v>
      </c>
      <c r="E96" s="150">
        <v>52292.75</v>
      </c>
      <c r="F96" s="150">
        <v>-17244.75</v>
      </c>
      <c r="G96" s="151">
        <f t="shared" si="5"/>
        <v>69538.5</v>
      </c>
      <c r="H96" s="191">
        <f t="shared" si="4"/>
        <v>-0.24798852434263033</v>
      </c>
    </row>
    <row r="97" spans="1:8" ht="16.5">
      <c r="A97" s="149"/>
      <c r="B97" s="150"/>
      <c r="C97" s="150"/>
      <c r="D97" s="150"/>
      <c r="E97" s="150"/>
      <c r="F97" s="150"/>
      <c r="G97" s="151">
        <f t="shared" si="3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16683</v>
      </c>
      <c r="C104" s="45"/>
      <c r="D104" s="45"/>
      <c r="E104" s="45">
        <f>SUM(E2:E103)</f>
        <v>8420755.7999999989</v>
      </c>
      <c r="F104" s="45">
        <f>SUM(F2:F103)</f>
        <v>3588134.0500000007</v>
      </c>
      <c r="G104" s="45">
        <f>SUM(G2:G103)</f>
        <v>4832622.5499999989</v>
      </c>
      <c r="H104" s="176">
        <f>F104/G104</f>
        <v>0.74248175041106856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DC53-0A10-4B05-A6F9-E1A1605C8C98}">
  <dimension ref="A1:J18"/>
  <sheetViews>
    <sheetView workbookViewId="0">
      <selection activeCell="I18" sqref="I18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t="s">
        <v>233</v>
      </c>
      <c r="C2" s="188">
        <v>4799.3310000000001</v>
      </c>
      <c r="D2">
        <v>7.69</v>
      </c>
      <c r="E2">
        <v>8.3549000000000007</v>
      </c>
      <c r="F2" s="188">
        <v>40098.0023</v>
      </c>
      <c r="G2" s="188">
        <v>36906.8554</v>
      </c>
      <c r="H2" s="188">
        <f>G2-F2</f>
        <v>-3191.1468999999997</v>
      </c>
      <c r="I2" s="192">
        <f>H2/F2</f>
        <v>-7.9583687888610838E-2</v>
      </c>
    </row>
    <row r="3" spans="1:9">
      <c r="A3" s="168" t="s">
        <v>234</v>
      </c>
      <c r="B3" t="s">
        <v>235</v>
      </c>
      <c r="C3" s="188">
        <v>4080.9659999999999</v>
      </c>
      <c r="D3">
        <v>126.34</v>
      </c>
      <c r="E3">
        <v>68.607799999999997</v>
      </c>
      <c r="F3" s="188">
        <v>279986.10960000003</v>
      </c>
      <c r="G3" s="188">
        <v>515589.24440000003</v>
      </c>
      <c r="H3" s="188">
        <f t="shared" ref="H3:H17" si="0">G3-F3</f>
        <v>235603.1348</v>
      </c>
      <c r="I3" s="192">
        <f t="shared" ref="I3:I18" si="1">H3/F3</f>
        <v>0.84148151183854292</v>
      </c>
    </row>
    <row r="4" spans="1:9">
      <c r="A4" s="168" t="s">
        <v>236</v>
      </c>
      <c r="B4" t="s">
        <v>237</v>
      </c>
      <c r="C4" s="188">
        <v>14235.332</v>
      </c>
      <c r="D4">
        <v>120.64</v>
      </c>
      <c r="E4">
        <v>47.766100000000002</v>
      </c>
      <c r="F4" s="188">
        <v>679966.92570000002</v>
      </c>
      <c r="G4" s="188">
        <v>1717350.4524999999</v>
      </c>
      <c r="H4" s="188">
        <f t="shared" si="0"/>
        <v>1037383.5267999999</v>
      </c>
      <c r="I4" s="192">
        <f t="shared" si="1"/>
        <v>1.5256382150235515</v>
      </c>
    </row>
    <row r="5" spans="1:9">
      <c r="A5" s="168" t="s">
        <v>238</v>
      </c>
      <c r="B5" t="s">
        <v>237</v>
      </c>
      <c r="C5" s="188">
        <v>26878.393</v>
      </c>
      <c r="D5">
        <v>44.43</v>
      </c>
      <c r="E5">
        <v>32.180399999999999</v>
      </c>
      <c r="F5" s="188">
        <v>864956.73950000003</v>
      </c>
      <c r="G5" s="188">
        <v>1194207.0009999999</v>
      </c>
      <c r="H5" s="188">
        <f t="shared" si="0"/>
        <v>329250.26149999991</v>
      </c>
      <c r="I5" s="192">
        <f t="shared" si="1"/>
        <v>0.38065517784198949</v>
      </c>
    </row>
    <row r="6" spans="1:9">
      <c r="A6" s="168" t="s">
        <v>268</v>
      </c>
      <c r="B6" t="s">
        <v>269</v>
      </c>
      <c r="C6">
        <v>32.042000000000002</v>
      </c>
      <c r="D6" s="188">
        <v>3252.6750999999999</v>
      </c>
      <c r="E6" s="188">
        <v>3191.0653000000002</v>
      </c>
      <c r="F6" s="188">
        <v>102248.1142</v>
      </c>
      <c r="G6" s="188">
        <v>104222.2156</v>
      </c>
      <c r="H6" s="188">
        <f t="shared" si="0"/>
        <v>1974.1013999999996</v>
      </c>
      <c r="I6" s="192">
        <f t="shared" si="1"/>
        <v>1.9306971238008414E-2</v>
      </c>
    </row>
    <row r="7" spans="1:9">
      <c r="A7" s="168" t="s">
        <v>301</v>
      </c>
      <c r="B7" t="s">
        <v>241</v>
      </c>
      <c r="C7" s="188">
        <v>1857.5519999999999</v>
      </c>
      <c r="D7">
        <v>747.68529999999998</v>
      </c>
      <c r="E7">
        <v>366.02140000000003</v>
      </c>
      <c r="F7" s="188">
        <v>679903.69869999995</v>
      </c>
      <c r="G7" s="188">
        <v>1388864.3244</v>
      </c>
      <c r="H7" s="188">
        <f t="shared" si="0"/>
        <v>708960.62570000009</v>
      </c>
      <c r="I7" s="192">
        <f t="shared" si="1"/>
        <v>1.0427368273706379</v>
      </c>
    </row>
    <row r="8" spans="1:9">
      <c r="A8" s="168" t="s">
        <v>242</v>
      </c>
      <c r="B8" t="s">
        <v>237</v>
      </c>
      <c r="C8" s="188">
        <v>4306.576</v>
      </c>
      <c r="D8">
        <v>157.91900000000001</v>
      </c>
      <c r="E8">
        <v>44.3917</v>
      </c>
      <c r="F8" s="188">
        <v>191176.2298</v>
      </c>
      <c r="G8" s="188">
        <v>680090.1753</v>
      </c>
      <c r="H8" s="188">
        <f t="shared" si="0"/>
        <v>488913.94550000003</v>
      </c>
      <c r="I8" s="192">
        <f t="shared" si="1"/>
        <v>2.5573992436794044</v>
      </c>
    </row>
    <row r="9" spans="1:9">
      <c r="A9" s="168" t="s">
        <v>272</v>
      </c>
      <c r="B9" t="s">
        <v>235</v>
      </c>
      <c r="C9" s="188">
        <v>5805.7370000000001</v>
      </c>
      <c r="D9">
        <v>149.84899999999999</v>
      </c>
      <c r="E9">
        <v>41.940399999999997</v>
      </c>
      <c r="F9" s="188">
        <v>243495.1642</v>
      </c>
      <c r="G9" s="188">
        <v>869983.88370000001</v>
      </c>
      <c r="H9" s="188">
        <f t="shared" si="0"/>
        <v>626488.71950000001</v>
      </c>
      <c r="I9" s="192">
        <f t="shared" si="1"/>
        <v>2.5729000473513306</v>
      </c>
    </row>
    <row r="10" spans="1:9">
      <c r="A10" s="168" t="s">
        <v>244</v>
      </c>
      <c r="B10" t="s">
        <v>233</v>
      </c>
      <c r="C10" s="188">
        <v>10417.349</v>
      </c>
      <c r="D10">
        <v>35.4407</v>
      </c>
      <c r="E10">
        <v>27.8368</v>
      </c>
      <c r="F10" s="188">
        <v>289985.4731</v>
      </c>
      <c r="G10" s="188">
        <v>369198.14069999999</v>
      </c>
      <c r="H10" s="188">
        <f t="shared" si="0"/>
        <v>79212.667599999986</v>
      </c>
      <c r="I10" s="192">
        <f t="shared" si="1"/>
        <v>0.27316081303384432</v>
      </c>
    </row>
    <row r="11" spans="1:9">
      <c r="A11" s="168" t="s">
        <v>273</v>
      </c>
      <c r="B11" t="s">
        <v>233</v>
      </c>
      <c r="C11" s="188">
        <v>82131.043999999994</v>
      </c>
      <c r="D11">
        <v>14.8933</v>
      </c>
      <c r="E11">
        <v>9.9227000000000007</v>
      </c>
      <c r="F11" s="188">
        <v>814959.2439</v>
      </c>
      <c r="G11" s="188">
        <v>1223202.2775999999</v>
      </c>
      <c r="H11" s="188">
        <f t="shared" si="0"/>
        <v>408243.03369999991</v>
      </c>
      <c r="I11" s="192">
        <f t="shared" si="1"/>
        <v>0.50093674837817237</v>
      </c>
    </row>
    <row r="12" spans="1:9">
      <c r="A12" s="168" t="s">
        <v>246</v>
      </c>
      <c r="B12" t="s">
        <v>241</v>
      </c>
      <c r="C12" s="188">
        <v>69154.267500000002</v>
      </c>
      <c r="D12">
        <v>15.6783</v>
      </c>
      <c r="E12">
        <v>12.587199999999999</v>
      </c>
      <c r="F12" s="188">
        <v>870456.48289999994</v>
      </c>
      <c r="G12" s="188">
        <v>1084221.3521</v>
      </c>
      <c r="H12" s="188">
        <f t="shared" si="0"/>
        <v>213764.86920000007</v>
      </c>
      <c r="I12" s="192">
        <f t="shared" si="1"/>
        <v>0.24557789320819831</v>
      </c>
    </row>
    <row r="13" spans="1:9">
      <c r="A13" s="168" t="s">
        <v>247</v>
      </c>
      <c r="B13" t="s">
        <v>241</v>
      </c>
      <c r="C13" s="188">
        <v>33541.464</v>
      </c>
      <c r="D13">
        <v>16.455400000000001</v>
      </c>
      <c r="E13">
        <v>13.7286</v>
      </c>
      <c r="F13" s="188">
        <v>460476.96870000003</v>
      </c>
      <c r="G13" s="188">
        <v>551938.20669999998</v>
      </c>
      <c r="H13" s="188">
        <f t="shared" si="0"/>
        <v>91461.237999999954</v>
      </c>
      <c r="I13" s="192">
        <f t="shared" si="1"/>
        <v>0.19862282853843835</v>
      </c>
    </row>
    <row r="14" spans="1:9">
      <c r="A14" s="168" t="s">
        <v>250</v>
      </c>
      <c r="B14" t="s">
        <v>251</v>
      </c>
      <c r="C14" s="188">
        <v>19397.659</v>
      </c>
      <c r="D14">
        <v>85.981399999999994</v>
      </c>
      <c r="E14">
        <v>44.640599999999999</v>
      </c>
      <c r="F14" s="188">
        <v>865923.00470000005</v>
      </c>
      <c r="G14" s="188">
        <v>1667837.8774999999</v>
      </c>
      <c r="H14" s="188">
        <f t="shared" si="0"/>
        <v>801914.8727999999</v>
      </c>
      <c r="I14" s="192">
        <f t="shared" si="1"/>
        <v>0.92608103543550524</v>
      </c>
    </row>
    <row r="15" spans="1:9">
      <c r="A15" s="168" t="s">
        <v>274</v>
      </c>
      <c r="B15" t="s">
        <v>233</v>
      </c>
      <c r="C15" s="188">
        <v>6809.741</v>
      </c>
      <c r="D15">
        <v>47.45</v>
      </c>
      <c r="E15">
        <v>35.241999999999997</v>
      </c>
      <c r="F15" s="188">
        <v>239988.8371</v>
      </c>
      <c r="G15" s="188">
        <v>323122.21039999998</v>
      </c>
      <c r="H15" s="188">
        <f t="shared" si="0"/>
        <v>83133.373299999977</v>
      </c>
      <c r="I15" s="192">
        <f t="shared" si="1"/>
        <v>0.34640516744268174</v>
      </c>
    </row>
    <row r="16" spans="1:9">
      <c r="A16" s="168" t="s">
        <v>253</v>
      </c>
      <c r="B16" t="s">
        <v>235</v>
      </c>
      <c r="C16" s="188">
        <v>4128.2780000000002</v>
      </c>
      <c r="D16">
        <v>253.53319999999999</v>
      </c>
      <c r="E16">
        <v>189.01779999999999</v>
      </c>
      <c r="F16" s="188">
        <v>780318.08609999996</v>
      </c>
      <c r="G16" s="188">
        <v>1046655.5318</v>
      </c>
      <c r="H16" s="188">
        <f t="shared" si="0"/>
        <v>266337.44570000004</v>
      </c>
      <c r="I16" s="192">
        <f t="shared" si="1"/>
        <v>0.34131907288109192</v>
      </c>
    </row>
    <row r="17" spans="1:10">
      <c r="A17" s="168" t="s">
        <v>255</v>
      </c>
      <c r="B17" t="s">
        <v>241</v>
      </c>
      <c r="C17" s="188">
        <v>18996.168000000001</v>
      </c>
      <c r="D17">
        <v>25.648</v>
      </c>
      <c r="E17">
        <v>9.4700000000000006</v>
      </c>
      <c r="F17" s="188">
        <v>179893.71100000001</v>
      </c>
      <c r="G17" s="188">
        <v>487213.7169</v>
      </c>
      <c r="H17" s="188">
        <f t="shared" si="0"/>
        <v>307320.00589999999</v>
      </c>
      <c r="I17" s="192">
        <f t="shared" si="1"/>
        <v>1.7083421326496508</v>
      </c>
    </row>
    <row r="18" spans="1:10">
      <c r="A18" s="74" t="s">
        <v>11</v>
      </c>
      <c r="B18" s="75"/>
      <c r="C18" s="75">
        <f>SUM(C2:C17)</f>
        <v>306571.8995</v>
      </c>
      <c r="D18" s="75"/>
      <c r="E18" s="75"/>
      <c r="F18" s="75">
        <f>SUM(F2:F17)</f>
        <v>7583832.7915000003</v>
      </c>
      <c r="G18" s="75">
        <f>SUM(G2:G17)</f>
        <v>13260603.466</v>
      </c>
      <c r="H18" s="75">
        <f>G18-F18</f>
        <v>5676770.6744999997</v>
      </c>
      <c r="I18" s="53">
        <f t="shared" si="1"/>
        <v>0.74853584336175694</v>
      </c>
      <c r="J18" s="202"/>
    </row>
  </sheetData>
  <hyperlinks>
    <hyperlink ref="A2" r:id="rId1" location="/mf/1831632/41287/NULL" xr:uid="{21FB88FE-E8DF-4250-B481-557608EAAFD3}"/>
    <hyperlink ref="A3" r:id="rId2" location="/mf/1831632/15690/NULL" xr:uid="{7F9D9478-A1B7-4306-A57E-3C27C27179EA}"/>
    <hyperlink ref="A4" r:id="rId3" location="/mf/1831632/22335/NULL" xr:uid="{44ECBAC5-7ADC-44B6-A7C7-1F0E232AE6D4}"/>
    <hyperlink ref="A5" r:id="rId4" location="/mf/1831632/38817/NULL" xr:uid="{DCF0E199-9A0C-46D0-94D9-55BDE6E1D8C2}"/>
    <hyperlink ref="A6" r:id="rId5" location="/mf/1831632/16576/NULL" xr:uid="{E2A85404-ECA2-40B6-975C-9E3B603C8736}"/>
    <hyperlink ref="A7" r:id="rId6" location="/mf/1831632/16071/NULL" xr:uid="{55A8F440-B3C6-44F3-84A0-7A2871EC6515}"/>
    <hyperlink ref="A8" r:id="rId7" location="/mf/1831632/16617/NULL" xr:uid="{3EF77AA4-C122-4F08-9AED-434471FF5F92}"/>
    <hyperlink ref="A9" r:id="rId8" location="/mf/1831632/17134/NULL" xr:uid="{1241EE1F-A092-410B-AB36-452932FC9875}"/>
    <hyperlink ref="A10" r:id="rId9" location="/mf/1831632/38228/NULL" xr:uid="{56FF9AF3-7B48-4FFC-899D-AB75A49AF3A2}"/>
    <hyperlink ref="A11" r:id="rId10" location="/mf/1831632/42135/NULL" xr:uid="{B056D594-082E-4756-85EF-EEAC8D7E8581}"/>
    <hyperlink ref="A12" r:id="rId11" location="/mf/1831632/41574/NULL" xr:uid="{1B7031BA-2306-4808-8E6F-FFE2172B15A0}"/>
    <hyperlink ref="A13" r:id="rId12" location="/mf/1831632/41937/NULL" xr:uid="{AF19AC32-A269-4A6C-9FFC-4C8D8BA9D7BA}"/>
    <hyperlink ref="A14" r:id="rId13" location="/mf/1831632/19701/NULL" xr:uid="{504953A1-9F42-4D3E-8464-69B4C87A9422}"/>
    <hyperlink ref="A15" r:id="rId14" location="/mf/1831632/17348/NULL" xr:uid="{35460A59-3B78-49F7-9B4A-56729E5A8F3B}"/>
    <hyperlink ref="A16" r:id="rId15" location="/mf/1831632/17375/NULL" xr:uid="{9E555C43-91E7-48CC-AEA7-591986603AC9}"/>
    <hyperlink ref="A17" r:id="rId16" location="/mf/1831632/36491/NULL" xr:uid="{B6ABF00F-8F10-4E2D-9E83-4463F3EDC67D}"/>
  </hyperlinks>
  <pageMargins left="0.7" right="0.7" top="0.75" bottom="0.75" header="0.3" footer="0.3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20D7-C0D2-4F59-BDC2-327B59075867}">
  <dimension ref="A1:I10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258</v>
      </c>
      <c r="B2" s="150">
        <v>100</v>
      </c>
      <c r="C2" s="150">
        <v>109.73</v>
      </c>
      <c r="D2" s="150">
        <v>101</v>
      </c>
      <c r="E2" s="150">
        <v>10100</v>
      </c>
      <c r="F2" s="150">
        <v>-872.5</v>
      </c>
      <c r="G2" s="151">
        <f t="shared" ref="G2:G65" si="0">E2-F2</f>
        <v>10972.5</v>
      </c>
      <c r="H2" s="191">
        <f t="shared" ref="H2:H14" si="1">F2/G2</f>
        <v>-7.9516974253816361E-2</v>
      </c>
    </row>
    <row r="3" spans="1:8" ht="15.75">
      <c r="A3" s="149" t="s">
        <v>264</v>
      </c>
      <c r="B3" s="150">
        <v>13</v>
      </c>
      <c r="C3" s="150">
        <v>133.75</v>
      </c>
      <c r="D3" s="150">
        <v>1299.25</v>
      </c>
      <c r="E3" s="150">
        <v>16890.25</v>
      </c>
      <c r="F3" s="150">
        <v>15151.5</v>
      </c>
      <c r="G3" s="151">
        <f t="shared" si="0"/>
        <v>1738.75</v>
      </c>
      <c r="H3" s="191">
        <f t="shared" si="1"/>
        <v>8.7140186915887856</v>
      </c>
    </row>
    <row r="4" spans="1:8" ht="15.75">
      <c r="A4" s="149" t="s">
        <v>144</v>
      </c>
      <c r="B4" s="150">
        <v>19</v>
      </c>
      <c r="C4" s="150">
        <v>489.54</v>
      </c>
      <c r="D4" s="150">
        <v>3253.6</v>
      </c>
      <c r="E4" s="150">
        <v>61818.400000000001</v>
      </c>
      <c r="F4" s="150">
        <v>52517.2</v>
      </c>
      <c r="G4" s="151">
        <f t="shared" si="0"/>
        <v>9301.2000000000044</v>
      </c>
      <c r="H4" s="191">
        <f t="shared" si="1"/>
        <v>5.6462822001462145</v>
      </c>
    </row>
    <row r="5" spans="1:8" ht="15.75">
      <c r="A5" s="149" t="s">
        <v>145</v>
      </c>
      <c r="B5" s="150">
        <v>250</v>
      </c>
      <c r="C5" s="150">
        <v>183.59</v>
      </c>
      <c r="D5" s="150">
        <v>550.75</v>
      </c>
      <c r="E5" s="150">
        <v>137687.5</v>
      </c>
      <c r="F5" s="150">
        <v>91790</v>
      </c>
      <c r="G5" s="151">
        <f t="shared" si="0"/>
        <v>45897.5</v>
      </c>
      <c r="H5" s="191">
        <f t="shared" si="1"/>
        <v>1.9998910616046626</v>
      </c>
    </row>
    <row r="6" spans="1:8" ht="15.75">
      <c r="A6" s="149" t="s">
        <v>275</v>
      </c>
      <c r="B6" s="150">
        <v>165</v>
      </c>
      <c r="C6" s="150">
        <v>160.15</v>
      </c>
      <c r="D6" s="150">
        <v>238.13</v>
      </c>
      <c r="E6" s="150">
        <v>39291.449999999997</v>
      </c>
      <c r="F6" s="150">
        <v>12866.7</v>
      </c>
      <c r="G6" s="151">
        <f t="shared" si="0"/>
        <v>26424.749999999996</v>
      </c>
      <c r="H6" s="191">
        <f t="shared" si="1"/>
        <v>0.48691851389322521</v>
      </c>
    </row>
    <row r="7" spans="1:8" ht="15.75">
      <c r="A7" s="149" t="s">
        <v>276</v>
      </c>
      <c r="B7" s="150">
        <v>28</v>
      </c>
      <c r="C7" s="150">
        <v>2757.87</v>
      </c>
      <c r="D7" s="150">
        <v>3277.35</v>
      </c>
      <c r="E7" s="150">
        <v>91765.8</v>
      </c>
      <c r="F7" s="150">
        <v>14545.4</v>
      </c>
      <c r="G7" s="151">
        <f t="shared" si="0"/>
        <v>77220.400000000009</v>
      </c>
      <c r="H7" s="191">
        <f t="shared" si="1"/>
        <v>0.18836214264624371</v>
      </c>
    </row>
    <row r="8" spans="1:8" ht="15.75">
      <c r="A8" s="149" t="s">
        <v>277</v>
      </c>
      <c r="B8" s="150">
        <v>97</v>
      </c>
      <c r="C8" s="150">
        <v>578.23</v>
      </c>
      <c r="D8" s="150">
        <v>732.7</v>
      </c>
      <c r="E8" s="150">
        <v>71071.899999999994</v>
      </c>
      <c r="F8" s="150">
        <v>14983.7</v>
      </c>
      <c r="G8" s="151">
        <f t="shared" si="0"/>
        <v>56088.2</v>
      </c>
      <c r="H8" s="191">
        <f t="shared" si="1"/>
        <v>0.2671453175534248</v>
      </c>
    </row>
    <row r="9" spans="1:8" ht="15.75">
      <c r="A9" s="149" t="s">
        <v>146</v>
      </c>
      <c r="B9" s="150">
        <v>62</v>
      </c>
      <c r="C9" s="150">
        <v>708.24</v>
      </c>
      <c r="D9" s="150">
        <v>1225.9000000000001</v>
      </c>
      <c r="E9" s="150">
        <v>76005.8</v>
      </c>
      <c r="F9" s="150">
        <v>32095.200000000001</v>
      </c>
      <c r="G9" s="151">
        <f t="shared" si="0"/>
        <v>43910.600000000006</v>
      </c>
      <c r="H9" s="191">
        <f t="shared" si="1"/>
        <v>0.73092146315468243</v>
      </c>
    </row>
    <row r="10" spans="1:8" ht="15.75">
      <c r="A10" s="149" t="s">
        <v>147</v>
      </c>
      <c r="B10" s="150">
        <v>20</v>
      </c>
      <c r="C10" s="150">
        <v>3008.26</v>
      </c>
      <c r="D10" s="150">
        <v>12157.45</v>
      </c>
      <c r="E10" s="150">
        <v>243149</v>
      </c>
      <c r="F10" s="150">
        <v>182983.75</v>
      </c>
      <c r="G10" s="151">
        <f t="shared" si="0"/>
        <v>60165.25</v>
      </c>
      <c r="H10" s="191">
        <f t="shared" si="1"/>
        <v>3.0413527742342965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7703</v>
      </c>
      <c r="E11" s="150">
        <v>61624</v>
      </c>
      <c r="F11" s="150">
        <v>7775.65</v>
      </c>
      <c r="G11" s="151">
        <f t="shared" si="0"/>
        <v>53848.35</v>
      </c>
      <c r="H11" s="191">
        <f t="shared" si="1"/>
        <v>0.14439903915347452</v>
      </c>
    </row>
    <row r="12" spans="1:8" ht="15.75">
      <c r="A12" s="149" t="s">
        <v>149</v>
      </c>
      <c r="B12" s="150">
        <v>15</v>
      </c>
      <c r="C12" s="150">
        <v>2427.4699999999998</v>
      </c>
      <c r="D12" s="150">
        <v>3062.1</v>
      </c>
      <c r="E12" s="150">
        <v>45931.5</v>
      </c>
      <c r="F12" s="150">
        <v>9519.5</v>
      </c>
      <c r="G12" s="151">
        <f t="shared" si="0"/>
        <v>36412</v>
      </c>
      <c r="H12" s="191">
        <f t="shared" si="1"/>
        <v>0.26143853674612766</v>
      </c>
    </row>
    <row r="13" spans="1:8" ht="15.75">
      <c r="A13" s="149" t="s">
        <v>150</v>
      </c>
      <c r="B13" s="150">
        <v>184</v>
      </c>
      <c r="C13" s="150">
        <v>185</v>
      </c>
      <c r="D13" s="150">
        <v>248.91</v>
      </c>
      <c r="E13" s="150">
        <v>45799.44</v>
      </c>
      <c r="F13" s="150">
        <v>11759.44</v>
      </c>
      <c r="G13" s="151">
        <f t="shared" si="0"/>
        <v>34040</v>
      </c>
      <c r="H13" s="191">
        <f t="shared" si="1"/>
        <v>0.34545945945945949</v>
      </c>
    </row>
    <row r="14" spans="1:8" ht="15.75">
      <c r="A14" s="149" t="s">
        <v>152</v>
      </c>
      <c r="B14" s="150">
        <v>180</v>
      </c>
      <c r="C14" s="150">
        <v>322.89</v>
      </c>
      <c r="D14" s="150">
        <v>1703</v>
      </c>
      <c r="E14" s="150">
        <v>306540</v>
      </c>
      <c r="F14" s="150">
        <v>248420</v>
      </c>
      <c r="G14" s="151">
        <f t="shared" si="0"/>
        <v>58120</v>
      </c>
      <c r="H14" s="191">
        <f t="shared" si="1"/>
        <v>4.274260151410874</v>
      </c>
    </row>
    <row r="15" spans="1:8" ht="15.75">
      <c r="A15" s="149" t="s">
        <v>153</v>
      </c>
      <c r="B15" s="150">
        <v>40</v>
      </c>
      <c r="C15" s="150">
        <v>446.04</v>
      </c>
      <c r="D15" s="150">
        <v>1405</v>
      </c>
      <c r="E15" s="150">
        <v>56200</v>
      </c>
      <c r="F15" s="150">
        <v>38358.400000000001</v>
      </c>
      <c r="G15" s="151">
        <f t="shared" si="0"/>
        <v>17841.599999999999</v>
      </c>
      <c r="H15" s="191">
        <v>0</v>
      </c>
    </row>
    <row r="16" spans="1:8" ht="15.75">
      <c r="A16" s="149" t="s">
        <v>154</v>
      </c>
      <c r="B16" s="150">
        <v>14</v>
      </c>
      <c r="C16" s="150">
        <v>3489.94</v>
      </c>
      <c r="D16" s="150">
        <v>6446.1</v>
      </c>
      <c r="E16" s="150">
        <v>90245.4</v>
      </c>
      <c r="F16" s="150">
        <v>41386.300000000003</v>
      </c>
      <c r="G16" s="151">
        <f t="shared" si="0"/>
        <v>48859.099999999991</v>
      </c>
      <c r="H16" s="191">
        <f t="shared" ref="H16:H79" si="2">F16/G16</f>
        <v>0.84705407999738047</v>
      </c>
    </row>
    <row r="17" spans="1:8" ht="15.75">
      <c r="A17" s="149" t="s">
        <v>278</v>
      </c>
      <c r="B17" s="150">
        <v>345</v>
      </c>
      <c r="C17" s="150">
        <v>107.29</v>
      </c>
      <c r="D17" s="150">
        <v>110.45</v>
      </c>
      <c r="E17" s="150">
        <v>38105.25</v>
      </c>
      <c r="F17" s="150">
        <v>1090.2</v>
      </c>
      <c r="G17" s="151">
        <f t="shared" si="0"/>
        <v>37015.050000000003</v>
      </c>
      <c r="H17" s="191">
        <f t="shared" si="2"/>
        <v>2.9452884705005126E-2</v>
      </c>
    </row>
    <row r="18" spans="1:8" ht="15.75">
      <c r="A18" s="149" t="s">
        <v>155</v>
      </c>
      <c r="B18" s="150">
        <v>180</v>
      </c>
      <c r="C18" s="150">
        <v>155.25</v>
      </c>
      <c r="D18" s="150">
        <v>244.57</v>
      </c>
      <c r="E18" s="150">
        <v>44022.6</v>
      </c>
      <c r="F18" s="150">
        <v>16077.6</v>
      </c>
      <c r="G18" s="151">
        <f t="shared" si="0"/>
        <v>27945</v>
      </c>
      <c r="H18" s="191">
        <f t="shared" si="2"/>
        <v>0.5753301127214171</v>
      </c>
    </row>
    <row r="19" spans="1:8" ht="15.75">
      <c r="A19" s="149" t="s">
        <v>156</v>
      </c>
      <c r="B19" s="150">
        <v>88</v>
      </c>
      <c r="C19" s="150">
        <v>373.58</v>
      </c>
      <c r="D19" s="150">
        <v>566</v>
      </c>
      <c r="E19" s="150">
        <v>49808</v>
      </c>
      <c r="F19" s="150">
        <v>16933.150000000001</v>
      </c>
      <c r="G19" s="151">
        <f t="shared" si="0"/>
        <v>32874.85</v>
      </c>
      <c r="H19" s="191">
        <f t="shared" si="2"/>
        <v>0.51507915625470546</v>
      </c>
    </row>
    <row r="20" spans="1:8" ht="15.75">
      <c r="A20" s="149" t="s">
        <v>157</v>
      </c>
      <c r="B20" s="150">
        <v>45</v>
      </c>
      <c r="C20" s="150">
        <v>990.66</v>
      </c>
      <c r="D20" s="150">
        <v>1664.85</v>
      </c>
      <c r="E20" s="150">
        <v>74918.25</v>
      </c>
      <c r="F20" s="150">
        <v>30338.400000000001</v>
      </c>
      <c r="G20" s="151">
        <f t="shared" si="0"/>
        <v>44579.85</v>
      </c>
      <c r="H20" s="191">
        <f t="shared" si="2"/>
        <v>0.6805406478487479</v>
      </c>
    </row>
    <row r="21" spans="1:8" ht="15.75">
      <c r="A21" s="149" t="s">
        <v>158</v>
      </c>
      <c r="B21" s="150">
        <v>470</v>
      </c>
      <c r="C21" s="150">
        <v>194.39</v>
      </c>
      <c r="D21" s="150">
        <v>508.5</v>
      </c>
      <c r="E21" s="150">
        <v>238995</v>
      </c>
      <c r="F21" s="150">
        <v>147631.5</v>
      </c>
      <c r="G21" s="151">
        <f t="shared" si="0"/>
        <v>91363.5</v>
      </c>
      <c r="H21" s="191">
        <f t="shared" si="2"/>
        <v>1.6158695759247401</v>
      </c>
    </row>
    <row r="22" spans="1:8" ht="15.75">
      <c r="A22" s="149" t="s">
        <v>159</v>
      </c>
      <c r="B22" s="150">
        <v>13</v>
      </c>
      <c r="C22" s="150">
        <v>4545.26</v>
      </c>
      <c r="D22" s="150">
        <v>7108.5</v>
      </c>
      <c r="E22" s="150">
        <v>92410.5</v>
      </c>
      <c r="F22" s="150">
        <v>33322.1</v>
      </c>
      <c r="G22" s="151">
        <f t="shared" si="0"/>
        <v>59088.4</v>
      </c>
      <c r="H22" s="191">
        <f t="shared" si="2"/>
        <v>0.56393640714590343</v>
      </c>
    </row>
    <row r="23" spans="1:8" ht="15.75">
      <c r="A23" s="149" t="s">
        <v>160</v>
      </c>
      <c r="B23" s="150">
        <v>21</v>
      </c>
      <c r="C23" s="150">
        <v>1503.03</v>
      </c>
      <c r="D23" s="150">
        <v>3820.15</v>
      </c>
      <c r="E23" s="150">
        <v>80223.149999999994</v>
      </c>
      <c r="F23" s="150">
        <v>48659.45</v>
      </c>
      <c r="G23" s="151">
        <f t="shared" si="0"/>
        <v>31563.699999999997</v>
      </c>
      <c r="H23" s="191">
        <f t="shared" si="2"/>
        <v>1.5416269322037657</v>
      </c>
    </row>
    <row r="24" spans="1:8" ht="15.75">
      <c r="A24" s="149" t="s">
        <v>279</v>
      </c>
      <c r="B24" s="150">
        <v>98</v>
      </c>
      <c r="C24" s="150">
        <v>555.05999999999995</v>
      </c>
      <c r="D24" s="150">
        <v>618.04999999999995</v>
      </c>
      <c r="E24" s="150">
        <v>60568.9</v>
      </c>
      <c r="F24" s="150">
        <v>6172.85</v>
      </c>
      <c r="G24" s="151">
        <f t="shared" si="0"/>
        <v>54396.05</v>
      </c>
      <c r="H24" s="191">
        <f t="shared" si="2"/>
        <v>0.11347974715075819</v>
      </c>
    </row>
    <row r="25" spans="1:8" ht="15.75">
      <c r="A25" s="149" t="s">
        <v>161</v>
      </c>
      <c r="B25" s="150">
        <v>72</v>
      </c>
      <c r="C25" s="150">
        <v>531.82000000000005</v>
      </c>
      <c r="D25" s="150">
        <v>913</v>
      </c>
      <c r="E25" s="150">
        <v>65736</v>
      </c>
      <c r="F25" s="150">
        <v>27444.9</v>
      </c>
      <c r="G25" s="151">
        <f t="shared" si="0"/>
        <v>38291.1</v>
      </c>
      <c r="H25" s="191">
        <f t="shared" si="2"/>
        <v>0.71674357748928608</v>
      </c>
    </row>
    <row r="26" spans="1:8" ht="15.75">
      <c r="A26" s="149" t="s">
        <v>162</v>
      </c>
      <c r="B26" s="150">
        <v>14</v>
      </c>
      <c r="C26" s="150">
        <v>3289.33</v>
      </c>
      <c r="D26" s="150">
        <v>4954.75</v>
      </c>
      <c r="E26" s="150">
        <v>69366.5</v>
      </c>
      <c r="F26" s="150">
        <v>23315.95</v>
      </c>
      <c r="G26" s="151">
        <f t="shared" si="0"/>
        <v>46050.55</v>
      </c>
      <c r="H26" s="191">
        <f t="shared" si="2"/>
        <v>0.50631208530625582</v>
      </c>
    </row>
    <row r="27" spans="1:8" ht="15.75">
      <c r="A27" s="149" t="s">
        <v>163</v>
      </c>
      <c r="B27" s="150">
        <v>12</v>
      </c>
      <c r="C27" s="150">
        <v>4963</v>
      </c>
      <c r="D27" s="150">
        <v>6756</v>
      </c>
      <c r="E27" s="150">
        <v>81072</v>
      </c>
      <c r="F27" s="150">
        <v>21516.05</v>
      </c>
      <c r="G27" s="151">
        <f t="shared" si="0"/>
        <v>59555.95</v>
      </c>
      <c r="H27" s="191">
        <f t="shared" si="2"/>
        <v>0.36127456618524262</v>
      </c>
    </row>
    <row r="28" spans="1:8" ht="15.75">
      <c r="A28" s="149" t="s">
        <v>164</v>
      </c>
      <c r="B28" s="150">
        <v>11</v>
      </c>
      <c r="C28" s="150">
        <v>3144.55</v>
      </c>
      <c r="D28" s="150">
        <v>4972.6499999999996</v>
      </c>
      <c r="E28" s="150">
        <v>54699.15</v>
      </c>
      <c r="F28" s="150">
        <v>20109.150000000001</v>
      </c>
      <c r="G28" s="151">
        <f t="shared" si="0"/>
        <v>34590</v>
      </c>
      <c r="H28" s="191">
        <f t="shared" si="2"/>
        <v>0.58135732870771906</v>
      </c>
    </row>
    <row r="29" spans="1:8" ht="15.75">
      <c r="A29" s="149" t="s">
        <v>270</v>
      </c>
      <c r="B29" s="150">
        <v>92</v>
      </c>
      <c r="C29" s="150">
        <v>359.33</v>
      </c>
      <c r="D29" s="150">
        <v>391</v>
      </c>
      <c r="E29" s="150">
        <v>35972</v>
      </c>
      <c r="F29" s="150">
        <v>2913.72</v>
      </c>
      <c r="G29" s="151">
        <f t="shared" si="0"/>
        <v>33058.28</v>
      </c>
      <c r="H29" s="191">
        <f t="shared" si="2"/>
        <v>8.8138886838637701E-2</v>
      </c>
    </row>
    <row r="30" spans="1:8" ht="15.75">
      <c r="A30" s="149" t="s">
        <v>166</v>
      </c>
      <c r="B30" s="150">
        <v>16</v>
      </c>
      <c r="C30" s="150">
        <v>1304.44</v>
      </c>
      <c r="D30" s="150">
        <v>2388</v>
      </c>
      <c r="E30" s="150">
        <v>38208</v>
      </c>
      <c r="F30" s="150">
        <v>17336.95</v>
      </c>
      <c r="G30" s="151">
        <f t="shared" si="0"/>
        <v>20871.05</v>
      </c>
      <c r="H30" s="191">
        <f t="shared" si="2"/>
        <v>0.83066975547468869</v>
      </c>
    </row>
    <row r="31" spans="1:8" ht="15.75">
      <c r="A31" s="149" t="s">
        <v>168</v>
      </c>
      <c r="B31" s="150">
        <v>50</v>
      </c>
      <c r="C31" s="150">
        <v>671.81</v>
      </c>
      <c r="D31" s="150">
        <v>1324.25</v>
      </c>
      <c r="E31" s="150">
        <v>66212.5</v>
      </c>
      <c r="F31" s="150">
        <v>32622</v>
      </c>
      <c r="G31" s="151">
        <f t="shared" si="0"/>
        <v>33590.5</v>
      </c>
      <c r="H31" s="191">
        <f t="shared" si="2"/>
        <v>0.97116744317589798</v>
      </c>
    </row>
    <row r="32" spans="1:8" ht="15.75">
      <c r="A32" s="149" t="s">
        <v>169</v>
      </c>
      <c r="B32" s="150">
        <v>209</v>
      </c>
      <c r="C32" s="150">
        <v>174.63</v>
      </c>
      <c r="D32" s="150">
        <v>511.55</v>
      </c>
      <c r="E32" s="150">
        <v>106913.95</v>
      </c>
      <c r="F32" s="150">
        <v>70417.2</v>
      </c>
      <c r="G32" s="151">
        <f t="shared" si="0"/>
        <v>36496.75</v>
      </c>
      <c r="H32" s="191">
        <f t="shared" si="2"/>
        <v>1.929410152958825</v>
      </c>
    </row>
    <row r="33" spans="1:8" ht="15.75">
      <c r="A33" s="149" t="s">
        <v>170</v>
      </c>
      <c r="B33" s="150">
        <v>323</v>
      </c>
      <c r="C33" s="150">
        <v>83.87</v>
      </c>
      <c r="D33" s="150">
        <v>197.12</v>
      </c>
      <c r="E33" s="150">
        <v>63669.760000000002</v>
      </c>
      <c r="F33" s="150">
        <v>36578.76</v>
      </c>
      <c r="G33" s="151">
        <f t="shared" si="0"/>
        <v>27091</v>
      </c>
      <c r="H33" s="191">
        <f t="shared" si="2"/>
        <v>1.350218153630357</v>
      </c>
    </row>
    <row r="34" spans="1:8" ht="15.75">
      <c r="A34" s="149" t="s">
        <v>280</v>
      </c>
      <c r="B34" s="150">
        <v>217</v>
      </c>
      <c r="C34" s="150">
        <v>379.33</v>
      </c>
      <c r="D34" s="150">
        <v>379.3</v>
      </c>
      <c r="E34" s="150">
        <v>82308.100000000006</v>
      </c>
      <c r="F34" s="150">
        <v>-6.4</v>
      </c>
      <c r="G34" s="151">
        <f t="shared" si="0"/>
        <v>82314.5</v>
      </c>
      <c r="H34" s="191">
        <f t="shared" si="2"/>
        <v>-7.7750578573641341E-5</v>
      </c>
    </row>
    <row r="35" spans="1:8" ht="15.75">
      <c r="A35" s="149" t="s">
        <v>172</v>
      </c>
      <c r="B35" s="150">
        <v>18</v>
      </c>
      <c r="C35" s="150">
        <v>1556.41</v>
      </c>
      <c r="D35" s="150">
        <v>3252.45</v>
      </c>
      <c r="E35" s="150">
        <v>58544.1</v>
      </c>
      <c r="F35" s="150">
        <v>30528.75</v>
      </c>
      <c r="G35" s="151">
        <f t="shared" si="0"/>
        <v>28015.35</v>
      </c>
      <c r="H35" s="191">
        <f t="shared" si="2"/>
        <v>1.0897151026133889</v>
      </c>
    </row>
    <row r="36" spans="1:8" ht="15.75">
      <c r="A36" s="149" t="s">
        <v>281</v>
      </c>
      <c r="B36" s="150">
        <v>85</v>
      </c>
      <c r="C36" s="150">
        <v>313.68</v>
      </c>
      <c r="D36" s="150">
        <v>579.15</v>
      </c>
      <c r="E36" s="150">
        <v>49227.75</v>
      </c>
      <c r="F36" s="150">
        <v>22564.7</v>
      </c>
      <c r="G36" s="151">
        <f t="shared" si="0"/>
        <v>26663.05</v>
      </c>
      <c r="H36" s="191">
        <f t="shared" si="2"/>
        <v>0.84629102822070246</v>
      </c>
    </row>
    <row r="37" spans="1:8" ht="15.75">
      <c r="A37" s="149" t="s">
        <v>174</v>
      </c>
      <c r="B37" s="150">
        <v>67</v>
      </c>
      <c r="C37" s="150">
        <v>1067.9000000000001</v>
      </c>
      <c r="D37" s="150">
        <v>1816.5</v>
      </c>
      <c r="E37" s="150">
        <v>121705.5</v>
      </c>
      <c r="F37" s="150">
        <v>50156.5</v>
      </c>
      <c r="G37" s="151">
        <f t="shared" si="0"/>
        <v>71549</v>
      </c>
      <c r="H37" s="191">
        <f t="shared" si="2"/>
        <v>0.70100909865965977</v>
      </c>
    </row>
    <row r="38" spans="1:8" ht="15.75">
      <c r="A38" s="149" t="s">
        <v>175</v>
      </c>
      <c r="B38" s="150">
        <v>34</v>
      </c>
      <c r="C38" s="150">
        <v>1623.57</v>
      </c>
      <c r="D38" s="150">
        <v>1726.2</v>
      </c>
      <c r="E38" s="150">
        <v>58690.8</v>
      </c>
      <c r="F38" s="150">
        <v>3489.3</v>
      </c>
      <c r="G38" s="151">
        <f t="shared" si="0"/>
        <v>55201.5</v>
      </c>
      <c r="H38" s="191">
        <f t="shared" si="2"/>
        <v>6.32102388522051E-2</v>
      </c>
    </row>
    <row r="39" spans="1:8" ht="15.75">
      <c r="A39" s="149" t="s">
        <v>176</v>
      </c>
      <c r="B39" s="150">
        <v>123</v>
      </c>
      <c r="C39" s="150">
        <v>593.58000000000004</v>
      </c>
      <c r="D39" s="150">
        <v>710.2</v>
      </c>
      <c r="E39" s="150">
        <v>87354.6</v>
      </c>
      <c r="F39" s="150">
        <v>14344.85</v>
      </c>
      <c r="G39" s="151">
        <f t="shared" si="0"/>
        <v>73009.75</v>
      </c>
      <c r="H39" s="191">
        <f t="shared" si="2"/>
        <v>0.19647855252209465</v>
      </c>
    </row>
    <row r="40" spans="1:8" ht="15.75">
      <c r="A40" s="149" t="s">
        <v>177</v>
      </c>
      <c r="B40" s="150">
        <v>10</v>
      </c>
      <c r="C40" s="150">
        <v>2735.04</v>
      </c>
      <c r="D40" s="150">
        <v>5750.1</v>
      </c>
      <c r="E40" s="150">
        <v>57501</v>
      </c>
      <c r="F40" s="150">
        <v>30150.6</v>
      </c>
      <c r="G40" s="151">
        <f t="shared" si="0"/>
        <v>27350.400000000001</v>
      </c>
      <c r="H40" s="191">
        <f t="shared" si="2"/>
        <v>1.1023824148824148</v>
      </c>
    </row>
    <row r="41" spans="1:8" ht="15.75">
      <c r="A41" s="149" t="s">
        <v>282</v>
      </c>
      <c r="B41" s="150">
        <v>28</v>
      </c>
      <c r="C41" s="150">
        <v>2303.96</v>
      </c>
      <c r="D41" s="150">
        <v>2921.95</v>
      </c>
      <c r="E41" s="150">
        <v>81814.600000000006</v>
      </c>
      <c r="F41" s="150">
        <v>17303.8</v>
      </c>
      <c r="G41" s="151">
        <f t="shared" si="0"/>
        <v>64510.8</v>
      </c>
      <c r="H41" s="191">
        <f t="shared" si="2"/>
        <v>0.26823105588521612</v>
      </c>
    </row>
    <row r="42" spans="1:8" ht="15.75">
      <c r="A42" s="149" t="s">
        <v>178</v>
      </c>
      <c r="B42" s="150">
        <v>73</v>
      </c>
      <c r="C42" s="150">
        <v>589.26</v>
      </c>
      <c r="D42" s="150">
        <v>1274.4000000000001</v>
      </c>
      <c r="E42" s="150">
        <v>93031.2</v>
      </c>
      <c r="F42" s="150">
        <v>50015.55</v>
      </c>
      <c r="G42" s="151">
        <f t="shared" si="0"/>
        <v>43015.649999999994</v>
      </c>
      <c r="H42" s="191">
        <f t="shared" si="2"/>
        <v>1.1627291462525851</v>
      </c>
    </row>
    <row r="43" spans="1:8" ht="15.75">
      <c r="A43" s="149" t="s">
        <v>151</v>
      </c>
      <c r="B43" s="150">
        <v>4000</v>
      </c>
      <c r="C43" s="150">
        <v>49.61</v>
      </c>
      <c r="D43" s="150">
        <v>53.95</v>
      </c>
      <c r="E43" s="150">
        <v>215800</v>
      </c>
      <c r="F43" s="150">
        <v>17365.11</v>
      </c>
      <c r="G43" s="151">
        <f t="shared" si="0"/>
        <v>198434.89</v>
      </c>
      <c r="H43" s="191">
        <f t="shared" si="2"/>
        <v>8.7510366750524565E-2</v>
      </c>
    </row>
    <row r="44" spans="1:8" ht="15.75">
      <c r="A44" s="149" t="s">
        <v>179</v>
      </c>
      <c r="B44" s="150">
        <v>54</v>
      </c>
      <c r="C44" s="150">
        <v>1308.5899999999999</v>
      </c>
      <c r="D44" s="150">
        <v>2150</v>
      </c>
      <c r="E44" s="150">
        <v>116100</v>
      </c>
      <c r="F44" s="150">
        <v>45435.9</v>
      </c>
      <c r="G44" s="151">
        <f t="shared" si="0"/>
        <v>70664.100000000006</v>
      </c>
      <c r="H44" s="191">
        <f t="shared" si="2"/>
        <v>0.64298420272811796</v>
      </c>
    </row>
    <row r="45" spans="1:8" ht="15.75">
      <c r="A45" s="149" t="s">
        <v>180</v>
      </c>
      <c r="B45" s="150">
        <v>107</v>
      </c>
      <c r="C45" s="150">
        <v>472.02</v>
      </c>
      <c r="D45" s="150">
        <v>767.2</v>
      </c>
      <c r="E45" s="150">
        <v>82090.399999999994</v>
      </c>
      <c r="F45" s="150">
        <v>31584.5</v>
      </c>
      <c r="G45" s="151">
        <f t="shared" si="0"/>
        <v>50505.899999999994</v>
      </c>
      <c r="H45" s="191">
        <f t="shared" si="2"/>
        <v>0.6253625814013809</v>
      </c>
    </row>
    <row r="46" spans="1:8" ht="15.75">
      <c r="A46" s="149" t="s">
        <v>284</v>
      </c>
      <c r="B46" s="150">
        <v>35</v>
      </c>
      <c r="C46" s="150">
        <v>917.94</v>
      </c>
      <c r="D46" s="150">
        <v>1409.15</v>
      </c>
      <c r="E46" s="150">
        <v>49320.25</v>
      </c>
      <c r="F46" s="150">
        <v>17192.349999999999</v>
      </c>
      <c r="G46" s="151">
        <f t="shared" si="0"/>
        <v>32127.9</v>
      </c>
      <c r="H46" s="191">
        <f t="shared" si="2"/>
        <v>0.53512212127154268</v>
      </c>
    </row>
    <row r="47" spans="1:8" ht="15.75">
      <c r="A47" s="149" t="s">
        <v>181</v>
      </c>
      <c r="B47" s="150">
        <v>57</v>
      </c>
      <c r="C47" s="150">
        <v>1521.67</v>
      </c>
      <c r="D47" s="150">
        <v>1904.15</v>
      </c>
      <c r="E47" s="150">
        <v>108536.55</v>
      </c>
      <c r="F47" s="150">
        <v>21801.15</v>
      </c>
      <c r="G47" s="151">
        <f t="shared" si="0"/>
        <v>86735.4</v>
      </c>
      <c r="H47" s="191">
        <f t="shared" si="2"/>
        <v>0.25135238898996259</v>
      </c>
    </row>
    <row r="48" spans="1:8" ht="15.75">
      <c r="A48" s="149" t="s">
        <v>182</v>
      </c>
      <c r="B48" s="150">
        <v>759</v>
      </c>
      <c r="C48" s="150">
        <v>229.74</v>
      </c>
      <c r="D48" s="150">
        <v>516.20000000000005</v>
      </c>
      <c r="E48" s="150">
        <v>391795.8</v>
      </c>
      <c r="F48" s="150">
        <v>217420.25</v>
      </c>
      <c r="G48" s="151">
        <f t="shared" si="0"/>
        <v>174375.55</v>
      </c>
      <c r="H48" s="191">
        <f t="shared" si="2"/>
        <v>1.2468505475681655</v>
      </c>
    </row>
    <row r="49" spans="1:8" ht="15.75">
      <c r="A49" s="149" t="s">
        <v>183</v>
      </c>
      <c r="B49" s="150">
        <v>35</v>
      </c>
      <c r="C49" s="150">
        <v>858.14</v>
      </c>
      <c r="D49" s="150">
        <v>1835.4</v>
      </c>
      <c r="E49" s="150">
        <v>64239</v>
      </c>
      <c r="F49" s="150">
        <v>34204.199999999997</v>
      </c>
      <c r="G49" s="151">
        <f t="shared" si="0"/>
        <v>30034.800000000003</v>
      </c>
      <c r="H49" s="191">
        <f t="shared" si="2"/>
        <v>1.1388189699948059</v>
      </c>
    </row>
    <row r="50" spans="1:8" ht="15.75">
      <c r="A50" s="149" t="s">
        <v>184</v>
      </c>
      <c r="B50" s="150">
        <v>329</v>
      </c>
      <c r="C50" s="150">
        <v>121.11</v>
      </c>
      <c r="D50" s="150">
        <v>214.65</v>
      </c>
      <c r="E50" s="150">
        <v>70619.850000000006</v>
      </c>
      <c r="F50" s="150">
        <v>30775.1</v>
      </c>
      <c r="G50" s="151">
        <f t="shared" si="0"/>
        <v>39844.750000000007</v>
      </c>
      <c r="H50" s="191">
        <f t="shared" si="2"/>
        <v>0.77237528156156066</v>
      </c>
    </row>
    <row r="51" spans="1:8" ht="15.75">
      <c r="A51" s="149" t="s">
        <v>185</v>
      </c>
      <c r="B51" s="150">
        <v>55</v>
      </c>
      <c r="C51" s="150">
        <v>1723.54</v>
      </c>
      <c r="D51" s="150">
        <v>1879.4</v>
      </c>
      <c r="E51" s="150">
        <v>103367</v>
      </c>
      <c r="F51" s="150">
        <v>8572.0499999999993</v>
      </c>
      <c r="G51" s="151">
        <f t="shared" si="0"/>
        <v>94794.95</v>
      </c>
      <c r="H51" s="191">
        <f t="shared" si="2"/>
        <v>9.0427285419740183E-2</v>
      </c>
    </row>
    <row r="52" spans="1:8" ht="15.75">
      <c r="A52" s="149" t="s">
        <v>186</v>
      </c>
      <c r="B52" s="150">
        <v>67</v>
      </c>
      <c r="C52" s="150">
        <v>676.11</v>
      </c>
      <c r="D52" s="150">
        <v>1671.5</v>
      </c>
      <c r="E52" s="150">
        <v>111990.5</v>
      </c>
      <c r="F52" s="150">
        <v>66691.100000000006</v>
      </c>
      <c r="G52" s="151">
        <f t="shared" si="0"/>
        <v>45299.399999999994</v>
      </c>
      <c r="H52" s="191">
        <f t="shared" si="2"/>
        <v>1.4722292127489551</v>
      </c>
    </row>
    <row r="53" spans="1:8" ht="15.75">
      <c r="A53" s="149" t="s">
        <v>187</v>
      </c>
      <c r="B53" s="150">
        <v>20</v>
      </c>
      <c r="C53" s="150">
        <v>2295.38</v>
      </c>
      <c r="D53" s="150">
        <v>3415.65</v>
      </c>
      <c r="E53" s="150">
        <v>68313</v>
      </c>
      <c r="F53" s="150">
        <v>22405.4</v>
      </c>
      <c r="G53" s="151">
        <f t="shared" si="0"/>
        <v>45907.6</v>
      </c>
      <c r="H53" s="191">
        <f t="shared" si="2"/>
        <v>0.48805426552466263</v>
      </c>
    </row>
    <row r="54" spans="1:8" ht="15.75">
      <c r="A54" s="149" t="s">
        <v>188</v>
      </c>
      <c r="B54" s="150">
        <v>62</v>
      </c>
      <c r="C54" s="150">
        <v>1053.22</v>
      </c>
      <c r="D54" s="150">
        <v>3653.5</v>
      </c>
      <c r="E54" s="150">
        <v>226517</v>
      </c>
      <c r="F54" s="150">
        <v>161217.65</v>
      </c>
      <c r="G54" s="151">
        <f t="shared" si="0"/>
        <v>65299.350000000006</v>
      </c>
      <c r="H54" s="191">
        <f t="shared" si="2"/>
        <v>2.468901298404961</v>
      </c>
    </row>
    <row r="55" spans="1:8" ht="15.75">
      <c r="A55" s="149" t="s">
        <v>286</v>
      </c>
      <c r="B55" s="150">
        <v>25</v>
      </c>
      <c r="C55" s="150">
        <v>4933.3100000000004</v>
      </c>
      <c r="D55" s="150">
        <v>6273.45</v>
      </c>
      <c r="E55" s="150">
        <v>156836.25</v>
      </c>
      <c r="F55" s="150">
        <v>33503.42</v>
      </c>
      <c r="G55" s="151">
        <f t="shared" si="0"/>
        <v>123332.83</v>
      </c>
      <c r="H55" s="191">
        <f t="shared" si="2"/>
        <v>0.27165045997890425</v>
      </c>
    </row>
    <row r="56" spans="1:8" ht="15.75">
      <c r="A56" s="149" t="s">
        <v>287</v>
      </c>
      <c r="B56" s="150">
        <v>26</v>
      </c>
      <c r="C56" s="150">
        <v>2259</v>
      </c>
      <c r="D56" s="150">
        <v>2194.4</v>
      </c>
      <c r="E56" s="150">
        <v>57054.400000000001</v>
      </c>
      <c r="F56" s="150">
        <v>-1679.6</v>
      </c>
      <c r="G56" s="151">
        <f t="shared" si="0"/>
        <v>58734</v>
      </c>
      <c r="H56" s="191">
        <f t="shared" si="2"/>
        <v>-2.8596724214254094E-2</v>
      </c>
    </row>
    <row r="57" spans="1:8" ht="15.75">
      <c r="A57" s="149" t="s">
        <v>189</v>
      </c>
      <c r="B57" s="150">
        <v>15</v>
      </c>
      <c r="C57" s="150">
        <v>1077.04</v>
      </c>
      <c r="D57" s="150">
        <v>3164.85</v>
      </c>
      <c r="E57" s="150">
        <v>47472.75</v>
      </c>
      <c r="F57" s="150">
        <v>31317.200000000001</v>
      </c>
      <c r="G57" s="151">
        <f t="shared" si="0"/>
        <v>16155.55</v>
      </c>
      <c r="H57" s="191">
        <f t="shared" si="2"/>
        <v>1.9384793461070655</v>
      </c>
    </row>
    <row r="58" spans="1:8" ht="15.75">
      <c r="A58" s="149" t="s">
        <v>190</v>
      </c>
      <c r="B58" s="150">
        <v>28</v>
      </c>
      <c r="C58" s="150">
        <v>2226.31</v>
      </c>
      <c r="D58" s="150">
        <v>2588.5500000000002</v>
      </c>
      <c r="E58" s="150">
        <v>72479.399999999994</v>
      </c>
      <c r="F58" s="150">
        <v>10142.700000000001</v>
      </c>
      <c r="G58" s="151">
        <f t="shared" si="0"/>
        <v>62336.7</v>
      </c>
      <c r="H58" s="191">
        <f t="shared" si="2"/>
        <v>0.16270832430975654</v>
      </c>
    </row>
    <row r="59" spans="1:8" ht="15.75">
      <c r="A59" s="149" t="s">
        <v>191</v>
      </c>
      <c r="B59" s="150">
        <v>114</v>
      </c>
      <c r="C59" s="150">
        <v>490.12</v>
      </c>
      <c r="D59" s="150">
        <v>690.1</v>
      </c>
      <c r="E59" s="150">
        <v>78671.399999999994</v>
      </c>
      <c r="F59" s="150">
        <v>22797.75</v>
      </c>
      <c r="G59" s="151">
        <f t="shared" si="0"/>
        <v>55873.649999999994</v>
      </c>
      <c r="H59" s="191">
        <f t="shared" si="2"/>
        <v>0.40802328109940916</v>
      </c>
    </row>
    <row r="60" spans="1:8" ht="15.75">
      <c r="A60" s="149" t="s">
        <v>192</v>
      </c>
      <c r="B60" s="150">
        <v>73</v>
      </c>
      <c r="C60" s="150">
        <v>735.56</v>
      </c>
      <c r="D60" s="150">
        <v>1185.75</v>
      </c>
      <c r="E60" s="150">
        <v>86559.75</v>
      </c>
      <c r="F60" s="150">
        <v>32863.599999999999</v>
      </c>
      <c r="G60" s="151">
        <f t="shared" si="0"/>
        <v>53696.15</v>
      </c>
      <c r="H60" s="191">
        <f t="shared" si="2"/>
        <v>0.61202898159365238</v>
      </c>
    </row>
    <row r="61" spans="1:8" ht="15.75">
      <c r="A61" s="149" t="s">
        <v>265</v>
      </c>
      <c r="B61" s="150">
        <v>75</v>
      </c>
      <c r="C61" s="150">
        <v>337.52</v>
      </c>
      <c r="D61" s="150">
        <v>353</v>
      </c>
      <c r="E61" s="150">
        <v>26475</v>
      </c>
      <c r="F61" s="150">
        <v>1160.83</v>
      </c>
      <c r="G61" s="151">
        <f t="shared" si="0"/>
        <v>25314.17</v>
      </c>
      <c r="H61" s="191">
        <f t="shared" si="2"/>
        <v>4.5856925192491002E-2</v>
      </c>
    </row>
    <row r="62" spans="1:8" ht="15.75">
      <c r="A62" s="149" t="s">
        <v>194</v>
      </c>
      <c r="B62" s="150">
        <v>255</v>
      </c>
      <c r="C62" s="150">
        <v>99.4</v>
      </c>
      <c r="D62" s="150">
        <v>210.5</v>
      </c>
      <c r="E62" s="150">
        <v>53677.5</v>
      </c>
      <c r="F62" s="150">
        <v>28330</v>
      </c>
      <c r="G62" s="151">
        <f t="shared" si="0"/>
        <v>25347.5</v>
      </c>
      <c r="H62" s="191">
        <f t="shared" si="2"/>
        <v>1.11766446395108</v>
      </c>
    </row>
    <row r="63" spans="1:8" ht="15.75">
      <c r="A63" s="149" t="s">
        <v>195</v>
      </c>
      <c r="B63" s="150">
        <v>37</v>
      </c>
      <c r="C63" s="150">
        <v>2300.56</v>
      </c>
      <c r="D63" s="150">
        <v>3015.6</v>
      </c>
      <c r="E63" s="150">
        <v>111577.2</v>
      </c>
      <c r="F63" s="150">
        <v>26456.45</v>
      </c>
      <c r="G63" s="151">
        <f t="shared" si="0"/>
        <v>85120.75</v>
      </c>
      <c r="H63" s="191">
        <f t="shared" si="2"/>
        <v>0.31081081874866001</v>
      </c>
    </row>
    <row r="64" spans="1:8" ht="15.75">
      <c r="A64" s="149" t="s">
        <v>196</v>
      </c>
      <c r="B64" s="150">
        <v>21</v>
      </c>
      <c r="C64" s="150">
        <v>2605.84</v>
      </c>
      <c r="D64" s="150">
        <v>2707.05</v>
      </c>
      <c r="E64" s="150">
        <v>56848.05</v>
      </c>
      <c r="F64" s="150">
        <v>2125.4499999999998</v>
      </c>
      <c r="G64" s="151">
        <f t="shared" si="0"/>
        <v>54722.600000000006</v>
      </c>
      <c r="H64" s="191">
        <f t="shared" si="2"/>
        <v>3.8840442522833335E-2</v>
      </c>
    </row>
    <row r="65" spans="1:8" ht="15.75">
      <c r="A65" s="149" t="s">
        <v>266</v>
      </c>
      <c r="B65" s="150">
        <v>145</v>
      </c>
      <c r="C65" s="150">
        <v>127.63</v>
      </c>
      <c r="D65" s="150">
        <v>141.88999999999999</v>
      </c>
      <c r="E65" s="150">
        <v>20574.05</v>
      </c>
      <c r="F65" s="150">
        <v>2067.9499999999998</v>
      </c>
      <c r="G65" s="151">
        <f t="shared" si="0"/>
        <v>18506.099999999999</v>
      </c>
      <c r="H65" s="191">
        <f t="shared" si="2"/>
        <v>0.11174423568444999</v>
      </c>
    </row>
    <row r="66" spans="1:8" ht="15.75">
      <c r="A66" s="149" t="s">
        <v>198</v>
      </c>
      <c r="B66" s="150">
        <v>88</v>
      </c>
      <c r="C66" s="150">
        <v>582.44000000000005</v>
      </c>
      <c r="D66" s="150">
        <v>1887.85</v>
      </c>
      <c r="E66" s="150">
        <v>166130.79999999999</v>
      </c>
      <c r="F66" s="150">
        <v>114875.75</v>
      </c>
      <c r="G66" s="151">
        <f t="shared" ref="G66:G97" si="3">E66-F66</f>
        <v>51255.049999999988</v>
      </c>
      <c r="H66" s="191">
        <f t="shared" si="2"/>
        <v>2.2412572029487832</v>
      </c>
    </row>
    <row r="67" spans="1:8" ht="15.75">
      <c r="A67" s="149" t="s">
        <v>199</v>
      </c>
      <c r="B67" s="150">
        <v>12</v>
      </c>
      <c r="C67" s="150">
        <v>4216.4799999999996</v>
      </c>
      <c r="D67" s="150">
        <v>11423.7</v>
      </c>
      <c r="E67" s="150">
        <v>137084.4</v>
      </c>
      <c r="F67" s="150">
        <v>86486.7</v>
      </c>
      <c r="G67" s="151">
        <f t="shared" si="3"/>
        <v>50597.7</v>
      </c>
      <c r="H67" s="191">
        <f t="shared" si="2"/>
        <v>1.7093010156588146</v>
      </c>
    </row>
    <row r="68" spans="1:8" ht="15.75">
      <c r="A68" s="149" t="s">
        <v>200</v>
      </c>
      <c r="B68" s="150">
        <v>300</v>
      </c>
      <c r="C68" s="150">
        <v>82.33</v>
      </c>
      <c r="D68" s="150">
        <v>292.25</v>
      </c>
      <c r="E68" s="150">
        <v>87675</v>
      </c>
      <c r="F68" s="150">
        <v>62975</v>
      </c>
      <c r="G68" s="151">
        <f t="shared" si="3"/>
        <v>24700</v>
      </c>
      <c r="H68" s="191">
        <f t="shared" si="2"/>
        <v>2.5495951417004048</v>
      </c>
    </row>
    <row r="69" spans="1:8" ht="15.75">
      <c r="A69" s="149" t="s">
        <v>201</v>
      </c>
      <c r="B69" s="150">
        <v>20</v>
      </c>
      <c r="C69" s="150">
        <v>2053.08</v>
      </c>
      <c r="D69" s="150">
        <v>5484</v>
      </c>
      <c r="E69" s="150">
        <v>109680</v>
      </c>
      <c r="F69" s="150">
        <v>68618.350000000006</v>
      </c>
      <c r="G69" s="151">
        <f t="shared" si="3"/>
        <v>41061.649999999994</v>
      </c>
      <c r="H69" s="191">
        <f t="shared" si="2"/>
        <v>1.6711055206013401</v>
      </c>
    </row>
    <row r="70" spans="1:8" ht="15.75">
      <c r="A70" s="149" t="s">
        <v>202</v>
      </c>
      <c r="B70" s="150">
        <v>44</v>
      </c>
      <c r="C70" s="150">
        <v>684.86</v>
      </c>
      <c r="D70" s="150">
        <v>1765.5</v>
      </c>
      <c r="E70" s="150">
        <v>77682</v>
      </c>
      <c r="F70" s="150">
        <v>47548.3</v>
      </c>
      <c r="G70" s="151">
        <f t="shared" si="3"/>
        <v>30133.699999999997</v>
      </c>
      <c r="H70" s="191">
        <f t="shared" si="2"/>
        <v>1.5779111094887122</v>
      </c>
    </row>
    <row r="71" spans="1:8" ht="15.75">
      <c r="A71" s="149" t="s">
        <v>203</v>
      </c>
      <c r="B71" s="150">
        <v>30</v>
      </c>
      <c r="C71" s="150">
        <v>2499.15</v>
      </c>
      <c r="D71" s="150">
        <v>3340.15</v>
      </c>
      <c r="E71" s="150">
        <v>100204.5</v>
      </c>
      <c r="F71" s="150">
        <v>25230.15</v>
      </c>
      <c r="G71" s="151">
        <f t="shared" si="3"/>
        <v>74974.350000000006</v>
      </c>
      <c r="H71" s="191">
        <f t="shared" si="2"/>
        <v>0.33651708884438475</v>
      </c>
    </row>
    <row r="72" spans="1:8" ht="15.75">
      <c r="A72" s="149" t="s">
        <v>288</v>
      </c>
      <c r="B72" s="150">
        <v>47</v>
      </c>
      <c r="C72" s="150">
        <v>1828.05</v>
      </c>
      <c r="D72" s="150">
        <v>1730.45</v>
      </c>
      <c r="E72" s="150">
        <v>81331.149999999994</v>
      </c>
      <c r="F72" s="150">
        <v>-4587.2</v>
      </c>
      <c r="G72" s="151">
        <f t="shared" si="3"/>
        <v>85918.349999999991</v>
      </c>
      <c r="H72" s="191">
        <f t="shared" si="2"/>
        <v>-5.3390224556221111E-2</v>
      </c>
    </row>
    <row r="73" spans="1:8" ht="15.75">
      <c r="A73" s="149" t="s">
        <v>204</v>
      </c>
      <c r="B73" s="150">
        <v>24</v>
      </c>
      <c r="C73" s="150">
        <v>625.94000000000005</v>
      </c>
      <c r="D73" s="150">
        <v>1815.15</v>
      </c>
      <c r="E73" s="150">
        <v>43563.6</v>
      </c>
      <c r="F73" s="150">
        <v>28541.1</v>
      </c>
      <c r="G73" s="151">
        <f t="shared" si="3"/>
        <v>15022.5</v>
      </c>
      <c r="H73" s="191">
        <f t="shared" si="2"/>
        <v>1.8998901647528705</v>
      </c>
    </row>
    <row r="74" spans="1:8" ht="15.75">
      <c r="A74" s="149" t="s">
        <v>205</v>
      </c>
      <c r="B74" s="150">
        <v>20</v>
      </c>
      <c r="C74" s="150">
        <v>1000</v>
      </c>
      <c r="D74" s="150">
        <v>1110</v>
      </c>
      <c r="E74" s="150">
        <v>22200</v>
      </c>
      <c r="F74" s="150">
        <v>0</v>
      </c>
      <c r="G74" s="151">
        <f t="shared" si="3"/>
        <v>22200</v>
      </c>
      <c r="H74" s="191">
        <f t="shared" si="2"/>
        <v>0</v>
      </c>
    </row>
    <row r="75" spans="1:8" ht="15.75">
      <c r="A75" s="149" t="s">
        <v>299</v>
      </c>
      <c r="B75" s="150">
        <v>49</v>
      </c>
      <c r="C75" s="150">
        <v>952.78</v>
      </c>
      <c r="D75" s="150">
        <v>812.75</v>
      </c>
      <c r="E75" s="150">
        <v>39824.75</v>
      </c>
      <c r="F75" s="150">
        <v>-6861.4</v>
      </c>
      <c r="G75" s="151">
        <f t="shared" si="3"/>
        <v>46686.15</v>
      </c>
      <c r="H75" s="191">
        <f t="shared" si="2"/>
        <v>-0.1469686405925526</v>
      </c>
    </row>
    <row r="76" spans="1:8" ht="15.75">
      <c r="A76" s="149" t="s">
        <v>206</v>
      </c>
      <c r="B76" s="150">
        <v>54</v>
      </c>
      <c r="C76" s="150">
        <v>1278.8599999999999</v>
      </c>
      <c r="D76" s="150">
        <v>1834.2</v>
      </c>
      <c r="E76" s="150">
        <v>99046.8</v>
      </c>
      <c r="F76" s="150">
        <v>29988.5</v>
      </c>
      <c r="G76" s="151">
        <f t="shared" si="3"/>
        <v>69058.3</v>
      </c>
      <c r="H76" s="191">
        <f t="shared" si="2"/>
        <v>0.43424903306336821</v>
      </c>
    </row>
    <row r="77" spans="1:8" ht="15.75">
      <c r="A77" s="149" t="s">
        <v>207</v>
      </c>
      <c r="B77" s="150">
        <v>72</v>
      </c>
      <c r="C77" s="150">
        <v>355.35</v>
      </c>
      <c r="D77" s="150">
        <v>796.95</v>
      </c>
      <c r="E77" s="150">
        <v>57380.4</v>
      </c>
      <c r="F77" s="150">
        <v>31795.15</v>
      </c>
      <c r="G77" s="151">
        <f t="shared" si="3"/>
        <v>25585.25</v>
      </c>
      <c r="H77" s="191">
        <f t="shared" si="2"/>
        <v>1.2427140637672096</v>
      </c>
    </row>
    <row r="78" spans="1:8" ht="15.75">
      <c r="A78" s="149" t="s">
        <v>208</v>
      </c>
      <c r="B78" s="150">
        <v>10</v>
      </c>
      <c r="C78" s="150">
        <v>5284</v>
      </c>
      <c r="D78" s="150">
        <v>7925</v>
      </c>
      <c r="E78" s="150">
        <v>79250</v>
      </c>
      <c r="F78" s="150">
        <v>26410</v>
      </c>
      <c r="G78" s="151">
        <f t="shared" si="3"/>
        <v>52840</v>
      </c>
      <c r="H78" s="191">
        <f t="shared" si="2"/>
        <v>0.49981074943224829</v>
      </c>
    </row>
    <row r="79" spans="1:8" ht="15.75">
      <c r="A79" s="149" t="s">
        <v>209</v>
      </c>
      <c r="B79" s="150">
        <v>5</v>
      </c>
      <c r="C79" s="150">
        <v>4802</v>
      </c>
      <c r="D79" s="150">
        <v>7912.76</v>
      </c>
      <c r="E79" s="150">
        <v>39563.800000000003</v>
      </c>
      <c r="F79" s="150">
        <v>15553.8</v>
      </c>
      <c r="G79" s="151">
        <f t="shared" si="3"/>
        <v>24010.000000000004</v>
      </c>
      <c r="H79" s="191">
        <f t="shared" si="2"/>
        <v>0.64780508121615976</v>
      </c>
    </row>
    <row r="80" spans="1:8" ht="15.75">
      <c r="A80" s="149" t="s">
        <v>210</v>
      </c>
      <c r="B80" s="150">
        <v>10</v>
      </c>
      <c r="C80" s="150">
        <v>5002.45</v>
      </c>
      <c r="D80" s="150">
        <v>7957</v>
      </c>
      <c r="E80" s="150">
        <v>79570</v>
      </c>
      <c r="F80" s="150">
        <v>29545.5</v>
      </c>
      <c r="G80" s="151">
        <f t="shared" si="3"/>
        <v>50024.5</v>
      </c>
      <c r="H80" s="191">
        <f t="shared" ref="H80:H111" si="4">F80/G80</f>
        <v>0.59062059590800509</v>
      </c>
    </row>
    <row r="81" spans="1:8" ht="15.75">
      <c r="A81" s="149" t="s">
        <v>211</v>
      </c>
      <c r="B81" s="150">
        <v>35</v>
      </c>
      <c r="C81" s="150">
        <v>984.23</v>
      </c>
      <c r="D81" s="150">
        <v>7511.7</v>
      </c>
      <c r="E81" s="150">
        <v>262909.5</v>
      </c>
      <c r="F81" s="150">
        <v>228461.45</v>
      </c>
      <c r="G81" s="151">
        <f t="shared" si="3"/>
        <v>34448.049999999988</v>
      </c>
      <c r="H81" s="191">
        <f t="shared" si="4"/>
        <v>6.6320575475244636</v>
      </c>
    </row>
    <row r="82" spans="1:8" ht="15.75">
      <c r="A82" s="149" t="s">
        <v>289</v>
      </c>
      <c r="B82" s="150">
        <v>21</v>
      </c>
      <c r="C82" s="150">
        <v>1808</v>
      </c>
      <c r="D82" s="150">
        <v>1864.15</v>
      </c>
      <c r="E82" s="150">
        <v>39147.15</v>
      </c>
      <c r="F82" s="150">
        <v>1179.1500000000001</v>
      </c>
      <c r="G82" s="151">
        <f t="shared" si="3"/>
        <v>37968</v>
      </c>
      <c r="H82" s="191">
        <f t="shared" si="4"/>
        <v>3.1056415929203541E-2</v>
      </c>
    </row>
    <row r="83" spans="1:8" ht="15.75">
      <c r="A83" s="149" t="s">
        <v>290</v>
      </c>
      <c r="B83" s="150">
        <v>62</v>
      </c>
      <c r="C83" s="150">
        <v>592.30999999999995</v>
      </c>
      <c r="D83" s="150">
        <v>731.05</v>
      </c>
      <c r="E83" s="150">
        <v>45325.1</v>
      </c>
      <c r="F83" s="150">
        <v>8601.75</v>
      </c>
      <c r="G83" s="151">
        <f t="shared" si="3"/>
        <v>36723.35</v>
      </c>
      <c r="H83" s="191">
        <f t="shared" si="4"/>
        <v>0.23423108185936198</v>
      </c>
    </row>
    <row r="84" spans="1:8" ht="15.75">
      <c r="A84" s="149" t="s">
        <v>291</v>
      </c>
      <c r="B84" s="150">
        <v>201</v>
      </c>
      <c r="C84" s="150">
        <v>547.6</v>
      </c>
      <c r="D84" s="150">
        <v>604.95000000000005</v>
      </c>
      <c r="E84" s="150">
        <v>121594.95</v>
      </c>
      <c r="F84" s="150">
        <v>11527.15</v>
      </c>
      <c r="G84" s="151">
        <f t="shared" si="3"/>
        <v>110067.8</v>
      </c>
      <c r="H84" s="191">
        <f t="shared" si="4"/>
        <v>0.10472772236748622</v>
      </c>
    </row>
    <row r="85" spans="1:8" ht="15.75">
      <c r="A85" s="149" t="s">
        <v>292</v>
      </c>
      <c r="B85" s="150">
        <v>51</v>
      </c>
      <c r="C85" s="150">
        <v>958.21</v>
      </c>
      <c r="D85" s="150">
        <v>1420</v>
      </c>
      <c r="E85" s="150">
        <v>72420</v>
      </c>
      <c r="F85" s="150">
        <v>23551.45</v>
      </c>
      <c r="G85" s="151">
        <f t="shared" si="3"/>
        <v>48868.55</v>
      </c>
      <c r="H85" s="191">
        <f t="shared" si="4"/>
        <v>0.48193470033385477</v>
      </c>
    </row>
    <row r="86" spans="1:8" ht="15.75">
      <c r="A86" s="149" t="s">
        <v>212</v>
      </c>
      <c r="B86" s="150">
        <v>143</v>
      </c>
      <c r="C86" s="150">
        <v>579.84</v>
      </c>
      <c r="D86" s="150">
        <v>1919.95</v>
      </c>
      <c r="E86" s="150">
        <v>274552.84999999998</v>
      </c>
      <c r="F86" s="150">
        <v>191635.7</v>
      </c>
      <c r="G86" s="151">
        <f t="shared" si="3"/>
        <v>82917.149999999965</v>
      </c>
      <c r="H86" s="191">
        <f t="shared" si="4"/>
        <v>2.3111708494563561</v>
      </c>
    </row>
    <row r="87" spans="1:8" ht="15.75">
      <c r="A87" s="149" t="s">
        <v>293</v>
      </c>
      <c r="B87" s="150">
        <v>83</v>
      </c>
      <c r="C87" s="150">
        <v>396.43</v>
      </c>
      <c r="D87" s="150">
        <v>517.15</v>
      </c>
      <c r="E87" s="150">
        <v>42923.45</v>
      </c>
      <c r="F87" s="150">
        <v>10020.15</v>
      </c>
      <c r="G87" s="151">
        <f t="shared" si="3"/>
        <v>32903.299999999996</v>
      </c>
      <c r="H87" s="191">
        <f t="shared" si="4"/>
        <v>0.30453328389553636</v>
      </c>
    </row>
    <row r="88" spans="1:8" ht="15.75">
      <c r="A88" s="149" t="s">
        <v>213</v>
      </c>
      <c r="B88" s="150">
        <v>75</v>
      </c>
      <c r="C88" s="150">
        <v>581.84</v>
      </c>
      <c r="D88" s="150">
        <v>910</v>
      </c>
      <c r="E88" s="150">
        <v>68250</v>
      </c>
      <c r="F88" s="150">
        <v>24612</v>
      </c>
      <c r="G88" s="151">
        <f t="shared" si="3"/>
        <v>43638</v>
      </c>
      <c r="H88" s="191">
        <f t="shared" si="4"/>
        <v>0.56400384985563046</v>
      </c>
    </row>
    <row r="89" spans="1:8" ht="15.75">
      <c r="A89" s="149" t="s">
        <v>214</v>
      </c>
      <c r="B89" s="150">
        <v>46</v>
      </c>
      <c r="C89" s="150">
        <v>794.51</v>
      </c>
      <c r="D89" s="150">
        <v>1196.25</v>
      </c>
      <c r="E89" s="150">
        <v>55027.5</v>
      </c>
      <c r="F89" s="150">
        <v>18480.2</v>
      </c>
      <c r="G89" s="151">
        <f t="shared" si="3"/>
        <v>36547.300000000003</v>
      </c>
      <c r="H89" s="191">
        <f t="shared" si="4"/>
        <v>0.5056515802808963</v>
      </c>
    </row>
    <row r="90" spans="1:8" ht="15.75">
      <c r="A90" s="149" t="s">
        <v>267</v>
      </c>
      <c r="B90" s="150">
        <v>566</v>
      </c>
      <c r="C90" s="150">
        <v>185.65</v>
      </c>
      <c r="D90" s="150">
        <v>965.35</v>
      </c>
      <c r="E90" s="150">
        <v>546388.1</v>
      </c>
      <c r="F90" s="150">
        <v>441312.37</v>
      </c>
      <c r="G90" s="151">
        <f t="shared" si="3"/>
        <v>105075.72999999998</v>
      </c>
      <c r="H90" s="191">
        <f t="shared" si="4"/>
        <v>4.1999457914782043</v>
      </c>
    </row>
    <row r="91" spans="1:8" ht="15.75">
      <c r="A91" s="149" t="s">
        <v>215</v>
      </c>
      <c r="B91" s="150">
        <v>1050</v>
      </c>
      <c r="C91" s="150">
        <v>40.479999999999997</v>
      </c>
      <c r="D91" s="150">
        <v>167.03</v>
      </c>
      <c r="E91" s="150">
        <v>175381.5</v>
      </c>
      <c r="F91" s="150">
        <v>132881.25</v>
      </c>
      <c r="G91" s="151">
        <f t="shared" si="3"/>
        <v>42500.25</v>
      </c>
      <c r="H91" s="191">
        <f t="shared" si="4"/>
        <v>3.126599255298498</v>
      </c>
    </row>
    <row r="92" spans="1:8" ht="15.75">
      <c r="A92" s="149" t="s">
        <v>216</v>
      </c>
      <c r="B92" s="150">
        <v>30</v>
      </c>
      <c r="C92" s="150">
        <v>3490.64</v>
      </c>
      <c r="D92" s="150">
        <v>4287.8999999999996</v>
      </c>
      <c r="E92" s="150">
        <v>128637</v>
      </c>
      <c r="F92" s="150">
        <v>23917.95</v>
      </c>
      <c r="G92" s="151">
        <f t="shared" si="3"/>
        <v>104719.05</v>
      </c>
      <c r="H92" s="191">
        <f t="shared" si="4"/>
        <v>0.22840113618295813</v>
      </c>
    </row>
    <row r="93" spans="1:8" ht="15.75">
      <c r="A93" s="149" t="s">
        <v>217</v>
      </c>
      <c r="B93" s="150">
        <v>24</v>
      </c>
      <c r="C93" s="150">
        <v>2584.4</v>
      </c>
      <c r="D93" s="150">
        <v>3775.95</v>
      </c>
      <c r="E93" s="150">
        <v>90622.8</v>
      </c>
      <c r="F93" s="150">
        <v>28597.200000000001</v>
      </c>
      <c r="G93" s="151">
        <f>C93*B93</f>
        <v>62025.600000000006</v>
      </c>
      <c r="H93" s="191">
        <f t="shared" si="4"/>
        <v>0.46105479028014235</v>
      </c>
    </row>
    <row r="94" spans="1:8" ht="15.75">
      <c r="A94" s="149" t="s">
        <v>220</v>
      </c>
      <c r="B94" s="150">
        <v>45</v>
      </c>
      <c r="C94" s="150">
        <v>355.21</v>
      </c>
      <c r="D94" s="150">
        <v>1082.45</v>
      </c>
      <c r="E94" s="150">
        <v>48710.25</v>
      </c>
      <c r="F94" s="150">
        <v>32725.65</v>
      </c>
      <c r="G94" s="151">
        <f t="shared" ref="G94:G96" si="5">C94*B94</f>
        <v>15984.449999999999</v>
      </c>
      <c r="H94" s="191">
        <f t="shared" si="4"/>
        <v>2.047342886367689</v>
      </c>
    </row>
    <row r="95" spans="1:8" ht="15.75">
      <c r="A95" s="149" t="s">
        <v>221</v>
      </c>
      <c r="B95" s="150">
        <v>90</v>
      </c>
      <c r="C95" s="150">
        <v>48.04</v>
      </c>
      <c r="D95" s="150">
        <v>612.25</v>
      </c>
      <c r="E95" s="150">
        <v>55102.5</v>
      </c>
      <c r="F95" s="150">
        <v>50778.85</v>
      </c>
      <c r="G95" s="151">
        <f t="shared" si="5"/>
        <v>4323.6000000000004</v>
      </c>
      <c r="H95" s="191">
        <f t="shared" si="4"/>
        <v>11.744576279026736</v>
      </c>
    </row>
    <row r="96" spans="1:8" ht="15.75">
      <c r="A96" s="149" t="s">
        <v>300</v>
      </c>
      <c r="B96" s="150">
        <v>2525</v>
      </c>
      <c r="C96" s="150">
        <v>27.54</v>
      </c>
      <c r="D96" s="150">
        <v>22.42</v>
      </c>
      <c r="E96" s="150">
        <v>56610.5</v>
      </c>
      <c r="F96" s="150">
        <v>-12927</v>
      </c>
      <c r="G96" s="151">
        <f t="shared" si="5"/>
        <v>69538.5</v>
      </c>
      <c r="H96" s="191">
        <f t="shared" si="4"/>
        <v>-0.1858970210746565</v>
      </c>
    </row>
    <row r="97" spans="1:8" ht="16.5">
      <c r="A97" s="149"/>
      <c r="B97" s="150"/>
      <c r="C97" s="150"/>
      <c r="D97" s="150"/>
      <c r="E97" s="150"/>
      <c r="F97" s="150"/>
      <c r="G97" s="151">
        <f t="shared" si="3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16135</v>
      </c>
      <c r="C104" s="45"/>
      <c r="D104" s="45"/>
      <c r="E104" s="45">
        <f>SUM(E2:E103)</f>
        <v>8985905.0500000007</v>
      </c>
      <c r="F104" s="45">
        <f>SUM(F2:F103)</f>
        <v>4179533.3000000021</v>
      </c>
      <c r="G104" s="45">
        <f>SUM(G2:G103)</f>
        <v>4806372.5499999989</v>
      </c>
      <c r="H104" s="176">
        <f>F104/G104</f>
        <v>0.86958163490676621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E9BB-69DA-4E13-976E-60845ACBCE66}">
  <dimension ref="A1:J18"/>
  <sheetViews>
    <sheetView workbookViewId="0">
      <selection activeCell="H2" sqref="H2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232</v>
      </c>
      <c r="B2" t="s">
        <v>233</v>
      </c>
      <c r="C2">
        <v>14.881</v>
      </c>
      <c r="D2">
        <v>8.17</v>
      </c>
      <c r="E2">
        <v>6.72</v>
      </c>
      <c r="F2">
        <v>100.0003</v>
      </c>
      <c r="G2">
        <v>121.5778</v>
      </c>
      <c r="H2">
        <v>21.577500000000001</v>
      </c>
      <c r="I2" s="192">
        <f>H2/F2</f>
        <v>0.21577435267694198</v>
      </c>
    </row>
    <row r="3" spans="1:9">
      <c r="A3" s="168" t="s">
        <v>234</v>
      </c>
      <c r="B3" t="s">
        <v>235</v>
      </c>
      <c r="C3" s="188">
        <v>4080.9659999999999</v>
      </c>
      <c r="D3">
        <v>134.59</v>
      </c>
      <c r="E3">
        <v>68.607799999999997</v>
      </c>
      <c r="F3" s="188">
        <v>279986.10960000003</v>
      </c>
      <c r="G3" s="188">
        <v>549257.21389999997</v>
      </c>
      <c r="H3" s="188">
        <v>269271.10440000001</v>
      </c>
      <c r="I3" s="192">
        <f t="shared" ref="I3:I18" si="0">H3/F3</f>
        <v>0.96173022577688616</v>
      </c>
    </row>
    <row r="4" spans="1:9">
      <c r="A4" s="168" t="s">
        <v>236</v>
      </c>
      <c r="B4" t="s">
        <v>237</v>
      </c>
      <c r="C4" s="188">
        <v>14235.332</v>
      </c>
      <c r="D4">
        <v>125.69</v>
      </c>
      <c r="E4">
        <v>47.766100000000002</v>
      </c>
      <c r="F4" s="188">
        <v>679966.92570000002</v>
      </c>
      <c r="G4" s="188">
        <v>1789238.8791</v>
      </c>
      <c r="H4" s="188">
        <v>1109271.9534</v>
      </c>
      <c r="I4" s="192">
        <f t="shared" si="0"/>
        <v>1.6313616316823747</v>
      </c>
    </row>
    <row r="5" spans="1:9">
      <c r="A5" s="168" t="s">
        <v>238</v>
      </c>
      <c r="B5" t="s">
        <v>237</v>
      </c>
      <c r="C5" s="188">
        <v>26878.393</v>
      </c>
      <c r="D5">
        <v>45.89</v>
      </c>
      <c r="E5">
        <v>32.180399999999999</v>
      </c>
      <c r="F5" s="188">
        <v>864956.73950000003</v>
      </c>
      <c r="G5" s="188">
        <v>1233449.4547999999</v>
      </c>
      <c r="H5" s="188">
        <v>368492.71529999998</v>
      </c>
      <c r="I5" s="192">
        <f t="shared" si="0"/>
        <v>0.42602444546881291</v>
      </c>
    </row>
    <row r="6" spans="1:9">
      <c r="A6" s="168" t="s">
        <v>268</v>
      </c>
      <c r="B6" t="s">
        <v>269</v>
      </c>
      <c r="C6">
        <v>94.042000000000002</v>
      </c>
      <c r="D6" s="188">
        <v>3233.3543</v>
      </c>
      <c r="E6" s="188">
        <v>3189.9151999999999</v>
      </c>
      <c r="F6" s="188">
        <v>299986.00380000001</v>
      </c>
      <c r="G6" s="188">
        <v>304071.10509999999</v>
      </c>
      <c r="H6" s="188">
        <v>4085.1012999999998</v>
      </c>
      <c r="I6" s="192">
        <f t="shared" si="0"/>
        <v>1.3617639650693595E-2</v>
      </c>
    </row>
    <row r="7" spans="1:9">
      <c r="A7" s="168" t="s">
        <v>301</v>
      </c>
      <c r="B7" t="s">
        <v>241</v>
      </c>
      <c r="C7" s="188">
        <v>1857.5519999999999</v>
      </c>
      <c r="D7">
        <v>793.0376</v>
      </c>
      <c r="E7">
        <v>366.02140000000003</v>
      </c>
      <c r="F7" s="188">
        <v>679903.69869999995</v>
      </c>
      <c r="G7" s="188">
        <v>1473108.58</v>
      </c>
      <c r="H7" s="188">
        <v>793204.88130000001</v>
      </c>
      <c r="I7" s="192">
        <f t="shared" si="0"/>
        <v>1.1666429860826408</v>
      </c>
    </row>
    <row r="8" spans="1:9">
      <c r="A8" s="168" t="s">
        <v>242</v>
      </c>
      <c r="B8" t="s">
        <v>237</v>
      </c>
      <c r="C8" s="188">
        <v>4306.576</v>
      </c>
      <c r="D8">
        <v>160.249</v>
      </c>
      <c r="E8">
        <v>44.3917</v>
      </c>
      <c r="F8" s="188">
        <v>191176.2298</v>
      </c>
      <c r="G8" s="188">
        <v>690124.49739999999</v>
      </c>
      <c r="H8" s="188">
        <v>498948.26760000002</v>
      </c>
      <c r="I8" s="192">
        <f t="shared" si="0"/>
        <v>2.6098865330798571</v>
      </c>
    </row>
    <row r="9" spans="1:9">
      <c r="A9" s="168" t="s">
        <v>272</v>
      </c>
      <c r="B9" t="s">
        <v>235</v>
      </c>
      <c r="C9" s="188">
        <v>5805.7370000000001</v>
      </c>
      <c r="D9">
        <v>156.82499999999999</v>
      </c>
      <c r="E9">
        <v>41.940399999999997</v>
      </c>
      <c r="F9" s="188">
        <v>243495.1642</v>
      </c>
      <c r="G9" s="188">
        <v>910484.70499999996</v>
      </c>
      <c r="H9" s="188">
        <v>666989.54079999996</v>
      </c>
      <c r="I9" s="192">
        <f t="shared" si="0"/>
        <v>2.7392311588256173</v>
      </c>
    </row>
    <row r="10" spans="1:9">
      <c r="A10" s="168" t="s">
        <v>244</v>
      </c>
      <c r="B10" t="s">
        <v>233</v>
      </c>
      <c r="C10" s="188">
        <v>8972.6309999999994</v>
      </c>
      <c r="D10">
        <v>34.769799999999996</v>
      </c>
      <c r="E10">
        <v>26.746700000000001</v>
      </c>
      <c r="F10" s="188">
        <v>239987.97279999999</v>
      </c>
      <c r="G10" s="188">
        <v>311976.58529999998</v>
      </c>
      <c r="H10" s="188">
        <v>71988.612500000003</v>
      </c>
      <c r="I10" s="192">
        <f t="shared" si="0"/>
        <v>0.29996758445888255</v>
      </c>
    </row>
    <row r="11" spans="1:9">
      <c r="A11" s="168" t="s">
        <v>273</v>
      </c>
      <c r="B11" t="s">
        <v>233</v>
      </c>
      <c r="C11" s="188">
        <v>82131.043999999994</v>
      </c>
      <c r="D11">
        <v>14.9734</v>
      </c>
      <c r="E11">
        <v>9.9227000000000007</v>
      </c>
      <c r="F11" s="188">
        <v>814959.2439</v>
      </c>
      <c r="G11" s="188">
        <v>1229780.9742000001</v>
      </c>
      <c r="H11" s="188">
        <v>414821.7304</v>
      </c>
      <c r="I11" s="192">
        <f t="shared" si="0"/>
        <v>0.50900917255059808</v>
      </c>
    </row>
    <row r="12" spans="1:9">
      <c r="A12" s="168" t="s">
        <v>246</v>
      </c>
      <c r="B12" t="s">
        <v>241</v>
      </c>
      <c r="C12" s="188">
        <v>66681.546499999997</v>
      </c>
      <c r="D12">
        <v>16.702300000000001</v>
      </c>
      <c r="E12">
        <v>12.4541</v>
      </c>
      <c r="F12" s="188">
        <v>830458.48990000004</v>
      </c>
      <c r="G12" s="188">
        <v>1113735.1941</v>
      </c>
      <c r="H12" s="188">
        <v>283276.70419999998</v>
      </c>
      <c r="I12" s="192">
        <f t="shared" si="0"/>
        <v>0.34110880633433088</v>
      </c>
    </row>
    <row r="13" spans="1:9">
      <c r="A13" s="168" t="s">
        <v>247</v>
      </c>
      <c r="B13" t="s">
        <v>241</v>
      </c>
      <c r="C13" s="188">
        <v>33541.464</v>
      </c>
      <c r="D13">
        <v>18.1449</v>
      </c>
      <c r="E13">
        <v>13.7286</v>
      </c>
      <c r="F13" s="188">
        <v>460476.96870000003</v>
      </c>
      <c r="G13" s="188">
        <v>608606.51009999996</v>
      </c>
      <c r="H13" s="188">
        <v>148129.54149999999</v>
      </c>
      <c r="I13" s="192">
        <f t="shared" si="0"/>
        <v>0.32168718865178714</v>
      </c>
    </row>
    <row r="14" spans="1:9">
      <c r="A14" s="168" t="s">
        <v>250</v>
      </c>
      <c r="B14" t="s">
        <v>251</v>
      </c>
      <c r="C14" s="188">
        <v>19397.659</v>
      </c>
      <c r="D14">
        <v>88.616500000000002</v>
      </c>
      <c r="E14">
        <v>44.640599999999999</v>
      </c>
      <c r="F14" s="188">
        <v>865923.00470000005</v>
      </c>
      <c r="G14" s="188">
        <v>1718952.6488000001</v>
      </c>
      <c r="H14" s="188">
        <v>853029.64410000003</v>
      </c>
      <c r="I14" s="192">
        <f t="shared" si="0"/>
        <v>0.98511026900773135</v>
      </c>
    </row>
    <row r="15" spans="1:9">
      <c r="A15" s="168" t="s">
        <v>274</v>
      </c>
      <c r="B15" t="s">
        <v>233</v>
      </c>
      <c r="C15" s="188">
        <v>6809.741</v>
      </c>
      <c r="D15">
        <v>47.95</v>
      </c>
      <c r="E15">
        <v>35.241999999999997</v>
      </c>
      <c r="F15" s="188">
        <v>239988.8371</v>
      </c>
      <c r="G15" s="188">
        <v>326527.08100000001</v>
      </c>
      <c r="H15" s="188">
        <v>86538.243799999997</v>
      </c>
      <c r="I15" s="192">
        <f t="shared" si="0"/>
        <v>0.36059278775512676</v>
      </c>
    </row>
    <row r="16" spans="1:9">
      <c r="A16" s="168" t="s">
        <v>253</v>
      </c>
      <c r="B16" t="s">
        <v>235</v>
      </c>
      <c r="C16" s="188">
        <v>3974.5210000000002</v>
      </c>
      <c r="D16">
        <v>274.59140000000002</v>
      </c>
      <c r="E16">
        <v>186.26650000000001</v>
      </c>
      <c r="F16" s="188">
        <v>740320.06299999997</v>
      </c>
      <c r="G16" s="188">
        <v>1091369.2856999999</v>
      </c>
      <c r="H16" s="188">
        <v>351049.22269999998</v>
      </c>
      <c r="I16" s="192">
        <f t="shared" si="0"/>
        <v>0.47418574782026407</v>
      </c>
    </row>
    <row r="17" spans="1:10">
      <c r="A17" s="168" t="s">
        <v>255</v>
      </c>
      <c r="B17" t="s">
        <v>241</v>
      </c>
      <c r="C17" s="188">
        <v>18996.168000000001</v>
      </c>
      <c r="D17">
        <v>28.284099999999999</v>
      </c>
      <c r="E17">
        <v>9.4700000000000006</v>
      </c>
      <c r="F17" s="188">
        <v>179893.71100000001</v>
      </c>
      <c r="G17" s="188">
        <v>537289.51529999997</v>
      </c>
      <c r="H17" s="188">
        <v>357395.80440000002</v>
      </c>
      <c r="I17" s="192">
        <f t="shared" si="0"/>
        <v>1.9867053851593512</v>
      </c>
    </row>
    <row r="18" spans="1:10">
      <c r="A18" s="74" t="s">
        <v>11</v>
      </c>
      <c r="B18" s="75"/>
      <c r="C18" s="75">
        <f>SUM(C2:C17)</f>
        <v>297778.25349999999</v>
      </c>
      <c r="D18" s="75"/>
      <c r="E18" s="75"/>
      <c r="F18" s="75">
        <f>SUM(F2:F17)</f>
        <v>7611579.1627000012</v>
      </c>
      <c r="G18" s="75">
        <f>SUM(G2:G17)</f>
        <v>13888093.807600001</v>
      </c>
      <c r="H18" s="75">
        <f>SUM(H2:H17)</f>
        <v>6276514.6452000001</v>
      </c>
      <c r="I18" s="53">
        <f t="shared" si="0"/>
        <v>0.82460084971034797</v>
      </c>
      <c r="J18" s="202"/>
    </row>
  </sheetData>
  <hyperlinks>
    <hyperlink ref="A2" r:id="rId1" location="/mf/1831632/41287/NULL" xr:uid="{ED44416F-B1F2-47FE-BD34-8CE4307E33F9}"/>
    <hyperlink ref="A3" r:id="rId2" location="/mf/1831632/15690/NULL" xr:uid="{EB6BAA17-ACD8-4EA5-801D-100EEB002C99}"/>
    <hyperlink ref="A4" r:id="rId3" location="/mf/1831632/22335/NULL" xr:uid="{61791D3D-371F-4123-BB1C-3B2BD7B32C58}"/>
    <hyperlink ref="A5" r:id="rId4" location="/mf/1831632/38817/NULL" xr:uid="{AEBCBEE4-30FC-4668-A908-7DC2A8E55210}"/>
    <hyperlink ref="A6" r:id="rId5" location="/mf/1831632/16576/NULL" xr:uid="{7E562EDD-FAE3-4F17-B7BD-12C8FDFA3A30}"/>
    <hyperlink ref="A7" r:id="rId6" location="/mf/1831632/16071/NULL" xr:uid="{DB3CDC99-AD9B-49D3-8676-3B5A545A6A25}"/>
    <hyperlink ref="A8" r:id="rId7" location="/mf/1831632/16617/NULL" xr:uid="{A005605A-8100-4512-88CA-130CBBB96FA9}"/>
    <hyperlink ref="A9" r:id="rId8" location="/mf/1831632/17134/NULL" xr:uid="{4A28B98B-6F08-46CB-991C-50FBB37C36EC}"/>
    <hyperlink ref="A10" r:id="rId9" location="/mf/1831632/38228/NULL" xr:uid="{4BB64CC2-BF5F-43F9-A790-5F72BB594CBF}"/>
    <hyperlink ref="A11" r:id="rId10" location="/mf/1831632/42135/NULL" xr:uid="{82940B58-FCB3-4874-BC05-5806385453A4}"/>
    <hyperlink ref="A12" r:id="rId11" location="/mf/1831632/41574/NULL" xr:uid="{3C790844-90EB-43CF-BE13-A00555AFC12E}"/>
    <hyperlink ref="A13" r:id="rId12" location="/mf/1831632/41937/NULL" xr:uid="{5BB53859-D979-43FE-B3BD-E32FC98480CB}"/>
    <hyperlink ref="A14" r:id="rId13" location="/mf/1831632/19701/NULL" xr:uid="{7AE2ECC1-221A-4478-8482-FD036E263FA9}"/>
    <hyperlink ref="A15" r:id="rId14" location="/mf/1831632/17348/NULL" xr:uid="{CCE0F285-43D9-4700-B10D-96F3AAEE0F68}"/>
    <hyperlink ref="A16" r:id="rId15" location="/mf/1831632/17375/NULL" xr:uid="{F918AC0C-B88F-43D6-A48F-8830338B7BEE}"/>
    <hyperlink ref="A17" r:id="rId16" location="/mf/1831632/36491/NULL" xr:uid="{1A7F814A-487F-4E15-8491-A4D855779F32}"/>
  </hyperlinks>
  <pageMargins left="0.7" right="0.7" top="0.75" bottom="0.75" header="0.3" footer="0.3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27DC-1607-4F24-B950-6AF17A54A104}">
  <dimension ref="A1:I104"/>
  <sheetViews>
    <sheetView workbookViewId="0">
      <pane xSplit="1" ySplit="1" topLeftCell="D91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258</v>
      </c>
      <c r="B2" s="150">
        <v>100</v>
      </c>
      <c r="C2" s="150">
        <v>109.73</v>
      </c>
      <c r="D2" s="150">
        <v>110</v>
      </c>
      <c r="E2" s="150">
        <v>11000</v>
      </c>
      <c r="F2" s="150">
        <v>27.5</v>
      </c>
      <c r="G2" s="151">
        <f t="shared" ref="G2:G65" si="0">E2-F2</f>
        <v>10972.5</v>
      </c>
      <c r="H2" s="191">
        <f t="shared" ref="H2:H14" si="1">F2/G2</f>
        <v>2.5062656641604009E-3</v>
      </c>
    </row>
    <row r="3" spans="1:8" ht="15.75">
      <c r="A3" s="149" t="s">
        <v>259</v>
      </c>
      <c r="B3" s="150">
        <v>13</v>
      </c>
      <c r="C3" s="150">
        <v>133.75</v>
      </c>
      <c r="D3" s="150">
        <v>1193.25</v>
      </c>
      <c r="E3" s="150">
        <v>15512.25</v>
      </c>
      <c r="F3" s="150">
        <v>13773.5</v>
      </c>
      <c r="G3" s="151">
        <f t="shared" si="0"/>
        <v>1738.75</v>
      </c>
      <c r="H3" s="191">
        <f t="shared" si="1"/>
        <v>7.9214953271028037</v>
      </c>
    </row>
    <row r="4" spans="1:8" ht="15.75">
      <c r="A4" s="149" t="s">
        <v>144</v>
      </c>
      <c r="B4" s="150">
        <v>25</v>
      </c>
      <c r="C4" s="150">
        <v>813.47</v>
      </c>
      <c r="D4" s="150">
        <v>3243.55</v>
      </c>
      <c r="E4" s="150">
        <v>81088.75</v>
      </c>
      <c r="F4" s="150">
        <v>60752.1</v>
      </c>
      <c r="G4" s="151">
        <f t="shared" si="0"/>
        <v>20336.650000000001</v>
      </c>
      <c r="H4" s="191">
        <f t="shared" si="1"/>
        <v>2.9873209206039339</v>
      </c>
    </row>
    <row r="5" spans="1:8" ht="15.75">
      <c r="A5" s="149" t="s">
        <v>145</v>
      </c>
      <c r="B5" s="150">
        <v>250</v>
      </c>
      <c r="C5" s="150">
        <v>183.59</v>
      </c>
      <c r="D5" s="150">
        <v>493.05</v>
      </c>
      <c r="E5" s="150">
        <v>123262.5</v>
      </c>
      <c r="F5" s="150">
        <v>77365</v>
      </c>
      <c r="G5" s="151">
        <f t="shared" si="0"/>
        <v>45897.5</v>
      </c>
      <c r="H5" s="191">
        <f t="shared" si="1"/>
        <v>1.6856037910561577</v>
      </c>
    </row>
    <row r="6" spans="1:8" ht="15.75">
      <c r="A6" s="149" t="s">
        <v>275</v>
      </c>
      <c r="B6" s="150">
        <v>165</v>
      </c>
      <c r="C6" s="150">
        <v>160.15</v>
      </c>
      <c r="D6" s="150">
        <v>256.45</v>
      </c>
      <c r="E6" s="150">
        <v>42314.25</v>
      </c>
      <c r="F6" s="150">
        <v>15889.5</v>
      </c>
      <c r="G6" s="151">
        <f t="shared" si="0"/>
        <v>26424.75</v>
      </c>
      <c r="H6" s="191">
        <f t="shared" si="1"/>
        <v>0.60131127068373402</v>
      </c>
    </row>
    <row r="7" spans="1:8" ht="15.75">
      <c r="A7" s="149" t="s">
        <v>276</v>
      </c>
      <c r="B7" s="150">
        <v>28</v>
      </c>
      <c r="C7" s="150">
        <v>2757.87</v>
      </c>
      <c r="D7" s="150">
        <v>3134.2</v>
      </c>
      <c r="E7" s="150">
        <v>87757.6</v>
      </c>
      <c r="F7" s="150">
        <v>10537.2</v>
      </c>
      <c r="G7" s="151">
        <f t="shared" si="0"/>
        <v>77220.400000000009</v>
      </c>
      <c r="H7" s="191">
        <f t="shared" si="1"/>
        <v>0.136456169613211</v>
      </c>
    </row>
    <row r="8" spans="1:8" ht="15.75">
      <c r="A8" s="149" t="s">
        <v>277</v>
      </c>
      <c r="B8" s="150">
        <v>97</v>
      </c>
      <c r="C8" s="150">
        <v>578.23</v>
      </c>
      <c r="D8" s="150">
        <v>688.85</v>
      </c>
      <c r="E8" s="150">
        <v>66818.45</v>
      </c>
      <c r="F8" s="150">
        <v>10730.25</v>
      </c>
      <c r="G8" s="151">
        <f t="shared" si="0"/>
        <v>56088.2</v>
      </c>
      <c r="H8" s="191">
        <f t="shared" si="1"/>
        <v>0.1913102934307038</v>
      </c>
    </row>
    <row r="9" spans="1:8" ht="15.75">
      <c r="A9" s="149" t="s">
        <v>146</v>
      </c>
      <c r="B9" s="150">
        <v>62</v>
      </c>
      <c r="C9" s="150">
        <v>708.24</v>
      </c>
      <c r="D9" s="150">
        <v>1177.55</v>
      </c>
      <c r="E9" s="150">
        <v>73008.100000000006</v>
      </c>
      <c r="F9" s="150">
        <v>29097.5</v>
      </c>
      <c r="G9" s="151">
        <f t="shared" si="0"/>
        <v>43910.600000000006</v>
      </c>
      <c r="H9" s="191">
        <f t="shared" si="1"/>
        <v>0.66265320902014535</v>
      </c>
    </row>
    <row r="10" spans="1:8" ht="15.75">
      <c r="A10" s="149" t="s">
        <v>147</v>
      </c>
      <c r="B10" s="150">
        <v>20</v>
      </c>
      <c r="C10" s="150">
        <v>3008.26</v>
      </c>
      <c r="D10" s="150">
        <v>10873.85</v>
      </c>
      <c r="E10" s="150">
        <v>217477</v>
      </c>
      <c r="F10" s="150">
        <v>157311.75</v>
      </c>
      <c r="G10" s="151">
        <f t="shared" si="0"/>
        <v>60165.25</v>
      </c>
      <c r="H10" s="191">
        <f t="shared" si="1"/>
        <v>2.6146612870386146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7206.15</v>
      </c>
      <c r="E11" s="150">
        <v>57649.2</v>
      </c>
      <c r="F11" s="150">
        <v>3800.85</v>
      </c>
      <c r="G11" s="151">
        <f t="shared" si="0"/>
        <v>53848.35</v>
      </c>
      <c r="H11" s="191">
        <f t="shared" si="1"/>
        <v>7.058433545317544E-2</v>
      </c>
    </row>
    <row r="12" spans="1:8" ht="15.75">
      <c r="A12" s="149" t="s">
        <v>149</v>
      </c>
      <c r="B12" s="150">
        <v>15</v>
      </c>
      <c r="C12" s="150">
        <v>2427.4699999999998</v>
      </c>
      <c r="D12" s="150">
        <v>2841.1</v>
      </c>
      <c r="E12" s="150">
        <v>42616.5</v>
      </c>
      <c r="F12" s="150">
        <v>6204.5</v>
      </c>
      <c r="G12" s="151">
        <f t="shared" si="0"/>
        <v>36412</v>
      </c>
      <c r="H12" s="191">
        <f t="shared" si="1"/>
        <v>0.17039712182796879</v>
      </c>
    </row>
    <row r="13" spans="1:8" ht="15.75">
      <c r="A13" s="149" t="s">
        <v>150</v>
      </c>
      <c r="B13" s="150">
        <v>184</v>
      </c>
      <c r="C13" s="150">
        <v>185</v>
      </c>
      <c r="D13" s="150">
        <v>250.15</v>
      </c>
      <c r="E13" s="150">
        <v>46027.6</v>
      </c>
      <c r="F13" s="150">
        <v>11987.6</v>
      </c>
      <c r="G13" s="151">
        <f t="shared" si="0"/>
        <v>34040</v>
      </c>
      <c r="H13" s="191">
        <f t="shared" si="1"/>
        <v>0.35216216216216217</v>
      </c>
    </row>
    <row r="14" spans="1:8" ht="15.75">
      <c r="A14" s="149" t="s">
        <v>151</v>
      </c>
      <c r="B14" s="150">
        <v>3500</v>
      </c>
      <c r="C14" s="150">
        <v>49.12</v>
      </c>
      <c r="D14" s="150">
        <v>52.32</v>
      </c>
      <c r="E14" s="150">
        <v>183120</v>
      </c>
      <c r="F14" s="150">
        <v>11185.11</v>
      </c>
      <c r="G14" s="151">
        <f t="shared" si="0"/>
        <v>171934.89</v>
      </c>
      <c r="H14" s="191">
        <f t="shared" si="1"/>
        <v>6.5054335394055265E-2</v>
      </c>
    </row>
    <row r="15" spans="1:8" ht="15.75">
      <c r="A15" s="149" t="s">
        <v>152</v>
      </c>
      <c r="B15" s="150">
        <v>180</v>
      </c>
      <c r="C15" s="150">
        <v>322.89</v>
      </c>
      <c r="D15" s="150">
        <v>1589.05</v>
      </c>
      <c r="E15" s="150">
        <v>286029</v>
      </c>
      <c r="F15" s="150">
        <v>227909</v>
      </c>
      <c r="G15" s="151">
        <f t="shared" si="0"/>
        <v>58120</v>
      </c>
      <c r="H15" s="191">
        <v>0</v>
      </c>
    </row>
    <row r="16" spans="1:8" ht="15.75">
      <c r="A16" s="149" t="s">
        <v>153</v>
      </c>
      <c r="B16" s="150">
        <v>46</v>
      </c>
      <c r="C16" s="150">
        <v>439.12</v>
      </c>
      <c r="D16" s="150">
        <v>1209.25</v>
      </c>
      <c r="E16" s="150">
        <v>55625.5</v>
      </c>
      <c r="F16" s="150">
        <v>35425.9</v>
      </c>
      <c r="G16" s="151">
        <f t="shared" si="0"/>
        <v>20199.599999999999</v>
      </c>
      <c r="H16" s="191">
        <f t="shared" ref="H16:H79" si="2">F16/G16</f>
        <v>1.7537921543000854</v>
      </c>
    </row>
    <row r="17" spans="1:8" ht="15.75">
      <c r="A17" s="149" t="s">
        <v>154</v>
      </c>
      <c r="B17" s="150">
        <v>14</v>
      </c>
      <c r="C17" s="150">
        <v>3489.94</v>
      </c>
      <c r="D17" s="150">
        <v>5854.4</v>
      </c>
      <c r="E17" s="150">
        <v>81961.600000000006</v>
      </c>
      <c r="F17" s="150">
        <v>33102.5</v>
      </c>
      <c r="G17" s="151">
        <f t="shared" si="0"/>
        <v>48859.100000000006</v>
      </c>
      <c r="H17" s="191">
        <f t="shared" si="2"/>
        <v>0.67750940971078055</v>
      </c>
    </row>
    <row r="18" spans="1:8" ht="15.75">
      <c r="A18" s="149" t="s">
        <v>278</v>
      </c>
      <c r="B18" s="150">
        <v>345</v>
      </c>
      <c r="C18" s="150">
        <v>107.29</v>
      </c>
      <c r="D18" s="150">
        <v>111.53</v>
      </c>
      <c r="E18" s="150">
        <v>38477.85</v>
      </c>
      <c r="F18" s="150">
        <v>1462.8</v>
      </c>
      <c r="G18" s="151">
        <f t="shared" si="0"/>
        <v>37015.049999999996</v>
      </c>
      <c r="H18" s="191">
        <f t="shared" si="2"/>
        <v>3.951906049026005E-2</v>
      </c>
    </row>
    <row r="19" spans="1:8" ht="15.75">
      <c r="A19" s="149" t="s">
        <v>155</v>
      </c>
      <c r="B19" s="150">
        <v>180</v>
      </c>
      <c r="C19" s="150">
        <v>155.25</v>
      </c>
      <c r="D19" s="150">
        <v>264.75</v>
      </c>
      <c r="E19" s="150">
        <v>47655</v>
      </c>
      <c r="F19" s="150">
        <v>19710</v>
      </c>
      <c r="G19" s="151">
        <f t="shared" si="0"/>
        <v>27945</v>
      </c>
      <c r="H19" s="191">
        <f t="shared" si="2"/>
        <v>0.70531400966183577</v>
      </c>
    </row>
    <row r="20" spans="1:8" ht="15.75">
      <c r="A20" s="149" t="s">
        <v>156</v>
      </c>
      <c r="B20" s="150">
        <v>88</v>
      </c>
      <c r="C20" s="150">
        <v>373.58</v>
      </c>
      <c r="D20" s="150">
        <v>584.25</v>
      </c>
      <c r="E20" s="150">
        <v>51414</v>
      </c>
      <c r="F20" s="150">
        <v>18539.150000000001</v>
      </c>
      <c r="G20" s="151">
        <f t="shared" si="0"/>
        <v>32874.85</v>
      </c>
      <c r="H20" s="191">
        <f t="shared" si="2"/>
        <v>0.56393109017987919</v>
      </c>
    </row>
    <row r="21" spans="1:8" ht="15.75">
      <c r="A21" s="149" t="s">
        <v>157</v>
      </c>
      <c r="B21" s="150">
        <v>40</v>
      </c>
      <c r="C21" s="150">
        <v>908.4</v>
      </c>
      <c r="D21" s="150">
        <v>1655.75</v>
      </c>
      <c r="E21" s="150">
        <v>66230</v>
      </c>
      <c r="F21" s="150">
        <v>29894.15</v>
      </c>
      <c r="G21" s="151">
        <f t="shared" si="0"/>
        <v>36335.85</v>
      </c>
      <c r="H21" s="191">
        <f t="shared" si="2"/>
        <v>0.82271778422687247</v>
      </c>
    </row>
    <row r="22" spans="1:8" ht="15.75">
      <c r="A22" s="149" t="s">
        <v>158</v>
      </c>
      <c r="B22" s="150">
        <v>470</v>
      </c>
      <c r="C22" s="150">
        <v>194.39</v>
      </c>
      <c r="D22" s="150">
        <v>525</v>
      </c>
      <c r="E22" s="150">
        <v>246750</v>
      </c>
      <c r="F22" s="150">
        <v>155386.5</v>
      </c>
      <c r="G22" s="151">
        <f t="shared" si="0"/>
        <v>91363.5</v>
      </c>
      <c r="H22" s="191">
        <f t="shared" si="2"/>
        <v>1.7007502996273129</v>
      </c>
    </row>
    <row r="23" spans="1:8" ht="15.75">
      <c r="A23" s="149" t="s">
        <v>159</v>
      </c>
      <c r="B23" s="150">
        <v>13</v>
      </c>
      <c r="C23" s="150">
        <v>4545.26</v>
      </c>
      <c r="D23" s="150">
        <v>6344.05</v>
      </c>
      <c r="E23" s="150">
        <v>82472.649999999994</v>
      </c>
      <c r="F23" s="150">
        <v>23384.25</v>
      </c>
      <c r="G23" s="151">
        <f t="shared" si="0"/>
        <v>59088.399999999994</v>
      </c>
      <c r="H23" s="191">
        <f t="shared" si="2"/>
        <v>0.3957502657035899</v>
      </c>
    </row>
    <row r="24" spans="1:8" ht="15.75">
      <c r="A24" s="149" t="s">
        <v>160</v>
      </c>
      <c r="B24" s="150">
        <v>21</v>
      </c>
      <c r="C24" s="150">
        <v>1503.03</v>
      </c>
      <c r="D24" s="150">
        <v>3653.5</v>
      </c>
      <c r="E24" s="150">
        <v>76723.5</v>
      </c>
      <c r="F24" s="150">
        <v>45159.8</v>
      </c>
      <c r="G24" s="151">
        <f t="shared" si="0"/>
        <v>31563.699999999997</v>
      </c>
      <c r="H24" s="191">
        <f t="shared" si="2"/>
        <v>1.4307511476791379</v>
      </c>
    </row>
    <row r="25" spans="1:8" ht="15.75">
      <c r="A25" s="149" t="s">
        <v>279</v>
      </c>
      <c r="B25" s="150">
        <v>98</v>
      </c>
      <c r="C25" s="150">
        <v>555.05999999999995</v>
      </c>
      <c r="D25" s="150">
        <v>637.29999999999995</v>
      </c>
      <c r="E25" s="150">
        <v>62455.4</v>
      </c>
      <c r="F25" s="150">
        <v>8059.35</v>
      </c>
      <c r="G25" s="151">
        <f t="shared" si="0"/>
        <v>54396.05</v>
      </c>
      <c r="H25" s="191">
        <f t="shared" si="2"/>
        <v>0.14816057415933695</v>
      </c>
    </row>
    <row r="26" spans="1:8" ht="15.75">
      <c r="A26" s="149" t="s">
        <v>161</v>
      </c>
      <c r="B26" s="150">
        <v>83</v>
      </c>
      <c r="C26" s="150">
        <v>501.43</v>
      </c>
      <c r="D26" s="150">
        <v>845.5</v>
      </c>
      <c r="E26" s="150">
        <v>70176.5</v>
      </c>
      <c r="F26" s="150">
        <v>28558.05</v>
      </c>
      <c r="G26" s="151">
        <f t="shared" si="0"/>
        <v>41618.449999999997</v>
      </c>
      <c r="H26" s="191">
        <f t="shared" si="2"/>
        <v>0.68618725589251883</v>
      </c>
    </row>
    <row r="27" spans="1:8" ht="15.75">
      <c r="A27" s="149" t="s">
        <v>162</v>
      </c>
      <c r="B27" s="150">
        <v>14</v>
      </c>
      <c r="C27" s="150">
        <v>3289.33</v>
      </c>
      <c r="D27" s="150">
        <v>4937.05</v>
      </c>
      <c r="E27" s="150">
        <v>69118.7</v>
      </c>
      <c r="F27" s="150">
        <v>23068.15</v>
      </c>
      <c r="G27" s="151">
        <f t="shared" si="0"/>
        <v>46050.549999999996</v>
      </c>
      <c r="H27" s="191">
        <f t="shared" si="2"/>
        <v>0.50093104208310224</v>
      </c>
    </row>
    <row r="28" spans="1:8" ht="15.75">
      <c r="A28" s="149" t="s">
        <v>163</v>
      </c>
      <c r="B28" s="150">
        <v>10</v>
      </c>
      <c r="C28" s="150">
        <v>4623.5</v>
      </c>
      <c r="D28" s="150">
        <v>7031.35</v>
      </c>
      <c r="E28" s="150">
        <v>70313.5</v>
      </c>
      <c r="F28" s="150">
        <v>24078.55</v>
      </c>
      <c r="G28" s="151">
        <f t="shared" si="0"/>
        <v>46234.95</v>
      </c>
      <c r="H28" s="191">
        <f t="shared" si="2"/>
        <v>0.52078676412540736</v>
      </c>
    </row>
    <row r="29" spans="1:8" ht="15.75">
      <c r="A29" s="149" t="s">
        <v>164</v>
      </c>
      <c r="B29" s="150">
        <v>11</v>
      </c>
      <c r="C29" s="150">
        <v>3144.55</v>
      </c>
      <c r="D29" s="150">
        <v>4960.5</v>
      </c>
      <c r="E29" s="150">
        <v>54565.5</v>
      </c>
      <c r="F29" s="150">
        <v>19975.5</v>
      </c>
      <c r="G29" s="151">
        <f t="shared" si="0"/>
        <v>34590</v>
      </c>
      <c r="H29" s="191">
        <f t="shared" si="2"/>
        <v>0.57749349522983517</v>
      </c>
    </row>
    <row r="30" spans="1:8" ht="15.75">
      <c r="A30" s="149" t="s">
        <v>165</v>
      </c>
      <c r="B30" s="150">
        <v>92</v>
      </c>
      <c r="C30" s="150">
        <v>359.33</v>
      </c>
      <c r="D30" s="150">
        <v>388.14</v>
      </c>
      <c r="E30" s="150">
        <v>35708.879999999997</v>
      </c>
      <c r="F30" s="150">
        <v>2650.6</v>
      </c>
      <c r="G30" s="151">
        <f t="shared" si="0"/>
        <v>33058.28</v>
      </c>
      <c r="H30" s="191">
        <f t="shared" si="2"/>
        <v>8.0179610070457388E-2</v>
      </c>
    </row>
    <row r="31" spans="1:8" ht="15.75">
      <c r="A31" s="149" t="s">
        <v>166</v>
      </c>
      <c r="B31" s="150">
        <v>16</v>
      </c>
      <c r="C31" s="150">
        <v>1304.44</v>
      </c>
      <c r="D31" s="150">
        <v>2474.0500000000002</v>
      </c>
      <c r="E31" s="150">
        <v>39584.800000000003</v>
      </c>
      <c r="F31" s="150">
        <v>18713.75</v>
      </c>
      <c r="G31" s="151">
        <f t="shared" si="0"/>
        <v>20871.050000000003</v>
      </c>
      <c r="H31" s="191">
        <f t="shared" si="2"/>
        <v>0.89663672886606072</v>
      </c>
    </row>
    <row r="32" spans="1:8" ht="15.75">
      <c r="A32" s="149" t="s">
        <v>168</v>
      </c>
      <c r="B32" s="150">
        <v>80</v>
      </c>
      <c r="C32" s="150">
        <v>685.74</v>
      </c>
      <c r="D32" s="150">
        <v>1389.9</v>
      </c>
      <c r="E32" s="150">
        <v>111192</v>
      </c>
      <c r="F32" s="150">
        <v>56333</v>
      </c>
      <c r="G32" s="151">
        <f t="shared" si="0"/>
        <v>54859</v>
      </c>
      <c r="H32" s="191">
        <f t="shared" si="2"/>
        <v>1.0268688820430558</v>
      </c>
    </row>
    <row r="33" spans="1:8" ht="15.75">
      <c r="A33" s="149" t="s">
        <v>169</v>
      </c>
      <c r="B33" s="150">
        <v>209</v>
      </c>
      <c r="C33" s="150">
        <v>174.63</v>
      </c>
      <c r="D33" s="150">
        <v>492.9</v>
      </c>
      <c r="E33" s="150">
        <v>103016.1</v>
      </c>
      <c r="F33" s="150">
        <v>66519.350000000006</v>
      </c>
      <c r="G33" s="151">
        <f t="shared" si="0"/>
        <v>36496.75</v>
      </c>
      <c r="H33" s="191">
        <f t="shared" si="2"/>
        <v>1.8226102324179552</v>
      </c>
    </row>
    <row r="34" spans="1:8" ht="15.75">
      <c r="A34" s="149" t="s">
        <v>170</v>
      </c>
      <c r="B34" s="150">
        <v>323</v>
      </c>
      <c r="C34" s="150">
        <v>83.87</v>
      </c>
      <c r="D34" s="150">
        <v>194.95</v>
      </c>
      <c r="E34" s="150">
        <v>62968.85</v>
      </c>
      <c r="F34" s="150">
        <v>35877.85</v>
      </c>
      <c r="G34" s="151">
        <f t="shared" si="0"/>
        <v>27091</v>
      </c>
      <c r="H34" s="191">
        <f t="shared" si="2"/>
        <v>1.3243457236720682</v>
      </c>
    </row>
    <row r="35" spans="1:8" ht="15.75">
      <c r="A35" s="149" t="s">
        <v>172</v>
      </c>
      <c r="B35" s="150">
        <v>18</v>
      </c>
      <c r="C35" s="150">
        <v>1556.41</v>
      </c>
      <c r="D35" s="150">
        <v>2909.25</v>
      </c>
      <c r="E35" s="150">
        <v>52366.5</v>
      </c>
      <c r="F35" s="150">
        <v>24351.15</v>
      </c>
      <c r="G35" s="151">
        <f t="shared" si="0"/>
        <v>28015.35</v>
      </c>
      <c r="H35" s="191">
        <f t="shared" si="2"/>
        <v>0.8692074166483732</v>
      </c>
    </row>
    <row r="36" spans="1:8" ht="15.75">
      <c r="A36" s="149" t="s">
        <v>281</v>
      </c>
      <c r="B36" s="150">
        <v>124</v>
      </c>
      <c r="C36" s="150">
        <v>304.87</v>
      </c>
      <c r="D36" s="150">
        <v>718.1</v>
      </c>
      <c r="E36" s="150">
        <v>89044.4</v>
      </c>
      <c r="F36" s="150">
        <v>51241</v>
      </c>
      <c r="G36" s="151">
        <f t="shared" si="0"/>
        <v>37803.399999999994</v>
      </c>
      <c r="H36" s="191">
        <f t="shared" si="2"/>
        <v>1.3554600908912957</v>
      </c>
    </row>
    <row r="37" spans="1:8" ht="15.75">
      <c r="A37" s="149" t="s">
        <v>174</v>
      </c>
      <c r="B37" s="150">
        <v>67</v>
      </c>
      <c r="C37" s="150">
        <v>1067.9000000000001</v>
      </c>
      <c r="D37" s="150">
        <v>1753.25</v>
      </c>
      <c r="E37" s="150">
        <v>117467.75</v>
      </c>
      <c r="F37" s="150">
        <v>45918.75</v>
      </c>
      <c r="G37" s="151">
        <f t="shared" si="0"/>
        <v>71549</v>
      </c>
      <c r="H37" s="191">
        <f t="shared" si="2"/>
        <v>0.64178045814756324</v>
      </c>
    </row>
    <row r="38" spans="1:8" ht="15.75">
      <c r="A38" s="149" t="s">
        <v>175</v>
      </c>
      <c r="B38" s="150">
        <v>34</v>
      </c>
      <c r="C38" s="150">
        <v>1623.57</v>
      </c>
      <c r="D38" s="150">
        <v>1636.9</v>
      </c>
      <c r="E38" s="150">
        <v>55654.6</v>
      </c>
      <c r="F38" s="150">
        <v>453.1</v>
      </c>
      <c r="G38" s="151">
        <f t="shared" si="0"/>
        <v>55201.5</v>
      </c>
      <c r="H38" s="191">
        <f t="shared" si="2"/>
        <v>8.2081102868581477E-3</v>
      </c>
    </row>
    <row r="39" spans="1:8" ht="15.75">
      <c r="A39" s="149" t="s">
        <v>176</v>
      </c>
      <c r="B39" s="150">
        <v>146</v>
      </c>
      <c r="C39" s="150">
        <v>586.27</v>
      </c>
      <c r="D39" s="150">
        <v>740.3</v>
      </c>
      <c r="E39" s="150">
        <v>108083.8</v>
      </c>
      <c r="F39" s="150">
        <v>22488.7</v>
      </c>
      <c r="G39" s="151">
        <f t="shared" si="0"/>
        <v>85595.1</v>
      </c>
      <c r="H39" s="191">
        <f t="shared" si="2"/>
        <v>0.26273349759507258</v>
      </c>
    </row>
    <row r="40" spans="1:8" ht="15.75">
      <c r="A40" s="149" t="s">
        <v>177</v>
      </c>
      <c r="B40" s="150">
        <v>10</v>
      </c>
      <c r="C40" s="150">
        <v>2735.04</v>
      </c>
      <c r="D40" s="150">
        <v>5455.4</v>
      </c>
      <c r="E40" s="150">
        <v>54554</v>
      </c>
      <c r="F40" s="150">
        <v>27203.599999999999</v>
      </c>
      <c r="G40" s="151">
        <f t="shared" si="0"/>
        <v>27350.400000000001</v>
      </c>
      <c r="H40" s="191">
        <f t="shared" si="2"/>
        <v>0.99463261963261951</v>
      </c>
    </row>
    <row r="41" spans="1:8" ht="15.75">
      <c r="A41" s="149" t="s">
        <v>282</v>
      </c>
      <c r="B41" s="150">
        <v>28</v>
      </c>
      <c r="C41" s="150">
        <v>2303.96</v>
      </c>
      <c r="D41" s="150">
        <v>2784.2</v>
      </c>
      <c r="E41" s="150">
        <v>77957.600000000006</v>
      </c>
      <c r="F41" s="150">
        <v>13446.8</v>
      </c>
      <c r="G41" s="151">
        <f t="shared" si="0"/>
        <v>64510.8</v>
      </c>
      <c r="H41" s="191">
        <f t="shared" si="2"/>
        <v>0.20844261736019393</v>
      </c>
    </row>
    <row r="42" spans="1:8" ht="15.75">
      <c r="A42" s="149" t="s">
        <v>178</v>
      </c>
      <c r="B42" s="150">
        <v>73</v>
      </c>
      <c r="C42" s="150">
        <v>589.26</v>
      </c>
      <c r="D42" s="150">
        <v>1230.1500000000001</v>
      </c>
      <c r="E42" s="150">
        <v>89800.95</v>
      </c>
      <c r="F42" s="150">
        <v>46785.3</v>
      </c>
      <c r="G42" s="151">
        <f t="shared" si="0"/>
        <v>43015.649999999994</v>
      </c>
      <c r="H42" s="191">
        <f t="shared" si="2"/>
        <v>1.0876343842299259</v>
      </c>
    </row>
    <row r="43" spans="1:8" ht="15.75">
      <c r="A43" s="149" t="s">
        <v>179</v>
      </c>
      <c r="B43" s="150">
        <v>69</v>
      </c>
      <c r="C43" s="150">
        <v>1284.1099999999999</v>
      </c>
      <c r="D43" s="150">
        <v>2132.4</v>
      </c>
      <c r="E43" s="150">
        <v>147135.6</v>
      </c>
      <c r="F43" s="150">
        <v>58532.15</v>
      </c>
      <c r="G43" s="151">
        <f t="shared" si="0"/>
        <v>88603.450000000012</v>
      </c>
      <c r="H43" s="191">
        <f t="shared" si="2"/>
        <v>0.6606080237281956</v>
      </c>
    </row>
    <row r="44" spans="1:8" ht="15.75">
      <c r="A44" s="149" t="s">
        <v>180</v>
      </c>
      <c r="B44" s="150">
        <v>155</v>
      </c>
      <c r="C44" s="150">
        <v>503.08</v>
      </c>
      <c r="D44" s="150">
        <v>753.15</v>
      </c>
      <c r="E44" s="150">
        <v>116738.25</v>
      </c>
      <c r="F44" s="150">
        <v>38760.65</v>
      </c>
      <c r="G44" s="151">
        <f t="shared" si="0"/>
        <v>77977.600000000006</v>
      </c>
      <c r="H44" s="191">
        <f t="shared" si="2"/>
        <v>0.4970741597586999</v>
      </c>
    </row>
    <row r="45" spans="1:8" ht="15.75">
      <c r="A45" s="149" t="s">
        <v>284</v>
      </c>
      <c r="B45" s="150">
        <v>35</v>
      </c>
      <c r="C45" s="150">
        <v>917.94</v>
      </c>
      <c r="D45" s="150">
        <v>1426.5</v>
      </c>
      <c r="E45" s="150">
        <v>49927.5</v>
      </c>
      <c r="F45" s="150">
        <v>17799.599999999999</v>
      </c>
      <c r="G45" s="151">
        <f t="shared" si="0"/>
        <v>32127.9</v>
      </c>
      <c r="H45" s="191">
        <f t="shared" si="2"/>
        <v>0.55402313876723963</v>
      </c>
    </row>
    <row r="46" spans="1:8" ht="15.75">
      <c r="A46" s="149" t="s">
        <v>181</v>
      </c>
      <c r="B46" s="150">
        <v>57</v>
      </c>
      <c r="C46" s="150">
        <v>1521.67</v>
      </c>
      <c r="D46" s="150">
        <v>1943.7</v>
      </c>
      <c r="E46" s="150">
        <v>110790.9</v>
      </c>
      <c r="F46" s="150">
        <v>24055.5</v>
      </c>
      <c r="G46" s="151">
        <f t="shared" si="0"/>
        <v>86735.4</v>
      </c>
      <c r="H46" s="191">
        <f t="shared" si="2"/>
        <v>0.27734350680345049</v>
      </c>
    </row>
    <row r="47" spans="1:8" ht="15.75">
      <c r="A47" s="149" t="s">
        <v>182</v>
      </c>
      <c r="B47" s="150">
        <v>759</v>
      </c>
      <c r="C47" s="150">
        <v>229.74</v>
      </c>
      <c r="D47" s="150">
        <v>501.9</v>
      </c>
      <c r="E47" s="150">
        <v>380942.1</v>
      </c>
      <c r="F47" s="150">
        <v>206566.55</v>
      </c>
      <c r="G47" s="151">
        <f t="shared" si="0"/>
        <v>174375.55</v>
      </c>
      <c r="H47" s="191">
        <f t="shared" si="2"/>
        <v>1.1846073030307287</v>
      </c>
    </row>
    <row r="48" spans="1:8" ht="15.75">
      <c r="A48" s="149" t="s">
        <v>183</v>
      </c>
      <c r="B48" s="150">
        <v>28</v>
      </c>
      <c r="C48" s="150">
        <v>597.6</v>
      </c>
      <c r="D48" s="150">
        <v>1953.8</v>
      </c>
      <c r="E48" s="150">
        <v>54706.400000000001</v>
      </c>
      <c r="F48" s="150">
        <v>37973.699999999997</v>
      </c>
      <c r="G48" s="151">
        <f t="shared" si="0"/>
        <v>16732.700000000004</v>
      </c>
      <c r="H48" s="191">
        <f t="shared" si="2"/>
        <v>2.2694305162944408</v>
      </c>
    </row>
    <row r="49" spans="1:8" ht="15.75">
      <c r="A49" s="149" t="s">
        <v>184</v>
      </c>
      <c r="B49" s="150">
        <v>329</v>
      </c>
      <c r="C49" s="150">
        <v>121.11</v>
      </c>
      <c r="D49" s="150">
        <v>222.2</v>
      </c>
      <c r="E49" s="150">
        <v>73103.8</v>
      </c>
      <c r="F49" s="150">
        <v>33259.050000000003</v>
      </c>
      <c r="G49" s="151">
        <f t="shared" si="0"/>
        <v>39844.75</v>
      </c>
      <c r="H49" s="191">
        <f t="shared" si="2"/>
        <v>0.83471599144178354</v>
      </c>
    </row>
    <row r="50" spans="1:8" ht="15.75">
      <c r="A50" s="149" t="s">
        <v>185</v>
      </c>
      <c r="B50" s="150">
        <v>55</v>
      </c>
      <c r="C50" s="150">
        <v>1723.54</v>
      </c>
      <c r="D50" s="150">
        <v>1780.65</v>
      </c>
      <c r="E50" s="150">
        <v>97935.75</v>
      </c>
      <c r="F50" s="150">
        <v>3140.8</v>
      </c>
      <c r="G50" s="151">
        <f t="shared" si="0"/>
        <v>94794.95</v>
      </c>
      <c r="H50" s="191">
        <f t="shared" si="2"/>
        <v>3.3132566660987746E-2</v>
      </c>
    </row>
    <row r="51" spans="1:8" ht="15.75">
      <c r="A51" s="149" t="s">
        <v>186</v>
      </c>
      <c r="B51" s="150">
        <v>67</v>
      </c>
      <c r="C51" s="150">
        <v>676.11</v>
      </c>
      <c r="D51" s="150">
        <v>1815.15</v>
      </c>
      <c r="E51" s="150">
        <v>121615.05</v>
      </c>
      <c r="F51" s="150">
        <v>76315.649999999994</v>
      </c>
      <c r="G51" s="151">
        <f t="shared" si="0"/>
        <v>45299.400000000009</v>
      </c>
      <c r="H51" s="191">
        <f t="shared" si="2"/>
        <v>1.6846944992648905</v>
      </c>
    </row>
    <row r="52" spans="1:8" ht="15.75">
      <c r="A52" s="149" t="s">
        <v>187</v>
      </c>
      <c r="B52" s="150">
        <v>20</v>
      </c>
      <c r="C52" s="150">
        <v>2295.38</v>
      </c>
      <c r="D52" s="150">
        <v>3422.35</v>
      </c>
      <c r="E52" s="150">
        <v>68447</v>
      </c>
      <c r="F52" s="150">
        <v>22539.4</v>
      </c>
      <c r="G52" s="151">
        <f t="shared" si="0"/>
        <v>45907.6</v>
      </c>
      <c r="H52" s="191">
        <f t="shared" si="2"/>
        <v>0.49097317219806746</v>
      </c>
    </row>
    <row r="53" spans="1:8" ht="15.75">
      <c r="A53" s="149" t="s">
        <v>188</v>
      </c>
      <c r="B53" s="150">
        <v>62</v>
      </c>
      <c r="C53" s="150">
        <v>1053.22</v>
      </c>
      <c r="D53" s="150">
        <v>3704.65</v>
      </c>
      <c r="E53" s="150">
        <v>229688.3</v>
      </c>
      <c r="F53" s="150">
        <v>164388.95000000001</v>
      </c>
      <c r="G53" s="151">
        <f t="shared" si="0"/>
        <v>65299.349999999977</v>
      </c>
      <c r="H53" s="191">
        <f t="shared" si="2"/>
        <v>2.517466866056095</v>
      </c>
    </row>
    <row r="54" spans="1:8" ht="15.75">
      <c r="A54" s="149" t="s">
        <v>286</v>
      </c>
      <c r="B54" s="150">
        <v>25</v>
      </c>
      <c r="C54" s="150">
        <v>4933.3100000000004</v>
      </c>
      <c r="D54" s="150">
        <v>6167.7</v>
      </c>
      <c r="E54" s="150">
        <v>154192.5</v>
      </c>
      <c r="F54" s="150">
        <v>30859.67</v>
      </c>
      <c r="G54" s="151">
        <f t="shared" si="0"/>
        <v>123332.83</v>
      </c>
      <c r="H54" s="191">
        <f t="shared" si="2"/>
        <v>0.25021456168645445</v>
      </c>
    </row>
    <row r="55" spans="1:8" ht="15.75">
      <c r="A55" s="149" t="s">
        <v>189</v>
      </c>
      <c r="B55" s="150">
        <v>15</v>
      </c>
      <c r="C55" s="150">
        <v>1077.04</v>
      </c>
      <c r="D55" s="150">
        <v>2806.1</v>
      </c>
      <c r="E55" s="150">
        <v>42091.5</v>
      </c>
      <c r="F55" s="150">
        <v>25935.95</v>
      </c>
      <c r="G55" s="151">
        <f t="shared" si="0"/>
        <v>16155.55</v>
      </c>
      <c r="H55" s="191">
        <f t="shared" si="2"/>
        <v>1.6053894791573176</v>
      </c>
    </row>
    <row r="56" spans="1:8" ht="15.75">
      <c r="A56" s="149" t="s">
        <v>190</v>
      </c>
      <c r="B56" s="150">
        <v>23</v>
      </c>
      <c r="C56" s="150">
        <v>2162.1799999999998</v>
      </c>
      <c r="D56" s="150">
        <v>2488</v>
      </c>
      <c r="E56" s="150">
        <v>57224</v>
      </c>
      <c r="F56" s="150">
        <v>7493.8</v>
      </c>
      <c r="G56" s="151">
        <f t="shared" si="0"/>
        <v>49730.2</v>
      </c>
      <c r="H56" s="191">
        <f t="shared" si="2"/>
        <v>0.1506891184833361</v>
      </c>
    </row>
    <row r="57" spans="1:8" ht="15.75">
      <c r="A57" s="149" t="s">
        <v>191</v>
      </c>
      <c r="B57" s="150">
        <v>114</v>
      </c>
      <c r="C57" s="150">
        <v>490.12</v>
      </c>
      <c r="D57" s="150">
        <v>647.85</v>
      </c>
      <c r="E57" s="150">
        <v>73854.899999999994</v>
      </c>
      <c r="F57" s="150">
        <v>17981.25</v>
      </c>
      <c r="G57" s="151">
        <f t="shared" si="0"/>
        <v>55873.649999999994</v>
      </c>
      <c r="H57" s="191">
        <f t="shared" si="2"/>
        <v>0.32181985605021335</v>
      </c>
    </row>
    <row r="58" spans="1:8" ht="15.75">
      <c r="A58" s="149" t="s">
        <v>192</v>
      </c>
      <c r="B58" s="150">
        <v>95</v>
      </c>
      <c r="C58" s="150">
        <v>752.44</v>
      </c>
      <c r="D58" s="150">
        <v>1075.4000000000001</v>
      </c>
      <c r="E58" s="150">
        <v>102163</v>
      </c>
      <c r="F58" s="150">
        <v>30680.95</v>
      </c>
      <c r="G58" s="151">
        <f t="shared" si="0"/>
        <v>71482.05</v>
      </c>
      <c r="H58" s="191">
        <f t="shared" si="2"/>
        <v>0.42921194901377335</v>
      </c>
    </row>
    <row r="59" spans="1:8" ht="15.75">
      <c r="A59" s="149" t="s">
        <v>265</v>
      </c>
      <c r="B59" s="150">
        <v>75</v>
      </c>
      <c r="C59" s="150">
        <v>337.52</v>
      </c>
      <c r="D59" s="150">
        <v>339.8</v>
      </c>
      <c r="E59" s="150">
        <v>25485</v>
      </c>
      <c r="F59" s="150">
        <v>170.83</v>
      </c>
      <c r="G59" s="151">
        <f t="shared" si="0"/>
        <v>25314.17</v>
      </c>
      <c r="H59" s="191">
        <f t="shared" si="2"/>
        <v>6.7483942787774608E-3</v>
      </c>
    </row>
    <row r="60" spans="1:8" ht="15.75">
      <c r="A60" s="149" t="s">
        <v>194</v>
      </c>
      <c r="B60" s="150">
        <v>255</v>
      </c>
      <c r="C60" s="150">
        <v>99.4</v>
      </c>
      <c r="D60" s="150">
        <v>195.28</v>
      </c>
      <c r="E60" s="150">
        <v>49796.4</v>
      </c>
      <c r="F60" s="150">
        <v>24448.9</v>
      </c>
      <c r="G60" s="151">
        <f t="shared" si="0"/>
        <v>25347.5</v>
      </c>
      <c r="H60" s="191">
        <f t="shared" si="2"/>
        <v>0.9645487720682514</v>
      </c>
    </row>
    <row r="61" spans="1:8" ht="15.75">
      <c r="A61" s="149" t="s">
        <v>195</v>
      </c>
      <c r="B61" s="150">
        <v>37</v>
      </c>
      <c r="C61" s="150">
        <v>2300.56</v>
      </c>
      <c r="D61" s="150">
        <v>3104.95</v>
      </c>
      <c r="E61" s="150">
        <v>114883.15</v>
      </c>
      <c r="F61" s="150">
        <v>29762.400000000001</v>
      </c>
      <c r="G61" s="151">
        <f t="shared" si="0"/>
        <v>85120.75</v>
      </c>
      <c r="H61" s="191">
        <f t="shared" si="2"/>
        <v>0.34964917484867086</v>
      </c>
    </row>
    <row r="62" spans="1:8" ht="15.75">
      <c r="A62" s="149" t="s">
        <v>196</v>
      </c>
      <c r="B62" s="150">
        <v>21</v>
      </c>
      <c r="C62" s="150">
        <v>2605.84</v>
      </c>
      <c r="D62" s="150">
        <v>2497</v>
      </c>
      <c r="E62" s="150">
        <v>52437</v>
      </c>
      <c r="F62" s="150">
        <v>-2285.6</v>
      </c>
      <c r="G62" s="151">
        <f t="shared" si="0"/>
        <v>54722.6</v>
      </c>
      <c r="H62" s="191">
        <f t="shared" si="2"/>
        <v>-4.1767021303812317E-2</v>
      </c>
    </row>
    <row r="63" spans="1:8" ht="15.75">
      <c r="A63" s="149" t="s">
        <v>197</v>
      </c>
      <c r="B63" s="150">
        <v>145</v>
      </c>
      <c r="C63" s="150">
        <v>127.63</v>
      </c>
      <c r="D63" s="150">
        <v>138.27000000000001</v>
      </c>
      <c r="E63" s="150">
        <v>20049.150000000001</v>
      </c>
      <c r="F63" s="150">
        <v>1543.05</v>
      </c>
      <c r="G63" s="151">
        <f t="shared" si="0"/>
        <v>18506.100000000002</v>
      </c>
      <c r="H63" s="191">
        <f t="shared" si="2"/>
        <v>8.338061504044611E-2</v>
      </c>
    </row>
    <row r="64" spans="1:8" ht="15.75">
      <c r="A64" s="149" t="s">
        <v>198</v>
      </c>
      <c r="B64" s="150">
        <v>88</v>
      </c>
      <c r="C64" s="150">
        <v>582.44000000000005</v>
      </c>
      <c r="D64" s="150">
        <v>1772.35</v>
      </c>
      <c r="E64" s="150">
        <v>155966.79999999999</v>
      </c>
      <c r="F64" s="150">
        <v>104711.75</v>
      </c>
      <c r="G64" s="151">
        <f t="shared" si="0"/>
        <v>51255.049999999988</v>
      </c>
      <c r="H64" s="191">
        <f t="shared" si="2"/>
        <v>2.0429547917717379</v>
      </c>
    </row>
    <row r="65" spans="1:8" ht="15.75">
      <c r="A65" s="149" t="s">
        <v>199</v>
      </c>
      <c r="B65" s="150">
        <v>12</v>
      </c>
      <c r="C65" s="150">
        <v>4216.4799999999996</v>
      </c>
      <c r="D65" s="150">
        <v>10790</v>
      </c>
      <c r="E65" s="150">
        <v>129480</v>
      </c>
      <c r="F65" s="150">
        <v>78882.3</v>
      </c>
      <c r="G65" s="151">
        <f t="shared" si="0"/>
        <v>50597.7</v>
      </c>
      <c r="H65" s="191">
        <f t="shared" si="2"/>
        <v>1.559009599250559</v>
      </c>
    </row>
    <row r="66" spans="1:8" ht="15.75">
      <c r="A66" s="149" t="s">
        <v>200</v>
      </c>
      <c r="B66" s="150">
        <v>300</v>
      </c>
      <c r="C66" s="150">
        <v>82.33</v>
      </c>
      <c r="D66" s="150">
        <v>330.75</v>
      </c>
      <c r="E66" s="150">
        <v>99225</v>
      </c>
      <c r="F66" s="150">
        <v>74525</v>
      </c>
      <c r="G66" s="151">
        <f t="shared" ref="G66:G97" si="3">E66-F66</f>
        <v>24700</v>
      </c>
      <c r="H66" s="191">
        <f t="shared" si="2"/>
        <v>3.0172064777327936</v>
      </c>
    </row>
    <row r="67" spans="1:8" ht="15.75">
      <c r="A67" s="149" t="s">
        <v>201</v>
      </c>
      <c r="B67" s="150">
        <v>20</v>
      </c>
      <c r="C67" s="150">
        <v>2053.08</v>
      </c>
      <c r="D67" s="150">
        <v>5170.8500000000004</v>
      </c>
      <c r="E67" s="150">
        <v>103417</v>
      </c>
      <c r="F67" s="150">
        <v>62355.35</v>
      </c>
      <c r="G67" s="151">
        <f t="shared" si="3"/>
        <v>41061.65</v>
      </c>
      <c r="H67" s="191">
        <f t="shared" si="2"/>
        <v>1.5185787711891752</v>
      </c>
    </row>
    <row r="68" spans="1:8" ht="15.75">
      <c r="A68" s="149" t="s">
        <v>202</v>
      </c>
      <c r="B68" s="150">
        <v>26</v>
      </c>
      <c r="C68" s="150">
        <v>1275.28</v>
      </c>
      <c r="D68" s="150">
        <v>3749.4</v>
      </c>
      <c r="E68" s="150">
        <v>97484.4</v>
      </c>
      <c r="F68" s="150">
        <v>64327</v>
      </c>
      <c r="G68" s="151">
        <f t="shared" si="3"/>
        <v>33157.399999999994</v>
      </c>
      <c r="H68" s="191">
        <f t="shared" si="2"/>
        <v>1.9400495816921717</v>
      </c>
    </row>
    <row r="69" spans="1:8" ht="15.75">
      <c r="A69" s="149" t="s">
        <v>203</v>
      </c>
      <c r="B69" s="150">
        <v>30</v>
      </c>
      <c r="C69" s="150">
        <v>2499.15</v>
      </c>
      <c r="D69" s="150">
        <v>3123.3</v>
      </c>
      <c r="E69" s="150">
        <v>93699</v>
      </c>
      <c r="F69" s="150">
        <v>18724.650000000001</v>
      </c>
      <c r="G69" s="151">
        <f t="shared" si="3"/>
        <v>74974.350000000006</v>
      </c>
      <c r="H69" s="191">
        <f t="shared" si="2"/>
        <v>0.24974741361545649</v>
      </c>
    </row>
    <row r="70" spans="1:8" ht="15.75">
      <c r="A70" s="149" t="s">
        <v>204</v>
      </c>
      <c r="B70" s="150">
        <v>28</v>
      </c>
      <c r="C70" s="150">
        <v>606.38</v>
      </c>
      <c r="D70" s="150">
        <v>1816</v>
      </c>
      <c r="E70" s="150">
        <v>50848</v>
      </c>
      <c r="F70" s="150">
        <v>33869.5</v>
      </c>
      <c r="G70" s="151">
        <f t="shared" si="3"/>
        <v>16978.5</v>
      </c>
      <c r="H70" s="191">
        <f t="shared" si="2"/>
        <v>1.994846423417852</v>
      </c>
    </row>
    <row r="71" spans="1:8" ht="15.75">
      <c r="A71" s="149" t="s">
        <v>205</v>
      </c>
      <c r="B71" s="150">
        <v>20</v>
      </c>
      <c r="C71" s="150">
        <v>1000</v>
      </c>
      <c r="D71" s="150">
        <v>1119.3499999999999</v>
      </c>
      <c r="E71" s="150">
        <v>22387</v>
      </c>
      <c r="F71" s="150">
        <v>0</v>
      </c>
      <c r="G71" s="151">
        <f t="shared" si="3"/>
        <v>22387</v>
      </c>
      <c r="H71" s="191">
        <f t="shared" si="2"/>
        <v>0</v>
      </c>
    </row>
    <row r="72" spans="1:8" ht="15.75">
      <c r="A72" s="149" t="s">
        <v>299</v>
      </c>
      <c r="B72" s="150">
        <v>49</v>
      </c>
      <c r="C72" s="150">
        <v>952.78</v>
      </c>
      <c r="D72" s="150">
        <v>796.95</v>
      </c>
      <c r="E72" s="150">
        <v>39050.550000000003</v>
      </c>
      <c r="F72" s="150">
        <v>-7635.6</v>
      </c>
      <c r="G72" s="151">
        <f t="shared" si="3"/>
        <v>46686.15</v>
      </c>
      <c r="H72" s="191">
        <f t="shared" si="2"/>
        <v>-0.1635517171580865</v>
      </c>
    </row>
    <row r="73" spans="1:8" ht="15.75">
      <c r="A73" s="149" t="s">
        <v>206</v>
      </c>
      <c r="B73" s="150">
        <v>77</v>
      </c>
      <c r="C73" s="150">
        <v>1234.6400000000001</v>
      </c>
      <c r="D73" s="150">
        <v>1850.3</v>
      </c>
      <c r="E73" s="150">
        <v>142473.1</v>
      </c>
      <c r="F73" s="150">
        <v>47405.65</v>
      </c>
      <c r="G73" s="151">
        <f t="shared" si="3"/>
        <v>95067.450000000012</v>
      </c>
      <c r="H73" s="191">
        <f t="shared" si="2"/>
        <v>0.49865279861824419</v>
      </c>
    </row>
    <row r="74" spans="1:8" ht="15.75">
      <c r="A74" s="149" t="s">
        <v>207</v>
      </c>
      <c r="B74" s="150">
        <v>72</v>
      </c>
      <c r="C74" s="150">
        <v>355.35</v>
      </c>
      <c r="D74" s="150">
        <v>815.65</v>
      </c>
      <c r="E74" s="150">
        <v>58726.8</v>
      </c>
      <c r="F74" s="150">
        <v>33141.550000000003</v>
      </c>
      <c r="G74" s="151">
        <f t="shared" si="3"/>
        <v>25585.25</v>
      </c>
      <c r="H74" s="191">
        <f t="shared" si="2"/>
        <v>1.2953381342765853</v>
      </c>
    </row>
    <row r="75" spans="1:8" ht="15.75">
      <c r="A75" s="149" t="s">
        <v>262</v>
      </c>
      <c r="B75" s="150">
        <v>10</v>
      </c>
      <c r="C75" s="150">
        <v>5284</v>
      </c>
      <c r="D75" s="150">
        <v>7652.6</v>
      </c>
      <c r="E75" s="150">
        <v>76526</v>
      </c>
      <c r="F75" s="150">
        <v>23686</v>
      </c>
      <c r="G75" s="151">
        <f t="shared" si="3"/>
        <v>52840</v>
      </c>
      <c r="H75" s="191">
        <f t="shared" si="2"/>
        <v>0.44825889477668435</v>
      </c>
    </row>
    <row r="76" spans="1:8" ht="15.75">
      <c r="A76" s="149" t="s">
        <v>209</v>
      </c>
      <c r="B76" s="150">
        <v>5</v>
      </c>
      <c r="C76" s="150">
        <v>4802</v>
      </c>
      <c r="D76" s="150">
        <v>7551.2</v>
      </c>
      <c r="E76" s="150">
        <v>37756</v>
      </c>
      <c r="F76" s="150">
        <v>13746</v>
      </c>
      <c r="G76" s="151">
        <f t="shared" si="3"/>
        <v>24010</v>
      </c>
      <c r="H76" s="191">
        <f t="shared" si="2"/>
        <v>0.57251145356101629</v>
      </c>
    </row>
    <row r="77" spans="1:8" ht="15.75">
      <c r="A77" s="149" t="s">
        <v>210</v>
      </c>
      <c r="B77" s="150">
        <v>10</v>
      </c>
      <c r="C77" s="150">
        <v>5002.45</v>
      </c>
      <c r="D77" s="150">
        <v>7589.16</v>
      </c>
      <c r="E77" s="150">
        <v>75891.600000000006</v>
      </c>
      <c r="F77" s="150">
        <v>25867.1</v>
      </c>
      <c r="G77" s="151">
        <f t="shared" si="3"/>
        <v>50024.500000000007</v>
      </c>
      <c r="H77" s="191">
        <f t="shared" si="2"/>
        <v>0.51708862657297916</v>
      </c>
    </row>
    <row r="78" spans="1:8" ht="15.75">
      <c r="A78" s="149" t="s">
        <v>211</v>
      </c>
      <c r="B78" s="150">
        <v>35</v>
      </c>
      <c r="C78" s="150">
        <v>984.23</v>
      </c>
      <c r="D78" s="150">
        <v>6896.85</v>
      </c>
      <c r="E78" s="150">
        <v>241389.75</v>
      </c>
      <c r="F78" s="150">
        <v>206941.7</v>
      </c>
      <c r="G78" s="151">
        <f t="shared" si="3"/>
        <v>34448.049999999988</v>
      </c>
      <c r="H78" s="191">
        <f t="shared" si="2"/>
        <v>6.0073560041860157</v>
      </c>
    </row>
    <row r="79" spans="1:8" ht="15.75">
      <c r="A79" s="149" t="s">
        <v>290</v>
      </c>
      <c r="B79" s="150">
        <v>62</v>
      </c>
      <c r="C79" s="150">
        <v>592.30999999999995</v>
      </c>
      <c r="D79" s="150">
        <v>683.35</v>
      </c>
      <c r="E79" s="150">
        <v>42367.7</v>
      </c>
      <c r="F79" s="150">
        <v>5644.35</v>
      </c>
      <c r="G79" s="151">
        <f t="shared" si="3"/>
        <v>36723.35</v>
      </c>
      <c r="H79" s="191">
        <f t="shared" si="2"/>
        <v>0.1536992131709117</v>
      </c>
    </row>
    <row r="80" spans="1:8" ht="15.75">
      <c r="A80" s="149" t="s">
        <v>291</v>
      </c>
      <c r="B80" s="150">
        <v>226</v>
      </c>
      <c r="C80" s="150">
        <v>547.62</v>
      </c>
      <c r="D80" s="150">
        <v>618.29999999999995</v>
      </c>
      <c r="E80" s="150">
        <v>139735.79999999999</v>
      </c>
      <c r="F80" s="150">
        <v>15973.35</v>
      </c>
      <c r="G80" s="151">
        <f t="shared" si="3"/>
        <v>123762.44999999998</v>
      </c>
      <c r="H80" s="191">
        <f t="shared" ref="H80:H111" si="4">F80/G80</f>
        <v>0.12906459107750373</v>
      </c>
    </row>
    <row r="81" spans="1:8" ht="15.75">
      <c r="A81" s="149" t="s">
        <v>292</v>
      </c>
      <c r="B81" s="150">
        <v>51</v>
      </c>
      <c r="C81" s="150">
        <v>958.21</v>
      </c>
      <c r="D81" s="150">
        <v>1375</v>
      </c>
      <c r="E81" s="150">
        <v>70125</v>
      </c>
      <c r="F81" s="150">
        <v>21256.45</v>
      </c>
      <c r="G81" s="151">
        <f t="shared" si="3"/>
        <v>48868.55</v>
      </c>
      <c r="H81" s="191">
        <f t="shared" si="4"/>
        <v>0.43497198095707768</v>
      </c>
    </row>
    <row r="82" spans="1:8" ht="15.75">
      <c r="A82" s="149" t="s">
        <v>212</v>
      </c>
      <c r="B82" s="150">
        <v>152</v>
      </c>
      <c r="C82" s="150">
        <v>574.22</v>
      </c>
      <c r="D82" s="150">
        <v>1821.65</v>
      </c>
      <c r="E82" s="150">
        <v>276890.8</v>
      </c>
      <c r="F82" s="150">
        <v>189608.65</v>
      </c>
      <c r="G82" s="151">
        <f t="shared" si="3"/>
        <v>87282.15</v>
      </c>
      <c r="H82" s="191">
        <f t="shared" si="4"/>
        <v>2.1723645670964795</v>
      </c>
    </row>
    <row r="83" spans="1:8" ht="15.75">
      <c r="A83" s="149" t="s">
        <v>293</v>
      </c>
      <c r="B83" s="150">
        <v>83</v>
      </c>
      <c r="C83" s="150">
        <v>396.43</v>
      </c>
      <c r="D83" s="150">
        <v>524.65</v>
      </c>
      <c r="E83" s="150">
        <v>43545.95</v>
      </c>
      <c r="F83" s="150">
        <v>10642.65</v>
      </c>
      <c r="G83" s="151">
        <f t="shared" si="3"/>
        <v>32903.299999999996</v>
      </c>
      <c r="H83" s="191">
        <f t="shared" si="4"/>
        <v>0.32345235888193591</v>
      </c>
    </row>
    <row r="84" spans="1:8" ht="15.75">
      <c r="A84" s="149" t="s">
        <v>213</v>
      </c>
      <c r="B84" s="150">
        <v>83</v>
      </c>
      <c r="C84" s="150">
        <v>548.48</v>
      </c>
      <c r="D84" s="150">
        <v>869.55</v>
      </c>
      <c r="E84" s="150">
        <v>72172.649999999994</v>
      </c>
      <c r="F84" s="150">
        <v>26649.05</v>
      </c>
      <c r="G84" s="151">
        <f t="shared" si="3"/>
        <v>45523.599999999991</v>
      </c>
      <c r="H84" s="191">
        <f t="shared" si="4"/>
        <v>0.58538977585252494</v>
      </c>
    </row>
    <row r="85" spans="1:8" ht="15.75">
      <c r="A85" s="149" t="s">
        <v>214</v>
      </c>
      <c r="B85" s="150">
        <v>46</v>
      </c>
      <c r="C85" s="150">
        <v>794.51</v>
      </c>
      <c r="D85" s="150">
        <v>1200.1500000000001</v>
      </c>
      <c r="E85" s="150">
        <v>55206.9</v>
      </c>
      <c r="F85" s="150">
        <v>18659.599999999999</v>
      </c>
      <c r="G85" s="151">
        <f t="shared" si="3"/>
        <v>36547.300000000003</v>
      </c>
      <c r="H85" s="191">
        <f t="shared" si="4"/>
        <v>0.51056028762726646</v>
      </c>
    </row>
    <row r="86" spans="1:8" ht="15.75">
      <c r="A86" s="149" t="s">
        <v>267</v>
      </c>
      <c r="B86" s="150">
        <v>44</v>
      </c>
      <c r="C86" s="150">
        <v>687.96</v>
      </c>
      <c r="D86" s="150">
        <v>1111.3499999999999</v>
      </c>
      <c r="E86" s="150">
        <v>48899.4</v>
      </c>
      <c r="F86" s="150">
        <v>18629.099999999999</v>
      </c>
      <c r="G86" s="151">
        <f t="shared" si="3"/>
        <v>30270.300000000003</v>
      </c>
      <c r="H86" s="191">
        <f t="shared" si="4"/>
        <v>0.61542502056471182</v>
      </c>
    </row>
    <row r="87" spans="1:8" ht="15.75">
      <c r="A87" s="149" t="s">
        <v>215</v>
      </c>
      <c r="B87" s="150">
        <v>1050</v>
      </c>
      <c r="C87" s="150">
        <v>40.479999999999997</v>
      </c>
      <c r="D87" s="150">
        <v>152.80000000000001</v>
      </c>
      <c r="E87" s="150">
        <v>160440</v>
      </c>
      <c r="F87" s="150">
        <v>117939.75</v>
      </c>
      <c r="G87" s="151">
        <f t="shared" si="3"/>
        <v>42500.25</v>
      </c>
      <c r="H87" s="191">
        <f t="shared" si="4"/>
        <v>2.7750366174316623</v>
      </c>
    </row>
    <row r="88" spans="1:8" ht="15.75">
      <c r="A88" s="149" t="s">
        <v>216</v>
      </c>
      <c r="B88" s="150">
        <v>30</v>
      </c>
      <c r="C88" s="150">
        <v>3490.64</v>
      </c>
      <c r="D88" s="150">
        <v>4553.75</v>
      </c>
      <c r="E88" s="150">
        <v>136612.5</v>
      </c>
      <c r="F88" s="150">
        <v>31893.45</v>
      </c>
      <c r="G88" s="151">
        <f t="shared" si="3"/>
        <v>104719.05</v>
      </c>
      <c r="H88" s="191">
        <f t="shared" si="4"/>
        <v>0.30456206392246682</v>
      </c>
    </row>
    <row r="89" spans="1:8" ht="15.75">
      <c r="A89" s="149" t="s">
        <v>217</v>
      </c>
      <c r="B89" s="150">
        <v>24</v>
      </c>
      <c r="C89" s="150">
        <v>2584.4</v>
      </c>
      <c r="D89" s="150">
        <v>3562.2</v>
      </c>
      <c r="E89" s="150">
        <v>85492.800000000003</v>
      </c>
      <c r="F89" s="150">
        <v>23467.200000000001</v>
      </c>
      <c r="G89" s="151">
        <f t="shared" si="3"/>
        <v>62025.600000000006</v>
      </c>
      <c r="H89" s="191">
        <f t="shared" si="4"/>
        <v>0.37834700510756847</v>
      </c>
    </row>
    <row r="90" spans="1:8" ht="15.75">
      <c r="A90" s="149" t="s">
        <v>220</v>
      </c>
      <c r="B90" s="150">
        <v>45</v>
      </c>
      <c r="C90" s="150">
        <v>355.21</v>
      </c>
      <c r="D90" s="150">
        <v>1173.9000000000001</v>
      </c>
      <c r="E90" s="150">
        <v>52825.5</v>
      </c>
      <c r="F90" s="150">
        <v>36840.9</v>
      </c>
      <c r="G90" s="151">
        <f t="shared" si="3"/>
        <v>15984.599999999999</v>
      </c>
      <c r="H90" s="191">
        <f t="shared" si="4"/>
        <v>2.3047745955482153</v>
      </c>
    </row>
    <row r="91" spans="1:8" ht="15.75">
      <c r="A91" s="149" t="s">
        <v>221</v>
      </c>
      <c r="B91" s="150">
        <v>36</v>
      </c>
      <c r="C91" s="150">
        <v>120.1</v>
      </c>
      <c r="D91" s="150">
        <v>1500.95</v>
      </c>
      <c r="E91" s="150">
        <v>54034.2</v>
      </c>
      <c r="F91" s="150">
        <v>49710.55</v>
      </c>
      <c r="G91" s="151">
        <f t="shared" si="3"/>
        <v>4323.6499999999942</v>
      </c>
      <c r="H91" s="191">
        <f t="shared" si="4"/>
        <v>11.497357556694013</v>
      </c>
    </row>
    <row r="92" spans="1:8" ht="15.75">
      <c r="A92" s="149" t="s">
        <v>300</v>
      </c>
      <c r="B92" s="150">
        <v>2525</v>
      </c>
      <c r="C92" s="150">
        <v>27.54</v>
      </c>
      <c r="D92" s="150">
        <v>23.62</v>
      </c>
      <c r="E92" s="150">
        <v>59640.5</v>
      </c>
      <c r="F92" s="150">
        <v>-9897</v>
      </c>
      <c r="G92" s="151">
        <f t="shared" si="3"/>
        <v>69537.5</v>
      </c>
      <c r="H92" s="191">
        <f t="shared" si="4"/>
        <v>-0.14232608304871472</v>
      </c>
    </row>
    <row r="93" spans="1:8" ht="15.75">
      <c r="A93" s="149" t="s">
        <v>302</v>
      </c>
      <c r="B93" s="150">
        <v>770</v>
      </c>
      <c r="C93" s="150">
        <v>98.71</v>
      </c>
      <c r="D93" s="150">
        <v>765.15</v>
      </c>
      <c r="E93" s="150">
        <f>D93*B93</f>
        <v>589165.5</v>
      </c>
      <c r="F93" s="151">
        <f>E93-G93</f>
        <v>513158.8</v>
      </c>
      <c r="G93" s="151">
        <f>C93*B93</f>
        <v>76006.7</v>
      </c>
      <c r="H93" s="191">
        <f t="shared" si="4"/>
        <v>6.7514942761624965</v>
      </c>
    </row>
    <row r="94" spans="1:8" ht="16.5">
      <c r="A94" s="149"/>
      <c r="B94" s="150"/>
      <c r="C94" s="150"/>
      <c r="D94" s="150"/>
      <c r="E94" s="150"/>
      <c r="F94" s="150"/>
      <c r="G94" s="151"/>
      <c r="H94" s="191"/>
    </row>
    <row r="95" spans="1:8" ht="16.5">
      <c r="A95" s="149"/>
      <c r="B95" s="150"/>
      <c r="C95" s="150"/>
      <c r="D95" s="150"/>
      <c r="E95" s="150"/>
      <c r="F95" s="150"/>
      <c r="G95" s="151">
        <f t="shared" si="3"/>
        <v>0</v>
      </c>
      <c r="H95" s="191"/>
    </row>
    <row r="96" spans="1:8" ht="16.5">
      <c r="A96" s="149"/>
      <c r="B96" s="150"/>
      <c r="C96" s="150"/>
      <c r="D96" s="150"/>
      <c r="E96" s="150"/>
      <c r="F96" s="150"/>
      <c r="G96" s="151">
        <f t="shared" si="3"/>
        <v>0</v>
      </c>
      <c r="H96" s="191"/>
    </row>
    <row r="97" spans="1:8" ht="16.5">
      <c r="A97" s="149"/>
      <c r="B97" s="150"/>
      <c r="C97" s="150"/>
      <c r="D97" s="150"/>
      <c r="E97" s="150"/>
      <c r="F97" s="150"/>
      <c r="G97" s="151">
        <f t="shared" si="3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15750</v>
      </c>
      <c r="C104" s="45"/>
      <c r="D104" s="45"/>
      <c r="E104" s="45">
        <f>SUM(E2:E103)</f>
        <v>8859704.5800000019</v>
      </c>
      <c r="F104" s="45">
        <f>SUM(F2:F103)</f>
        <v>4215006.96</v>
      </c>
      <c r="G104" s="45">
        <f>SUM(G2:G103)</f>
        <v>4644697.6199999992</v>
      </c>
      <c r="H104" s="176">
        <f>F104/G104</f>
        <v>0.90748791521976424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8CD8-128F-43C6-992E-D7B2DDDD7EBF}">
  <dimension ref="A1:J18"/>
  <sheetViews>
    <sheetView workbookViewId="0">
      <selection activeCell="J19" sqref="J19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0" width="12.140625" style="22" bestFit="1" customWidth="1"/>
    <col min="11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131.09</v>
      </c>
      <c r="E2">
        <v>68.607799999999997</v>
      </c>
      <c r="F2" s="188">
        <v>279986.10960000003</v>
      </c>
      <c r="G2" s="188">
        <v>534973.83290000004</v>
      </c>
      <c r="H2" s="188">
        <v>254987.72339999999</v>
      </c>
      <c r="I2" s="192">
        <f>H2/F2</f>
        <v>0.91071562001517226</v>
      </c>
    </row>
    <row r="3" spans="1:9">
      <c r="A3" s="168" t="s">
        <v>236</v>
      </c>
      <c r="B3" t="s">
        <v>237</v>
      </c>
      <c r="C3" s="188">
        <v>14235.332</v>
      </c>
      <c r="D3">
        <v>120.93</v>
      </c>
      <c r="E3">
        <v>47.766100000000002</v>
      </c>
      <c r="F3" s="188">
        <v>679966.92570000002</v>
      </c>
      <c r="G3" s="188">
        <v>1721478.6987999999</v>
      </c>
      <c r="H3" s="188">
        <v>1041511.7731</v>
      </c>
      <c r="I3" s="192">
        <f t="shared" ref="I3:I18" si="0">H3/F3</f>
        <v>1.5317094607620854</v>
      </c>
    </row>
    <row r="4" spans="1:9">
      <c r="A4" s="168" t="s">
        <v>238</v>
      </c>
      <c r="B4" t="s">
        <v>237</v>
      </c>
      <c r="C4" s="188">
        <v>25762.377</v>
      </c>
      <c r="D4">
        <v>44.9</v>
      </c>
      <c r="E4">
        <v>31.633700000000001</v>
      </c>
      <c r="F4" s="188">
        <v>814959.22270000004</v>
      </c>
      <c r="G4" s="188">
        <v>1156730.7272999999</v>
      </c>
      <c r="H4" s="188">
        <v>341771.50459999999</v>
      </c>
      <c r="I4" s="192">
        <f t="shared" si="0"/>
        <v>0.41937252206029912</v>
      </c>
    </row>
    <row r="5" spans="1:9">
      <c r="A5" s="168" t="s">
        <v>268</v>
      </c>
      <c r="B5" t="s">
        <v>269</v>
      </c>
      <c r="C5">
        <v>94.042000000000002</v>
      </c>
      <c r="D5" s="188">
        <v>3213.5891999999999</v>
      </c>
      <c r="E5" s="188">
        <v>3189.9151999999999</v>
      </c>
      <c r="F5" s="188">
        <v>299986.00380000001</v>
      </c>
      <c r="G5" s="188">
        <v>302212.35550000001</v>
      </c>
      <c r="H5" s="188">
        <v>2226.3517000000002</v>
      </c>
      <c r="I5" s="192">
        <f t="shared" si="0"/>
        <v>7.4215185768610184E-3</v>
      </c>
    </row>
    <row r="6" spans="1:9">
      <c r="A6" s="168" t="s">
        <v>301</v>
      </c>
      <c r="B6" t="s">
        <v>241</v>
      </c>
      <c r="C6" s="188">
        <v>1857.5519999999999</v>
      </c>
      <c r="D6">
        <v>775.00509999999997</v>
      </c>
      <c r="E6">
        <v>366.02140000000003</v>
      </c>
      <c r="F6" s="188">
        <v>679903.69869999995</v>
      </c>
      <c r="G6" s="188">
        <v>1439612.2734999999</v>
      </c>
      <c r="H6" s="188">
        <v>759708.57479999994</v>
      </c>
      <c r="I6" s="192">
        <f t="shared" si="0"/>
        <v>1.1173767347531567</v>
      </c>
    </row>
    <row r="7" spans="1:9">
      <c r="A7" s="168" t="s">
        <v>242</v>
      </c>
      <c r="B7" t="s">
        <v>237</v>
      </c>
      <c r="C7" s="188">
        <v>4306.576</v>
      </c>
      <c r="D7">
        <v>160.22499999999999</v>
      </c>
      <c r="E7">
        <v>44.3917</v>
      </c>
      <c r="F7" s="188">
        <v>191176.2298</v>
      </c>
      <c r="G7" s="188">
        <v>690021.13959999999</v>
      </c>
      <c r="H7" s="188">
        <v>498844.90980000002</v>
      </c>
      <c r="I7" s="192">
        <f t="shared" si="0"/>
        <v>2.6093458915989149</v>
      </c>
    </row>
    <row r="8" spans="1:9">
      <c r="A8" s="168" t="s">
        <v>272</v>
      </c>
      <c r="B8" t="s">
        <v>235</v>
      </c>
      <c r="C8" s="188">
        <v>5805.7370000000001</v>
      </c>
      <c r="D8">
        <v>153.60300000000001</v>
      </c>
      <c r="E8">
        <v>41.940399999999997</v>
      </c>
      <c r="F8" s="188">
        <v>243495.1642</v>
      </c>
      <c r="G8" s="188">
        <v>891778.62040000001</v>
      </c>
      <c r="H8" s="188">
        <v>648283.45620000002</v>
      </c>
      <c r="I8" s="192">
        <f t="shared" si="0"/>
        <v>2.6624079304816028</v>
      </c>
    </row>
    <row r="9" spans="1:9">
      <c r="A9" s="168" t="s">
        <v>244</v>
      </c>
      <c r="B9" t="s">
        <v>233</v>
      </c>
      <c r="C9" s="188">
        <v>7457.0780000000004</v>
      </c>
      <c r="D9">
        <v>34.108400000000003</v>
      </c>
      <c r="E9">
        <v>25.477900000000002</v>
      </c>
      <c r="F9" s="188">
        <v>189990.48560000001</v>
      </c>
      <c r="G9" s="188">
        <v>254348.9993</v>
      </c>
      <c r="H9" s="188">
        <v>64358.513700000003</v>
      </c>
      <c r="I9" s="192">
        <f t="shared" si="0"/>
        <v>0.33874598244618626</v>
      </c>
    </row>
    <row r="10" spans="1:9">
      <c r="A10" s="168" t="s">
        <v>273</v>
      </c>
      <c r="B10" t="s">
        <v>233</v>
      </c>
      <c r="C10" s="188">
        <v>82131.043999999994</v>
      </c>
      <c r="D10">
        <v>14.6165</v>
      </c>
      <c r="E10">
        <v>9.9227000000000007</v>
      </c>
      <c r="F10" s="188">
        <v>814959.2439</v>
      </c>
      <c r="G10" s="188">
        <v>1200468.4046</v>
      </c>
      <c r="H10" s="188">
        <v>385509.16070000001</v>
      </c>
      <c r="I10" s="192">
        <f t="shared" si="0"/>
        <v>0.47304103068411124</v>
      </c>
    </row>
    <row r="11" spans="1:9">
      <c r="A11" s="168" t="s">
        <v>246</v>
      </c>
      <c r="B11" t="s">
        <v>241</v>
      </c>
      <c r="C11" s="188">
        <v>64213.737500000003</v>
      </c>
      <c r="D11">
        <v>16.334700000000002</v>
      </c>
      <c r="E11">
        <v>12.309799999999999</v>
      </c>
      <c r="F11" s="188">
        <v>790460.48840000003</v>
      </c>
      <c r="G11" s="188">
        <v>1048912.1379</v>
      </c>
      <c r="H11" s="188">
        <v>258451.6496</v>
      </c>
      <c r="I11" s="192">
        <f t="shared" si="0"/>
        <v>0.32696340094511422</v>
      </c>
    </row>
    <row r="12" spans="1:9">
      <c r="A12" s="168" t="s">
        <v>247</v>
      </c>
      <c r="B12" t="s">
        <v>241</v>
      </c>
      <c r="C12" s="188">
        <v>33541.464</v>
      </c>
      <c r="D12">
        <v>17.749099999999999</v>
      </c>
      <c r="E12">
        <v>13.7286</v>
      </c>
      <c r="F12" s="188">
        <v>460476.96870000003</v>
      </c>
      <c r="G12" s="188">
        <v>595330.79870000004</v>
      </c>
      <c r="H12" s="188">
        <v>134853.82999999999</v>
      </c>
      <c r="I12" s="192">
        <f t="shared" si="0"/>
        <v>0.29285684011670304</v>
      </c>
    </row>
    <row r="13" spans="1:9">
      <c r="A13" s="168" t="s">
        <v>250</v>
      </c>
      <c r="B13" t="s">
        <v>251</v>
      </c>
      <c r="C13" s="188">
        <v>19397.659</v>
      </c>
      <c r="D13">
        <v>85.886799999999994</v>
      </c>
      <c r="E13">
        <v>44.640599999999999</v>
      </c>
      <c r="F13" s="188">
        <v>865923.00470000005</v>
      </c>
      <c r="G13" s="188">
        <v>1666002.8589999999</v>
      </c>
      <c r="H13" s="188">
        <v>800079.85430000001</v>
      </c>
      <c r="I13" s="192">
        <f t="shared" si="0"/>
        <v>0.92396188801703971</v>
      </c>
    </row>
    <row r="14" spans="1:9">
      <c r="A14" s="168" t="s">
        <v>274</v>
      </c>
      <c r="B14" t="s">
        <v>233</v>
      </c>
      <c r="C14" s="188">
        <v>6809.741</v>
      </c>
      <c r="D14">
        <v>47.78</v>
      </c>
      <c r="E14">
        <v>35.241999999999997</v>
      </c>
      <c r="F14" s="188">
        <v>239988.8371</v>
      </c>
      <c r="G14" s="188">
        <v>325369.42499999999</v>
      </c>
      <c r="H14" s="188">
        <v>85380.587899999999</v>
      </c>
      <c r="I14" s="192">
        <f t="shared" si="0"/>
        <v>0.35576899714057575</v>
      </c>
    </row>
    <row r="15" spans="1:9">
      <c r="A15" s="168" t="s">
        <v>253</v>
      </c>
      <c r="B15" t="s">
        <v>235</v>
      </c>
      <c r="C15" s="188">
        <v>3826.66</v>
      </c>
      <c r="D15">
        <v>271.87520000000001</v>
      </c>
      <c r="E15">
        <v>183.01130000000001</v>
      </c>
      <c r="F15" s="188">
        <v>700322.08039999998</v>
      </c>
      <c r="G15" s="188">
        <v>1040373.9528</v>
      </c>
      <c r="H15" s="188">
        <v>340051.87239999999</v>
      </c>
      <c r="I15" s="192">
        <f t="shared" si="0"/>
        <v>0.48556497348444877</v>
      </c>
    </row>
    <row r="16" spans="1:9">
      <c r="A16" s="168" t="s">
        <v>255</v>
      </c>
      <c r="B16" t="s">
        <v>241</v>
      </c>
      <c r="C16" s="188">
        <v>18996.168000000001</v>
      </c>
      <c r="D16">
        <v>27.639199999999999</v>
      </c>
      <c r="E16">
        <v>9.4700000000000006</v>
      </c>
      <c r="F16" s="188">
        <v>179893.71100000001</v>
      </c>
      <c r="G16" s="188">
        <v>525038.88659999997</v>
      </c>
      <c r="H16" s="188">
        <v>345145.17560000002</v>
      </c>
      <c r="I16" s="192">
        <f t="shared" si="0"/>
        <v>1.9186061240350976</v>
      </c>
    </row>
    <row r="17" spans="1:10">
      <c r="A17" s="168"/>
      <c r="B17"/>
      <c r="C17" s="188"/>
      <c r="D17"/>
      <c r="E17"/>
      <c r="F17" s="188"/>
      <c r="G17" s="188"/>
      <c r="H17" s="188"/>
      <c r="I17" s="192"/>
    </row>
    <row r="18" spans="1:10">
      <c r="A18" s="74" t="s">
        <v>11</v>
      </c>
      <c r="B18" s="75"/>
      <c r="C18" s="75">
        <f>SUM(C2:C17)</f>
        <v>292516.1335</v>
      </c>
      <c r="D18" s="75"/>
      <c r="E18" s="75"/>
      <c r="F18" s="75">
        <f>SUM(F2:F17)</f>
        <v>7431488.174300001</v>
      </c>
      <c r="G18" s="75">
        <f>SUM(G2:G17)</f>
        <v>13392653.111900002</v>
      </c>
      <c r="H18" s="75">
        <f>SUM(H2:H17)</f>
        <v>5961164.9377999986</v>
      </c>
      <c r="I18" s="53">
        <f t="shared" si="0"/>
        <v>0.80214955578012503</v>
      </c>
      <c r="J18" s="202"/>
    </row>
  </sheetData>
  <hyperlinks>
    <hyperlink ref="A2" r:id="rId1" location="/mf/1831632/15690/NULL" xr:uid="{CACFCB0B-2096-4BA5-AC10-B72A2DE044CF}"/>
    <hyperlink ref="A3" r:id="rId2" location="/mf/1831632/22335/NULL" xr:uid="{8FA4E3E5-6B59-4E23-9397-AE2EDD55A1B7}"/>
    <hyperlink ref="A4" r:id="rId3" location="/mf/1831632/38817/NULL" xr:uid="{0441195E-594A-4C30-A060-24A4D8C81F98}"/>
    <hyperlink ref="A5" r:id="rId4" location="/mf/1831632/16576/NULL" xr:uid="{3DE9F527-C281-4E71-B134-A7AF4FCB5CD9}"/>
    <hyperlink ref="A6" r:id="rId5" location="/mf/1831632/16071/NULL" xr:uid="{F1EE577B-0390-4B47-80FF-DE74A7C347BE}"/>
    <hyperlink ref="A7" r:id="rId6" location="/mf/1831632/16617/NULL" xr:uid="{C97A1AAD-4868-47CD-8A69-0367D4A74420}"/>
    <hyperlink ref="A8" r:id="rId7" location="/mf/1831632/17134/NULL" xr:uid="{4FCB3A37-C2A6-4B34-A563-D2BB0164F0E7}"/>
    <hyperlink ref="A9" r:id="rId8" location="/mf/1831632/38228/NULL" xr:uid="{3A512E9C-AF6F-45E1-8C2B-963F31ED3A65}"/>
    <hyperlink ref="A10" r:id="rId9" location="/mf/1831632/42135/NULL" xr:uid="{A3F24A7D-1EAD-4B59-ABAD-B69DBB29CE7A}"/>
    <hyperlink ref="A11" r:id="rId10" location="/mf/1831632/41574/NULL" xr:uid="{34698124-C4E7-4E88-8813-0AE193057DEC}"/>
    <hyperlink ref="A12" r:id="rId11" location="/mf/1831632/41937/NULL" xr:uid="{286EF809-12C0-40EA-B228-07096E9705E7}"/>
    <hyperlink ref="A13" r:id="rId12" location="/mf/1831632/19701/NULL" xr:uid="{E3906AF7-11FA-4914-AE49-7497476EBADF}"/>
    <hyperlink ref="A14" r:id="rId13" location="/mf/1831632/17348/NULL" xr:uid="{714CD005-0054-4BF6-BD65-6BBEDDD55F4F}"/>
    <hyperlink ref="A15" r:id="rId14" location="/mf/1831632/17375/NULL" xr:uid="{CDB262FC-B47A-4340-A687-A9E72BBFA276}"/>
    <hyperlink ref="A16" r:id="rId15" location="/mf/1831632/36491/NULL" xr:uid="{58ACC5F3-33B1-48FF-961C-26B3EB2B17EA}"/>
  </hyperlinks>
  <pageMargins left="0.7" right="0.7" top="0.75" bottom="0.75" header="0.3" footer="0.3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C906-BC13-4BB2-81AD-0755769AF4E5}">
  <dimension ref="A1:I104"/>
  <sheetViews>
    <sheetView workbookViewId="0">
      <pane xSplit="1" ySplit="1" topLeftCell="B81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258</v>
      </c>
      <c r="B2" s="150">
        <v>100</v>
      </c>
      <c r="C2" s="150">
        <v>109.73</v>
      </c>
      <c r="D2" s="150">
        <v>108.95</v>
      </c>
      <c r="E2" s="150">
        <v>10895</v>
      </c>
      <c r="F2" s="150">
        <v>-77.5</v>
      </c>
      <c r="G2" s="151">
        <f t="shared" ref="G2:G65" si="0">E2-F2</f>
        <v>10972.5</v>
      </c>
      <c r="H2" s="191">
        <f t="shared" ref="H2:H14" si="1">F2/G2</f>
        <v>-7.0631123262702208E-3</v>
      </c>
    </row>
    <row r="3" spans="1:8" ht="15.75">
      <c r="A3" s="149" t="s">
        <v>259</v>
      </c>
      <c r="B3" s="150">
        <v>13</v>
      </c>
      <c r="C3" s="150">
        <v>133.75</v>
      </c>
      <c r="D3" s="150">
        <v>1100.8499999999999</v>
      </c>
      <c r="E3" s="150">
        <v>14311.05</v>
      </c>
      <c r="F3" s="150">
        <v>12572.3</v>
      </c>
      <c r="G3" s="151">
        <f t="shared" si="0"/>
        <v>1738.75</v>
      </c>
      <c r="H3" s="191">
        <f t="shared" si="1"/>
        <v>7.2306542056074763</v>
      </c>
    </row>
    <row r="4" spans="1:8" ht="15.75">
      <c r="A4" s="149" t="s">
        <v>144</v>
      </c>
      <c r="B4" s="150">
        <v>25</v>
      </c>
      <c r="C4" s="150">
        <v>813.47</v>
      </c>
      <c r="D4" s="150">
        <v>2792.5</v>
      </c>
      <c r="E4" s="150">
        <v>69812.5</v>
      </c>
      <c r="F4" s="150">
        <v>49475.85</v>
      </c>
      <c r="G4" s="151">
        <f t="shared" si="0"/>
        <v>20336.650000000001</v>
      </c>
      <c r="H4" s="191">
        <f t="shared" si="1"/>
        <v>2.4328416922157778</v>
      </c>
    </row>
    <row r="5" spans="1:8" ht="15.75">
      <c r="A5" s="149" t="s">
        <v>145</v>
      </c>
      <c r="B5" s="150">
        <v>250</v>
      </c>
      <c r="C5" s="150">
        <v>183.59</v>
      </c>
      <c r="D5" s="150">
        <v>551.6</v>
      </c>
      <c r="E5" s="150">
        <v>137900</v>
      </c>
      <c r="F5" s="150">
        <v>92002.5</v>
      </c>
      <c r="G5" s="151">
        <f t="shared" si="0"/>
        <v>45897.5</v>
      </c>
      <c r="H5" s="191">
        <f t="shared" si="1"/>
        <v>2.0045209434065034</v>
      </c>
    </row>
    <row r="6" spans="1:8" ht="15.75">
      <c r="A6" s="149" t="s">
        <v>275</v>
      </c>
      <c r="B6" s="150">
        <v>165</v>
      </c>
      <c r="C6" s="150">
        <v>160.15</v>
      </c>
      <c r="D6" s="150">
        <v>250.2</v>
      </c>
      <c r="E6" s="150">
        <v>41283</v>
      </c>
      <c r="F6" s="150">
        <v>14858.25</v>
      </c>
      <c r="G6" s="151">
        <f t="shared" si="0"/>
        <v>26424.75</v>
      </c>
      <c r="H6" s="191">
        <f t="shared" si="1"/>
        <v>0.56228535747736497</v>
      </c>
    </row>
    <row r="7" spans="1:8" ht="15.75">
      <c r="A7" s="149" t="s">
        <v>276</v>
      </c>
      <c r="B7" s="150">
        <v>28</v>
      </c>
      <c r="C7" s="150">
        <v>2757.87</v>
      </c>
      <c r="D7" s="150">
        <v>3099.35</v>
      </c>
      <c r="E7" s="150">
        <v>86781.8</v>
      </c>
      <c r="F7" s="150">
        <v>9561.4</v>
      </c>
      <c r="G7" s="151">
        <f t="shared" si="0"/>
        <v>77220.400000000009</v>
      </c>
      <c r="H7" s="191">
        <f t="shared" si="1"/>
        <v>0.12381961243402001</v>
      </c>
    </row>
    <row r="8" spans="1:8" ht="15.75">
      <c r="A8" s="149" t="s">
        <v>277</v>
      </c>
      <c r="B8" s="150">
        <v>97</v>
      </c>
      <c r="C8" s="150">
        <v>578.23</v>
      </c>
      <c r="D8" s="150">
        <v>644.79999999999995</v>
      </c>
      <c r="E8" s="150">
        <v>62545.599999999999</v>
      </c>
      <c r="F8" s="150">
        <v>6457.4</v>
      </c>
      <c r="G8" s="151">
        <f t="shared" si="0"/>
        <v>56088.2</v>
      </c>
      <c r="H8" s="191">
        <f t="shared" si="1"/>
        <v>0.11512938550354621</v>
      </c>
    </row>
    <row r="9" spans="1:8" ht="15.75">
      <c r="A9" s="149" t="s">
        <v>146</v>
      </c>
      <c r="B9" s="150">
        <v>62</v>
      </c>
      <c r="C9" s="150">
        <v>708.24</v>
      </c>
      <c r="D9" s="150">
        <v>1172.3</v>
      </c>
      <c r="E9" s="150">
        <v>72682.600000000006</v>
      </c>
      <c r="F9" s="150">
        <v>28772</v>
      </c>
      <c r="G9" s="151">
        <f t="shared" si="0"/>
        <v>43910.600000000006</v>
      </c>
      <c r="H9" s="191">
        <f t="shared" si="1"/>
        <v>0.65524042030853591</v>
      </c>
    </row>
    <row r="10" spans="1:8" ht="15.75">
      <c r="A10" s="149" t="s">
        <v>147</v>
      </c>
      <c r="B10" s="150">
        <v>20</v>
      </c>
      <c r="C10" s="150">
        <v>3008.26</v>
      </c>
      <c r="D10" s="150">
        <v>9734.15</v>
      </c>
      <c r="E10" s="150">
        <v>194683</v>
      </c>
      <c r="F10" s="150">
        <v>134517.75</v>
      </c>
      <c r="G10" s="151">
        <f t="shared" si="0"/>
        <v>60165.25</v>
      </c>
      <c r="H10" s="191">
        <f t="shared" si="1"/>
        <v>2.2358047211637948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6772.55</v>
      </c>
      <c r="E11" s="150">
        <v>54180.4</v>
      </c>
      <c r="F11" s="150">
        <v>332.05</v>
      </c>
      <c r="G11" s="151">
        <f t="shared" si="0"/>
        <v>53848.35</v>
      </c>
      <c r="H11" s="191">
        <f t="shared" si="1"/>
        <v>6.166391356466819E-3</v>
      </c>
    </row>
    <row r="12" spans="1:8" ht="15.75">
      <c r="A12" s="149" t="s">
        <v>149</v>
      </c>
      <c r="B12" s="150">
        <v>15</v>
      </c>
      <c r="C12" s="150">
        <v>2427.4699999999998</v>
      </c>
      <c r="D12" s="150">
        <v>3346.8</v>
      </c>
      <c r="E12" s="150">
        <v>50202</v>
      </c>
      <c r="F12" s="150">
        <v>13790</v>
      </c>
      <c r="G12" s="151">
        <f t="shared" si="0"/>
        <v>36412</v>
      </c>
      <c r="H12" s="191">
        <f t="shared" si="1"/>
        <v>0.37872130067010873</v>
      </c>
    </row>
    <row r="13" spans="1:8" ht="15.75">
      <c r="A13" s="149" t="s">
        <v>150</v>
      </c>
      <c r="B13" s="150">
        <v>184</v>
      </c>
      <c r="C13" s="150">
        <v>185</v>
      </c>
      <c r="D13" s="150">
        <v>251.25</v>
      </c>
      <c r="E13" s="150">
        <v>46230</v>
      </c>
      <c r="F13" s="150">
        <v>12190</v>
      </c>
      <c r="G13" s="151">
        <f t="shared" si="0"/>
        <v>34040</v>
      </c>
      <c r="H13" s="191">
        <f t="shared" si="1"/>
        <v>0.35810810810810811</v>
      </c>
    </row>
    <row r="14" spans="1:8" ht="15.75">
      <c r="A14" s="149" t="s">
        <v>151</v>
      </c>
      <c r="B14" s="150">
        <v>3000</v>
      </c>
      <c r="C14" s="150">
        <v>48.88</v>
      </c>
      <c r="D14" s="150">
        <v>52.41</v>
      </c>
      <c r="E14" s="150">
        <v>157230</v>
      </c>
      <c r="F14" s="150">
        <v>10593.14</v>
      </c>
      <c r="G14" s="151">
        <f t="shared" si="0"/>
        <v>146636.85999999999</v>
      </c>
      <c r="H14" s="191">
        <f t="shared" si="1"/>
        <v>7.2240635812850881E-2</v>
      </c>
    </row>
    <row r="15" spans="1:8" ht="15.75">
      <c r="A15" s="149" t="s">
        <v>152</v>
      </c>
      <c r="B15" s="150">
        <v>180</v>
      </c>
      <c r="C15" s="150">
        <v>322.89</v>
      </c>
      <c r="D15" s="150">
        <v>1505.5</v>
      </c>
      <c r="E15" s="150">
        <v>270990</v>
      </c>
      <c r="F15" s="150">
        <v>212870</v>
      </c>
      <c r="G15" s="151">
        <f t="shared" si="0"/>
        <v>58120</v>
      </c>
      <c r="H15" s="191">
        <v>0</v>
      </c>
    </row>
    <row r="16" spans="1:8" ht="15.75">
      <c r="A16" s="149" t="s">
        <v>153</v>
      </c>
      <c r="B16" s="150">
        <v>46</v>
      </c>
      <c r="C16" s="150">
        <v>439.12</v>
      </c>
      <c r="D16" s="150">
        <v>1258</v>
      </c>
      <c r="E16" s="150">
        <v>57868</v>
      </c>
      <c r="F16" s="150">
        <v>37668.400000000001</v>
      </c>
      <c r="G16" s="151">
        <f t="shared" si="0"/>
        <v>20199.599999999999</v>
      </c>
      <c r="H16" s="191">
        <f t="shared" ref="H16:H79" si="2">F16/G16</f>
        <v>1.8648092041426565</v>
      </c>
    </row>
    <row r="17" spans="1:8" ht="15.75">
      <c r="A17" s="149" t="s">
        <v>154</v>
      </c>
      <c r="B17" s="150">
        <v>14</v>
      </c>
      <c r="C17" s="150">
        <v>3489.94</v>
      </c>
      <c r="D17" s="150">
        <v>5730.15</v>
      </c>
      <c r="E17" s="150">
        <v>80222.100000000006</v>
      </c>
      <c r="F17" s="150">
        <v>31363</v>
      </c>
      <c r="G17" s="151">
        <f t="shared" si="0"/>
        <v>48859.100000000006</v>
      </c>
      <c r="H17" s="191">
        <f t="shared" si="2"/>
        <v>0.64190703471819976</v>
      </c>
    </row>
    <row r="18" spans="1:8" ht="15.75">
      <c r="A18" s="149" t="s">
        <v>278</v>
      </c>
      <c r="B18" s="150">
        <v>345</v>
      </c>
      <c r="C18" s="150">
        <v>107.29</v>
      </c>
      <c r="D18" s="150">
        <v>112.7</v>
      </c>
      <c r="E18" s="150">
        <v>38881.5</v>
      </c>
      <c r="F18" s="150">
        <v>1866.45</v>
      </c>
      <c r="G18" s="151">
        <f t="shared" si="0"/>
        <v>37015.050000000003</v>
      </c>
      <c r="H18" s="191">
        <f t="shared" si="2"/>
        <v>5.0424084257619531E-2</v>
      </c>
    </row>
    <row r="19" spans="1:8" ht="15.75">
      <c r="A19" s="149" t="s">
        <v>155</v>
      </c>
      <c r="B19" s="150">
        <v>180</v>
      </c>
      <c r="C19" s="150">
        <v>155.25</v>
      </c>
      <c r="D19" s="150">
        <v>255.7</v>
      </c>
      <c r="E19" s="150">
        <v>46026</v>
      </c>
      <c r="F19" s="150">
        <v>18081</v>
      </c>
      <c r="G19" s="151">
        <f t="shared" si="0"/>
        <v>27945</v>
      </c>
      <c r="H19" s="191">
        <f t="shared" si="2"/>
        <v>0.64702093397745575</v>
      </c>
    </row>
    <row r="20" spans="1:8" ht="15.75">
      <c r="A20" s="149" t="s">
        <v>156</v>
      </c>
      <c r="B20" s="150">
        <v>88</v>
      </c>
      <c r="C20" s="150">
        <v>373.58</v>
      </c>
      <c r="D20" s="150">
        <v>589.9</v>
      </c>
      <c r="E20" s="150">
        <v>51911.199999999997</v>
      </c>
      <c r="F20" s="150">
        <v>19036.349999999999</v>
      </c>
      <c r="G20" s="151">
        <f t="shared" si="0"/>
        <v>32874.85</v>
      </c>
      <c r="H20" s="191">
        <f t="shared" si="2"/>
        <v>0.57905511355945349</v>
      </c>
    </row>
    <row r="21" spans="1:8" ht="15.75">
      <c r="A21" s="149" t="s">
        <v>157</v>
      </c>
      <c r="B21" s="150">
        <v>40</v>
      </c>
      <c r="C21" s="150">
        <v>908.4</v>
      </c>
      <c r="D21" s="150">
        <v>1546.2</v>
      </c>
      <c r="E21" s="150">
        <v>61848</v>
      </c>
      <c r="F21" s="150">
        <v>25512.15</v>
      </c>
      <c r="G21" s="151">
        <f t="shared" si="0"/>
        <v>36335.85</v>
      </c>
      <c r="H21" s="191">
        <f t="shared" si="2"/>
        <v>0.70212063292863669</v>
      </c>
    </row>
    <row r="22" spans="1:8" ht="15.75">
      <c r="A22" s="149" t="s">
        <v>158</v>
      </c>
      <c r="B22" s="150">
        <v>470</v>
      </c>
      <c r="C22" s="150">
        <v>194.39</v>
      </c>
      <c r="D22" s="150">
        <v>540.4</v>
      </c>
      <c r="E22" s="150">
        <v>253988</v>
      </c>
      <c r="F22" s="150">
        <v>162624.5</v>
      </c>
      <c r="G22" s="151">
        <f t="shared" si="0"/>
        <v>91363.5</v>
      </c>
      <c r="H22" s="191">
        <f t="shared" si="2"/>
        <v>1.7799723084163808</v>
      </c>
    </row>
    <row r="23" spans="1:8" ht="15.75">
      <c r="A23" s="149" t="s">
        <v>159</v>
      </c>
      <c r="B23" s="150">
        <v>13</v>
      </c>
      <c r="C23" s="150">
        <v>4545.26</v>
      </c>
      <c r="D23" s="150">
        <v>6286.65</v>
      </c>
      <c r="E23" s="150">
        <v>81726.45</v>
      </c>
      <c r="F23" s="150">
        <v>22638.05</v>
      </c>
      <c r="G23" s="151">
        <f t="shared" si="0"/>
        <v>59088.399999999994</v>
      </c>
      <c r="H23" s="191">
        <f t="shared" si="2"/>
        <v>0.38312172947651318</v>
      </c>
    </row>
    <row r="24" spans="1:8" ht="15.75">
      <c r="A24" s="149" t="s">
        <v>160</v>
      </c>
      <c r="B24" s="150">
        <v>21</v>
      </c>
      <c r="C24" s="150">
        <v>1503.03</v>
      </c>
      <c r="D24" s="150">
        <v>3374.2</v>
      </c>
      <c r="E24" s="150">
        <v>70858.2</v>
      </c>
      <c r="F24" s="150">
        <v>39294.5</v>
      </c>
      <c r="G24" s="151">
        <f t="shared" si="0"/>
        <v>31563.699999999997</v>
      </c>
      <c r="H24" s="191">
        <f t="shared" si="2"/>
        <v>1.2449269255505535</v>
      </c>
    </row>
    <row r="25" spans="1:8" ht="15.75">
      <c r="A25" s="149" t="s">
        <v>279</v>
      </c>
      <c r="B25" s="150">
        <v>98</v>
      </c>
      <c r="C25" s="150">
        <v>555.05999999999995</v>
      </c>
      <c r="D25" s="150">
        <v>643.5</v>
      </c>
      <c r="E25" s="150">
        <v>63063</v>
      </c>
      <c r="F25" s="150">
        <v>8666.9500000000007</v>
      </c>
      <c r="G25" s="151">
        <f t="shared" si="0"/>
        <v>54396.05</v>
      </c>
      <c r="H25" s="191">
        <f t="shared" si="2"/>
        <v>0.15933050285820385</v>
      </c>
    </row>
    <row r="26" spans="1:8" ht="15.75">
      <c r="A26" s="149" t="s">
        <v>161</v>
      </c>
      <c r="B26" s="150">
        <v>83</v>
      </c>
      <c r="C26" s="150">
        <v>501.43</v>
      </c>
      <c r="D26" s="150">
        <v>874</v>
      </c>
      <c r="E26" s="150">
        <v>72542</v>
      </c>
      <c r="F26" s="150">
        <v>30923.55</v>
      </c>
      <c r="G26" s="151">
        <f t="shared" si="0"/>
        <v>41618.449999999997</v>
      </c>
      <c r="H26" s="191">
        <f t="shared" si="2"/>
        <v>0.74302502856305319</v>
      </c>
    </row>
    <row r="27" spans="1:8" ht="15.75">
      <c r="A27" s="149" t="s">
        <v>162</v>
      </c>
      <c r="B27" s="150">
        <v>14</v>
      </c>
      <c r="C27" s="150">
        <v>3289.33</v>
      </c>
      <c r="D27" s="150">
        <v>4995.05</v>
      </c>
      <c r="E27" s="150">
        <v>69930.7</v>
      </c>
      <c r="F27" s="150">
        <v>23880.15</v>
      </c>
      <c r="G27" s="151">
        <f t="shared" si="0"/>
        <v>46050.549999999996</v>
      </c>
      <c r="H27" s="191">
        <f t="shared" si="2"/>
        <v>0.51856383908552672</v>
      </c>
    </row>
    <row r="28" spans="1:8" ht="15.75">
      <c r="A28" s="149" t="s">
        <v>163</v>
      </c>
      <c r="B28" s="150">
        <v>10</v>
      </c>
      <c r="C28" s="150">
        <v>4623.5</v>
      </c>
      <c r="D28" s="150">
        <v>6894.3</v>
      </c>
      <c r="E28" s="150">
        <v>68943</v>
      </c>
      <c r="F28" s="150">
        <v>22708.05</v>
      </c>
      <c r="G28" s="151">
        <f t="shared" si="0"/>
        <v>46234.95</v>
      </c>
      <c r="H28" s="191">
        <f t="shared" si="2"/>
        <v>0.49114468600052558</v>
      </c>
    </row>
    <row r="29" spans="1:8" ht="15.75">
      <c r="A29" s="149" t="s">
        <v>164</v>
      </c>
      <c r="B29" s="150">
        <v>11</v>
      </c>
      <c r="C29" s="150">
        <v>3144.55</v>
      </c>
      <c r="D29" s="150">
        <v>4968.8</v>
      </c>
      <c r="E29" s="150">
        <v>54656.800000000003</v>
      </c>
      <c r="F29" s="150">
        <v>20066.8</v>
      </c>
      <c r="G29" s="151">
        <f t="shared" si="0"/>
        <v>34590</v>
      </c>
      <c r="H29" s="191">
        <f t="shared" si="2"/>
        <v>0.58013298641225786</v>
      </c>
    </row>
    <row r="30" spans="1:8" ht="15.75">
      <c r="A30" s="149" t="s">
        <v>165</v>
      </c>
      <c r="B30" s="150">
        <v>92</v>
      </c>
      <c r="C30" s="150">
        <v>359.33</v>
      </c>
      <c r="D30" s="150">
        <v>374.79</v>
      </c>
      <c r="E30" s="150">
        <v>34480.68</v>
      </c>
      <c r="F30" s="150">
        <v>1422.4</v>
      </c>
      <c r="G30" s="151">
        <f t="shared" si="0"/>
        <v>33058.28</v>
      </c>
      <c r="H30" s="191">
        <f t="shared" si="2"/>
        <v>4.3027041939266049E-2</v>
      </c>
    </row>
    <row r="31" spans="1:8" ht="15.75">
      <c r="A31" s="149" t="s">
        <v>166</v>
      </c>
      <c r="B31" s="150">
        <v>16</v>
      </c>
      <c r="C31" s="150">
        <v>1304.44</v>
      </c>
      <c r="D31" s="150">
        <v>2569.1999999999998</v>
      </c>
      <c r="E31" s="150">
        <v>41107.199999999997</v>
      </c>
      <c r="F31" s="150">
        <v>20236.150000000001</v>
      </c>
      <c r="G31" s="151">
        <f t="shared" si="0"/>
        <v>20871.049999999996</v>
      </c>
      <c r="H31" s="191">
        <f t="shared" si="2"/>
        <v>0.96957987259864764</v>
      </c>
    </row>
    <row r="32" spans="1:8" ht="15.75">
      <c r="A32" s="149" t="s">
        <v>168</v>
      </c>
      <c r="B32" s="150">
        <v>80</v>
      </c>
      <c r="C32" s="150">
        <v>685.74</v>
      </c>
      <c r="D32" s="150">
        <v>1119.3499999999999</v>
      </c>
      <c r="E32" s="150">
        <v>89548</v>
      </c>
      <c r="F32" s="150">
        <v>34689</v>
      </c>
      <c r="G32" s="151">
        <f t="shared" si="0"/>
        <v>54859</v>
      </c>
      <c r="H32" s="191">
        <f t="shared" si="2"/>
        <v>0.63233015548952765</v>
      </c>
    </row>
    <row r="33" spans="1:8" ht="15.75">
      <c r="A33" s="149" t="s">
        <v>169</v>
      </c>
      <c r="B33" s="150">
        <v>209</v>
      </c>
      <c r="C33" s="150">
        <v>174.63</v>
      </c>
      <c r="D33" s="150">
        <v>512.75</v>
      </c>
      <c r="E33" s="150">
        <v>107164.75</v>
      </c>
      <c r="F33" s="150">
        <v>70668</v>
      </c>
      <c r="G33" s="151">
        <f t="shared" si="0"/>
        <v>36496.75</v>
      </c>
      <c r="H33" s="191">
        <f t="shared" si="2"/>
        <v>1.9362819977121251</v>
      </c>
    </row>
    <row r="34" spans="1:8" ht="15.75">
      <c r="A34" s="149" t="s">
        <v>170</v>
      </c>
      <c r="B34" s="150">
        <v>323</v>
      </c>
      <c r="C34" s="150">
        <v>83.87</v>
      </c>
      <c r="D34" s="150">
        <v>200.75</v>
      </c>
      <c r="E34" s="150">
        <v>64842.25</v>
      </c>
      <c r="F34" s="150">
        <v>37751.25</v>
      </c>
      <c r="G34" s="151">
        <f t="shared" si="0"/>
        <v>27091</v>
      </c>
      <c r="H34" s="191">
        <f t="shared" si="2"/>
        <v>1.393497840611273</v>
      </c>
    </row>
    <row r="35" spans="1:8" ht="15.75">
      <c r="A35" s="149" t="s">
        <v>172</v>
      </c>
      <c r="B35" s="150">
        <v>18</v>
      </c>
      <c r="C35" s="150">
        <v>1556.41</v>
      </c>
      <c r="D35" s="150">
        <v>3127.85</v>
      </c>
      <c r="E35" s="150">
        <v>56301.3</v>
      </c>
      <c r="F35" s="150">
        <v>28285.95</v>
      </c>
      <c r="G35" s="151">
        <f t="shared" si="0"/>
        <v>28015.350000000002</v>
      </c>
      <c r="H35" s="191">
        <f t="shared" si="2"/>
        <v>1.0096589905176983</v>
      </c>
    </row>
    <row r="36" spans="1:8" ht="15.75">
      <c r="A36" s="149" t="s">
        <v>281</v>
      </c>
      <c r="B36" s="150">
        <v>124</v>
      </c>
      <c r="C36" s="150">
        <v>304.87</v>
      </c>
      <c r="D36" s="150">
        <v>631.5</v>
      </c>
      <c r="E36" s="150">
        <v>78306</v>
      </c>
      <c r="F36" s="150">
        <v>40502.6</v>
      </c>
      <c r="G36" s="151">
        <f t="shared" si="0"/>
        <v>37803.4</v>
      </c>
      <c r="H36" s="191">
        <f t="shared" si="2"/>
        <v>1.0714009850965784</v>
      </c>
    </row>
    <row r="37" spans="1:8" ht="15.75">
      <c r="A37" s="149" t="s">
        <v>174</v>
      </c>
      <c r="B37" s="150">
        <v>67</v>
      </c>
      <c r="C37" s="150">
        <v>1067.9000000000001</v>
      </c>
      <c r="D37" s="150">
        <v>1640.55</v>
      </c>
      <c r="E37" s="150">
        <v>109916.85</v>
      </c>
      <c r="F37" s="150">
        <v>38367.85</v>
      </c>
      <c r="G37" s="151">
        <f t="shared" si="0"/>
        <v>71549</v>
      </c>
      <c r="H37" s="191">
        <f t="shared" si="2"/>
        <v>0.53624578959873648</v>
      </c>
    </row>
    <row r="38" spans="1:8" ht="15.75">
      <c r="A38" s="149" t="s">
        <v>175</v>
      </c>
      <c r="B38" s="150">
        <v>34</v>
      </c>
      <c r="C38" s="150">
        <v>1623.57</v>
      </c>
      <c r="D38" s="150">
        <v>1640.4</v>
      </c>
      <c r="E38" s="150">
        <v>55773.599999999999</v>
      </c>
      <c r="F38" s="150">
        <v>572.1</v>
      </c>
      <c r="G38" s="151">
        <f t="shared" si="0"/>
        <v>55201.5</v>
      </c>
      <c r="H38" s="191">
        <f t="shared" si="2"/>
        <v>1.0363848808456292E-2</v>
      </c>
    </row>
    <row r="39" spans="1:8" ht="15.75">
      <c r="A39" s="149" t="s">
        <v>176</v>
      </c>
      <c r="B39" s="150">
        <v>146</v>
      </c>
      <c r="C39" s="150">
        <v>586.27</v>
      </c>
      <c r="D39" s="150">
        <v>713.6</v>
      </c>
      <c r="E39" s="150">
        <v>104185.60000000001</v>
      </c>
      <c r="F39" s="150">
        <v>18590.5</v>
      </c>
      <c r="G39" s="151">
        <f t="shared" si="0"/>
        <v>85595.1</v>
      </c>
      <c r="H39" s="191">
        <f t="shared" si="2"/>
        <v>0.21719117098992816</v>
      </c>
    </row>
    <row r="40" spans="1:8" ht="15.75">
      <c r="A40" s="149" t="s">
        <v>177</v>
      </c>
      <c r="B40" s="150">
        <v>10</v>
      </c>
      <c r="C40" s="150">
        <v>2735.04</v>
      </c>
      <c r="D40" s="150">
        <v>5371.85</v>
      </c>
      <c r="E40" s="150">
        <v>53718.5</v>
      </c>
      <c r="F40" s="150">
        <v>26368.1</v>
      </c>
      <c r="G40" s="151">
        <f t="shared" si="0"/>
        <v>27350.400000000001</v>
      </c>
      <c r="H40" s="191">
        <f t="shared" si="2"/>
        <v>0.96408462033462028</v>
      </c>
    </row>
    <row r="41" spans="1:8" ht="15.75">
      <c r="A41" s="149" t="s">
        <v>282</v>
      </c>
      <c r="B41" s="150">
        <v>28</v>
      </c>
      <c r="C41" s="150">
        <v>2303.96</v>
      </c>
      <c r="D41" s="150">
        <v>2715.8</v>
      </c>
      <c r="E41" s="150">
        <v>76042.399999999994</v>
      </c>
      <c r="F41" s="150">
        <v>11531.6</v>
      </c>
      <c r="G41" s="151">
        <f t="shared" si="0"/>
        <v>64510.799999999996</v>
      </c>
      <c r="H41" s="191">
        <f t="shared" si="2"/>
        <v>0.17875456512707952</v>
      </c>
    </row>
    <row r="42" spans="1:8" ht="15.75">
      <c r="A42" s="149" t="s">
        <v>178</v>
      </c>
      <c r="B42" s="150">
        <v>73</v>
      </c>
      <c r="C42" s="150">
        <v>589.26</v>
      </c>
      <c r="D42" s="150">
        <v>1210.5</v>
      </c>
      <c r="E42" s="150">
        <v>88366.5</v>
      </c>
      <c r="F42" s="150">
        <v>45350.85</v>
      </c>
      <c r="G42" s="151">
        <f t="shared" si="0"/>
        <v>43015.65</v>
      </c>
      <c r="H42" s="191">
        <f t="shared" si="2"/>
        <v>1.0542872187215582</v>
      </c>
    </row>
    <row r="43" spans="1:8" ht="15.75">
      <c r="A43" s="149" t="s">
        <v>179</v>
      </c>
      <c r="B43" s="150">
        <v>69</v>
      </c>
      <c r="C43" s="150">
        <v>1284.1099999999999</v>
      </c>
      <c r="D43" s="150">
        <v>2004.35</v>
      </c>
      <c r="E43" s="150">
        <v>138300.15</v>
      </c>
      <c r="F43" s="150">
        <v>49696.7</v>
      </c>
      <c r="G43" s="151">
        <f t="shared" si="0"/>
        <v>88603.45</v>
      </c>
      <c r="H43" s="191">
        <f t="shared" si="2"/>
        <v>0.56088899472876053</v>
      </c>
    </row>
    <row r="44" spans="1:8" ht="15.75">
      <c r="A44" s="149" t="s">
        <v>180</v>
      </c>
      <c r="B44" s="150">
        <v>155</v>
      </c>
      <c r="C44" s="150">
        <v>503.08</v>
      </c>
      <c r="D44" s="150">
        <v>735.3</v>
      </c>
      <c r="E44" s="150">
        <v>113971.5</v>
      </c>
      <c r="F44" s="150">
        <v>35993.9</v>
      </c>
      <c r="G44" s="151">
        <f t="shared" si="0"/>
        <v>77977.600000000006</v>
      </c>
      <c r="H44" s="191">
        <f t="shared" si="2"/>
        <v>0.46159281639855548</v>
      </c>
    </row>
    <row r="45" spans="1:8" ht="15.75">
      <c r="A45" s="149" t="s">
        <v>284</v>
      </c>
      <c r="B45" s="150">
        <v>35</v>
      </c>
      <c r="C45" s="150">
        <v>917.94</v>
      </c>
      <c r="D45" s="150">
        <v>1419.85</v>
      </c>
      <c r="E45" s="150">
        <v>49694.75</v>
      </c>
      <c r="F45" s="150">
        <v>17566.849999999999</v>
      </c>
      <c r="G45" s="151">
        <f t="shared" si="0"/>
        <v>32127.9</v>
      </c>
      <c r="H45" s="191">
        <f t="shared" si="2"/>
        <v>0.54677865655707336</v>
      </c>
    </row>
    <row r="46" spans="1:8" ht="15.75">
      <c r="A46" s="149" t="s">
        <v>181</v>
      </c>
      <c r="B46" s="150">
        <v>57</v>
      </c>
      <c r="C46" s="150">
        <v>1521.67</v>
      </c>
      <c r="D46" s="150">
        <v>1852.6</v>
      </c>
      <c r="E46" s="150">
        <v>105598.2</v>
      </c>
      <c r="F46" s="150">
        <v>18862.8</v>
      </c>
      <c r="G46" s="151">
        <f t="shared" si="0"/>
        <v>86735.4</v>
      </c>
      <c r="H46" s="191">
        <f t="shared" si="2"/>
        <v>0.2174752177311686</v>
      </c>
    </row>
    <row r="47" spans="1:8" ht="15.75">
      <c r="A47" s="149" t="s">
        <v>182</v>
      </c>
      <c r="B47" s="150">
        <v>759</v>
      </c>
      <c r="C47" s="150">
        <v>229.74</v>
      </c>
      <c r="D47" s="150">
        <v>493.75</v>
      </c>
      <c r="E47" s="150">
        <v>374756.25</v>
      </c>
      <c r="F47" s="150">
        <v>200380.7</v>
      </c>
      <c r="G47" s="151">
        <f t="shared" si="0"/>
        <v>174375.55</v>
      </c>
      <c r="H47" s="191">
        <f t="shared" si="2"/>
        <v>1.1491330063188332</v>
      </c>
    </row>
    <row r="48" spans="1:8" ht="15.75">
      <c r="A48" s="149" t="s">
        <v>183</v>
      </c>
      <c r="B48" s="150">
        <v>28</v>
      </c>
      <c r="C48" s="150">
        <v>597.6</v>
      </c>
      <c r="D48" s="150">
        <v>1913.45</v>
      </c>
      <c r="E48" s="150">
        <v>53576.6</v>
      </c>
      <c r="F48" s="150">
        <v>36843.9</v>
      </c>
      <c r="G48" s="151">
        <f t="shared" si="0"/>
        <v>16732.699999999997</v>
      </c>
      <c r="H48" s="191">
        <f t="shared" si="2"/>
        <v>2.201910032451428</v>
      </c>
    </row>
    <row r="49" spans="1:8" ht="15.75">
      <c r="A49" s="149" t="s">
        <v>184</v>
      </c>
      <c r="B49" s="150">
        <v>329</v>
      </c>
      <c r="C49" s="150">
        <v>121.11</v>
      </c>
      <c r="D49" s="150">
        <v>225.95</v>
      </c>
      <c r="E49" s="150">
        <v>74337.55</v>
      </c>
      <c r="F49" s="150">
        <v>34492.800000000003</v>
      </c>
      <c r="G49" s="151">
        <f t="shared" si="0"/>
        <v>39844.75</v>
      </c>
      <c r="H49" s="191">
        <f t="shared" si="2"/>
        <v>0.86567992019023843</v>
      </c>
    </row>
    <row r="50" spans="1:8" ht="15.75">
      <c r="A50" s="149" t="s">
        <v>185</v>
      </c>
      <c r="B50" s="150">
        <v>55</v>
      </c>
      <c r="C50" s="150">
        <v>1723.54</v>
      </c>
      <c r="D50" s="150">
        <v>1793.15</v>
      </c>
      <c r="E50" s="150">
        <v>98623.25</v>
      </c>
      <c r="F50" s="150">
        <v>3828.3</v>
      </c>
      <c r="G50" s="151">
        <f t="shared" si="0"/>
        <v>94794.95</v>
      </c>
      <c r="H50" s="191">
        <f t="shared" si="2"/>
        <v>4.0385062706399445E-2</v>
      </c>
    </row>
    <row r="51" spans="1:8" ht="15.75">
      <c r="A51" s="149" t="s">
        <v>186</v>
      </c>
      <c r="B51" s="150">
        <v>67</v>
      </c>
      <c r="C51" s="150">
        <v>676.11</v>
      </c>
      <c r="D51" s="150">
        <v>1841.15</v>
      </c>
      <c r="E51" s="150">
        <v>123357.05</v>
      </c>
      <c r="F51" s="150">
        <v>78057.649999999994</v>
      </c>
      <c r="G51" s="151">
        <f t="shared" si="0"/>
        <v>45299.400000000009</v>
      </c>
      <c r="H51" s="191">
        <f t="shared" si="2"/>
        <v>1.723149754742888</v>
      </c>
    </row>
    <row r="52" spans="1:8" ht="15.75">
      <c r="A52" s="149" t="s">
        <v>187</v>
      </c>
      <c r="B52" s="150">
        <v>20</v>
      </c>
      <c r="C52" s="150">
        <v>2295.38</v>
      </c>
      <c r="D52" s="150">
        <v>3099</v>
      </c>
      <c r="E52" s="150">
        <v>61980</v>
      </c>
      <c r="F52" s="150">
        <v>16072.4</v>
      </c>
      <c r="G52" s="151">
        <f t="shared" si="0"/>
        <v>45907.6</v>
      </c>
      <c r="H52" s="191">
        <f t="shared" si="2"/>
        <v>0.35010325087785027</v>
      </c>
    </row>
    <row r="53" spans="1:8" ht="15.75">
      <c r="A53" s="149" t="s">
        <v>188</v>
      </c>
      <c r="B53" s="150">
        <v>62</v>
      </c>
      <c r="C53" s="150">
        <v>1053.22</v>
      </c>
      <c r="D53" s="150">
        <v>3779.3</v>
      </c>
      <c r="E53" s="150">
        <v>234316.6</v>
      </c>
      <c r="F53" s="150">
        <v>169017.25</v>
      </c>
      <c r="G53" s="151">
        <f t="shared" si="0"/>
        <v>65299.350000000006</v>
      </c>
      <c r="H53" s="191">
        <f t="shared" si="2"/>
        <v>2.58834506009631</v>
      </c>
    </row>
    <row r="54" spans="1:8" ht="15.75">
      <c r="A54" s="149" t="s">
        <v>286</v>
      </c>
      <c r="B54" s="150">
        <v>25</v>
      </c>
      <c r="C54" s="150">
        <v>4933.3100000000004</v>
      </c>
      <c r="D54" s="150">
        <v>5680.3</v>
      </c>
      <c r="E54" s="150">
        <v>142007.5</v>
      </c>
      <c r="F54" s="150">
        <v>18674.669999999998</v>
      </c>
      <c r="G54" s="151">
        <f t="shared" si="0"/>
        <v>123332.83</v>
      </c>
      <c r="H54" s="191">
        <f t="shared" si="2"/>
        <v>0.15141686118773079</v>
      </c>
    </row>
    <row r="55" spans="1:8" ht="15.75">
      <c r="A55" s="149" t="s">
        <v>189</v>
      </c>
      <c r="B55" s="150">
        <v>15</v>
      </c>
      <c r="C55" s="150">
        <v>1077.04</v>
      </c>
      <c r="D55" s="150">
        <v>2829.2</v>
      </c>
      <c r="E55" s="150">
        <v>42438</v>
      </c>
      <c r="F55" s="150">
        <v>26282.45</v>
      </c>
      <c r="G55" s="151">
        <f t="shared" si="0"/>
        <v>16155.55</v>
      </c>
      <c r="H55" s="191">
        <f t="shared" si="2"/>
        <v>1.6268372169316427</v>
      </c>
    </row>
    <row r="56" spans="1:8" ht="15.75">
      <c r="A56" s="149" t="s">
        <v>190</v>
      </c>
      <c r="B56" s="150">
        <v>23</v>
      </c>
      <c r="C56" s="150">
        <v>2162.1799999999998</v>
      </c>
      <c r="D56" s="150">
        <v>2004.95</v>
      </c>
      <c r="E56" s="150">
        <v>46113.85</v>
      </c>
      <c r="F56" s="150">
        <v>-3616.35</v>
      </c>
      <c r="G56" s="151">
        <f t="shared" si="0"/>
        <v>49730.2</v>
      </c>
      <c r="H56" s="191">
        <f t="shared" si="2"/>
        <v>-7.2719393849210348E-2</v>
      </c>
    </row>
    <row r="57" spans="1:8" ht="15.75">
      <c r="A57" s="149" t="s">
        <v>191</v>
      </c>
      <c r="B57" s="150">
        <v>114</v>
      </c>
      <c r="C57" s="150">
        <v>490.12</v>
      </c>
      <c r="D57" s="150">
        <v>674.95</v>
      </c>
      <c r="E57" s="150">
        <v>76944.3</v>
      </c>
      <c r="F57" s="150">
        <v>21070.65</v>
      </c>
      <c r="G57" s="151">
        <f t="shared" si="0"/>
        <v>55873.65</v>
      </c>
      <c r="H57" s="191">
        <f t="shared" si="2"/>
        <v>0.37711246714685726</v>
      </c>
    </row>
    <row r="58" spans="1:8" ht="15.75">
      <c r="A58" s="149" t="s">
        <v>192</v>
      </c>
      <c r="B58" s="150">
        <v>95</v>
      </c>
      <c r="C58" s="150">
        <v>752.44</v>
      </c>
      <c r="D58" s="150">
        <v>1103.05</v>
      </c>
      <c r="E58" s="150">
        <v>104789.75</v>
      </c>
      <c r="F58" s="150">
        <v>33307.699999999997</v>
      </c>
      <c r="G58" s="151">
        <f t="shared" si="0"/>
        <v>71482.05</v>
      </c>
      <c r="H58" s="191">
        <f t="shared" si="2"/>
        <v>0.46595893654420928</v>
      </c>
    </row>
    <row r="59" spans="1:8" ht="15.75">
      <c r="A59" s="149" t="s">
        <v>193</v>
      </c>
      <c r="B59" s="150">
        <v>75</v>
      </c>
      <c r="C59" s="150">
        <v>337.52</v>
      </c>
      <c r="D59" s="150">
        <v>345.73</v>
      </c>
      <c r="E59" s="150">
        <v>25929.75</v>
      </c>
      <c r="F59" s="150">
        <v>615.58000000000004</v>
      </c>
      <c r="G59" s="151">
        <f t="shared" si="0"/>
        <v>25314.17</v>
      </c>
      <c r="H59" s="191">
        <f t="shared" si="2"/>
        <v>2.4317605515013926E-2</v>
      </c>
    </row>
    <row r="60" spans="1:8" ht="15.75">
      <c r="A60" s="149" t="s">
        <v>194</v>
      </c>
      <c r="B60" s="150">
        <v>255</v>
      </c>
      <c r="C60" s="150">
        <v>99.4</v>
      </c>
      <c r="D60" s="150">
        <v>196.3</v>
      </c>
      <c r="E60" s="150">
        <v>50056.5</v>
      </c>
      <c r="F60" s="150">
        <v>24709</v>
      </c>
      <c r="G60" s="151">
        <f t="shared" si="0"/>
        <v>25347.5</v>
      </c>
      <c r="H60" s="191">
        <f t="shared" si="2"/>
        <v>0.97481013906696912</v>
      </c>
    </row>
    <row r="61" spans="1:8" ht="15.75">
      <c r="A61" s="149" t="s">
        <v>195</v>
      </c>
      <c r="B61" s="150">
        <v>37</v>
      </c>
      <c r="C61" s="150">
        <v>2300.56</v>
      </c>
      <c r="D61" s="150">
        <v>2855</v>
      </c>
      <c r="E61" s="150">
        <v>105635</v>
      </c>
      <c r="F61" s="150">
        <v>20514.25</v>
      </c>
      <c r="G61" s="151">
        <f t="shared" si="0"/>
        <v>85120.75</v>
      </c>
      <c r="H61" s="191">
        <f t="shared" si="2"/>
        <v>0.24100175339150559</v>
      </c>
    </row>
    <row r="62" spans="1:8" ht="15.75">
      <c r="A62" s="149" t="s">
        <v>196</v>
      </c>
      <c r="B62" s="150">
        <v>21</v>
      </c>
      <c r="C62" s="150">
        <v>2605.84</v>
      </c>
      <c r="D62" s="150">
        <v>2484.0500000000002</v>
      </c>
      <c r="E62" s="150">
        <v>52165.05</v>
      </c>
      <c r="F62" s="150">
        <v>-2557.5500000000002</v>
      </c>
      <c r="G62" s="151">
        <f t="shared" si="0"/>
        <v>54722.600000000006</v>
      </c>
      <c r="H62" s="191">
        <f t="shared" si="2"/>
        <v>-4.6736631665893064E-2</v>
      </c>
    </row>
    <row r="63" spans="1:8" ht="15.75">
      <c r="A63" s="149" t="s">
        <v>266</v>
      </c>
      <c r="B63" s="150">
        <v>145</v>
      </c>
      <c r="C63" s="150">
        <v>127.63</v>
      </c>
      <c r="D63" s="150">
        <v>151.12</v>
      </c>
      <c r="E63" s="150">
        <v>21912.400000000001</v>
      </c>
      <c r="F63" s="150">
        <v>3406.3</v>
      </c>
      <c r="G63" s="151">
        <f t="shared" si="0"/>
        <v>18506.100000000002</v>
      </c>
      <c r="H63" s="191">
        <f t="shared" si="2"/>
        <v>0.18406363307233831</v>
      </c>
    </row>
    <row r="64" spans="1:8" ht="15.75">
      <c r="A64" s="149" t="s">
        <v>198</v>
      </c>
      <c r="B64" s="150">
        <v>88</v>
      </c>
      <c r="C64" s="150">
        <v>582.44000000000005</v>
      </c>
      <c r="D64" s="150">
        <v>1839.3</v>
      </c>
      <c r="E64" s="150">
        <v>161858.4</v>
      </c>
      <c r="F64" s="150">
        <v>110603.35</v>
      </c>
      <c r="G64" s="151">
        <f t="shared" si="0"/>
        <v>51255.049999999988</v>
      </c>
      <c r="H64" s="191">
        <f t="shared" si="2"/>
        <v>2.1579015140947093</v>
      </c>
    </row>
    <row r="65" spans="1:8" ht="15.75">
      <c r="A65" s="149" t="s">
        <v>199</v>
      </c>
      <c r="B65" s="150">
        <v>12</v>
      </c>
      <c r="C65" s="150">
        <v>4216.4799999999996</v>
      </c>
      <c r="D65" s="150">
        <v>10910.9</v>
      </c>
      <c r="E65" s="150">
        <v>130930.8</v>
      </c>
      <c r="F65" s="150">
        <v>80333.100000000006</v>
      </c>
      <c r="G65" s="151">
        <f t="shared" si="0"/>
        <v>50597.7</v>
      </c>
      <c r="H65" s="191">
        <f t="shared" si="2"/>
        <v>1.5876828393385471</v>
      </c>
    </row>
    <row r="66" spans="1:8" ht="15.75">
      <c r="A66" s="149" t="s">
        <v>200</v>
      </c>
      <c r="B66" s="150">
        <v>300</v>
      </c>
      <c r="C66" s="150">
        <v>82.33</v>
      </c>
      <c r="D66" s="150">
        <v>341.75</v>
      </c>
      <c r="E66" s="150">
        <v>102525</v>
      </c>
      <c r="F66" s="150">
        <v>77825</v>
      </c>
      <c r="G66" s="151">
        <f t="shared" ref="G66:G97" si="3">E66-F66</f>
        <v>24700</v>
      </c>
      <c r="H66" s="191">
        <f t="shared" si="2"/>
        <v>3.1508097165991904</v>
      </c>
    </row>
    <row r="67" spans="1:8" ht="15.75">
      <c r="A67" s="149" t="s">
        <v>201</v>
      </c>
      <c r="B67" s="150">
        <v>20</v>
      </c>
      <c r="C67" s="150">
        <v>2053.08</v>
      </c>
      <c r="D67" s="150">
        <v>4796.45</v>
      </c>
      <c r="E67" s="150">
        <v>95929</v>
      </c>
      <c r="F67" s="150">
        <v>54867.35</v>
      </c>
      <c r="G67" s="151">
        <f t="shared" si="3"/>
        <v>41061.65</v>
      </c>
      <c r="H67" s="191">
        <f t="shared" si="2"/>
        <v>1.3362188319271144</v>
      </c>
    </row>
    <row r="68" spans="1:8" ht="15.75">
      <c r="A68" s="149" t="s">
        <v>202</v>
      </c>
      <c r="B68" s="150">
        <v>26</v>
      </c>
      <c r="C68" s="150">
        <v>1275.28</v>
      </c>
      <c r="D68" s="150">
        <v>3607.6</v>
      </c>
      <c r="E68" s="150">
        <v>93797.6</v>
      </c>
      <c r="F68" s="150">
        <v>60640.2</v>
      </c>
      <c r="G68" s="151">
        <f t="shared" si="3"/>
        <v>33157.400000000009</v>
      </c>
      <c r="H68" s="191">
        <f t="shared" si="2"/>
        <v>1.8288587163046555</v>
      </c>
    </row>
    <row r="69" spans="1:8" ht="15.75">
      <c r="A69" s="149" t="s">
        <v>203</v>
      </c>
      <c r="B69" s="150">
        <v>30</v>
      </c>
      <c r="C69" s="150">
        <v>2499.15</v>
      </c>
      <c r="D69" s="150">
        <v>3123.45</v>
      </c>
      <c r="E69" s="150">
        <v>93703.5</v>
      </c>
      <c r="F69" s="150">
        <v>18729.150000000001</v>
      </c>
      <c r="G69" s="151">
        <f t="shared" si="3"/>
        <v>74974.350000000006</v>
      </c>
      <c r="H69" s="191">
        <f t="shared" si="2"/>
        <v>0.24980743414247672</v>
      </c>
    </row>
    <row r="70" spans="1:8" ht="15.75">
      <c r="A70" s="149" t="s">
        <v>204</v>
      </c>
      <c r="B70" s="150">
        <v>28</v>
      </c>
      <c r="C70" s="150">
        <v>606.38</v>
      </c>
      <c r="D70" s="150">
        <v>1755.35</v>
      </c>
      <c r="E70" s="150">
        <v>49149.8</v>
      </c>
      <c r="F70" s="150">
        <v>32171.3</v>
      </c>
      <c r="G70" s="151">
        <f t="shared" si="3"/>
        <v>16978.500000000004</v>
      </c>
      <c r="H70" s="191">
        <f t="shared" si="2"/>
        <v>1.8948258091115229</v>
      </c>
    </row>
    <row r="71" spans="1:8" ht="15.75">
      <c r="A71" s="149" t="s">
        <v>205</v>
      </c>
      <c r="B71" s="150">
        <v>20</v>
      </c>
      <c r="C71" s="150">
        <v>1000</v>
      </c>
      <c r="D71" s="150">
        <v>1091.08</v>
      </c>
      <c r="E71" s="150">
        <v>21821.599999999999</v>
      </c>
      <c r="F71" s="150">
        <v>0</v>
      </c>
      <c r="G71" s="151">
        <f t="shared" si="3"/>
        <v>21821.599999999999</v>
      </c>
      <c r="H71" s="191">
        <f t="shared" si="2"/>
        <v>0</v>
      </c>
    </row>
    <row r="72" spans="1:8" ht="15.75">
      <c r="A72" s="149" t="s">
        <v>299</v>
      </c>
      <c r="B72" s="150">
        <v>49</v>
      </c>
      <c r="C72" s="150">
        <v>952.78</v>
      </c>
      <c r="D72" s="150">
        <v>848.1</v>
      </c>
      <c r="E72" s="150">
        <v>41556.9</v>
      </c>
      <c r="F72" s="150">
        <v>-5129.25</v>
      </c>
      <c r="G72" s="151">
        <f t="shared" si="3"/>
        <v>46686.15</v>
      </c>
      <c r="H72" s="191">
        <f t="shared" si="2"/>
        <v>-0.10986663068169039</v>
      </c>
    </row>
    <row r="73" spans="1:8" ht="15.75">
      <c r="A73" s="149" t="s">
        <v>206</v>
      </c>
      <c r="B73" s="150">
        <v>77</v>
      </c>
      <c r="C73" s="150">
        <v>1234.6400000000001</v>
      </c>
      <c r="D73" s="150">
        <v>1767.25</v>
      </c>
      <c r="E73" s="150">
        <v>136078.25</v>
      </c>
      <c r="F73" s="150">
        <v>41010.800000000003</v>
      </c>
      <c r="G73" s="151">
        <f t="shared" si="3"/>
        <v>95067.45</v>
      </c>
      <c r="H73" s="191">
        <f t="shared" si="2"/>
        <v>0.43138634727238401</v>
      </c>
    </row>
    <row r="74" spans="1:8" ht="15.75">
      <c r="A74" s="149" t="s">
        <v>207</v>
      </c>
      <c r="B74" s="150">
        <v>72</v>
      </c>
      <c r="C74" s="150">
        <v>355.35</v>
      </c>
      <c r="D74" s="150">
        <v>862.75</v>
      </c>
      <c r="E74" s="150">
        <v>62118</v>
      </c>
      <c r="F74" s="150">
        <v>36532.75</v>
      </c>
      <c r="G74" s="151">
        <f t="shared" si="3"/>
        <v>25585.25</v>
      </c>
      <c r="H74" s="191">
        <f t="shared" si="2"/>
        <v>1.4278832530461887</v>
      </c>
    </row>
    <row r="75" spans="1:8" ht="15.75">
      <c r="A75" s="149" t="s">
        <v>208</v>
      </c>
      <c r="B75" s="150">
        <v>10</v>
      </c>
      <c r="C75" s="150">
        <v>5284</v>
      </c>
      <c r="D75" s="150">
        <v>7625</v>
      </c>
      <c r="E75" s="150">
        <v>76250</v>
      </c>
      <c r="F75" s="150">
        <v>23410</v>
      </c>
      <c r="G75" s="151">
        <f t="shared" si="3"/>
        <v>52840</v>
      </c>
      <c r="H75" s="191">
        <f t="shared" si="2"/>
        <v>0.4430355791067373</v>
      </c>
    </row>
    <row r="76" spans="1:8" ht="15.75">
      <c r="A76" s="149" t="s">
        <v>209</v>
      </c>
      <c r="B76" s="150">
        <v>5</v>
      </c>
      <c r="C76" s="150">
        <v>4802</v>
      </c>
      <c r="D76" s="150">
        <v>7539.56</v>
      </c>
      <c r="E76" s="150">
        <v>37697.800000000003</v>
      </c>
      <c r="F76" s="150">
        <v>13687.8</v>
      </c>
      <c r="G76" s="151">
        <f t="shared" si="3"/>
        <v>24010.000000000004</v>
      </c>
      <c r="H76" s="191">
        <f t="shared" si="2"/>
        <v>0.57008746355685125</v>
      </c>
    </row>
    <row r="77" spans="1:8" ht="15.75">
      <c r="A77" s="149" t="s">
        <v>210</v>
      </c>
      <c r="B77" s="150">
        <v>10</v>
      </c>
      <c r="C77" s="150">
        <v>5002.45</v>
      </c>
      <c r="D77" s="150">
        <v>7532.35</v>
      </c>
      <c r="E77" s="150">
        <v>75323.5</v>
      </c>
      <c r="F77" s="150">
        <v>25299</v>
      </c>
      <c r="G77" s="151">
        <f t="shared" si="3"/>
        <v>50024.5</v>
      </c>
      <c r="H77" s="191">
        <f t="shared" si="2"/>
        <v>0.50573219122629909</v>
      </c>
    </row>
    <row r="78" spans="1:8" ht="15.75">
      <c r="A78" s="149" t="s">
        <v>211</v>
      </c>
      <c r="B78" s="150">
        <v>35</v>
      </c>
      <c r="C78" s="150">
        <v>984.23</v>
      </c>
      <c r="D78" s="150">
        <v>7029.15</v>
      </c>
      <c r="E78" s="150">
        <v>246020.25</v>
      </c>
      <c r="F78" s="150">
        <v>211572.2</v>
      </c>
      <c r="G78" s="151">
        <f t="shared" si="3"/>
        <v>34448.049999999988</v>
      </c>
      <c r="H78" s="191">
        <f t="shared" si="2"/>
        <v>6.1417758044359578</v>
      </c>
    </row>
    <row r="79" spans="1:8" ht="15.75">
      <c r="A79" s="149" t="s">
        <v>290</v>
      </c>
      <c r="B79" s="150">
        <v>62</v>
      </c>
      <c r="C79" s="150">
        <v>592.30999999999995</v>
      </c>
      <c r="D79" s="150">
        <v>672.55</v>
      </c>
      <c r="E79" s="150">
        <v>41698.1</v>
      </c>
      <c r="F79" s="150">
        <v>4974.75</v>
      </c>
      <c r="G79" s="151">
        <f t="shared" si="3"/>
        <v>36723.35</v>
      </c>
      <c r="H79" s="191">
        <f t="shared" si="2"/>
        <v>0.13546558252447014</v>
      </c>
    </row>
    <row r="80" spans="1:8" ht="15.75">
      <c r="A80" s="149" t="s">
        <v>291</v>
      </c>
      <c r="B80" s="150">
        <v>226</v>
      </c>
      <c r="C80" s="150">
        <v>547.62</v>
      </c>
      <c r="D80" s="150">
        <v>602.20000000000005</v>
      </c>
      <c r="E80" s="150">
        <v>136097.20000000001</v>
      </c>
      <c r="F80" s="150">
        <v>12334.75</v>
      </c>
      <c r="G80" s="151">
        <f t="shared" si="3"/>
        <v>123762.45000000001</v>
      </c>
      <c r="H80" s="191">
        <f t="shared" ref="H80:H111" si="4">F80/G80</f>
        <v>9.9664720599826506E-2</v>
      </c>
    </row>
    <row r="81" spans="1:8" ht="15.75">
      <c r="A81" s="149" t="s">
        <v>292</v>
      </c>
      <c r="B81" s="150">
        <v>51</v>
      </c>
      <c r="C81" s="150">
        <v>958.21</v>
      </c>
      <c r="D81" s="150">
        <v>1398.35</v>
      </c>
      <c r="E81" s="150">
        <v>71315.850000000006</v>
      </c>
      <c r="F81" s="150">
        <v>22447.3</v>
      </c>
      <c r="G81" s="151">
        <f t="shared" si="3"/>
        <v>48868.55</v>
      </c>
      <c r="H81" s="191">
        <f t="shared" si="4"/>
        <v>0.45934041423369421</v>
      </c>
    </row>
    <row r="82" spans="1:8" ht="15.75">
      <c r="A82" s="149" t="s">
        <v>212</v>
      </c>
      <c r="B82" s="150">
        <v>152</v>
      </c>
      <c r="C82" s="150">
        <v>574.22</v>
      </c>
      <c r="D82" s="150">
        <v>1715.95</v>
      </c>
      <c r="E82" s="150">
        <v>260824.4</v>
      </c>
      <c r="F82" s="150">
        <v>173542.25</v>
      </c>
      <c r="G82" s="151">
        <f t="shared" si="3"/>
        <v>87282.15</v>
      </c>
      <c r="H82" s="191">
        <f t="shared" si="4"/>
        <v>1.9882902747010702</v>
      </c>
    </row>
    <row r="83" spans="1:8" ht="15.75">
      <c r="A83" s="149" t="s">
        <v>293</v>
      </c>
      <c r="B83" s="150">
        <v>83</v>
      </c>
      <c r="C83" s="150">
        <v>396.43</v>
      </c>
      <c r="D83" s="150">
        <v>514.65</v>
      </c>
      <c r="E83" s="150">
        <v>42715.95</v>
      </c>
      <c r="F83" s="150">
        <v>9812.65</v>
      </c>
      <c r="G83" s="151">
        <f t="shared" si="3"/>
        <v>32903.299999999996</v>
      </c>
      <c r="H83" s="191">
        <f t="shared" si="4"/>
        <v>0.29822692556673652</v>
      </c>
    </row>
    <row r="84" spans="1:8" ht="15.75">
      <c r="A84" s="149" t="s">
        <v>213</v>
      </c>
      <c r="B84" s="150">
        <v>83</v>
      </c>
      <c r="C84" s="150">
        <v>548.48</v>
      </c>
      <c r="D84" s="150">
        <v>829.25</v>
      </c>
      <c r="E84" s="150">
        <v>68827.75</v>
      </c>
      <c r="F84" s="150">
        <v>23304.15</v>
      </c>
      <c r="G84" s="151">
        <f t="shared" si="3"/>
        <v>45523.6</v>
      </c>
      <c r="H84" s="191">
        <f t="shared" si="4"/>
        <v>0.5119136008575772</v>
      </c>
    </row>
    <row r="85" spans="1:8" ht="15.75">
      <c r="A85" s="149" t="s">
        <v>214</v>
      </c>
      <c r="B85" s="150">
        <v>46</v>
      </c>
      <c r="C85" s="150">
        <v>794.51</v>
      </c>
      <c r="D85" s="150">
        <v>1208.3499999999999</v>
      </c>
      <c r="E85" s="150">
        <v>55584.1</v>
      </c>
      <c r="F85" s="150">
        <v>19036.8</v>
      </c>
      <c r="G85" s="151">
        <f t="shared" si="3"/>
        <v>36547.300000000003</v>
      </c>
      <c r="H85" s="191">
        <f t="shared" si="4"/>
        <v>0.52088115948373748</v>
      </c>
    </row>
    <row r="86" spans="1:8" ht="15.75">
      <c r="A86" s="149" t="s">
        <v>267</v>
      </c>
      <c r="B86" s="150">
        <v>44</v>
      </c>
      <c r="C86" s="150">
        <v>687.96</v>
      </c>
      <c r="D86" s="150">
        <v>1144.5999999999999</v>
      </c>
      <c r="E86" s="150">
        <v>50362.400000000001</v>
      </c>
      <c r="F86" s="150">
        <v>20092.099999999999</v>
      </c>
      <c r="G86" s="151">
        <f t="shared" si="3"/>
        <v>30270.300000000003</v>
      </c>
      <c r="H86" s="191">
        <f t="shared" si="4"/>
        <v>0.66375622309656646</v>
      </c>
    </row>
    <row r="87" spans="1:8" ht="15.75">
      <c r="A87" s="149" t="s">
        <v>302</v>
      </c>
      <c r="B87" s="150">
        <v>775</v>
      </c>
      <c r="C87" s="150">
        <v>99.29</v>
      </c>
      <c r="D87" s="150">
        <v>783.55</v>
      </c>
      <c r="E87" s="150">
        <v>607251.25</v>
      </c>
      <c r="F87" s="150">
        <v>530300.25</v>
      </c>
      <c r="G87" s="151">
        <f t="shared" si="3"/>
        <v>76951</v>
      </c>
      <c r="H87" s="191">
        <f t="shared" si="4"/>
        <v>6.891401671193357</v>
      </c>
    </row>
    <row r="88" spans="1:8" ht="15.75">
      <c r="A88" s="149" t="s">
        <v>215</v>
      </c>
      <c r="B88" s="150">
        <v>1050</v>
      </c>
      <c r="C88" s="150">
        <v>40.479999999999997</v>
      </c>
      <c r="D88" s="150">
        <v>163.06</v>
      </c>
      <c r="E88" s="150">
        <v>171213</v>
      </c>
      <c r="F88" s="150">
        <v>128712.75</v>
      </c>
      <c r="G88" s="151">
        <f t="shared" si="3"/>
        <v>42500.25</v>
      </c>
      <c r="H88" s="191">
        <f t="shared" si="4"/>
        <v>3.0285174793089453</v>
      </c>
    </row>
    <row r="89" spans="1:8" ht="15.75">
      <c r="A89" s="149" t="s">
        <v>216</v>
      </c>
      <c r="B89" s="150">
        <v>30</v>
      </c>
      <c r="C89" s="150">
        <v>3490.64</v>
      </c>
      <c r="D89" s="150">
        <v>4397.1000000000004</v>
      </c>
      <c r="E89" s="150">
        <v>131913</v>
      </c>
      <c r="F89" s="150">
        <v>27193.95</v>
      </c>
      <c r="G89" s="151">
        <f t="shared" si="3"/>
        <v>104719.05</v>
      </c>
      <c r="H89" s="191">
        <f t="shared" si="4"/>
        <v>0.2596848424427074</v>
      </c>
    </row>
    <row r="90" spans="1:8" ht="15.75">
      <c r="A90" s="149" t="s">
        <v>217</v>
      </c>
      <c r="B90" s="150">
        <v>24</v>
      </c>
      <c r="C90" s="150">
        <v>2584.4</v>
      </c>
      <c r="D90" s="150">
        <v>3468.5</v>
      </c>
      <c r="E90" s="150">
        <v>83244</v>
      </c>
      <c r="F90" s="150">
        <v>21218.400000000001</v>
      </c>
      <c r="G90" s="151">
        <f t="shared" si="3"/>
        <v>62025.599999999999</v>
      </c>
      <c r="H90" s="191">
        <f t="shared" si="4"/>
        <v>0.34209100758396538</v>
      </c>
    </row>
    <row r="91" spans="1:8" ht="15.75">
      <c r="A91" s="149" t="s">
        <v>220</v>
      </c>
      <c r="B91" s="150">
        <v>45</v>
      </c>
      <c r="C91" s="150">
        <v>355.21</v>
      </c>
      <c r="D91" s="150">
        <v>1038.9000000000001</v>
      </c>
      <c r="E91" s="150">
        <v>46750.5</v>
      </c>
      <c r="F91" s="150">
        <v>30765.9</v>
      </c>
      <c r="G91" s="151">
        <f t="shared" si="3"/>
        <v>15984.599999999999</v>
      </c>
      <c r="H91" s="191">
        <f t="shared" si="4"/>
        <v>1.9247212942457117</v>
      </c>
    </row>
    <row r="92" spans="1:8" ht="15.75">
      <c r="A92" s="149" t="s">
        <v>221</v>
      </c>
      <c r="B92" s="150">
        <v>36</v>
      </c>
      <c r="C92" s="150">
        <v>120.1</v>
      </c>
      <c r="D92" s="150">
        <v>1575.75</v>
      </c>
      <c r="E92" s="150">
        <v>56727</v>
      </c>
      <c r="F92" s="150">
        <v>52403.35</v>
      </c>
      <c r="G92" s="151">
        <f t="shared" si="3"/>
        <v>4323.6500000000015</v>
      </c>
      <c r="H92" s="191">
        <f t="shared" si="4"/>
        <v>12.12016467567911</v>
      </c>
    </row>
    <row r="93" spans="1:8" ht="15.75">
      <c r="A93" s="149" t="s">
        <v>300</v>
      </c>
      <c r="B93" s="150">
        <v>2525</v>
      </c>
      <c r="C93" s="150">
        <v>27.54</v>
      </c>
      <c r="D93" s="150">
        <v>26.28</v>
      </c>
      <c r="E93" s="150">
        <v>66357</v>
      </c>
      <c r="F93" s="150">
        <v>-3180.5</v>
      </c>
      <c r="G93" s="151">
        <f t="shared" si="3"/>
        <v>69537.5</v>
      </c>
      <c r="H93" s="191">
        <f t="shared" si="4"/>
        <v>-4.5737911198993349E-2</v>
      </c>
    </row>
    <row r="94" spans="1:8" ht="16.5">
      <c r="A94" s="149"/>
      <c r="B94" s="150"/>
      <c r="C94" s="150"/>
      <c r="D94" s="150"/>
      <c r="E94" s="150"/>
      <c r="F94" s="150"/>
      <c r="G94" s="151"/>
      <c r="H94" s="191"/>
    </row>
    <row r="95" spans="1:8" ht="16.5">
      <c r="A95" s="149"/>
      <c r="B95" s="150"/>
      <c r="C95" s="150"/>
      <c r="D95" s="150"/>
      <c r="E95" s="150"/>
      <c r="F95" s="150"/>
      <c r="G95" s="151">
        <f t="shared" si="3"/>
        <v>0</v>
      </c>
      <c r="H95" s="191"/>
    </row>
    <row r="96" spans="1:8" ht="16.5">
      <c r="A96" s="149"/>
      <c r="B96" s="150"/>
      <c r="C96" s="150"/>
      <c r="D96" s="150"/>
      <c r="E96" s="150"/>
      <c r="F96" s="150"/>
      <c r="G96" s="151">
        <f t="shared" si="3"/>
        <v>0</v>
      </c>
      <c r="H96" s="191"/>
    </row>
    <row r="97" spans="1:8" ht="16.5">
      <c r="A97" s="149"/>
      <c r="B97" s="150"/>
      <c r="C97" s="150"/>
      <c r="D97" s="150"/>
      <c r="E97" s="150"/>
      <c r="F97" s="150"/>
      <c r="G97" s="151">
        <f t="shared" si="3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15255</v>
      </c>
      <c r="C104" s="45"/>
      <c r="D104" s="45"/>
      <c r="E104" s="45">
        <f>SUM(E2:E103)</f>
        <v>8714091.4299999997</v>
      </c>
      <c r="F104" s="45">
        <f>SUM(F2:F103)</f>
        <v>4094312.94</v>
      </c>
      <c r="G104" s="45">
        <f>SUM(G2:G103)</f>
        <v>4619778.4899999993</v>
      </c>
      <c r="H104" s="176">
        <f>F104/G104</f>
        <v>0.8862574144761648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24C2-FEFE-4663-8ACA-D502D9A2A8CF}">
  <dimension ref="A1:I18"/>
  <sheetViews>
    <sheetView workbookViewId="0">
      <selection activeCell="K13" sqref="K13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128.68</v>
      </c>
      <c r="E2">
        <v>68.607799999999997</v>
      </c>
      <c r="F2" s="188">
        <v>279986.10960000003</v>
      </c>
      <c r="G2" s="188">
        <v>525138.70490000001</v>
      </c>
      <c r="H2" s="188">
        <v>245152.59529999999</v>
      </c>
      <c r="I2" s="192">
        <f>H2/F2</f>
        <v>0.87558841990495651</v>
      </c>
    </row>
    <row r="3" spans="1:9">
      <c r="A3" s="168" t="s">
        <v>236</v>
      </c>
      <c r="B3" t="s">
        <v>237</v>
      </c>
      <c r="C3" s="188">
        <v>14235.332</v>
      </c>
      <c r="D3">
        <v>119.52</v>
      </c>
      <c r="E3">
        <v>47.766100000000002</v>
      </c>
      <c r="F3" s="188">
        <v>679966.92570000002</v>
      </c>
      <c r="G3" s="188">
        <v>1701406.8806</v>
      </c>
      <c r="H3" s="188">
        <v>1021439.955</v>
      </c>
      <c r="I3" s="192">
        <f t="shared" ref="I3:I18" si="0">H3/F3</f>
        <v>1.5021906454471539</v>
      </c>
    </row>
    <row r="4" spans="1:9">
      <c r="A4" s="168" t="s">
        <v>238</v>
      </c>
      <c r="B4" t="s">
        <v>237</v>
      </c>
      <c r="C4" s="188">
        <v>24630.444</v>
      </c>
      <c r="D4">
        <v>44.45</v>
      </c>
      <c r="E4">
        <v>31.057600000000001</v>
      </c>
      <c r="F4" s="188">
        <v>764961.74210000003</v>
      </c>
      <c r="G4" s="188">
        <v>1094823.2357999999</v>
      </c>
      <c r="H4" s="188">
        <v>329861.49369999999</v>
      </c>
      <c r="I4" s="192">
        <f t="shared" si="0"/>
        <v>0.43121306013873656</v>
      </c>
    </row>
    <row r="5" spans="1:9">
      <c r="A5" s="168" t="s">
        <v>268</v>
      </c>
      <c r="B5" t="s">
        <v>269</v>
      </c>
      <c r="C5">
        <v>94.042000000000002</v>
      </c>
      <c r="D5" s="188">
        <v>3195.3521000000001</v>
      </c>
      <c r="E5" s="188">
        <v>3189.9151999999999</v>
      </c>
      <c r="F5" s="188">
        <v>299986.00380000001</v>
      </c>
      <c r="G5" s="188">
        <v>300497.30219999998</v>
      </c>
      <c r="H5">
        <v>511.29840000000002</v>
      </c>
      <c r="I5" s="192">
        <f t="shared" si="0"/>
        <v>1.7044075174283181E-3</v>
      </c>
    </row>
    <row r="6" spans="1:9">
      <c r="A6" s="168" t="s">
        <v>301</v>
      </c>
      <c r="B6" t="s">
        <v>241</v>
      </c>
      <c r="C6" s="188">
        <v>1857.5519999999999</v>
      </c>
      <c r="D6">
        <v>767.86519999999996</v>
      </c>
      <c r="E6">
        <v>366.02140000000003</v>
      </c>
      <c r="F6" s="188">
        <v>679903.69869999995</v>
      </c>
      <c r="G6" s="188">
        <v>1426349.5379999999</v>
      </c>
      <c r="H6" s="188">
        <v>746445.83929999999</v>
      </c>
      <c r="I6" s="192">
        <f t="shared" si="0"/>
        <v>1.0978699494167057</v>
      </c>
    </row>
    <row r="7" spans="1:9">
      <c r="A7" s="168" t="s">
        <v>242</v>
      </c>
      <c r="B7" t="s">
        <v>237</v>
      </c>
      <c r="C7" s="188">
        <v>4306.576</v>
      </c>
      <c r="D7">
        <v>157.16499999999999</v>
      </c>
      <c r="E7">
        <v>44.3917</v>
      </c>
      <c r="F7" s="188">
        <v>191176.2298</v>
      </c>
      <c r="G7" s="188">
        <v>676843.01699999999</v>
      </c>
      <c r="H7" s="188">
        <v>485666.78720000002</v>
      </c>
      <c r="I7" s="192">
        <f t="shared" si="0"/>
        <v>2.5404140865633913</v>
      </c>
    </row>
    <row r="8" spans="1:9">
      <c r="A8" s="168" t="s">
        <v>272</v>
      </c>
      <c r="B8" t="s">
        <v>235</v>
      </c>
      <c r="C8" s="188">
        <v>5805.7370000000001</v>
      </c>
      <c r="D8">
        <v>152.07400000000001</v>
      </c>
      <c r="E8">
        <v>41.940399999999997</v>
      </c>
      <c r="F8" s="188">
        <v>243495.1642</v>
      </c>
      <c r="G8" s="188">
        <v>882901.64850000001</v>
      </c>
      <c r="H8" s="188">
        <v>639406.48430000001</v>
      </c>
      <c r="I8" s="192">
        <f t="shared" si="0"/>
        <v>2.6259514697171142</v>
      </c>
    </row>
    <row r="9" spans="1:9">
      <c r="A9" s="168" t="s">
        <v>244</v>
      </c>
      <c r="B9" t="s">
        <v>233</v>
      </c>
      <c r="C9" s="188">
        <v>5841.7389999999996</v>
      </c>
      <c r="D9">
        <v>33.337400000000002</v>
      </c>
      <c r="E9">
        <v>23.964300000000001</v>
      </c>
      <c r="F9" s="188">
        <v>139992.99739999999</v>
      </c>
      <c r="G9" s="188">
        <v>194748.3897</v>
      </c>
      <c r="H9" s="188">
        <v>54755.3923</v>
      </c>
      <c r="I9" s="192">
        <f t="shared" si="0"/>
        <v>0.39112950873927071</v>
      </c>
    </row>
    <row r="10" spans="1:9">
      <c r="A10" s="168" t="s">
        <v>273</v>
      </c>
      <c r="B10" t="s">
        <v>233</v>
      </c>
      <c r="C10" s="188">
        <v>82131.043999999994</v>
      </c>
      <c r="D10">
        <v>14.4198</v>
      </c>
      <c r="E10">
        <v>9.9227000000000007</v>
      </c>
      <c r="F10" s="188">
        <v>814959.2439</v>
      </c>
      <c r="G10" s="188">
        <v>1184313.2283000001</v>
      </c>
      <c r="H10" s="188">
        <v>369353.98440000002</v>
      </c>
      <c r="I10" s="192">
        <f t="shared" si="0"/>
        <v>0.45321773716247554</v>
      </c>
    </row>
    <row r="11" spans="1:9">
      <c r="A11" s="168" t="s">
        <v>246</v>
      </c>
      <c r="B11" t="s">
        <v>241</v>
      </c>
      <c r="C11" s="188">
        <v>61039.958500000001</v>
      </c>
      <c r="D11">
        <v>16.119800000000001</v>
      </c>
      <c r="E11">
        <v>12.130800000000001</v>
      </c>
      <c r="F11" s="188">
        <v>740462.99569999997</v>
      </c>
      <c r="G11" s="188">
        <v>983951.92299999995</v>
      </c>
      <c r="H11" s="188">
        <v>243488.92739999999</v>
      </c>
      <c r="I11" s="192">
        <f t="shared" si="0"/>
        <v>0.32883334996344638</v>
      </c>
    </row>
    <row r="12" spans="1:9">
      <c r="A12" s="168" t="s">
        <v>247</v>
      </c>
      <c r="B12" t="s">
        <v>241</v>
      </c>
      <c r="C12" s="188">
        <v>30704.823</v>
      </c>
      <c r="D12">
        <v>17.614699999999999</v>
      </c>
      <c r="E12">
        <v>13.368600000000001</v>
      </c>
      <c r="F12" s="188">
        <v>410479.46899999998</v>
      </c>
      <c r="G12" s="188">
        <v>540856.24569999997</v>
      </c>
      <c r="H12" s="188">
        <v>130376.7767</v>
      </c>
      <c r="I12" s="192">
        <f t="shared" si="0"/>
        <v>0.31762070102463519</v>
      </c>
    </row>
    <row r="13" spans="1:9">
      <c r="A13" s="168" t="s">
        <v>250</v>
      </c>
      <c r="B13" t="s">
        <v>251</v>
      </c>
      <c r="C13" s="188">
        <v>19397.659</v>
      </c>
      <c r="D13">
        <v>84.901300000000006</v>
      </c>
      <c r="E13">
        <v>44.640599999999999</v>
      </c>
      <c r="F13" s="188">
        <v>865923.00470000005</v>
      </c>
      <c r="G13" s="188">
        <v>1646886.4661000001</v>
      </c>
      <c r="H13" s="188">
        <v>780963.46140000003</v>
      </c>
      <c r="I13" s="192">
        <f t="shared" si="0"/>
        <v>0.90188556853338897</v>
      </c>
    </row>
    <row r="14" spans="1:9">
      <c r="A14" s="168" t="s">
        <v>274</v>
      </c>
      <c r="B14" t="s">
        <v>233</v>
      </c>
      <c r="C14" s="188">
        <v>6809.741</v>
      </c>
      <c r="D14">
        <v>45.15</v>
      </c>
      <c r="E14">
        <v>35.241999999999997</v>
      </c>
      <c r="F14" s="188">
        <v>239988.8371</v>
      </c>
      <c r="G14" s="188">
        <v>307459.80609999999</v>
      </c>
      <c r="H14" s="188">
        <v>67470.968999999997</v>
      </c>
      <c r="I14" s="192">
        <f t="shared" si="0"/>
        <v>0.2811421140054351</v>
      </c>
    </row>
    <row r="15" spans="1:9">
      <c r="A15" s="168" t="s">
        <v>253</v>
      </c>
      <c r="B15" t="s">
        <v>235</v>
      </c>
      <c r="C15" s="188">
        <v>3642.9659999999999</v>
      </c>
      <c r="D15">
        <v>278.06319999999999</v>
      </c>
      <c r="E15">
        <v>178.51509999999999</v>
      </c>
      <c r="F15" s="188">
        <v>650324.52300000004</v>
      </c>
      <c r="G15" s="188">
        <v>1012974.7835</v>
      </c>
      <c r="H15" s="188">
        <v>362650.26040000003</v>
      </c>
      <c r="I15" s="192">
        <f t="shared" si="0"/>
        <v>0.55764506423203108</v>
      </c>
    </row>
    <row r="16" spans="1:9">
      <c r="A16" s="168" t="s">
        <v>255</v>
      </c>
      <c r="B16" t="s">
        <v>241</v>
      </c>
      <c r="C16" s="188">
        <v>18996.168000000001</v>
      </c>
      <c r="D16">
        <v>27.4297</v>
      </c>
      <c r="E16">
        <v>9.4700000000000006</v>
      </c>
      <c r="F16" s="188">
        <v>179893.71100000001</v>
      </c>
      <c r="G16" s="188">
        <v>521059.18939999997</v>
      </c>
      <c r="H16" s="188">
        <v>341165.47840000002</v>
      </c>
      <c r="I16" s="192">
        <f t="shared" si="0"/>
        <v>1.8964836319375278</v>
      </c>
    </row>
    <row r="17" spans="1:9">
      <c r="A17" s="168"/>
      <c r="B17"/>
      <c r="C17" s="188"/>
      <c r="D17"/>
      <c r="E17"/>
      <c r="F17" s="188"/>
      <c r="G17" s="188"/>
      <c r="H17" s="188"/>
      <c r="I17" s="192"/>
    </row>
    <row r="18" spans="1:9">
      <c r="A18" s="74" t="s">
        <v>11</v>
      </c>
      <c r="B18" s="75"/>
      <c r="C18" s="75">
        <f>SUM(C2:C17)</f>
        <v>283574.7475</v>
      </c>
      <c r="D18" s="75"/>
      <c r="E18" s="75"/>
      <c r="F18" s="75">
        <f>SUM(F2:F17)</f>
        <v>7181500.6557</v>
      </c>
      <c r="G18" s="75">
        <f>SUM(G2:G17)</f>
        <v>13000210.358800001</v>
      </c>
      <c r="H18" s="75">
        <f>SUM(H2:H17)</f>
        <v>5818709.7032000003</v>
      </c>
      <c r="I18" s="53">
        <f t="shared" si="0"/>
        <v>0.81023590780871901</v>
      </c>
    </row>
  </sheetData>
  <hyperlinks>
    <hyperlink ref="A2" r:id="rId1" location="/mf/1831632/15690/NULL" xr:uid="{2AC5A053-0C86-469D-947E-5FF24FC0F459}"/>
    <hyperlink ref="A3" r:id="rId2" location="/mf/1831632/22335/NULL" xr:uid="{A9F49F9E-C88D-48E0-9149-4B7DD80A8693}"/>
    <hyperlink ref="A4" r:id="rId3" location="/mf/1831632/38817/NULL" xr:uid="{9E05AC2A-9ECB-4196-A381-3B2A0D360B01}"/>
    <hyperlink ref="A5" r:id="rId4" location="/mf/1831632/16576/NULL" xr:uid="{58B0B5F6-701E-45A6-A50A-BA108115CF18}"/>
    <hyperlink ref="A6" r:id="rId5" location="/mf/1831632/16071/NULL" xr:uid="{8D274A15-4B2D-4F3E-91EE-69C87AA7F16D}"/>
    <hyperlink ref="A7" r:id="rId6" location="/mf/1831632/16617/NULL" xr:uid="{64A40C9E-B312-44EF-A820-841434B7B122}"/>
    <hyperlink ref="A8" r:id="rId7" location="/mf/1831632/17134/NULL" xr:uid="{ACDAAFEA-276D-4377-9F31-6A6E238181BD}"/>
    <hyperlink ref="A9" r:id="rId8" location="/mf/1831632/38228/NULL" xr:uid="{02C59ACB-E676-4FE7-817E-DD11F537FCE5}"/>
    <hyperlink ref="A10" r:id="rId9" location="/mf/1831632/42135/NULL" xr:uid="{83511927-76E5-4493-9E29-B7BE16D91006}"/>
    <hyperlink ref="A11" r:id="rId10" location="/mf/1831632/41574/NULL" xr:uid="{A84C1199-2C51-44B0-AD2F-FCE4EBF8BAD0}"/>
    <hyperlink ref="A12" r:id="rId11" location="/mf/1831632/41937/NULL" xr:uid="{ED16A409-7C43-492D-B9C9-FEE3C401CA30}"/>
    <hyperlink ref="A13" r:id="rId12" location="/mf/1831632/19701/NULL" xr:uid="{6A275A60-26C8-4722-909C-196791A79AE4}"/>
    <hyperlink ref="A14" r:id="rId13" location="/mf/1831632/17348/NULL" xr:uid="{719D6B74-7450-4B9A-BE9A-12BDCB977AD7}"/>
    <hyperlink ref="A15" r:id="rId14" location="/mf/1831632/17375/NULL" xr:uid="{76DA258C-B44E-483D-ABDA-B0EFE07C55AF}"/>
    <hyperlink ref="A16" r:id="rId15" location="/mf/1831632/36491/NULL" xr:uid="{0E05B39B-C1DF-4162-AF38-CFB823A01543}"/>
  </hyperlinks>
  <pageMargins left="0.7" right="0.7" top="0.75" bottom="0.75" header="0.3" footer="0.3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5842-CBB0-4C8B-AA0F-6DE29AFE158D}">
  <dimension ref="A1:I104"/>
  <sheetViews>
    <sheetView workbookViewId="0">
      <pane xSplit="1" ySplit="1" topLeftCell="B96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258</v>
      </c>
      <c r="B2" s="150">
        <v>100</v>
      </c>
      <c r="C2" s="150">
        <v>109.73</v>
      </c>
      <c r="D2" s="150">
        <v>100.15</v>
      </c>
      <c r="E2" s="150">
        <v>10015</v>
      </c>
      <c r="F2" s="150">
        <v>-957.5</v>
      </c>
      <c r="G2" s="151">
        <f t="shared" ref="G2:G65" si="0">E2-F2</f>
        <v>10972.5</v>
      </c>
      <c r="H2" s="191">
        <f t="shared" ref="H2:H14" si="1">F2/G2</f>
        <v>-8.7263613579403057E-2</v>
      </c>
    </row>
    <row r="3" spans="1:8" ht="15.75">
      <c r="A3" s="149" t="s">
        <v>259</v>
      </c>
      <c r="B3" s="150">
        <v>13</v>
      </c>
      <c r="C3" s="150">
        <v>133.75</v>
      </c>
      <c r="D3" s="150">
        <v>1042.9000000000001</v>
      </c>
      <c r="E3" s="150">
        <v>13557.7</v>
      </c>
      <c r="F3" s="150">
        <v>11818.95</v>
      </c>
      <c r="G3" s="151">
        <f t="shared" si="0"/>
        <v>1738.75</v>
      </c>
      <c r="H3" s="191">
        <f t="shared" si="1"/>
        <v>6.7973831775700937</v>
      </c>
    </row>
    <row r="4" spans="1:8" ht="15.75">
      <c r="A4" s="149" t="s">
        <v>144</v>
      </c>
      <c r="B4" s="150">
        <v>25</v>
      </c>
      <c r="C4" s="150">
        <v>813.47</v>
      </c>
      <c r="D4" s="150">
        <v>2287.1999999999998</v>
      </c>
      <c r="E4" s="150">
        <v>57180</v>
      </c>
      <c r="F4" s="150">
        <v>36843.35</v>
      </c>
      <c r="G4" s="151">
        <f t="shared" si="0"/>
        <v>20336.650000000001</v>
      </c>
      <c r="H4" s="191">
        <f t="shared" si="1"/>
        <v>1.8116725222689083</v>
      </c>
    </row>
    <row r="5" spans="1:8" ht="15.75">
      <c r="A5" s="149" t="s">
        <v>145</v>
      </c>
      <c r="B5" s="150">
        <v>250</v>
      </c>
      <c r="C5" s="150">
        <v>183.59</v>
      </c>
      <c r="D5" s="150">
        <v>542.29999999999995</v>
      </c>
      <c r="E5" s="150">
        <v>135575</v>
      </c>
      <c r="F5" s="150">
        <v>89677.5</v>
      </c>
      <c r="G5" s="151">
        <f t="shared" si="0"/>
        <v>45897.5</v>
      </c>
      <c r="H5" s="191">
        <f t="shared" si="1"/>
        <v>1.9538645895745956</v>
      </c>
    </row>
    <row r="6" spans="1:8" ht="15.75">
      <c r="A6" s="149" t="s">
        <v>275</v>
      </c>
      <c r="B6" s="150">
        <v>165</v>
      </c>
      <c r="C6" s="150">
        <v>160.15</v>
      </c>
      <c r="D6" s="150">
        <v>241.75</v>
      </c>
      <c r="E6" s="150">
        <v>39888.75</v>
      </c>
      <c r="F6" s="150">
        <v>13464</v>
      </c>
      <c r="G6" s="151">
        <f t="shared" si="0"/>
        <v>26424.75</v>
      </c>
      <c r="H6" s="191">
        <f t="shared" si="1"/>
        <v>0.50952232282235399</v>
      </c>
    </row>
    <row r="7" spans="1:8" ht="15.75">
      <c r="A7" s="149" t="s">
        <v>276</v>
      </c>
      <c r="B7" s="150">
        <v>28</v>
      </c>
      <c r="C7" s="150">
        <v>2757.87</v>
      </c>
      <c r="D7" s="150">
        <v>2920</v>
      </c>
      <c r="E7" s="150">
        <v>81760</v>
      </c>
      <c r="F7" s="150">
        <v>4539.6000000000004</v>
      </c>
      <c r="G7" s="151">
        <f t="shared" si="0"/>
        <v>77220.399999999994</v>
      </c>
      <c r="H7" s="191">
        <f t="shared" si="1"/>
        <v>5.8787574267939569E-2</v>
      </c>
    </row>
    <row r="8" spans="1:8" ht="15.75">
      <c r="A8" s="149" t="s">
        <v>277</v>
      </c>
      <c r="B8" s="150">
        <v>97</v>
      </c>
      <c r="C8" s="150">
        <v>578.23</v>
      </c>
      <c r="D8" s="150">
        <v>672.05</v>
      </c>
      <c r="E8" s="150">
        <v>65188.85</v>
      </c>
      <c r="F8" s="150">
        <v>9100.65</v>
      </c>
      <c r="G8" s="151">
        <f t="shared" si="0"/>
        <v>56088.2</v>
      </c>
      <c r="H8" s="191">
        <f t="shared" si="1"/>
        <v>0.16225605385803074</v>
      </c>
    </row>
    <row r="9" spans="1:8" ht="15.75">
      <c r="A9" s="149" t="s">
        <v>146</v>
      </c>
      <c r="B9" s="150">
        <v>62</v>
      </c>
      <c r="C9" s="150">
        <v>708.24</v>
      </c>
      <c r="D9" s="150">
        <v>1262.45</v>
      </c>
      <c r="E9" s="150">
        <v>78271.899999999994</v>
      </c>
      <c r="F9" s="150">
        <v>34361.300000000003</v>
      </c>
      <c r="G9" s="151">
        <f t="shared" si="0"/>
        <v>43910.599999999991</v>
      </c>
      <c r="H9" s="191">
        <f t="shared" si="1"/>
        <v>0.78252859218503068</v>
      </c>
    </row>
    <row r="10" spans="1:8" ht="15.75">
      <c r="A10" s="149" t="s">
        <v>147</v>
      </c>
      <c r="B10" s="150">
        <v>20</v>
      </c>
      <c r="C10" s="150">
        <v>3008.26</v>
      </c>
      <c r="D10" s="150">
        <v>9490</v>
      </c>
      <c r="E10" s="150">
        <v>189800</v>
      </c>
      <c r="F10" s="150">
        <v>129634.75</v>
      </c>
      <c r="G10" s="151">
        <f t="shared" si="0"/>
        <v>60165.25</v>
      </c>
      <c r="H10" s="191">
        <f t="shared" si="1"/>
        <v>2.1546449154619984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7121.85</v>
      </c>
      <c r="E11" s="150">
        <v>56974.8</v>
      </c>
      <c r="F11" s="150">
        <v>3126.45</v>
      </c>
      <c r="G11" s="151">
        <f t="shared" si="0"/>
        <v>53848.350000000006</v>
      </c>
      <c r="H11" s="191">
        <f t="shared" si="1"/>
        <v>5.8060274827362389E-2</v>
      </c>
    </row>
    <row r="12" spans="1:8" ht="15.75">
      <c r="A12" s="149" t="s">
        <v>149</v>
      </c>
      <c r="B12" s="150">
        <v>15</v>
      </c>
      <c r="C12" s="150">
        <v>2427.4699999999998</v>
      </c>
      <c r="D12" s="150">
        <v>3231.2</v>
      </c>
      <c r="E12" s="150">
        <v>48468</v>
      </c>
      <c r="F12" s="150">
        <v>12056</v>
      </c>
      <c r="G12" s="151">
        <f t="shared" si="0"/>
        <v>36412</v>
      </c>
      <c r="H12" s="191">
        <f t="shared" si="1"/>
        <v>0.33109963748214877</v>
      </c>
    </row>
    <row r="13" spans="1:8" ht="15.75">
      <c r="A13" s="149" t="s">
        <v>150</v>
      </c>
      <c r="B13" s="150">
        <v>184</v>
      </c>
      <c r="C13" s="150">
        <v>185</v>
      </c>
      <c r="D13" s="150">
        <v>275.35000000000002</v>
      </c>
      <c r="E13" s="150">
        <v>50664.4</v>
      </c>
      <c r="F13" s="150">
        <v>16624.400000000001</v>
      </c>
      <c r="G13" s="151">
        <f t="shared" si="0"/>
        <v>34040</v>
      </c>
      <c r="H13" s="191">
        <f t="shared" si="1"/>
        <v>0.48837837837837844</v>
      </c>
    </row>
    <row r="14" spans="1:8" ht="15.75">
      <c r="A14" s="149" t="s">
        <v>151</v>
      </c>
      <c r="B14" s="150">
        <v>2500</v>
      </c>
      <c r="C14" s="150">
        <v>48.02</v>
      </c>
      <c r="D14" s="150">
        <v>53.22</v>
      </c>
      <c r="E14" s="150">
        <v>133050</v>
      </c>
      <c r="F14" s="150">
        <v>13003.37</v>
      </c>
      <c r="G14" s="151">
        <f t="shared" si="0"/>
        <v>120046.63</v>
      </c>
      <c r="H14" s="191">
        <f t="shared" si="1"/>
        <v>0.10831932558206757</v>
      </c>
    </row>
    <row r="15" spans="1:8" ht="15.75">
      <c r="A15" s="149" t="s">
        <v>152</v>
      </c>
      <c r="B15" s="150">
        <v>180</v>
      </c>
      <c r="C15" s="150">
        <v>322.89</v>
      </c>
      <c r="D15" s="150">
        <v>1445.35</v>
      </c>
      <c r="E15" s="150">
        <v>260163</v>
      </c>
      <c r="F15" s="150">
        <v>202043</v>
      </c>
      <c r="G15" s="151">
        <f t="shared" si="0"/>
        <v>58120</v>
      </c>
      <c r="H15" s="191">
        <v>0</v>
      </c>
    </row>
    <row r="16" spans="1:8" ht="15.75">
      <c r="A16" s="149" t="s">
        <v>153</v>
      </c>
      <c r="B16" s="150">
        <v>46</v>
      </c>
      <c r="C16" s="150">
        <v>439.12</v>
      </c>
      <c r="D16" s="150">
        <v>1350.7</v>
      </c>
      <c r="E16" s="150">
        <v>62132.2</v>
      </c>
      <c r="F16" s="150">
        <v>41932.6</v>
      </c>
      <c r="G16" s="151">
        <f t="shared" si="0"/>
        <v>20199.599999999999</v>
      </c>
      <c r="H16" s="191">
        <f t="shared" ref="H16:H79" si="2">F16/G16</f>
        <v>2.0759123943048379</v>
      </c>
    </row>
    <row r="17" spans="1:8" ht="16.5">
      <c r="A17" s="149" t="s">
        <v>154</v>
      </c>
      <c r="B17" s="150">
        <v>14</v>
      </c>
      <c r="C17" s="150">
        <v>3489.94</v>
      </c>
      <c r="D17" s="150">
        <v>5450.05</v>
      </c>
      <c r="E17" s="150">
        <v>76300.7</v>
      </c>
      <c r="F17" s="150">
        <v>27441.599999999999</v>
      </c>
      <c r="G17" s="151">
        <f t="shared" si="0"/>
        <v>48859.1</v>
      </c>
      <c r="H17" s="191"/>
    </row>
    <row r="18" spans="1:8" ht="15.75">
      <c r="A18" s="149" t="s">
        <v>278</v>
      </c>
      <c r="B18" s="150">
        <v>345</v>
      </c>
      <c r="C18" s="150">
        <v>107.29</v>
      </c>
      <c r="D18" s="150">
        <v>119.47</v>
      </c>
      <c r="E18" s="150">
        <v>41217.15</v>
      </c>
      <c r="F18" s="150">
        <v>4202.1000000000004</v>
      </c>
      <c r="G18" s="151">
        <f t="shared" si="0"/>
        <v>37015.050000000003</v>
      </c>
      <c r="H18" s="191">
        <f t="shared" si="2"/>
        <v>0.11352409357815267</v>
      </c>
    </row>
    <row r="19" spans="1:8" ht="15.75">
      <c r="A19" s="149" t="s">
        <v>155</v>
      </c>
      <c r="B19" s="150">
        <v>180</v>
      </c>
      <c r="C19" s="150">
        <v>155.25</v>
      </c>
      <c r="D19" s="150">
        <v>200.61</v>
      </c>
      <c r="E19" s="150">
        <v>36109.800000000003</v>
      </c>
      <c r="F19" s="150">
        <v>8164.8</v>
      </c>
      <c r="G19" s="151">
        <f t="shared" si="0"/>
        <v>27945.000000000004</v>
      </c>
      <c r="H19" s="191">
        <f t="shared" si="2"/>
        <v>0.29217391304347823</v>
      </c>
    </row>
    <row r="20" spans="1:8" ht="15.75">
      <c r="A20" s="149" t="s">
        <v>156</v>
      </c>
      <c r="B20" s="150">
        <v>88</v>
      </c>
      <c r="C20" s="150">
        <v>373.58</v>
      </c>
      <c r="D20" s="150">
        <v>572.35</v>
      </c>
      <c r="E20" s="150">
        <v>50366.8</v>
      </c>
      <c r="F20" s="150">
        <v>17491.95</v>
      </c>
      <c r="G20" s="151">
        <f t="shared" si="0"/>
        <v>32874.850000000006</v>
      </c>
      <c r="H20" s="191">
        <f t="shared" si="2"/>
        <v>0.53207695244236852</v>
      </c>
    </row>
    <row r="21" spans="1:8" ht="15.75">
      <c r="A21" s="149" t="s">
        <v>157</v>
      </c>
      <c r="B21" s="150">
        <v>40</v>
      </c>
      <c r="C21" s="150">
        <v>908.4</v>
      </c>
      <c r="D21" s="150">
        <v>1482</v>
      </c>
      <c r="E21" s="150">
        <v>59280</v>
      </c>
      <c r="F21" s="150">
        <v>22944.15</v>
      </c>
      <c r="G21" s="151">
        <f t="shared" si="0"/>
        <v>36335.85</v>
      </c>
      <c r="H21" s="191">
        <f t="shared" si="2"/>
        <v>0.63144662915550354</v>
      </c>
    </row>
    <row r="22" spans="1:8" ht="15.75">
      <c r="A22" s="149" t="s">
        <v>158</v>
      </c>
      <c r="B22" s="150">
        <v>470</v>
      </c>
      <c r="C22" s="150">
        <v>194.39</v>
      </c>
      <c r="D22" s="150">
        <v>473.15</v>
      </c>
      <c r="E22" s="150">
        <v>222380.5</v>
      </c>
      <c r="F22" s="150">
        <v>131017</v>
      </c>
      <c r="G22" s="151">
        <f t="shared" si="0"/>
        <v>91363.5</v>
      </c>
      <c r="H22" s="191">
        <f t="shared" si="2"/>
        <v>1.4340190557498345</v>
      </c>
    </row>
    <row r="23" spans="1:8" ht="15.75">
      <c r="A23" s="149" t="s">
        <v>159</v>
      </c>
      <c r="B23" s="150">
        <v>13</v>
      </c>
      <c r="C23" s="150">
        <v>4545.26</v>
      </c>
      <c r="D23" s="150">
        <v>5448.3</v>
      </c>
      <c r="E23" s="150">
        <v>70827.899999999994</v>
      </c>
      <c r="F23" s="150">
        <v>11739.5</v>
      </c>
      <c r="G23" s="151">
        <f t="shared" si="0"/>
        <v>59088.399999999994</v>
      </c>
      <c r="H23" s="191">
        <f t="shared" si="2"/>
        <v>0.1986768976651932</v>
      </c>
    </row>
    <row r="24" spans="1:8" ht="15.75">
      <c r="A24" s="149" t="s">
        <v>160</v>
      </c>
      <c r="B24" s="150">
        <v>21</v>
      </c>
      <c r="C24" s="150">
        <v>1503.03</v>
      </c>
      <c r="D24" s="150">
        <v>2843.15</v>
      </c>
      <c r="E24" s="150">
        <v>59706.15</v>
      </c>
      <c r="F24" s="150">
        <v>28142.45</v>
      </c>
      <c r="G24" s="151">
        <f t="shared" si="0"/>
        <v>31563.7</v>
      </c>
      <c r="H24" s="191">
        <f t="shared" si="2"/>
        <v>0.89160808143531967</v>
      </c>
    </row>
    <row r="25" spans="1:8" ht="15.75">
      <c r="A25" s="149" t="s">
        <v>279</v>
      </c>
      <c r="B25" s="150">
        <v>98</v>
      </c>
      <c r="C25" s="150">
        <v>555.05999999999995</v>
      </c>
      <c r="D25" s="150">
        <v>600.25</v>
      </c>
      <c r="E25" s="150">
        <v>58824.5</v>
      </c>
      <c r="F25" s="150">
        <v>4428.45</v>
      </c>
      <c r="G25" s="151">
        <f t="shared" si="0"/>
        <v>54396.05</v>
      </c>
      <c r="H25" s="191">
        <f t="shared" si="2"/>
        <v>8.1411242176591861E-2</v>
      </c>
    </row>
    <row r="26" spans="1:8" ht="15.75">
      <c r="A26" s="149" t="s">
        <v>161</v>
      </c>
      <c r="B26" s="150">
        <v>83</v>
      </c>
      <c r="C26" s="150">
        <v>501.43</v>
      </c>
      <c r="D26" s="150">
        <v>824.75</v>
      </c>
      <c r="E26" s="150">
        <v>68454.25</v>
      </c>
      <c r="F26" s="150">
        <v>26835.8</v>
      </c>
      <c r="G26" s="151">
        <f t="shared" si="0"/>
        <v>41618.449999999997</v>
      </c>
      <c r="H26" s="191">
        <f t="shared" si="2"/>
        <v>0.64480536877274386</v>
      </c>
    </row>
    <row r="27" spans="1:8" ht="15.75">
      <c r="A27" s="149" t="s">
        <v>162</v>
      </c>
      <c r="B27" s="150">
        <v>14</v>
      </c>
      <c r="C27" s="150">
        <v>3289.33</v>
      </c>
      <c r="D27" s="150">
        <v>4717</v>
      </c>
      <c r="E27" s="150">
        <v>66038</v>
      </c>
      <c r="F27" s="150">
        <v>19987.45</v>
      </c>
      <c r="G27" s="151">
        <f t="shared" si="0"/>
        <v>46050.55</v>
      </c>
      <c r="H27" s="191">
        <f t="shared" si="2"/>
        <v>0.43403281828338641</v>
      </c>
    </row>
    <row r="28" spans="1:8" ht="15.75">
      <c r="A28" s="149" t="s">
        <v>163</v>
      </c>
      <c r="B28" s="150">
        <v>10</v>
      </c>
      <c r="C28" s="150">
        <v>4623.5</v>
      </c>
      <c r="D28" s="150">
        <v>6405.75</v>
      </c>
      <c r="E28" s="150">
        <v>64057.5</v>
      </c>
      <c r="F28" s="150">
        <v>17822.55</v>
      </c>
      <c r="G28" s="151">
        <f t="shared" si="0"/>
        <v>46234.95</v>
      </c>
      <c r="H28" s="191">
        <f t="shared" si="2"/>
        <v>0.38547786901467396</v>
      </c>
    </row>
    <row r="29" spans="1:8" ht="15.75">
      <c r="A29" s="149" t="s">
        <v>164</v>
      </c>
      <c r="B29" s="150">
        <v>11</v>
      </c>
      <c r="C29" s="150">
        <v>3144.55</v>
      </c>
      <c r="D29" s="150">
        <v>4672.95</v>
      </c>
      <c r="E29" s="150">
        <v>51402.45</v>
      </c>
      <c r="F29" s="150">
        <v>16812.45</v>
      </c>
      <c r="G29" s="151">
        <f t="shared" si="0"/>
        <v>34590</v>
      </c>
      <c r="H29" s="191">
        <f t="shared" si="2"/>
        <v>0.48604943625325242</v>
      </c>
    </row>
    <row r="30" spans="1:8" ht="15.75">
      <c r="A30" s="149" t="s">
        <v>270</v>
      </c>
      <c r="B30" s="150">
        <v>69</v>
      </c>
      <c r="C30" s="150">
        <v>358.02</v>
      </c>
      <c r="D30" s="150">
        <v>355.95</v>
      </c>
      <c r="E30" s="150">
        <v>24560.55</v>
      </c>
      <c r="F30" s="150">
        <v>-142.63999999999999</v>
      </c>
      <c r="G30" s="151">
        <f t="shared" si="0"/>
        <v>24703.19</v>
      </c>
      <c r="H30" s="191">
        <f t="shared" si="2"/>
        <v>-5.7741530547269397E-3</v>
      </c>
    </row>
    <row r="31" spans="1:8" ht="15.75">
      <c r="A31" s="149" t="s">
        <v>166</v>
      </c>
      <c r="B31" s="150">
        <v>16</v>
      </c>
      <c r="C31" s="150">
        <v>1304.44</v>
      </c>
      <c r="D31" s="150">
        <v>2660.5</v>
      </c>
      <c r="E31" s="150">
        <v>42568</v>
      </c>
      <c r="F31" s="150">
        <v>21696.95</v>
      </c>
      <c r="G31" s="151">
        <f t="shared" si="0"/>
        <v>20871.05</v>
      </c>
      <c r="H31" s="191">
        <f t="shared" si="2"/>
        <v>1.0395715596484125</v>
      </c>
    </row>
    <row r="32" spans="1:8" ht="15.75">
      <c r="A32" s="149" t="s">
        <v>168</v>
      </c>
      <c r="B32" s="150">
        <v>80</v>
      </c>
      <c r="C32" s="150">
        <v>685.74</v>
      </c>
      <c r="D32" s="150">
        <v>1025.4000000000001</v>
      </c>
      <c r="E32" s="150">
        <v>82032</v>
      </c>
      <c r="F32" s="150">
        <v>27173</v>
      </c>
      <c r="G32" s="151">
        <f t="shared" si="0"/>
        <v>54859</v>
      </c>
      <c r="H32" s="191">
        <f t="shared" si="2"/>
        <v>0.49532437703931897</v>
      </c>
    </row>
    <row r="33" spans="1:8" ht="15.75">
      <c r="A33" s="149" t="s">
        <v>169</v>
      </c>
      <c r="B33" s="150">
        <v>209</v>
      </c>
      <c r="C33" s="150">
        <v>174.63</v>
      </c>
      <c r="D33" s="150">
        <v>565</v>
      </c>
      <c r="E33" s="150">
        <v>118085</v>
      </c>
      <c r="F33" s="150">
        <v>81588.25</v>
      </c>
      <c r="G33" s="151">
        <f t="shared" si="0"/>
        <v>36496.75</v>
      </c>
      <c r="H33" s="191">
        <f t="shared" si="2"/>
        <v>2.2354935713453936</v>
      </c>
    </row>
    <row r="34" spans="1:8" ht="15.75">
      <c r="A34" s="149" t="s">
        <v>170</v>
      </c>
      <c r="B34" s="150">
        <v>323</v>
      </c>
      <c r="C34" s="150">
        <v>83.87</v>
      </c>
      <c r="D34" s="150">
        <v>177.6</v>
      </c>
      <c r="E34" s="150">
        <v>57364.800000000003</v>
      </c>
      <c r="F34" s="150">
        <v>30273.8</v>
      </c>
      <c r="G34" s="151">
        <f t="shared" si="0"/>
        <v>27091.000000000004</v>
      </c>
      <c r="H34" s="191">
        <f t="shared" si="2"/>
        <v>1.1174855117935845</v>
      </c>
    </row>
    <row r="35" spans="1:8" ht="15.75">
      <c r="A35" s="149" t="s">
        <v>172</v>
      </c>
      <c r="B35" s="150">
        <v>18</v>
      </c>
      <c r="C35" s="150">
        <v>1556.41</v>
      </c>
      <c r="D35" s="150">
        <v>3207.9</v>
      </c>
      <c r="E35" s="150">
        <v>57742.2</v>
      </c>
      <c r="F35" s="150">
        <v>29726.85</v>
      </c>
      <c r="G35" s="151">
        <f t="shared" si="0"/>
        <v>28015.35</v>
      </c>
      <c r="H35" s="191">
        <f t="shared" si="2"/>
        <v>1.0610915087621609</v>
      </c>
    </row>
    <row r="36" spans="1:8" ht="15.75">
      <c r="A36" s="149" t="s">
        <v>281</v>
      </c>
      <c r="B36" s="150">
        <v>124</v>
      </c>
      <c r="C36" s="150">
        <v>304.87</v>
      </c>
      <c r="D36" s="150">
        <v>493.75</v>
      </c>
      <c r="E36" s="150">
        <v>61225</v>
      </c>
      <c r="F36" s="150">
        <v>23421.599999999999</v>
      </c>
      <c r="G36" s="151">
        <f t="shared" si="0"/>
        <v>37803.4</v>
      </c>
      <c r="H36" s="191">
        <f t="shared" si="2"/>
        <v>0.61956331970140244</v>
      </c>
    </row>
    <row r="37" spans="1:8" ht="15.75">
      <c r="A37" s="149" t="s">
        <v>174</v>
      </c>
      <c r="B37" s="150">
        <v>67</v>
      </c>
      <c r="C37" s="150">
        <v>1067.9000000000001</v>
      </c>
      <c r="D37" s="150">
        <v>1459.6</v>
      </c>
      <c r="E37" s="150">
        <v>97793.2</v>
      </c>
      <c r="F37" s="150">
        <v>26244.2</v>
      </c>
      <c r="G37" s="151">
        <f t="shared" si="0"/>
        <v>71549</v>
      </c>
      <c r="H37" s="191">
        <f t="shared" si="2"/>
        <v>0.36680037456847758</v>
      </c>
    </row>
    <row r="38" spans="1:8" ht="15.75">
      <c r="A38" s="149" t="s">
        <v>175</v>
      </c>
      <c r="B38" s="150">
        <v>34</v>
      </c>
      <c r="C38" s="150">
        <v>1623.57</v>
      </c>
      <c r="D38" s="150">
        <v>1683.8</v>
      </c>
      <c r="E38" s="150">
        <v>57249.2</v>
      </c>
      <c r="F38" s="150">
        <v>2047.7</v>
      </c>
      <c r="G38" s="151">
        <f t="shared" si="0"/>
        <v>55201.5</v>
      </c>
      <c r="H38" s="191">
        <f t="shared" si="2"/>
        <v>3.7095006476273291E-2</v>
      </c>
    </row>
    <row r="39" spans="1:8" ht="15.75">
      <c r="A39" s="149" t="s">
        <v>176</v>
      </c>
      <c r="B39" s="150">
        <v>146</v>
      </c>
      <c r="C39" s="150">
        <v>586.27</v>
      </c>
      <c r="D39" s="150">
        <v>595.04999999999995</v>
      </c>
      <c r="E39" s="150">
        <v>86877.3</v>
      </c>
      <c r="F39" s="150">
        <v>1282.2</v>
      </c>
      <c r="G39" s="151">
        <f t="shared" si="0"/>
        <v>85595.1</v>
      </c>
      <c r="H39" s="191">
        <f t="shared" si="2"/>
        <v>1.4979829452854193E-2</v>
      </c>
    </row>
    <row r="40" spans="1:8" ht="15.75">
      <c r="A40" s="149" t="s">
        <v>177</v>
      </c>
      <c r="B40" s="150">
        <v>10</v>
      </c>
      <c r="C40" s="150">
        <v>2735.04</v>
      </c>
      <c r="D40" s="150">
        <v>5590</v>
      </c>
      <c r="E40" s="150">
        <v>55900</v>
      </c>
      <c r="F40" s="150">
        <v>28549.599999999999</v>
      </c>
      <c r="G40" s="151">
        <f t="shared" si="0"/>
        <v>27350.400000000001</v>
      </c>
      <c r="H40" s="191">
        <f t="shared" si="2"/>
        <v>1.0438457938457937</v>
      </c>
    </row>
    <row r="41" spans="1:8" ht="15.75">
      <c r="A41" s="149" t="s">
        <v>282</v>
      </c>
      <c r="B41" s="150">
        <v>28</v>
      </c>
      <c r="C41" s="150">
        <v>2303.96</v>
      </c>
      <c r="D41" s="150">
        <v>2475.1999999999998</v>
      </c>
      <c r="E41" s="150">
        <v>69305.600000000006</v>
      </c>
      <c r="F41" s="150">
        <v>4794.8</v>
      </c>
      <c r="G41" s="151">
        <f t="shared" si="0"/>
        <v>64510.8</v>
      </c>
      <c r="H41" s="191">
        <f t="shared" si="2"/>
        <v>7.4325539289545314E-2</v>
      </c>
    </row>
    <row r="42" spans="1:8" ht="15.75">
      <c r="A42" s="149" t="s">
        <v>178</v>
      </c>
      <c r="B42" s="150">
        <v>73</v>
      </c>
      <c r="C42" s="150">
        <v>589.26</v>
      </c>
      <c r="D42" s="150">
        <v>1199.8</v>
      </c>
      <c r="E42" s="150">
        <v>87585.4</v>
      </c>
      <c r="F42" s="150">
        <v>44569.75</v>
      </c>
      <c r="G42" s="151">
        <f t="shared" si="0"/>
        <v>43015.649999999994</v>
      </c>
      <c r="H42" s="191">
        <f t="shared" si="2"/>
        <v>1.0361287112946103</v>
      </c>
    </row>
    <row r="43" spans="1:8" ht="15.75">
      <c r="A43" s="149" t="s">
        <v>179</v>
      </c>
      <c r="B43" s="150">
        <v>69</v>
      </c>
      <c r="C43" s="150">
        <v>1284.1099999999999</v>
      </c>
      <c r="D43" s="150">
        <v>1789.55</v>
      </c>
      <c r="E43" s="150">
        <v>123478.95</v>
      </c>
      <c r="F43" s="150">
        <v>34875.5</v>
      </c>
      <c r="G43" s="151">
        <f t="shared" si="0"/>
        <v>88603.45</v>
      </c>
      <c r="H43" s="191">
        <f t="shared" si="2"/>
        <v>0.3936133412412271</v>
      </c>
    </row>
    <row r="44" spans="1:8" ht="15.75">
      <c r="A44" s="149" t="s">
        <v>180</v>
      </c>
      <c r="B44" s="150">
        <v>155</v>
      </c>
      <c r="C44" s="150">
        <v>503.08</v>
      </c>
      <c r="D44" s="150">
        <v>605.70000000000005</v>
      </c>
      <c r="E44" s="150">
        <v>93883.5</v>
      </c>
      <c r="F44" s="150">
        <v>15905.9</v>
      </c>
      <c r="G44" s="151">
        <f t="shared" si="0"/>
        <v>77977.600000000006</v>
      </c>
      <c r="H44" s="191">
        <f t="shared" si="2"/>
        <v>0.20398037385095205</v>
      </c>
    </row>
    <row r="45" spans="1:8" ht="15.75">
      <c r="A45" s="149" t="s">
        <v>284</v>
      </c>
      <c r="B45" s="150">
        <v>35</v>
      </c>
      <c r="C45" s="150">
        <v>917.94</v>
      </c>
      <c r="D45" s="150">
        <v>1464.5</v>
      </c>
      <c r="E45" s="150">
        <v>51257.5</v>
      </c>
      <c r="F45" s="150">
        <v>19129.599999999999</v>
      </c>
      <c r="G45" s="151">
        <f t="shared" si="0"/>
        <v>32127.9</v>
      </c>
      <c r="H45" s="191">
        <f t="shared" si="2"/>
        <v>0.59542017996818952</v>
      </c>
    </row>
    <row r="46" spans="1:8" ht="15.75">
      <c r="A46" s="149" t="s">
        <v>181</v>
      </c>
      <c r="B46" s="150">
        <v>57</v>
      </c>
      <c r="C46" s="150">
        <v>1521.67</v>
      </c>
      <c r="D46" s="150">
        <v>1566.95</v>
      </c>
      <c r="E46" s="150">
        <v>89316.15</v>
      </c>
      <c r="F46" s="150">
        <v>2580.75</v>
      </c>
      <c r="G46" s="151">
        <f t="shared" si="0"/>
        <v>86735.4</v>
      </c>
      <c r="H46" s="191">
        <f t="shared" si="2"/>
        <v>2.9754287176862043E-2</v>
      </c>
    </row>
    <row r="47" spans="1:8" ht="15.75">
      <c r="A47" s="149" t="s">
        <v>182</v>
      </c>
      <c r="B47" s="150">
        <v>759</v>
      </c>
      <c r="C47" s="150">
        <v>229.74</v>
      </c>
      <c r="D47" s="150">
        <v>424.9</v>
      </c>
      <c r="E47" s="150">
        <v>322499.09999999998</v>
      </c>
      <c r="F47" s="150">
        <v>148123.54999999999</v>
      </c>
      <c r="G47" s="151">
        <f t="shared" si="0"/>
        <v>174375.55</v>
      </c>
      <c r="H47" s="191">
        <f t="shared" si="2"/>
        <v>0.84945137090607026</v>
      </c>
    </row>
    <row r="48" spans="1:8" ht="15.75">
      <c r="A48" s="149" t="s">
        <v>183</v>
      </c>
      <c r="B48" s="150">
        <v>28</v>
      </c>
      <c r="C48" s="150">
        <v>597.6</v>
      </c>
      <c r="D48" s="150">
        <v>1758.15</v>
      </c>
      <c r="E48" s="150">
        <v>49228.2</v>
      </c>
      <c r="F48" s="150">
        <v>32495.5</v>
      </c>
      <c r="G48" s="151">
        <f t="shared" si="0"/>
        <v>16732.699999999997</v>
      </c>
      <c r="H48" s="191">
        <f t="shared" si="2"/>
        <v>1.9420356547359365</v>
      </c>
    </row>
    <row r="49" spans="1:8" ht="15.75">
      <c r="A49" s="149" t="s">
        <v>184</v>
      </c>
      <c r="B49" s="150">
        <v>329</v>
      </c>
      <c r="C49" s="150">
        <v>121.11</v>
      </c>
      <c r="D49" s="150">
        <v>206.73</v>
      </c>
      <c r="E49" s="150">
        <v>68014.17</v>
      </c>
      <c r="F49" s="150">
        <v>28169.42</v>
      </c>
      <c r="G49" s="151">
        <f t="shared" si="0"/>
        <v>39844.75</v>
      </c>
      <c r="H49" s="191">
        <f t="shared" si="2"/>
        <v>0.70697946404482392</v>
      </c>
    </row>
    <row r="50" spans="1:8" ht="15.75">
      <c r="A50" s="149" t="s">
        <v>185</v>
      </c>
      <c r="B50" s="150">
        <v>55</v>
      </c>
      <c r="C50" s="150">
        <v>1723.54</v>
      </c>
      <c r="D50" s="150">
        <v>1804.95</v>
      </c>
      <c r="E50" s="150">
        <v>99272.25</v>
      </c>
      <c r="F50" s="150">
        <v>4477.3</v>
      </c>
      <c r="G50" s="151">
        <f t="shared" si="0"/>
        <v>94794.95</v>
      </c>
      <c r="H50" s="191">
        <f t="shared" si="2"/>
        <v>4.7231418973268095E-2</v>
      </c>
    </row>
    <row r="51" spans="1:8" ht="15.75">
      <c r="A51" s="149" t="s">
        <v>186</v>
      </c>
      <c r="B51" s="150">
        <v>67</v>
      </c>
      <c r="C51" s="150">
        <v>676.11</v>
      </c>
      <c r="D51" s="150">
        <v>1635.05</v>
      </c>
      <c r="E51" s="150">
        <v>109548.35</v>
      </c>
      <c r="F51" s="150">
        <v>64248.95</v>
      </c>
      <c r="G51" s="151">
        <f t="shared" si="0"/>
        <v>45299.400000000009</v>
      </c>
      <c r="H51" s="191">
        <f t="shared" si="2"/>
        <v>1.4183179026653772</v>
      </c>
    </row>
    <row r="52" spans="1:8" ht="15.75">
      <c r="A52" s="149" t="s">
        <v>187</v>
      </c>
      <c r="B52" s="150">
        <v>20</v>
      </c>
      <c r="C52" s="150">
        <v>2295.38</v>
      </c>
      <c r="D52" s="150">
        <v>2780.7</v>
      </c>
      <c r="E52" s="150">
        <v>55614</v>
      </c>
      <c r="F52" s="150">
        <v>9706.4</v>
      </c>
      <c r="G52" s="151">
        <f t="shared" si="0"/>
        <v>45907.6</v>
      </c>
      <c r="H52" s="191">
        <f t="shared" si="2"/>
        <v>0.21143340100549801</v>
      </c>
    </row>
    <row r="53" spans="1:8" ht="15.75">
      <c r="A53" s="149" t="s">
        <v>188</v>
      </c>
      <c r="B53" s="150">
        <v>62</v>
      </c>
      <c r="C53" s="150">
        <v>1053.22</v>
      </c>
      <c r="D53" s="150">
        <v>3549.4</v>
      </c>
      <c r="E53" s="150">
        <v>220062.8</v>
      </c>
      <c r="F53" s="150">
        <v>154763.45000000001</v>
      </c>
      <c r="G53" s="151">
        <f t="shared" si="0"/>
        <v>65299.349999999977</v>
      </c>
      <c r="H53" s="191">
        <f t="shared" si="2"/>
        <v>2.3700611108686389</v>
      </c>
    </row>
    <row r="54" spans="1:8" ht="15.75">
      <c r="A54" s="149" t="s">
        <v>286</v>
      </c>
      <c r="B54" s="150">
        <v>25</v>
      </c>
      <c r="C54" s="150">
        <v>4933.3100000000004</v>
      </c>
      <c r="D54" s="150">
        <v>5390</v>
      </c>
      <c r="E54" s="150">
        <v>134750</v>
      </c>
      <c r="F54" s="150">
        <v>11417.17</v>
      </c>
      <c r="G54" s="151">
        <f t="shared" si="0"/>
        <v>123332.83</v>
      </c>
      <c r="H54" s="191">
        <f t="shared" si="2"/>
        <v>9.2572026442594393E-2</v>
      </c>
    </row>
    <row r="55" spans="1:8" ht="15.75">
      <c r="A55" s="149" t="s">
        <v>189</v>
      </c>
      <c r="B55" s="150">
        <v>15</v>
      </c>
      <c r="C55" s="150">
        <v>1077.04</v>
      </c>
      <c r="D55" s="150">
        <v>2868.2</v>
      </c>
      <c r="E55" s="150">
        <v>43023</v>
      </c>
      <c r="F55" s="150">
        <v>26867.45</v>
      </c>
      <c r="G55" s="151">
        <f t="shared" si="0"/>
        <v>16155.55</v>
      </c>
      <c r="H55" s="191">
        <f t="shared" si="2"/>
        <v>1.6630476833038803</v>
      </c>
    </row>
    <row r="56" spans="1:8" ht="15.75">
      <c r="A56" s="149" t="s">
        <v>190</v>
      </c>
      <c r="B56" s="150">
        <v>23</v>
      </c>
      <c r="C56" s="150">
        <v>2162.1799999999998</v>
      </c>
      <c r="D56" s="150">
        <v>2129.1999999999998</v>
      </c>
      <c r="E56" s="150">
        <v>48971.6</v>
      </c>
      <c r="F56" s="150">
        <v>-758.6</v>
      </c>
      <c r="G56" s="151">
        <f t="shared" si="0"/>
        <v>49730.2</v>
      </c>
      <c r="H56" s="191">
        <f t="shared" si="2"/>
        <v>-1.5254312269003544E-2</v>
      </c>
    </row>
    <row r="57" spans="1:8" ht="15.75">
      <c r="A57" s="149" t="s">
        <v>191</v>
      </c>
      <c r="B57" s="150">
        <v>114</v>
      </c>
      <c r="C57" s="150">
        <v>490.12</v>
      </c>
      <c r="D57" s="150">
        <v>613.25</v>
      </c>
      <c r="E57" s="150">
        <v>69910.5</v>
      </c>
      <c r="F57" s="150">
        <v>14036.85</v>
      </c>
      <c r="G57" s="151">
        <f t="shared" si="0"/>
        <v>55873.65</v>
      </c>
      <c r="H57" s="191">
        <f t="shared" si="2"/>
        <v>0.25122486180874171</v>
      </c>
    </row>
    <row r="58" spans="1:8" ht="15.75">
      <c r="A58" s="149" t="s">
        <v>192</v>
      </c>
      <c r="B58" s="150">
        <v>95</v>
      </c>
      <c r="C58" s="150">
        <v>752.44</v>
      </c>
      <c r="D58" s="150">
        <v>970</v>
      </c>
      <c r="E58" s="150">
        <v>92150</v>
      </c>
      <c r="F58" s="150">
        <v>20667.95</v>
      </c>
      <c r="G58" s="151">
        <f t="shared" si="0"/>
        <v>71482.05</v>
      </c>
      <c r="H58" s="191">
        <f t="shared" si="2"/>
        <v>0.28913482475670466</v>
      </c>
    </row>
    <row r="59" spans="1:8" ht="15.75">
      <c r="A59" s="149" t="s">
        <v>265</v>
      </c>
      <c r="B59" s="150">
        <v>75</v>
      </c>
      <c r="C59" s="150">
        <v>337.52</v>
      </c>
      <c r="D59" s="150">
        <v>333.63</v>
      </c>
      <c r="E59" s="150">
        <v>25022.25</v>
      </c>
      <c r="F59" s="150">
        <v>-291.92</v>
      </c>
      <c r="G59" s="151">
        <f t="shared" si="0"/>
        <v>25314.17</v>
      </c>
      <c r="H59" s="191">
        <f t="shared" si="2"/>
        <v>-1.1531881155890161E-2</v>
      </c>
    </row>
    <row r="60" spans="1:8" ht="15.75">
      <c r="A60" s="149" t="s">
        <v>194</v>
      </c>
      <c r="B60" s="150">
        <v>255</v>
      </c>
      <c r="C60" s="150">
        <v>99.4</v>
      </c>
      <c r="D60" s="150">
        <v>190.3</v>
      </c>
      <c r="E60" s="150">
        <v>48526.5</v>
      </c>
      <c r="F60" s="150">
        <v>23179</v>
      </c>
      <c r="G60" s="151">
        <f t="shared" si="0"/>
        <v>25347.5</v>
      </c>
      <c r="H60" s="191">
        <f t="shared" si="2"/>
        <v>0.91444915672157012</v>
      </c>
    </row>
    <row r="61" spans="1:8" ht="15.75">
      <c r="A61" s="149" t="s">
        <v>195</v>
      </c>
      <c r="B61" s="150">
        <v>37</v>
      </c>
      <c r="C61" s="150">
        <v>2300.56</v>
      </c>
      <c r="D61" s="150">
        <v>2456.5500000000002</v>
      </c>
      <c r="E61" s="150">
        <v>90892.35</v>
      </c>
      <c r="F61" s="150">
        <v>5771.6</v>
      </c>
      <c r="G61" s="151">
        <f t="shared" si="0"/>
        <v>85120.75</v>
      </c>
      <c r="H61" s="191">
        <f t="shared" si="2"/>
        <v>6.7804853693135936E-2</v>
      </c>
    </row>
    <row r="62" spans="1:8" ht="15.75">
      <c r="A62" s="149" t="s">
        <v>196</v>
      </c>
      <c r="B62" s="150">
        <v>21</v>
      </c>
      <c r="C62" s="150">
        <v>2605.84</v>
      </c>
      <c r="D62" s="150">
        <v>2557.4</v>
      </c>
      <c r="E62" s="150">
        <v>53705.4</v>
      </c>
      <c r="F62" s="150">
        <v>-1017.2</v>
      </c>
      <c r="G62" s="151">
        <f t="shared" si="0"/>
        <v>54722.6</v>
      </c>
      <c r="H62" s="191">
        <f t="shared" si="2"/>
        <v>-1.858829807063261E-2</v>
      </c>
    </row>
    <row r="63" spans="1:8" ht="15.75">
      <c r="A63" s="149" t="s">
        <v>266</v>
      </c>
      <c r="B63" s="150">
        <v>145</v>
      </c>
      <c r="C63" s="150">
        <v>127.63</v>
      </c>
      <c r="D63" s="150">
        <v>140.1</v>
      </c>
      <c r="E63" s="150">
        <v>20314.5</v>
      </c>
      <c r="F63" s="150">
        <v>1808.4</v>
      </c>
      <c r="G63" s="151">
        <f t="shared" si="0"/>
        <v>18506.099999999999</v>
      </c>
      <c r="H63" s="191">
        <f t="shared" si="2"/>
        <v>9.7719130448879032E-2</v>
      </c>
    </row>
    <row r="64" spans="1:8" ht="15.75">
      <c r="A64" s="149" t="s">
        <v>198</v>
      </c>
      <c r="B64" s="150">
        <v>88</v>
      </c>
      <c r="C64" s="150">
        <v>582.44000000000005</v>
      </c>
      <c r="D64" s="150">
        <v>1765.75</v>
      </c>
      <c r="E64" s="150">
        <v>155386</v>
      </c>
      <c r="F64" s="150">
        <v>104130.95</v>
      </c>
      <c r="G64" s="151">
        <f t="shared" si="0"/>
        <v>51255.05</v>
      </c>
      <c r="H64" s="191">
        <f t="shared" si="2"/>
        <v>2.0316232254187634</v>
      </c>
    </row>
    <row r="65" spans="1:8" ht="15.75">
      <c r="A65" s="149" t="s">
        <v>199</v>
      </c>
      <c r="B65" s="150">
        <v>12</v>
      </c>
      <c r="C65" s="150">
        <v>4216.4799999999996</v>
      </c>
      <c r="D65" s="150">
        <v>9882.25</v>
      </c>
      <c r="E65" s="150">
        <v>118587</v>
      </c>
      <c r="F65" s="150">
        <v>67989.3</v>
      </c>
      <c r="G65" s="151">
        <f t="shared" si="0"/>
        <v>50597.7</v>
      </c>
      <c r="H65" s="191">
        <f t="shared" si="2"/>
        <v>1.3437231336602258</v>
      </c>
    </row>
    <row r="66" spans="1:8" ht="15.75">
      <c r="A66" s="149" t="s">
        <v>200</v>
      </c>
      <c r="B66" s="150">
        <v>300</v>
      </c>
      <c r="C66" s="150">
        <v>82.33</v>
      </c>
      <c r="D66" s="150">
        <v>274.10000000000002</v>
      </c>
      <c r="E66" s="150">
        <v>82230</v>
      </c>
      <c r="F66" s="150">
        <v>57530</v>
      </c>
      <c r="G66" s="151">
        <f t="shared" ref="G66:G97" si="3">E66-F66</f>
        <v>24700</v>
      </c>
      <c r="H66" s="191">
        <f t="shared" si="2"/>
        <v>2.3291497975708504</v>
      </c>
    </row>
    <row r="67" spans="1:8" ht="15.75">
      <c r="A67" s="149" t="s">
        <v>201</v>
      </c>
      <c r="B67" s="150">
        <v>20</v>
      </c>
      <c r="C67" s="150">
        <v>2053.08</v>
      </c>
      <c r="D67" s="150">
        <v>4241.45</v>
      </c>
      <c r="E67" s="150">
        <v>84829</v>
      </c>
      <c r="F67" s="150">
        <v>43767.35</v>
      </c>
      <c r="G67" s="151">
        <f t="shared" si="3"/>
        <v>41061.65</v>
      </c>
      <c r="H67" s="191">
        <f t="shared" si="2"/>
        <v>1.0658936014505018</v>
      </c>
    </row>
    <row r="68" spans="1:8" ht="15.75">
      <c r="A68" s="149" t="s">
        <v>202</v>
      </c>
      <c r="B68" s="150">
        <v>26</v>
      </c>
      <c r="C68" s="150">
        <v>1275.28</v>
      </c>
      <c r="D68" s="150">
        <v>3566.2</v>
      </c>
      <c r="E68" s="150">
        <v>92721.2</v>
      </c>
      <c r="F68" s="150">
        <v>59563.8</v>
      </c>
      <c r="G68" s="151">
        <f t="shared" si="3"/>
        <v>33157.399999999994</v>
      </c>
      <c r="H68" s="191">
        <f t="shared" si="2"/>
        <v>1.7963953747881323</v>
      </c>
    </row>
    <row r="69" spans="1:8" ht="15.75">
      <c r="A69" s="149" t="s">
        <v>203</v>
      </c>
      <c r="B69" s="150">
        <v>30</v>
      </c>
      <c r="C69" s="150">
        <v>2499.15</v>
      </c>
      <c r="D69" s="150">
        <v>3158.95</v>
      </c>
      <c r="E69" s="150">
        <v>94768.5</v>
      </c>
      <c r="F69" s="150">
        <v>19794.150000000001</v>
      </c>
      <c r="G69" s="151">
        <f t="shared" si="3"/>
        <v>74974.350000000006</v>
      </c>
      <c r="H69" s="191">
        <f t="shared" si="2"/>
        <v>0.26401229220393374</v>
      </c>
    </row>
    <row r="70" spans="1:8" ht="15.75">
      <c r="A70" s="149" t="s">
        <v>204</v>
      </c>
      <c r="B70" s="150">
        <v>28</v>
      </c>
      <c r="C70" s="150">
        <v>606.38</v>
      </c>
      <c r="D70" s="150">
        <v>1888</v>
      </c>
      <c r="E70" s="150">
        <v>52864</v>
      </c>
      <c r="F70" s="150">
        <v>35885.5</v>
      </c>
      <c r="G70" s="151">
        <f t="shared" si="3"/>
        <v>16978.5</v>
      </c>
      <c r="H70" s="191">
        <f t="shared" si="2"/>
        <v>2.1135848278705422</v>
      </c>
    </row>
    <row r="71" spans="1:8" ht="15.75">
      <c r="A71" s="149" t="s">
        <v>205</v>
      </c>
      <c r="B71" s="150">
        <v>20</v>
      </c>
      <c r="C71" s="150">
        <v>1000</v>
      </c>
      <c r="D71" s="150">
        <v>1091</v>
      </c>
      <c r="E71" s="150">
        <v>21820</v>
      </c>
      <c r="F71" s="150">
        <v>0</v>
      </c>
      <c r="G71" s="151">
        <f t="shared" si="3"/>
        <v>21820</v>
      </c>
      <c r="H71" s="191">
        <f t="shared" si="2"/>
        <v>0</v>
      </c>
    </row>
    <row r="72" spans="1:8" ht="15.75">
      <c r="A72" s="149" t="s">
        <v>299</v>
      </c>
      <c r="B72" s="150">
        <v>49</v>
      </c>
      <c r="C72" s="150">
        <v>952.78</v>
      </c>
      <c r="D72" s="150">
        <v>830.85</v>
      </c>
      <c r="E72" s="150">
        <v>40711.65</v>
      </c>
      <c r="F72" s="150">
        <v>-5974.5</v>
      </c>
      <c r="G72" s="151">
        <f t="shared" si="3"/>
        <v>46686.15</v>
      </c>
      <c r="H72" s="191">
        <f t="shared" si="2"/>
        <v>-0.1279715718687448</v>
      </c>
    </row>
    <row r="73" spans="1:8" ht="15.75">
      <c r="A73" s="149" t="s">
        <v>206</v>
      </c>
      <c r="B73" s="150">
        <v>77</v>
      </c>
      <c r="C73" s="150">
        <v>1234.6400000000001</v>
      </c>
      <c r="D73" s="150">
        <v>1491.95</v>
      </c>
      <c r="E73" s="150">
        <v>114880.15</v>
      </c>
      <c r="F73" s="150">
        <v>19812.7</v>
      </c>
      <c r="G73" s="151">
        <f t="shared" si="3"/>
        <v>95067.45</v>
      </c>
      <c r="H73" s="191">
        <f t="shared" si="2"/>
        <v>0.20840676803679914</v>
      </c>
    </row>
    <row r="74" spans="1:8" ht="15.75">
      <c r="A74" s="149" t="s">
        <v>207</v>
      </c>
      <c r="B74" s="150">
        <v>72</v>
      </c>
      <c r="C74" s="150">
        <v>355.35</v>
      </c>
      <c r="D74" s="150">
        <v>848.85</v>
      </c>
      <c r="E74" s="150">
        <v>61117.2</v>
      </c>
      <c r="F74" s="150">
        <v>35531.949999999997</v>
      </c>
      <c r="G74" s="151">
        <f t="shared" si="3"/>
        <v>25585.25</v>
      </c>
      <c r="H74" s="191">
        <f t="shared" si="2"/>
        <v>1.3887669653413586</v>
      </c>
    </row>
    <row r="75" spans="1:8" ht="15.75">
      <c r="A75" s="149" t="s">
        <v>262</v>
      </c>
      <c r="B75" s="150">
        <v>10</v>
      </c>
      <c r="C75" s="150">
        <v>5284</v>
      </c>
      <c r="D75" s="150">
        <v>7468.9</v>
      </c>
      <c r="E75" s="150">
        <v>74689</v>
      </c>
      <c r="F75" s="150">
        <v>21849</v>
      </c>
      <c r="G75" s="151">
        <f t="shared" si="3"/>
        <v>52840</v>
      </c>
      <c r="H75" s="191">
        <f t="shared" si="2"/>
        <v>0.41349356548069643</v>
      </c>
    </row>
    <row r="76" spans="1:8" ht="15.75">
      <c r="A76" s="149" t="s">
        <v>260</v>
      </c>
      <c r="B76" s="150">
        <v>5</v>
      </c>
      <c r="C76" s="150">
        <v>4802</v>
      </c>
      <c r="D76" s="150">
        <v>7425</v>
      </c>
      <c r="E76" s="150">
        <v>37125</v>
      </c>
      <c r="F76" s="150">
        <v>13115</v>
      </c>
      <c r="G76" s="151">
        <f t="shared" si="3"/>
        <v>24010</v>
      </c>
      <c r="H76" s="191">
        <f t="shared" si="2"/>
        <v>0.54623073719283632</v>
      </c>
    </row>
    <row r="77" spans="1:8" ht="15.75">
      <c r="A77" s="149" t="s">
        <v>261</v>
      </c>
      <c r="B77" s="150">
        <v>10</v>
      </c>
      <c r="C77" s="150">
        <v>5002.45</v>
      </c>
      <c r="D77" s="150">
        <v>7430</v>
      </c>
      <c r="E77" s="150">
        <v>74300</v>
      </c>
      <c r="F77" s="150">
        <v>24275.5</v>
      </c>
      <c r="G77" s="151">
        <f t="shared" si="3"/>
        <v>50024.5</v>
      </c>
      <c r="H77" s="191">
        <f t="shared" si="2"/>
        <v>0.48527221661385922</v>
      </c>
    </row>
    <row r="78" spans="1:8" ht="15.75">
      <c r="A78" s="149" t="s">
        <v>211</v>
      </c>
      <c r="B78" s="150">
        <v>35</v>
      </c>
      <c r="C78" s="150">
        <v>984.23</v>
      </c>
      <c r="D78" s="150">
        <v>7704.5</v>
      </c>
      <c r="E78" s="150">
        <v>269657.5</v>
      </c>
      <c r="F78" s="150">
        <v>235209.45</v>
      </c>
      <c r="G78" s="151">
        <f t="shared" si="3"/>
        <v>34448.049999999988</v>
      </c>
      <c r="H78" s="191">
        <f t="shared" si="2"/>
        <v>6.8279467197707877</v>
      </c>
    </row>
    <row r="79" spans="1:8" ht="15.75">
      <c r="A79" s="149" t="s">
        <v>290</v>
      </c>
      <c r="B79" s="150">
        <v>62</v>
      </c>
      <c r="C79" s="150">
        <v>592.30999999999995</v>
      </c>
      <c r="D79" s="150">
        <v>641</v>
      </c>
      <c r="E79" s="150">
        <v>39742</v>
      </c>
      <c r="F79" s="150">
        <v>3018.65</v>
      </c>
      <c r="G79" s="151">
        <f t="shared" si="3"/>
        <v>36723.35</v>
      </c>
      <c r="H79" s="191">
        <f t="shared" si="2"/>
        <v>8.2199744848985734E-2</v>
      </c>
    </row>
    <row r="80" spans="1:8" ht="15.75">
      <c r="A80" s="149" t="s">
        <v>291</v>
      </c>
      <c r="B80" s="150">
        <v>226</v>
      </c>
      <c r="C80" s="150">
        <v>547.62</v>
      </c>
      <c r="D80" s="150">
        <v>558.95000000000005</v>
      </c>
      <c r="E80" s="150">
        <v>126322.7</v>
      </c>
      <c r="F80" s="150">
        <v>2560.25</v>
      </c>
      <c r="G80" s="151">
        <f t="shared" si="3"/>
        <v>123762.45</v>
      </c>
      <c r="H80" s="191">
        <f t="shared" ref="H80:H111" si="4">F80/G80</f>
        <v>2.0686807670662628E-2</v>
      </c>
    </row>
    <row r="81" spans="1:8" ht="15.75">
      <c r="A81" s="149" t="s">
        <v>292</v>
      </c>
      <c r="B81" s="150">
        <v>51</v>
      </c>
      <c r="C81" s="150">
        <v>958.21</v>
      </c>
      <c r="D81" s="150">
        <v>1350.6</v>
      </c>
      <c r="E81" s="150">
        <v>68880.600000000006</v>
      </c>
      <c r="F81" s="150">
        <v>20012.05</v>
      </c>
      <c r="G81" s="151">
        <f t="shared" si="3"/>
        <v>48868.55</v>
      </c>
      <c r="H81" s="191">
        <f t="shared" si="4"/>
        <v>0.40950775089500296</v>
      </c>
    </row>
    <row r="82" spans="1:8" ht="15.75">
      <c r="A82" s="149" t="s">
        <v>212</v>
      </c>
      <c r="B82" s="150">
        <v>152</v>
      </c>
      <c r="C82" s="150">
        <v>574.22</v>
      </c>
      <c r="D82" s="150">
        <v>1522.4</v>
      </c>
      <c r="E82" s="150">
        <v>231404.79999999999</v>
      </c>
      <c r="F82" s="150">
        <v>144122.65</v>
      </c>
      <c r="G82" s="151">
        <f t="shared" si="3"/>
        <v>87282.15</v>
      </c>
      <c r="H82" s="191">
        <f t="shared" si="4"/>
        <v>1.6512270836591445</v>
      </c>
    </row>
    <row r="83" spans="1:8" ht="15.75">
      <c r="A83" s="149" t="s">
        <v>293</v>
      </c>
      <c r="B83" s="150">
        <v>83</v>
      </c>
      <c r="C83" s="150">
        <v>396.43</v>
      </c>
      <c r="D83" s="150">
        <v>510.85</v>
      </c>
      <c r="E83" s="150">
        <v>42400.55</v>
      </c>
      <c r="F83" s="150">
        <v>9497.25</v>
      </c>
      <c r="G83" s="151">
        <f t="shared" si="3"/>
        <v>32903.300000000003</v>
      </c>
      <c r="H83" s="191">
        <f t="shared" si="4"/>
        <v>0.28864126090696068</v>
      </c>
    </row>
    <row r="84" spans="1:8" ht="15.75">
      <c r="A84" s="149" t="s">
        <v>213</v>
      </c>
      <c r="B84" s="150">
        <v>83</v>
      </c>
      <c r="C84" s="150">
        <v>548.48</v>
      </c>
      <c r="D84" s="150">
        <v>710</v>
      </c>
      <c r="E84" s="150">
        <v>58930</v>
      </c>
      <c r="F84" s="150">
        <v>13406.4</v>
      </c>
      <c r="G84" s="151">
        <f t="shared" si="3"/>
        <v>45523.6</v>
      </c>
      <c r="H84" s="191">
        <f t="shared" si="4"/>
        <v>0.29449340561818488</v>
      </c>
    </row>
    <row r="85" spans="1:8" ht="15.75">
      <c r="A85" s="149" t="s">
        <v>214</v>
      </c>
      <c r="B85" s="150">
        <v>46</v>
      </c>
      <c r="C85" s="150">
        <v>794.51</v>
      </c>
      <c r="D85" s="150">
        <v>1097.45</v>
      </c>
      <c r="E85" s="150">
        <v>50482.7</v>
      </c>
      <c r="F85" s="150">
        <v>13935.4</v>
      </c>
      <c r="G85" s="151">
        <f t="shared" si="3"/>
        <v>36547.299999999996</v>
      </c>
      <c r="H85" s="191">
        <f t="shared" si="4"/>
        <v>0.38129766083951483</v>
      </c>
    </row>
    <row r="86" spans="1:8" ht="15.75">
      <c r="A86" s="149" t="s">
        <v>267</v>
      </c>
      <c r="B86" s="150">
        <v>44</v>
      </c>
      <c r="C86" s="150">
        <v>687.96</v>
      </c>
      <c r="D86" s="150">
        <v>990.1</v>
      </c>
      <c r="E86" s="150">
        <v>43564.4</v>
      </c>
      <c r="F86" s="150">
        <v>13294.1</v>
      </c>
      <c r="G86" s="151">
        <f t="shared" si="3"/>
        <v>30270.300000000003</v>
      </c>
      <c r="H86" s="191">
        <f t="shared" si="4"/>
        <v>0.43917965794855018</v>
      </c>
    </row>
    <row r="87" spans="1:8" ht="15.75">
      <c r="A87" s="149" t="s">
        <v>302</v>
      </c>
      <c r="B87" s="150">
        <v>775</v>
      </c>
      <c r="C87" s="150">
        <v>99.29</v>
      </c>
      <c r="D87" s="150">
        <v>665.6</v>
      </c>
      <c r="E87" s="150">
        <v>515840</v>
      </c>
      <c r="F87" s="150">
        <v>438889</v>
      </c>
      <c r="G87" s="151">
        <f t="shared" si="3"/>
        <v>76951</v>
      </c>
      <c r="H87" s="191">
        <f t="shared" si="4"/>
        <v>5.7034866343517301</v>
      </c>
    </row>
    <row r="88" spans="1:8" ht="15.75">
      <c r="A88" s="149" t="s">
        <v>215</v>
      </c>
      <c r="B88" s="150">
        <v>1050</v>
      </c>
      <c r="C88" s="150">
        <v>40.479999999999997</v>
      </c>
      <c r="D88" s="150">
        <v>174.01</v>
      </c>
      <c r="E88" s="150">
        <v>182710.5</v>
      </c>
      <c r="F88" s="150">
        <v>140210.25</v>
      </c>
      <c r="G88" s="151">
        <f t="shared" si="3"/>
        <v>42500.25</v>
      </c>
      <c r="H88" s="191">
        <f t="shared" si="4"/>
        <v>3.2990452997335309</v>
      </c>
    </row>
    <row r="89" spans="1:8" ht="15.75">
      <c r="A89" s="149" t="s">
        <v>216</v>
      </c>
      <c r="B89" s="150">
        <v>30</v>
      </c>
      <c r="C89" s="150">
        <v>3490.64</v>
      </c>
      <c r="D89" s="150">
        <v>3904.95</v>
      </c>
      <c r="E89" s="150">
        <v>117148.5</v>
      </c>
      <c r="F89" s="150">
        <v>12429.45</v>
      </c>
      <c r="G89" s="151">
        <f t="shared" si="3"/>
        <v>104719.05</v>
      </c>
      <c r="H89" s="191">
        <f t="shared" si="4"/>
        <v>0.11869330365391971</v>
      </c>
    </row>
    <row r="90" spans="1:8" ht="15.75">
      <c r="A90" s="149" t="s">
        <v>217</v>
      </c>
      <c r="B90" s="150">
        <v>24</v>
      </c>
      <c r="C90" s="150">
        <v>2584.4</v>
      </c>
      <c r="D90" s="150">
        <v>3401.25</v>
      </c>
      <c r="E90" s="150">
        <v>81630</v>
      </c>
      <c r="F90" s="150">
        <v>19604.400000000001</v>
      </c>
      <c r="G90" s="151">
        <f t="shared" si="3"/>
        <v>62025.599999999999</v>
      </c>
      <c r="H90" s="191">
        <f t="shared" si="4"/>
        <v>0.31606949388639533</v>
      </c>
    </row>
    <row r="91" spans="1:8" ht="15.75">
      <c r="A91" s="149" t="s">
        <v>220</v>
      </c>
      <c r="B91" s="150">
        <v>45</v>
      </c>
      <c r="C91" s="150">
        <v>355.21</v>
      </c>
      <c r="D91" s="150">
        <v>1094</v>
      </c>
      <c r="E91" s="150">
        <v>49230</v>
      </c>
      <c r="F91" s="150">
        <v>33245.4</v>
      </c>
      <c r="G91" s="151">
        <f t="shared" si="3"/>
        <v>15984.599999999999</v>
      </c>
      <c r="H91" s="191">
        <f t="shared" si="4"/>
        <v>2.0798393453699187</v>
      </c>
    </row>
    <row r="92" spans="1:8" ht="15.75">
      <c r="A92" s="149" t="s">
        <v>221</v>
      </c>
      <c r="B92" s="150">
        <v>36</v>
      </c>
      <c r="C92" s="150">
        <v>120.1</v>
      </c>
      <c r="D92" s="150">
        <v>1628.95</v>
      </c>
      <c r="E92" s="150">
        <v>58642.2</v>
      </c>
      <c r="F92" s="150">
        <v>54318.55</v>
      </c>
      <c r="G92" s="151">
        <f t="shared" si="3"/>
        <v>4323.6499999999942</v>
      </c>
      <c r="H92" s="191">
        <f t="shared" si="4"/>
        <v>12.563123749609723</v>
      </c>
    </row>
    <row r="93" spans="1:8" ht="15.75">
      <c r="A93" s="149" t="s">
        <v>300</v>
      </c>
      <c r="B93" s="150">
        <v>525</v>
      </c>
      <c r="C93" s="150">
        <v>38.97</v>
      </c>
      <c r="D93" s="150">
        <v>23.7</v>
      </c>
      <c r="E93" s="150">
        <v>12442.5</v>
      </c>
      <c r="F93" s="150">
        <v>-8015</v>
      </c>
      <c r="G93" s="151">
        <f t="shared" si="3"/>
        <v>20457.5</v>
      </c>
      <c r="H93" s="191">
        <f t="shared" si="4"/>
        <v>-0.39178785286569717</v>
      </c>
    </row>
    <row r="94" spans="1:8" ht="16.5">
      <c r="A94" s="149"/>
      <c r="B94" s="150"/>
      <c r="C94" s="150"/>
      <c r="D94" s="150"/>
      <c r="E94" s="150"/>
      <c r="F94" s="150"/>
      <c r="G94" s="151"/>
      <c r="H94" s="191"/>
    </row>
    <row r="95" spans="1:8" ht="16.5">
      <c r="A95" s="149"/>
      <c r="B95" s="150"/>
      <c r="C95" s="150"/>
      <c r="D95" s="150"/>
      <c r="E95" s="150"/>
      <c r="F95" s="150"/>
      <c r="G95" s="151">
        <f t="shared" si="3"/>
        <v>0</v>
      </c>
      <c r="H95" s="191"/>
    </row>
    <row r="96" spans="1:8" ht="16.5">
      <c r="A96" s="149"/>
      <c r="B96" s="150"/>
      <c r="C96" s="150"/>
      <c r="D96" s="150"/>
      <c r="E96" s="150"/>
      <c r="F96" s="150"/>
      <c r="G96" s="151">
        <f t="shared" si="3"/>
        <v>0</v>
      </c>
      <c r="H96" s="191"/>
    </row>
    <row r="97" spans="1:8" ht="16.5">
      <c r="A97" s="149"/>
      <c r="B97" s="150"/>
      <c r="C97" s="150"/>
      <c r="D97" s="150"/>
      <c r="E97" s="150"/>
      <c r="F97" s="150"/>
      <c r="G97" s="151">
        <f t="shared" si="3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12732</v>
      </c>
      <c r="C104" s="45"/>
      <c r="D104" s="45"/>
      <c r="E104" s="45">
        <f>SUM(E2:E103)</f>
        <v>8070442.2700000014</v>
      </c>
      <c r="F104" s="45">
        <f>SUM(F2:F103)</f>
        <v>3534690.6999999997</v>
      </c>
      <c r="G104" s="45">
        <f>SUM(G2:G103)</f>
        <v>4535751.5699999994</v>
      </c>
      <c r="H104" s="176">
        <f>F104/G104</f>
        <v>0.77929548068259835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8F85-C085-4602-BF1D-91A2EF431B48}">
  <dimension ref="A1:I18"/>
  <sheetViews>
    <sheetView workbookViewId="0">
      <selection activeCell="F2" sqref="F2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124.86</v>
      </c>
      <c r="E2">
        <v>68.607799999999997</v>
      </c>
      <c r="F2" s="188">
        <v>279986.10960000003</v>
      </c>
      <c r="G2" s="188">
        <v>509549.41480000003</v>
      </c>
      <c r="H2" s="188">
        <v>229563.3052</v>
      </c>
      <c r="I2" s="192">
        <f>H2/F2</f>
        <v>0.8199096216878895</v>
      </c>
    </row>
    <row r="3" spans="1:9">
      <c r="A3" s="168" t="s">
        <v>236</v>
      </c>
      <c r="B3" t="s">
        <v>237</v>
      </c>
      <c r="C3" s="188">
        <v>14235.332</v>
      </c>
      <c r="D3">
        <v>113.89</v>
      </c>
      <c r="E3">
        <v>47.766100000000002</v>
      </c>
      <c r="F3" s="188">
        <v>679966.92570000002</v>
      </c>
      <c r="G3" s="188">
        <v>1621261.9615</v>
      </c>
      <c r="H3" s="188">
        <v>941295.03579999995</v>
      </c>
      <c r="I3" s="192">
        <f t="shared" ref="I3:I18" si="0">H3/F3</f>
        <v>1.3843247373112635</v>
      </c>
    </row>
    <row r="4" spans="1:9">
      <c r="A4" s="168" t="s">
        <v>238</v>
      </c>
      <c r="B4" t="s">
        <v>237</v>
      </c>
      <c r="C4" s="188">
        <v>23703.491999999998</v>
      </c>
      <c r="D4">
        <v>42.69</v>
      </c>
      <c r="E4">
        <v>30.584700000000002</v>
      </c>
      <c r="F4" s="188">
        <v>724963.76329999999</v>
      </c>
      <c r="G4" s="188">
        <v>1011902.0735000001</v>
      </c>
      <c r="H4" s="188">
        <v>286938.31020000001</v>
      </c>
      <c r="I4" s="192">
        <f t="shared" si="0"/>
        <v>0.39579676216349174</v>
      </c>
    </row>
    <row r="5" spans="1:9">
      <c r="A5" s="168" t="s">
        <v>301</v>
      </c>
      <c r="B5" t="s">
        <v>241</v>
      </c>
      <c r="C5" s="188">
        <v>1857.5519999999999</v>
      </c>
      <c r="D5">
        <v>741.91660000000002</v>
      </c>
      <c r="E5">
        <v>366.02140000000003</v>
      </c>
      <c r="F5" s="188">
        <v>679903.69869999995</v>
      </c>
      <c r="G5" s="188">
        <v>1378148.6642</v>
      </c>
      <c r="H5" s="188">
        <v>698244.96550000005</v>
      </c>
      <c r="I5" s="192">
        <f t="shared" si="0"/>
        <v>1.0269762715441455</v>
      </c>
    </row>
    <row r="6" spans="1:9">
      <c r="A6" s="168" t="s">
        <v>242</v>
      </c>
      <c r="B6" t="s">
        <v>237</v>
      </c>
      <c r="C6" s="188">
        <v>4306.576</v>
      </c>
      <c r="D6">
        <v>149.30600000000001</v>
      </c>
      <c r="E6">
        <v>44.3917</v>
      </c>
      <c r="F6" s="188">
        <v>191176.2298</v>
      </c>
      <c r="G6" s="188">
        <v>642997.63630000001</v>
      </c>
      <c r="H6" s="188">
        <v>451821.40639999998</v>
      </c>
      <c r="I6" s="192">
        <f t="shared" si="0"/>
        <v>2.3633764870908651</v>
      </c>
    </row>
    <row r="7" spans="1:9">
      <c r="A7" s="168" t="s">
        <v>272</v>
      </c>
      <c r="B7" t="s">
        <v>235</v>
      </c>
      <c r="C7" s="188">
        <v>5805.7370000000001</v>
      </c>
      <c r="D7">
        <v>145.11199999999999</v>
      </c>
      <c r="E7">
        <v>41.940399999999997</v>
      </c>
      <c r="F7" s="188">
        <v>243495.1642</v>
      </c>
      <c r="G7" s="188">
        <v>842482.10750000004</v>
      </c>
      <c r="H7" s="188">
        <v>598986.94330000004</v>
      </c>
      <c r="I7" s="192">
        <f t="shared" si="0"/>
        <v>2.4599541648720762</v>
      </c>
    </row>
    <row r="8" spans="1:9">
      <c r="A8" s="168" t="s">
        <v>244</v>
      </c>
      <c r="B8" t="s">
        <v>233</v>
      </c>
      <c r="C8" s="188">
        <v>5841.7389999999996</v>
      </c>
      <c r="D8">
        <v>34.721899999999998</v>
      </c>
      <c r="E8">
        <v>23.964300000000001</v>
      </c>
      <c r="F8" s="188">
        <v>139992.99739999999</v>
      </c>
      <c r="G8" s="188">
        <v>202836.27739999999</v>
      </c>
      <c r="H8" s="188">
        <v>62843.279900000001</v>
      </c>
      <c r="I8" s="192">
        <f t="shared" si="0"/>
        <v>0.4489030242022663</v>
      </c>
    </row>
    <row r="9" spans="1:9">
      <c r="A9" s="168" t="s">
        <v>273</v>
      </c>
      <c r="B9" t="s">
        <v>233</v>
      </c>
      <c r="C9" s="188">
        <v>82131.043999999994</v>
      </c>
      <c r="D9">
        <v>14.6113</v>
      </c>
      <c r="E9">
        <v>9.9227000000000007</v>
      </c>
      <c r="F9" s="188">
        <v>814959.2439</v>
      </c>
      <c r="G9" s="188">
        <v>1200041.3232</v>
      </c>
      <c r="H9" s="188">
        <v>385082.07929999998</v>
      </c>
      <c r="I9" s="192">
        <f t="shared" si="0"/>
        <v>0.47251697821989697</v>
      </c>
    </row>
    <row r="10" spans="1:9">
      <c r="A10" s="168" t="s">
        <v>246</v>
      </c>
      <c r="B10" t="s">
        <v>241</v>
      </c>
      <c r="C10" s="188">
        <v>61039.958500000001</v>
      </c>
      <c r="D10">
        <v>15.504200000000001</v>
      </c>
      <c r="E10">
        <v>12.130800000000001</v>
      </c>
      <c r="F10" s="188">
        <v>740462.99569999997</v>
      </c>
      <c r="G10" s="188">
        <v>946375.72459999996</v>
      </c>
      <c r="H10" s="188">
        <v>205912.72889999999</v>
      </c>
      <c r="I10" s="192">
        <f t="shared" si="0"/>
        <v>0.27808645414527361</v>
      </c>
    </row>
    <row r="11" spans="1:9">
      <c r="A11" s="168" t="s">
        <v>247</v>
      </c>
      <c r="B11" t="s">
        <v>241</v>
      </c>
      <c r="C11" s="188">
        <v>28352.29</v>
      </c>
      <c r="D11">
        <v>16.8337</v>
      </c>
      <c r="E11">
        <v>13.0671</v>
      </c>
      <c r="F11" s="188">
        <v>370481.46769999998</v>
      </c>
      <c r="G11" s="188">
        <v>477273.94420000003</v>
      </c>
      <c r="H11" s="188">
        <v>106792.4764</v>
      </c>
      <c r="I11" s="192">
        <f t="shared" si="0"/>
        <v>0.2882532210395905</v>
      </c>
    </row>
    <row r="12" spans="1:9">
      <c r="A12" s="168" t="s">
        <v>250</v>
      </c>
      <c r="B12" t="s">
        <v>251</v>
      </c>
      <c r="C12" s="188">
        <v>19397.659</v>
      </c>
      <c r="D12">
        <v>82.055700000000002</v>
      </c>
      <c r="E12">
        <v>44.640599999999999</v>
      </c>
      <c r="F12" s="188">
        <v>865923.00470000005</v>
      </c>
      <c r="G12" s="188">
        <v>1591688.4876000001</v>
      </c>
      <c r="H12" s="188">
        <v>725765.48289999994</v>
      </c>
      <c r="I12" s="192">
        <f t="shared" si="0"/>
        <v>0.83814089585417839</v>
      </c>
    </row>
    <row r="13" spans="1:9">
      <c r="A13" s="168" t="s">
        <v>274</v>
      </c>
      <c r="B13" t="s">
        <v>233</v>
      </c>
      <c r="C13" s="188">
        <v>6809.741</v>
      </c>
      <c r="D13">
        <v>46.97</v>
      </c>
      <c r="E13">
        <v>35.241999999999997</v>
      </c>
      <c r="F13" s="188">
        <v>239988.8371</v>
      </c>
      <c r="G13" s="188">
        <v>319853.53480000002</v>
      </c>
      <c r="H13" s="188">
        <v>79864.697700000004</v>
      </c>
      <c r="I13" s="192">
        <f t="shared" si="0"/>
        <v>0.33278505227608357</v>
      </c>
    </row>
    <row r="14" spans="1:9">
      <c r="A14" s="168" t="s">
        <v>253</v>
      </c>
      <c r="B14" t="s">
        <v>235</v>
      </c>
      <c r="C14" s="188">
        <v>3496.5520000000001</v>
      </c>
      <c r="D14">
        <v>270.85149999999999</v>
      </c>
      <c r="E14">
        <v>174.55099999999999</v>
      </c>
      <c r="F14" s="188">
        <v>610326.59010000003</v>
      </c>
      <c r="G14" s="188">
        <v>947046.35400000005</v>
      </c>
      <c r="H14" s="188">
        <v>336719.76390000002</v>
      </c>
      <c r="I14" s="192">
        <f t="shared" si="0"/>
        <v>0.55170423403120872</v>
      </c>
    </row>
    <row r="15" spans="1:9">
      <c r="A15" s="168" t="s">
        <v>255</v>
      </c>
      <c r="B15" t="s">
        <v>241</v>
      </c>
      <c r="C15" s="188">
        <v>18996.168000000001</v>
      </c>
      <c r="D15">
        <v>26.226099999999999</v>
      </c>
      <c r="E15">
        <v>9.4700000000000006</v>
      </c>
      <c r="F15" s="188">
        <v>179893.71100000001</v>
      </c>
      <c r="G15" s="188">
        <v>498195.40159999998</v>
      </c>
      <c r="H15" s="188">
        <v>318301.69059999997</v>
      </c>
      <c r="I15" s="192">
        <f t="shared" si="0"/>
        <v>1.7693875390674438</v>
      </c>
    </row>
    <row r="16" spans="1:9">
      <c r="A16" s="168"/>
      <c r="B16"/>
      <c r="C16" s="188"/>
      <c r="D16"/>
      <c r="E16"/>
      <c r="F16" s="188"/>
      <c r="G16" s="188"/>
      <c r="H16" s="188"/>
      <c r="I16" s="192"/>
    </row>
    <row r="17" spans="1:9">
      <c r="A17" s="168"/>
      <c r="B17"/>
      <c r="C17" s="188"/>
      <c r="D17"/>
      <c r="E17"/>
      <c r="F17" s="188"/>
      <c r="G17" s="188"/>
      <c r="H17" s="188"/>
      <c r="I17" s="192"/>
    </row>
    <row r="18" spans="1:9">
      <c r="A18" s="74" t="s">
        <v>11</v>
      </c>
      <c r="B18" s="75"/>
      <c r="C18" s="75">
        <f>SUM(C2:C17)</f>
        <v>280054.80650000001</v>
      </c>
      <c r="D18" s="75"/>
      <c r="E18" s="75"/>
      <c r="F18" s="75">
        <f>SUM(F2:F17)</f>
        <v>6761520.7389000002</v>
      </c>
      <c r="G18" s="75">
        <f>SUM(G2:G17)</f>
        <v>12189652.905200001</v>
      </c>
      <c r="H18" s="75">
        <f>SUM(H2:H17)</f>
        <v>5428132.1660000002</v>
      </c>
      <c r="I18" s="53">
        <f t="shared" si="0"/>
        <v>0.80279753262770848</v>
      </c>
    </row>
  </sheetData>
  <hyperlinks>
    <hyperlink ref="A2" r:id="rId1" location="/mf/1831632/15690/NULL" xr:uid="{B6C60877-A74F-4C69-AA52-B52027D6D095}"/>
    <hyperlink ref="A3" r:id="rId2" location="/mf/1831632/22335/NULL" xr:uid="{A606497F-1614-420D-BD0A-C341A7C90ABA}"/>
    <hyperlink ref="A4" r:id="rId3" location="/mf/1831632/38817/NULL" xr:uid="{A8EE9336-29A6-43C4-8BAB-9E22F2815582}"/>
    <hyperlink ref="A5" r:id="rId4" location="/mf/1831632/16071/NULL" xr:uid="{BF8DD5E4-EF21-41D7-A3DF-918F6D3BA91C}"/>
    <hyperlink ref="A6" r:id="rId5" location="/mf/1831632/16617/NULL" xr:uid="{C77A1B76-F6A1-48AC-A2C4-AC9CC3F684B2}"/>
    <hyperlink ref="A7" r:id="rId6" location="/mf/1831632/17134/NULL" xr:uid="{85F8FC09-D24D-47A4-9BE7-08BDC6A1D6A9}"/>
    <hyperlink ref="A8" r:id="rId7" location="/mf/1831632/38228/NULL" xr:uid="{1CBC7204-FE66-4CA4-A454-B3B6167E1E54}"/>
    <hyperlink ref="A9" r:id="rId8" location="/mf/1831632/42135/NULL" xr:uid="{39959833-41CD-43C1-B204-92A9DE7B8933}"/>
    <hyperlink ref="A10" r:id="rId9" location="/mf/1831632/41574/NULL" xr:uid="{510C83A5-BEA4-4512-A4ED-C21F7B6924A2}"/>
    <hyperlink ref="A11" r:id="rId10" location="/mf/1831632/41937/NULL" xr:uid="{FAC0F267-3D4A-4C4D-8BFA-4F8CD3353528}"/>
    <hyperlink ref="A12" r:id="rId11" location="/mf/1831632/19701/NULL" xr:uid="{A0C9B56C-36A1-40BE-AB06-E406B6801A53}"/>
    <hyperlink ref="A13" r:id="rId12" location="/mf/1831632/17348/NULL" xr:uid="{8F87DA7B-F94D-4FC0-9E6C-60D8213CE681}"/>
    <hyperlink ref="A14" r:id="rId13" location="/mf/1831632/17375/NULL" xr:uid="{BB5191A3-A785-42FD-B841-2A90174A11FA}"/>
    <hyperlink ref="A15" r:id="rId14" location="/mf/1831632/36491/NULL" xr:uid="{E5F2D83B-0273-4D3B-B3E6-75FDB7726F95}"/>
  </hyperlinks>
  <pageMargins left="0.7" right="0.7" top="0.75" bottom="0.75" header="0.3" footer="0.3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B82F-43C9-4E1B-A326-95BD92D7A4BC}">
  <dimension ref="A1:I104"/>
  <sheetViews>
    <sheetView workbookViewId="0">
      <pane xSplit="1" ySplit="1" topLeftCell="B5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258</v>
      </c>
      <c r="B2" s="150">
        <v>100</v>
      </c>
      <c r="C2" s="150">
        <v>109.73</v>
      </c>
      <c r="D2" s="150">
        <v>99.45</v>
      </c>
      <c r="E2" s="150">
        <v>9945</v>
      </c>
      <c r="F2" s="150">
        <v>-1027.5</v>
      </c>
      <c r="G2" s="151">
        <f t="shared" ref="G2:G65" si="0">E2-F2</f>
        <v>10972.5</v>
      </c>
      <c r="H2" s="191">
        <f t="shared" ref="H2:H14" si="1">F2/G2</f>
        <v>-9.3643198906356806E-2</v>
      </c>
    </row>
    <row r="3" spans="1:8" ht="15.75">
      <c r="A3" s="149" t="s">
        <v>256</v>
      </c>
      <c r="B3" s="150">
        <v>20</v>
      </c>
      <c r="C3" s="150">
        <v>1000</v>
      </c>
      <c r="D3" s="150">
        <v>1104.02</v>
      </c>
      <c r="E3" s="150">
        <v>22080.400000000001</v>
      </c>
      <c r="F3" s="150">
        <v>0</v>
      </c>
      <c r="G3" s="151">
        <f t="shared" si="0"/>
        <v>22080.400000000001</v>
      </c>
      <c r="H3" s="191">
        <f t="shared" si="1"/>
        <v>0</v>
      </c>
    </row>
    <row r="4" spans="1:8" ht="15.75">
      <c r="A4" s="149" t="s">
        <v>259</v>
      </c>
      <c r="B4" s="150">
        <v>13</v>
      </c>
      <c r="C4" s="150">
        <v>133.75</v>
      </c>
      <c r="D4" s="150">
        <v>986.75</v>
      </c>
      <c r="E4" s="150">
        <v>12827.75</v>
      </c>
      <c r="F4" s="150">
        <v>11089</v>
      </c>
      <c r="G4" s="151">
        <f t="shared" si="0"/>
        <v>1738.75</v>
      </c>
      <c r="H4" s="191">
        <f t="shared" si="1"/>
        <v>6.377570093457944</v>
      </c>
    </row>
    <row r="5" spans="1:8" ht="15.75">
      <c r="A5" s="149" t="s">
        <v>144</v>
      </c>
      <c r="B5" s="150">
        <v>25</v>
      </c>
      <c r="C5" s="150">
        <v>813.47</v>
      </c>
      <c r="D5" s="150">
        <v>2333.15</v>
      </c>
      <c r="E5" s="150">
        <v>58328.75</v>
      </c>
      <c r="F5" s="150">
        <v>37992.1</v>
      </c>
      <c r="G5" s="151">
        <f t="shared" si="0"/>
        <v>20336.650000000001</v>
      </c>
      <c r="H5" s="191">
        <f t="shared" si="1"/>
        <v>1.8681592100960578</v>
      </c>
    </row>
    <row r="6" spans="1:8" ht="15.75">
      <c r="A6" s="149" t="s">
        <v>145</v>
      </c>
      <c r="B6" s="150">
        <v>250</v>
      </c>
      <c r="C6" s="150">
        <v>183.59</v>
      </c>
      <c r="D6" s="150">
        <v>463.7</v>
      </c>
      <c r="E6" s="150">
        <v>115925</v>
      </c>
      <c r="F6" s="150">
        <v>70027.5</v>
      </c>
      <c r="G6" s="151">
        <f t="shared" si="0"/>
        <v>45897.5</v>
      </c>
      <c r="H6" s="191">
        <f t="shared" si="1"/>
        <v>1.5257366958984695</v>
      </c>
    </row>
    <row r="7" spans="1:8" ht="15.75">
      <c r="A7" s="149" t="s">
        <v>275</v>
      </c>
      <c r="B7" s="150">
        <v>165</v>
      </c>
      <c r="C7" s="150">
        <v>160.15</v>
      </c>
      <c r="D7" s="150">
        <v>224</v>
      </c>
      <c r="E7" s="150">
        <v>36960</v>
      </c>
      <c r="F7" s="150">
        <v>10535.25</v>
      </c>
      <c r="G7" s="151">
        <f t="shared" si="0"/>
        <v>26424.75</v>
      </c>
      <c r="H7" s="191">
        <f t="shared" si="1"/>
        <v>0.39868872931626598</v>
      </c>
    </row>
    <row r="8" spans="1:8" ht="15.75">
      <c r="A8" s="149" t="s">
        <v>276</v>
      </c>
      <c r="B8" s="150">
        <v>28</v>
      </c>
      <c r="C8" s="150">
        <v>2757.87</v>
      </c>
      <c r="D8" s="150">
        <v>2881.2</v>
      </c>
      <c r="E8" s="150">
        <v>80673.600000000006</v>
      </c>
      <c r="F8" s="150">
        <v>3453.2</v>
      </c>
      <c r="G8" s="151">
        <f t="shared" si="0"/>
        <v>77220.400000000009</v>
      </c>
      <c r="H8" s="191">
        <f t="shared" si="1"/>
        <v>4.4718753075612135E-2</v>
      </c>
    </row>
    <row r="9" spans="1:8" ht="15.75">
      <c r="A9" s="149" t="s">
        <v>277</v>
      </c>
      <c r="B9" s="150">
        <v>97</v>
      </c>
      <c r="C9" s="150">
        <v>578.23</v>
      </c>
      <c r="D9" s="150">
        <v>653.1</v>
      </c>
      <c r="E9" s="150">
        <v>63350.7</v>
      </c>
      <c r="F9" s="150">
        <v>7262.5</v>
      </c>
      <c r="G9" s="151">
        <f t="shared" si="0"/>
        <v>56088.2</v>
      </c>
      <c r="H9" s="191">
        <f t="shared" si="1"/>
        <v>0.12948356338766442</v>
      </c>
    </row>
    <row r="10" spans="1:8" ht="15.75">
      <c r="A10" s="149" t="s">
        <v>146</v>
      </c>
      <c r="B10" s="150">
        <v>62</v>
      </c>
      <c r="C10" s="150">
        <v>708.24</v>
      </c>
      <c r="D10" s="150">
        <v>1162.1500000000001</v>
      </c>
      <c r="E10" s="150">
        <v>72053.3</v>
      </c>
      <c r="F10" s="150">
        <v>28142.7</v>
      </c>
      <c r="G10" s="151">
        <f t="shared" si="0"/>
        <v>43910.600000000006</v>
      </c>
      <c r="H10" s="191">
        <f t="shared" si="1"/>
        <v>0.64090902879942424</v>
      </c>
    </row>
    <row r="11" spans="1:8" ht="15.75">
      <c r="A11" s="149" t="s">
        <v>147</v>
      </c>
      <c r="B11" s="150">
        <v>21</v>
      </c>
      <c r="C11" s="150">
        <v>2946.68</v>
      </c>
      <c r="D11" s="150">
        <v>9084.75</v>
      </c>
      <c r="E11" s="150">
        <v>190779.75</v>
      </c>
      <c r="F11" s="150">
        <v>128899.5</v>
      </c>
      <c r="G11" s="151">
        <f t="shared" si="0"/>
        <v>61880.25</v>
      </c>
      <c r="H11" s="191">
        <f t="shared" si="1"/>
        <v>2.0830474990000849</v>
      </c>
    </row>
    <row r="12" spans="1:8" ht="15.75">
      <c r="A12" s="149" t="s">
        <v>148</v>
      </c>
      <c r="B12" s="150">
        <v>8</v>
      </c>
      <c r="C12" s="150">
        <v>6731.04</v>
      </c>
      <c r="D12" s="150">
        <v>6702.5</v>
      </c>
      <c r="E12" s="150">
        <v>53620</v>
      </c>
      <c r="F12" s="150">
        <v>-228.35</v>
      </c>
      <c r="G12" s="151">
        <f t="shared" si="0"/>
        <v>53848.35</v>
      </c>
      <c r="H12" s="191">
        <f t="shared" si="1"/>
        <v>-4.2406127578653759E-3</v>
      </c>
    </row>
    <row r="13" spans="1:8" ht="15.75">
      <c r="A13" s="149" t="s">
        <v>149</v>
      </c>
      <c r="B13" s="150">
        <v>12</v>
      </c>
      <c r="C13" s="150">
        <v>2238.41</v>
      </c>
      <c r="D13" s="150">
        <v>3050.05</v>
      </c>
      <c r="E13" s="150">
        <v>36600.6</v>
      </c>
      <c r="F13" s="150">
        <v>9739.7000000000007</v>
      </c>
      <c r="G13" s="151">
        <f t="shared" si="0"/>
        <v>26860.899999999998</v>
      </c>
      <c r="H13" s="191">
        <f t="shared" si="1"/>
        <v>0.36259767915445879</v>
      </c>
    </row>
    <row r="14" spans="1:8" ht="15.75">
      <c r="A14" s="149" t="s">
        <v>150</v>
      </c>
      <c r="B14" s="150">
        <v>184</v>
      </c>
      <c r="C14" s="150">
        <v>185</v>
      </c>
      <c r="D14" s="150">
        <v>265.14999999999998</v>
      </c>
      <c r="E14" s="150">
        <v>48787.6</v>
      </c>
      <c r="F14" s="150">
        <v>14747.6</v>
      </c>
      <c r="G14" s="151">
        <f t="shared" si="0"/>
        <v>34040</v>
      </c>
      <c r="H14" s="191">
        <f t="shared" si="1"/>
        <v>0.43324324324324326</v>
      </c>
    </row>
    <row r="15" spans="1:8" ht="15.75">
      <c r="A15" s="149" t="s">
        <v>152</v>
      </c>
      <c r="B15" s="150">
        <v>180</v>
      </c>
      <c r="C15" s="150">
        <v>322.89</v>
      </c>
      <c r="D15" s="150">
        <v>1372.75</v>
      </c>
      <c r="E15" s="150">
        <v>247095</v>
      </c>
      <c r="F15" s="150">
        <v>188975</v>
      </c>
      <c r="G15" s="151">
        <f t="shared" si="0"/>
        <v>58120</v>
      </c>
      <c r="H15" s="191">
        <v>0</v>
      </c>
    </row>
    <row r="16" spans="1:8" ht="15.75">
      <c r="A16" s="149" t="s">
        <v>153</v>
      </c>
      <c r="B16" s="150">
        <v>61</v>
      </c>
      <c r="C16" s="150">
        <v>427.78</v>
      </c>
      <c r="D16" s="150">
        <v>1282</v>
      </c>
      <c r="E16" s="150">
        <v>78202</v>
      </c>
      <c r="F16" s="150">
        <v>52107.4</v>
      </c>
      <c r="G16" s="151">
        <f t="shared" si="0"/>
        <v>26094.6</v>
      </c>
      <c r="H16" s="191">
        <f t="shared" ref="H16:H79" si="2">F16/G16</f>
        <v>1.9968652518145518</v>
      </c>
    </row>
    <row r="17" spans="1:8" ht="16.5">
      <c r="A17" s="149" t="s">
        <v>154</v>
      </c>
      <c r="B17" s="150">
        <v>14</v>
      </c>
      <c r="C17" s="150">
        <v>3489.94</v>
      </c>
      <c r="D17" s="150">
        <v>5179.8</v>
      </c>
      <c r="E17" s="150">
        <v>72517.2</v>
      </c>
      <c r="F17" s="150">
        <v>23658.1</v>
      </c>
      <c r="G17" s="151">
        <f t="shared" si="0"/>
        <v>48859.1</v>
      </c>
      <c r="H17" s="191"/>
    </row>
    <row r="18" spans="1:8" ht="15.75">
      <c r="A18" s="149" t="s">
        <v>278</v>
      </c>
      <c r="B18" s="150">
        <v>345</v>
      </c>
      <c r="C18" s="150">
        <v>107.29</v>
      </c>
      <c r="D18" s="150">
        <v>118</v>
      </c>
      <c r="E18" s="150">
        <v>40710</v>
      </c>
      <c r="F18" s="150">
        <v>3694.95</v>
      </c>
      <c r="G18" s="151">
        <f t="shared" si="0"/>
        <v>37015.050000000003</v>
      </c>
      <c r="H18" s="191">
        <f t="shared" si="2"/>
        <v>9.9822909870444579E-2</v>
      </c>
    </row>
    <row r="19" spans="1:8" ht="15.75">
      <c r="A19" s="149" t="s">
        <v>155</v>
      </c>
      <c r="B19" s="150">
        <v>180</v>
      </c>
      <c r="C19" s="150">
        <v>155.25</v>
      </c>
      <c r="D19" s="150">
        <v>195.05</v>
      </c>
      <c r="E19" s="150">
        <v>35109</v>
      </c>
      <c r="F19" s="150">
        <v>7164</v>
      </c>
      <c r="G19" s="151">
        <f t="shared" si="0"/>
        <v>27945</v>
      </c>
      <c r="H19" s="191">
        <f t="shared" si="2"/>
        <v>0.25636070853462156</v>
      </c>
    </row>
    <row r="20" spans="1:8" ht="15.75">
      <c r="A20" s="149" t="s">
        <v>156</v>
      </c>
      <c r="B20" s="150">
        <v>47</v>
      </c>
      <c r="C20" s="150">
        <v>193.53</v>
      </c>
      <c r="D20" s="150">
        <v>532.79999999999995</v>
      </c>
      <c r="E20" s="150">
        <v>25041.599999999999</v>
      </c>
      <c r="F20" s="150">
        <v>15945.7</v>
      </c>
      <c r="G20" s="151">
        <f t="shared" si="0"/>
        <v>9095.8999999999978</v>
      </c>
      <c r="H20" s="191">
        <f t="shared" si="2"/>
        <v>1.7530645675524141</v>
      </c>
    </row>
    <row r="21" spans="1:8" ht="15.75">
      <c r="A21" s="149" t="s">
        <v>157</v>
      </c>
      <c r="B21" s="150">
        <v>40</v>
      </c>
      <c r="C21" s="150">
        <v>908.4</v>
      </c>
      <c r="D21" s="150">
        <v>1451.25</v>
      </c>
      <c r="E21" s="150">
        <v>58050</v>
      </c>
      <c r="F21" s="150">
        <v>21714.15</v>
      </c>
      <c r="G21" s="151">
        <f t="shared" si="0"/>
        <v>36335.85</v>
      </c>
      <c r="H21" s="191">
        <f t="shared" si="2"/>
        <v>0.59759576286229721</v>
      </c>
    </row>
    <row r="22" spans="1:8" ht="15.75">
      <c r="A22" s="149" t="s">
        <v>158</v>
      </c>
      <c r="B22" s="150">
        <v>470</v>
      </c>
      <c r="C22" s="150">
        <v>194.39</v>
      </c>
      <c r="D22" s="150">
        <v>491.25</v>
      </c>
      <c r="E22" s="150">
        <v>230887.5</v>
      </c>
      <c r="F22" s="150">
        <v>139524</v>
      </c>
      <c r="G22" s="151">
        <f t="shared" si="0"/>
        <v>91363.5</v>
      </c>
      <c r="H22" s="191">
        <f t="shared" si="2"/>
        <v>1.5271306375084142</v>
      </c>
    </row>
    <row r="23" spans="1:8" ht="15.75">
      <c r="A23" s="149" t="s">
        <v>159</v>
      </c>
      <c r="B23" s="150">
        <v>13</v>
      </c>
      <c r="C23" s="150">
        <v>4545.26</v>
      </c>
      <c r="D23" s="150">
        <v>4980.8999999999996</v>
      </c>
      <c r="E23" s="150">
        <v>64751.7</v>
      </c>
      <c r="F23" s="150">
        <v>5663.3</v>
      </c>
      <c r="G23" s="151">
        <f t="shared" si="0"/>
        <v>59088.399999999994</v>
      </c>
      <c r="H23" s="191">
        <f t="shared" si="2"/>
        <v>9.5844531244711331E-2</v>
      </c>
    </row>
    <row r="24" spans="1:8" ht="15.75">
      <c r="A24" s="149" t="s">
        <v>160</v>
      </c>
      <c r="B24" s="150">
        <v>21</v>
      </c>
      <c r="C24" s="150">
        <v>1503.03</v>
      </c>
      <c r="D24" s="150">
        <v>2657.35</v>
      </c>
      <c r="E24" s="150">
        <v>55804.35</v>
      </c>
      <c r="F24" s="150">
        <v>24240.65</v>
      </c>
      <c r="G24" s="151">
        <f t="shared" si="0"/>
        <v>31563.699999999997</v>
      </c>
      <c r="H24" s="191">
        <f t="shared" si="2"/>
        <v>0.7679913951786389</v>
      </c>
    </row>
    <row r="25" spans="1:8" ht="15.75">
      <c r="A25" s="149" t="s">
        <v>279</v>
      </c>
      <c r="B25" s="150">
        <v>98</v>
      </c>
      <c r="C25" s="150">
        <v>555.05999999999995</v>
      </c>
      <c r="D25" s="150">
        <v>551.25</v>
      </c>
      <c r="E25" s="150">
        <v>54022.5</v>
      </c>
      <c r="F25" s="150">
        <v>-373.55</v>
      </c>
      <c r="G25" s="151">
        <f t="shared" si="0"/>
        <v>54396.05</v>
      </c>
      <c r="H25" s="191">
        <f t="shared" si="2"/>
        <v>-6.8672265725176736E-3</v>
      </c>
    </row>
    <row r="26" spans="1:8" ht="15.75">
      <c r="A26" s="149" t="s">
        <v>161</v>
      </c>
      <c r="B26" s="150">
        <v>60</v>
      </c>
      <c r="C26" s="150">
        <v>356.27</v>
      </c>
      <c r="D26" s="150">
        <v>816.6</v>
      </c>
      <c r="E26" s="150">
        <v>48996</v>
      </c>
      <c r="F26" s="150">
        <v>27619.85</v>
      </c>
      <c r="G26" s="151">
        <f t="shared" si="0"/>
        <v>21376.15</v>
      </c>
      <c r="H26" s="191">
        <f t="shared" si="2"/>
        <v>1.2920872093431228</v>
      </c>
    </row>
    <row r="27" spans="1:8" ht="15.75">
      <c r="A27" s="149" t="s">
        <v>162</v>
      </c>
      <c r="B27" s="150">
        <v>14</v>
      </c>
      <c r="C27" s="150">
        <v>3289.33</v>
      </c>
      <c r="D27" s="150">
        <v>4305.7</v>
      </c>
      <c r="E27" s="150">
        <v>60279.8</v>
      </c>
      <c r="F27" s="150">
        <v>14229.25</v>
      </c>
      <c r="G27" s="151">
        <f t="shared" si="0"/>
        <v>46050.55</v>
      </c>
      <c r="H27" s="191">
        <f t="shared" si="2"/>
        <v>0.30899196643688293</v>
      </c>
    </row>
    <row r="28" spans="1:8" ht="15.75">
      <c r="A28" s="149" t="s">
        <v>163</v>
      </c>
      <c r="B28" s="150">
        <v>10</v>
      </c>
      <c r="C28" s="150">
        <v>4623.5</v>
      </c>
      <c r="D28" s="150">
        <v>5791.85</v>
      </c>
      <c r="E28" s="150">
        <v>57918.5</v>
      </c>
      <c r="F28" s="150">
        <v>11683.55</v>
      </c>
      <c r="G28" s="151">
        <f t="shared" si="0"/>
        <v>46234.95</v>
      </c>
      <c r="H28" s="191">
        <f t="shared" si="2"/>
        <v>0.25269952708935556</v>
      </c>
    </row>
    <row r="29" spans="1:8" ht="15.75">
      <c r="A29" s="149" t="s">
        <v>164</v>
      </c>
      <c r="B29" s="150">
        <v>8</v>
      </c>
      <c r="C29" s="150">
        <v>2511.94</v>
      </c>
      <c r="D29" s="150">
        <v>4733.45</v>
      </c>
      <c r="E29" s="150">
        <v>37867.599999999999</v>
      </c>
      <c r="F29" s="150">
        <v>17772.099999999999</v>
      </c>
      <c r="G29" s="151">
        <f t="shared" si="0"/>
        <v>20095.5</v>
      </c>
      <c r="H29" s="191">
        <f t="shared" si="2"/>
        <v>0.88438207558906212</v>
      </c>
    </row>
    <row r="30" spans="1:8" ht="15.75">
      <c r="A30" s="149" t="s">
        <v>165</v>
      </c>
      <c r="B30" s="150">
        <v>46</v>
      </c>
      <c r="C30" s="150">
        <v>354.73</v>
      </c>
      <c r="D30" s="150">
        <v>349.86</v>
      </c>
      <c r="E30" s="150">
        <v>16093.56</v>
      </c>
      <c r="F30" s="150">
        <v>-224.18</v>
      </c>
      <c r="G30" s="151">
        <f t="shared" si="0"/>
        <v>16317.74</v>
      </c>
      <c r="H30" s="191">
        <f t="shared" si="2"/>
        <v>-1.3738422109924537E-2</v>
      </c>
    </row>
    <row r="31" spans="1:8" ht="15.75">
      <c r="A31" s="149" t="s">
        <v>166</v>
      </c>
      <c r="B31" s="150">
        <v>23</v>
      </c>
      <c r="C31" s="150">
        <v>1408.96</v>
      </c>
      <c r="D31" s="150">
        <v>2218.8000000000002</v>
      </c>
      <c r="E31" s="150">
        <v>51032.4</v>
      </c>
      <c r="F31" s="150">
        <v>18626.400000000001</v>
      </c>
      <c r="G31" s="151">
        <f t="shared" si="0"/>
        <v>32406</v>
      </c>
      <c r="H31" s="191">
        <f t="shared" si="2"/>
        <v>0.57478244769487141</v>
      </c>
    </row>
    <row r="32" spans="1:8" ht="15.75">
      <c r="A32" s="149" t="s">
        <v>168</v>
      </c>
      <c r="B32" s="150">
        <v>80</v>
      </c>
      <c r="C32" s="150">
        <v>685.74</v>
      </c>
      <c r="D32" s="150">
        <v>915.6</v>
      </c>
      <c r="E32" s="150">
        <v>73248</v>
      </c>
      <c r="F32" s="150">
        <v>18389</v>
      </c>
      <c r="G32" s="151">
        <f t="shared" si="0"/>
        <v>54859</v>
      </c>
      <c r="H32" s="191">
        <f t="shared" si="2"/>
        <v>0.33520479775424272</v>
      </c>
    </row>
    <row r="33" spans="1:8" ht="15.75">
      <c r="A33" s="149" t="s">
        <v>169</v>
      </c>
      <c r="B33" s="150">
        <v>268</v>
      </c>
      <c r="C33" s="150">
        <v>181.75</v>
      </c>
      <c r="D33" s="150">
        <v>488.25</v>
      </c>
      <c r="E33" s="150">
        <v>130851</v>
      </c>
      <c r="F33" s="150">
        <v>82141.25</v>
      </c>
      <c r="G33" s="151">
        <f t="shared" si="0"/>
        <v>48709.75</v>
      </c>
      <c r="H33" s="191">
        <f t="shared" si="2"/>
        <v>1.6863410302865443</v>
      </c>
    </row>
    <row r="34" spans="1:8" ht="15.75">
      <c r="A34" s="149" t="s">
        <v>170</v>
      </c>
      <c r="B34" s="150">
        <v>323</v>
      </c>
      <c r="C34" s="150">
        <v>83.87</v>
      </c>
      <c r="D34" s="150">
        <v>162.05000000000001</v>
      </c>
      <c r="E34" s="150">
        <v>52342.15</v>
      </c>
      <c r="F34" s="150">
        <v>25251.15</v>
      </c>
      <c r="G34" s="151">
        <f t="shared" si="0"/>
        <v>27091</v>
      </c>
      <c r="H34" s="191">
        <f t="shared" si="2"/>
        <v>0.93208630172381979</v>
      </c>
    </row>
    <row r="35" spans="1:8" ht="15.75">
      <c r="A35" s="149" t="s">
        <v>172</v>
      </c>
      <c r="B35" s="150">
        <v>18</v>
      </c>
      <c r="C35" s="150">
        <v>1556.41</v>
      </c>
      <c r="D35" s="150">
        <v>2782</v>
      </c>
      <c r="E35" s="150">
        <v>50076</v>
      </c>
      <c r="F35" s="150">
        <v>22060.65</v>
      </c>
      <c r="G35" s="151">
        <f t="shared" si="0"/>
        <v>28015.35</v>
      </c>
      <c r="H35" s="191">
        <f t="shared" si="2"/>
        <v>0.78744866653459633</v>
      </c>
    </row>
    <row r="36" spans="1:8" ht="15.75">
      <c r="A36" s="149" t="s">
        <v>281</v>
      </c>
      <c r="B36" s="150">
        <v>124</v>
      </c>
      <c r="C36" s="150">
        <v>304.87</v>
      </c>
      <c r="D36" s="150">
        <v>418.5</v>
      </c>
      <c r="E36" s="150">
        <v>51894</v>
      </c>
      <c r="F36" s="150">
        <v>14090.6</v>
      </c>
      <c r="G36" s="151">
        <f t="shared" si="0"/>
        <v>37803.4</v>
      </c>
      <c r="H36" s="191">
        <f t="shared" si="2"/>
        <v>0.37273366945830266</v>
      </c>
    </row>
    <row r="37" spans="1:8" ht="15.75">
      <c r="A37" s="149" t="s">
        <v>174</v>
      </c>
      <c r="B37" s="150">
        <v>67</v>
      </c>
      <c r="C37" s="150">
        <v>1067.9000000000001</v>
      </c>
      <c r="D37" s="150">
        <v>1324.1</v>
      </c>
      <c r="E37" s="150">
        <v>88714.7</v>
      </c>
      <c r="F37" s="150">
        <v>17165.7</v>
      </c>
      <c r="G37" s="151">
        <f t="shared" si="0"/>
        <v>71549</v>
      </c>
      <c r="H37" s="191">
        <f t="shared" si="2"/>
        <v>0.23991530279948009</v>
      </c>
    </row>
    <row r="38" spans="1:8" ht="15.75">
      <c r="A38" s="149" t="s">
        <v>175</v>
      </c>
      <c r="B38" s="150">
        <v>34</v>
      </c>
      <c r="C38" s="150">
        <v>1623.57</v>
      </c>
      <c r="D38" s="150">
        <v>1531.55</v>
      </c>
      <c r="E38" s="150">
        <v>52072.7</v>
      </c>
      <c r="F38" s="150">
        <v>-3128.8</v>
      </c>
      <c r="G38" s="151">
        <f t="shared" si="0"/>
        <v>55201.5</v>
      </c>
      <c r="H38" s="191">
        <f t="shared" si="2"/>
        <v>-5.6679619213246019E-2</v>
      </c>
    </row>
    <row r="39" spans="1:8" ht="15.75">
      <c r="A39" s="149" t="s">
        <v>176</v>
      </c>
      <c r="B39" s="150">
        <v>146</v>
      </c>
      <c r="C39" s="150">
        <v>586.27</v>
      </c>
      <c r="D39" s="150">
        <v>550.1</v>
      </c>
      <c r="E39" s="150">
        <v>80314.600000000006</v>
      </c>
      <c r="F39" s="150">
        <v>-5280.5</v>
      </c>
      <c r="G39" s="151">
        <f t="shared" si="0"/>
        <v>85595.1</v>
      </c>
      <c r="H39" s="191">
        <f t="shared" si="2"/>
        <v>-6.1691615524720453E-2</v>
      </c>
    </row>
    <row r="40" spans="1:8" ht="15.75">
      <c r="A40" s="149" t="s">
        <v>177</v>
      </c>
      <c r="B40" s="150">
        <v>10</v>
      </c>
      <c r="C40" s="150">
        <v>2735.04</v>
      </c>
      <c r="D40" s="150">
        <v>5119.6000000000004</v>
      </c>
      <c r="E40" s="150">
        <v>51196</v>
      </c>
      <c r="F40" s="150">
        <v>23845.599999999999</v>
      </c>
      <c r="G40" s="151">
        <f t="shared" si="0"/>
        <v>27350.400000000001</v>
      </c>
      <c r="H40" s="191">
        <f t="shared" si="2"/>
        <v>0.87185562185562171</v>
      </c>
    </row>
    <row r="41" spans="1:8" ht="15.75">
      <c r="A41" s="149" t="s">
        <v>282</v>
      </c>
      <c r="B41" s="150">
        <v>28</v>
      </c>
      <c r="C41" s="150">
        <v>2303.96</v>
      </c>
      <c r="D41" s="150">
        <v>2329.0500000000002</v>
      </c>
      <c r="E41" s="150">
        <v>65213.4</v>
      </c>
      <c r="F41" s="150">
        <v>702.6</v>
      </c>
      <c r="G41" s="151">
        <f t="shared" si="0"/>
        <v>64510.8</v>
      </c>
      <c r="H41" s="191">
        <f t="shared" si="2"/>
        <v>1.0891199613088041E-2</v>
      </c>
    </row>
    <row r="42" spans="1:8" ht="15.75">
      <c r="A42" s="149" t="s">
        <v>178</v>
      </c>
      <c r="B42" s="150">
        <v>73</v>
      </c>
      <c r="C42" s="150">
        <v>589.26</v>
      </c>
      <c r="D42" s="150">
        <v>1121.05</v>
      </c>
      <c r="E42" s="150">
        <v>81836.649999999994</v>
      </c>
      <c r="F42" s="150">
        <v>38821</v>
      </c>
      <c r="G42" s="151">
        <f t="shared" si="0"/>
        <v>43015.649999999994</v>
      </c>
      <c r="H42" s="191">
        <f t="shared" si="2"/>
        <v>0.90248549074581008</v>
      </c>
    </row>
    <row r="43" spans="1:8" ht="15.75">
      <c r="A43" s="149" t="s">
        <v>151</v>
      </c>
      <c r="B43" s="150">
        <v>2000</v>
      </c>
      <c r="C43" s="150">
        <v>47.41</v>
      </c>
      <c r="D43" s="150">
        <v>49.8</v>
      </c>
      <c r="E43" s="150">
        <v>99600</v>
      </c>
      <c r="F43" s="150">
        <v>4788.37</v>
      </c>
      <c r="G43" s="151">
        <f t="shared" si="0"/>
        <v>94811.63</v>
      </c>
      <c r="H43" s="191">
        <f t="shared" si="2"/>
        <v>5.050403626643693E-2</v>
      </c>
    </row>
    <row r="44" spans="1:8" ht="15.75">
      <c r="A44" s="149" t="s">
        <v>179</v>
      </c>
      <c r="B44" s="150">
        <v>69</v>
      </c>
      <c r="C44" s="150">
        <v>1284.1099999999999</v>
      </c>
      <c r="D44" s="150">
        <v>1580.75</v>
      </c>
      <c r="E44" s="150">
        <v>109071.75</v>
      </c>
      <c r="F44" s="150">
        <v>20468.3</v>
      </c>
      <c r="G44" s="151">
        <f t="shared" si="0"/>
        <v>88603.45</v>
      </c>
      <c r="H44" s="191">
        <f t="shared" si="2"/>
        <v>0.23101019204105483</v>
      </c>
    </row>
    <row r="45" spans="1:8" ht="15.75">
      <c r="A45" s="149" t="s">
        <v>180</v>
      </c>
      <c r="B45" s="150">
        <v>155</v>
      </c>
      <c r="C45" s="150">
        <v>503.08</v>
      </c>
      <c r="D45" s="150">
        <v>545</v>
      </c>
      <c r="E45" s="150">
        <v>84475</v>
      </c>
      <c r="F45" s="150">
        <v>6497.4</v>
      </c>
      <c r="G45" s="151">
        <f t="shared" si="0"/>
        <v>77977.600000000006</v>
      </c>
      <c r="H45" s="191">
        <f t="shared" si="2"/>
        <v>8.3323928923177928E-2</v>
      </c>
    </row>
    <row r="46" spans="1:8" ht="15.75">
      <c r="A46" s="149" t="s">
        <v>284</v>
      </c>
      <c r="B46" s="150">
        <v>35</v>
      </c>
      <c r="C46" s="150">
        <v>917.94</v>
      </c>
      <c r="D46" s="150">
        <v>1461.85</v>
      </c>
      <c r="E46" s="150">
        <v>51164.75</v>
      </c>
      <c r="F46" s="150">
        <v>19036.849999999999</v>
      </c>
      <c r="G46" s="151">
        <f t="shared" si="0"/>
        <v>32127.9</v>
      </c>
      <c r="H46" s="191">
        <f t="shared" si="2"/>
        <v>0.59253328104233383</v>
      </c>
    </row>
    <row r="47" spans="1:8" ht="15.75">
      <c r="A47" s="149" t="s">
        <v>181</v>
      </c>
      <c r="B47" s="150">
        <v>57</v>
      </c>
      <c r="C47" s="150">
        <v>1521.67</v>
      </c>
      <c r="D47" s="150">
        <v>1406.9</v>
      </c>
      <c r="E47" s="150">
        <v>80193.3</v>
      </c>
      <c r="F47" s="150">
        <v>-6542.1</v>
      </c>
      <c r="G47" s="151">
        <f t="shared" si="0"/>
        <v>86735.400000000009</v>
      </c>
      <c r="H47" s="191">
        <f t="shared" si="2"/>
        <v>-7.5425950649907647E-2</v>
      </c>
    </row>
    <row r="48" spans="1:8" ht="15.75">
      <c r="A48" s="149" t="s">
        <v>182</v>
      </c>
      <c r="B48" s="150">
        <v>759</v>
      </c>
      <c r="C48" s="150">
        <v>229.74</v>
      </c>
      <c r="D48" s="150">
        <v>426.45</v>
      </c>
      <c r="E48" s="150">
        <v>323675.55</v>
      </c>
      <c r="F48" s="150">
        <v>149300</v>
      </c>
      <c r="G48" s="151">
        <f t="shared" si="0"/>
        <v>174375.55</v>
      </c>
      <c r="H48" s="191">
        <f t="shared" si="2"/>
        <v>0.8561980162929953</v>
      </c>
    </row>
    <row r="49" spans="1:8" ht="15.75">
      <c r="A49" s="149" t="s">
        <v>183</v>
      </c>
      <c r="B49" s="150">
        <v>28</v>
      </c>
      <c r="C49" s="150">
        <v>597.6</v>
      </c>
      <c r="D49" s="150">
        <v>1771.9</v>
      </c>
      <c r="E49" s="150">
        <v>49613.2</v>
      </c>
      <c r="F49" s="150">
        <v>32880.5</v>
      </c>
      <c r="G49" s="151">
        <f t="shared" si="0"/>
        <v>16732.699999999997</v>
      </c>
      <c r="H49" s="191">
        <f t="shared" si="2"/>
        <v>1.965044493715898</v>
      </c>
    </row>
    <row r="50" spans="1:8" ht="15.75">
      <c r="A50" s="149" t="s">
        <v>184</v>
      </c>
      <c r="B50" s="150">
        <v>329</v>
      </c>
      <c r="C50" s="150">
        <v>121.11</v>
      </c>
      <c r="D50" s="150">
        <v>197.1</v>
      </c>
      <c r="E50" s="150">
        <v>64845.9</v>
      </c>
      <c r="F50" s="150">
        <v>25001.15</v>
      </c>
      <c r="G50" s="151">
        <f t="shared" si="0"/>
        <v>39844.75</v>
      </c>
      <c r="H50" s="191">
        <f t="shared" si="2"/>
        <v>0.62746409501879175</v>
      </c>
    </row>
    <row r="51" spans="1:8" ht="15.75">
      <c r="A51" s="149" t="s">
        <v>185</v>
      </c>
      <c r="B51" s="150">
        <v>55</v>
      </c>
      <c r="C51" s="150">
        <v>1723.54</v>
      </c>
      <c r="D51" s="150">
        <v>1680.4</v>
      </c>
      <c r="E51" s="150">
        <v>92422</v>
      </c>
      <c r="F51" s="150">
        <v>-2372.9499999999998</v>
      </c>
      <c r="G51" s="151">
        <f t="shared" si="0"/>
        <v>94794.95</v>
      </c>
      <c r="H51" s="191">
        <f t="shared" si="2"/>
        <v>-2.5032451623214106E-2</v>
      </c>
    </row>
    <row r="52" spans="1:8" ht="15.75">
      <c r="A52" s="149" t="s">
        <v>186</v>
      </c>
      <c r="B52" s="150">
        <v>67</v>
      </c>
      <c r="C52" s="150">
        <v>676.11</v>
      </c>
      <c r="D52" s="150">
        <v>1457.25</v>
      </c>
      <c r="E52" s="150">
        <v>97635.75</v>
      </c>
      <c r="F52" s="150">
        <v>52336.35</v>
      </c>
      <c r="G52" s="151">
        <f t="shared" si="0"/>
        <v>45299.4</v>
      </c>
      <c r="H52" s="191">
        <f t="shared" si="2"/>
        <v>1.1553431171273791</v>
      </c>
    </row>
    <row r="53" spans="1:8" ht="15.75">
      <c r="A53" s="149" t="s">
        <v>187</v>
      </c>
      <c r="B53" s="150">
        <v>20</v>
      </c>
      <c r="C53" s="150">
        <v>2295.38</v>
      </c>
      <c r="D53" s="150">
        <v>2647.85</v>
      </c>
      <c r="E53" s="150">
        <v>52957</v>
      </c>
      <c r="F53" s="150">
        <v>7049.4</v>
      </c>
      <c r="G53" s="151">
        <f t="shared" si="0"/>
        <v>45907.6</v>
      </c>
      <c r="H53" s="191">
        <f t="shared" si="2"/>
        <v>0.15355627390671697</v>
      </c>
    </row>
    <row r="54" spans="1:8" ht="15.75">
      <c r="A54" s="149" t="s">
        <v>188</v>
      </c>
      <c r="B54" s="150">
        <v>62</v>
      </c>
      <c r="C54" s="150">
        <v>1053.22</v>
      </c>
      <c r="D54" s="150">
        <v>3669.3</v>
      </c>
      <c r="E54" s="150">
        <v>227496.6</v>
      </c>
      <c r="F54" s="150">
        <v>162197.25</v>
      </c>
      <c r="G54" s="151">
        <f t="shared" si="0"/>
        <v>65299.350000000006</v>
      </c>
      <c r="H54" s="191">
        <f t="shared" si="2"/>
        <v>2.4839029791261318</v>
      </c>
    </row>
    <row r="55" spans="1:8" ht="15.75">
      <c r="A55" s="149" t="s">
        <v>286</v>
      </c>
      <c r="B55" s="150">
        <v>25</v>
      </c>
      <c r="C55" s="150">
        <v>4933.3100000000004</v>
      </c>
      <c r="D55" s="150">
        <v>4704.8999999999996</v>
      </c>
      <c r="E55" s="150">
        <v>117622.5</v>
      </c>
      <c r="F55" s="150">
        <v>-5710.33</v>
      </c>
      <c r="G55" s="151">
        <f t="shared" si="0"/>
        <v>123332.83</v>
      </c>
      <c r="H55" s="191">
        <f t="shared" si="2"/>
        <v>-4.6300161927687863E-2</v>
      </c>
    </row>
    <row r="56" spans="1:8" ht="15.75">
      <c r="A56" s="149" t="s">
        <v>189</v>
      </c>
      <c r="B56" s="150">
        <v>20</v>
      </c>
      <c r="C56" s="150">
        <v>1002.87</v>
      </c>
      <c r="D56" s="150">
        <v>2506.4499999999998</v>
      </c>
      <c r="E56" s="150">
        <v>50129</v>
      </c>
      <c r="F56" s="150">
        <v>30071.7</v>
      </c>
      <c r="G56" s="151">
        <f t="shared" si="0"/>
        <v>20057.3</v>
      </c>
      <c r="H56" s="191">
        <f t="shared" si="2"/>
        <v>1.4992895354808475</v>
      </c>
    </row>
    <row r="57" spans="1:8" ht="15.75">
      <c r="A57" s="149" t="s">
        <v>190</v>
      </c>
      <c r="B57" s="150">
        <v>23</v>
      </c>
      <c r="C57" s="150">
        <v>2162.1799999999998</v>
      </c>
      <c r="D57" s="150">
        <v>2146.0500000000002</v>
      </c>
      <c r="E57" s="150">
        <v>49359.15</v>
      </c>
      <c r="F57" s="150">
        <v>-371.05</v>
      </c>
      <c r="G57" s="151">
        <f t="shared" si="0"/>
        <v>49730.200000000004</v>
      </c>
      <c r="H57" s="191">
        <f t="shared" si="2"/>
        <v>-7.4612609641626212E-3</v>
      </c>
    </row>
    <row r="58" spans="1:8" ht="15.75">
      <c r="A58" s="149" t="s">
        <v>191</v>
      </c>
      <c r="B58" s="150">
        <v>114</v>
      </c>
      <c r="C58" s="150">
        <v>490.12</v>
      </c>
      <c r="D58" s="150">
        <v>595.54999999999995</v>
      </c>
      <c r="E58" s="150">
        <v>67892.7</v>
      </c>
      <c r="F58" s="150">
        <v>12019.05</v>
      </c>
      <c r="G58" s="151">
        <f t="shared" si="0"/>
        <v>55873.649999999994</v>
      </c>
      <c r="H58" s="191">
        <f t="shared" si="2"/>
        <v>0.21511123758694842</v>
      </c>
    </row>
    <row r="59" spans="1:8" ht="15.75">
      <c r="A59" s="149" t="s">
        <v>192</v>
      </c>
      <c r="B59" s="150">
        <v>95</v>
      </c>
      <c r="C59" s="150">
        <v>752.44</v>
      </c>
      <c r="D59" s="150">
        <v>918.15</v>
      </c>
      <c r="E59" s="150">
        <v>87224.25</v>
      </c>
      <c r="F59" s="150">
        <v>15742.2</v>
      </c>
      <c r="G59" s="151">
        <f t="shared" si="0"/>
        <v>71482.05</v>
      </c>
      <c r="H59" s="191">
        <f t="shared" si="2"/>
        <v>0.22022591685604986</v>
      </c>
    </row>
    <row r="60" spans="1:8" ht="15.75">
      <c r="A60" s="149" t="s">
        <v>265</v>
      </c>
      <c r="B60" s="150">
        <v>53</v>
      </c>
      <c r="C60" s="150">
        <v>336.99</v>
      </c>
      <c r="D60" s="150">
        <v>343.31</v>
      </c>
      <c r="E60" s="150">
        <v>18195.43</v>
      </c>
      <c r="F60" s="150">
        <v>334.9</v>
      </c>
      <c r="G60" s="151">
        <f t="shared" si="0"/>
        <v>17860.53</v>
      </c>
      <c r="H60" s="191">
        <f t="shared" si="2"/>
        <v>1.8750843340035264E-2</v>
      </c>
    </row>
    <row r="61" spans="1:8" ht="15.75">
      <c r="A61" s="149" t="s">
        <v>194</v>
      </c>
      <c r="B61" s="150">
        <v>255</v>
      </c>
      <c r="C61" s="150">
        <v>99.4</v>
      </c>
      <c r="D61" s="150">
        <v>151.25</v>
      </c>
      <c r="E61" s="150">
        <v>38568.75</v>
      </c>
      <c r="F61" s="150">
        <v>13221.25</v>
      </c>
      <c r="G61" s="151">
        <f t="shared" si="0"/>
        <v>25347.5</v>
      </c>
      <c r="H61" s="191">
        <f t="shared" si="2"/>
        <v>0.52159976329026536</v>
      </c>
    </row>
    <row r="62" spans="1:8" ht="15.75">
      <c r="A62" s="149" t="s">
        <v>195</v>
      </c>
      <c r="B62" s="150">
        <v>37</v>
      </c>
      <c r="C62" s="150">
        <v>2300.56</v>
      </c>
      <c r="D62" s="150">
        <v>2287.9499999999998</v>
      </c>
      <c r="E62" s="150">
        <v>84654.15</v>
      </c>
      <c r="F62" s="150">
        <v>-466.6</v>
      </c>
      <c r="G62" s="151">
        <f t="shared" si="0"/>
        <v>85120.75</v>
      </c>
      <c r="H62" s="191">
        <f t="shared" si="2"/>
        <v>-5.4816246332416016E-3</v>
      </c>
    </row>
    <row r="63" spans="1:8" ht="15.75">
      <c r="A63" s="149" t="s">
        <v>196</v>
      </c>
      <c r="B63" s="150">
        <v>21</v>
      </c>
      <c r="C63" s="150">
        <v>2605.84</v>
      </c>
      <c r="D63" s="150">
        <v>2355.4499999999998</v>
      </c>
      <c r="E63" s="150">
        <v>49464.45</v>
      </c>
      <c r="F63" s="150">
        <v>-5258.15</v>
      </c>
      <c r="G63" s="151">
        <f t="shared" si="0"/>
        <v>54722.6</v>
      </c>
      <c r="H63" s="191">
        <f t="shared" si="2"/>
        <v>-9.6087356960378345E-2</v>
      </c>
    </row>
    <row r="64" spans="1:8" ht="15.75">
      <c r="A64" s="149" t="s">
        <v>197</v>
      </c>
      <c r="B64" s="150">
        <v>145</v>
      </c>
      <c r="C64" s="150">
        <v>127.63</v>
      </c>
      <c r="D64" s="150">
        <v>128.01</v>
      </c>
      <c r="E64" s="150">
        <v>18561.45</v>
      </c>
      <c r="F64" s="150">
        <v>55.35</v>
      </c>
      <c r="G64" s="151">
        <f t="shared" si="0"/>
        <v>18506.100000000002</v>
      </c>
      <c r="H64" s="191">
        <f t="shared" si="2"/>
        <v>2.990905701363334E-3</v>
      </c>
    </row>
    <row r="65" spans="1:8" ht="15.75">
      <c r="A65" s="149" t="s">
        <v>198</v>
      </c>
      <c r="B65" s="150">
        <v>88</v>
      </c>
      <c r="C65" s="150">
        <v>582.44000000000005</v>
      </c>
      <c r="D65" s="150">
        <v>1820.6</v>
      </c>
      <c r="E65" s="150">
        <v>160212.79999999999</v>
      </c>
      <c r="F65" s="150">
        <v>108957.75</v>
      </c>
      <c r="G65" s="151">
        <f t="shared" si="0"/>
        <v>51255.049999999988</v>
      </c>
      <c r="H65" s="191">
        <f t="shared" si="2"/>
        <v>2.1257954094279494</v>
      </c>
    </row>
    <row r="66" spans="1:8" ht="15.75">
      <c r="A66" s="149" t="s">
        <v>199</v>
      </c>
      <c r="B66" s="150">
        <v>12</v>
      </c>
      <c r="C66" s="150">
        <v>4216.4799999999996</v>
      </c>
      <c r="D66" s="150">
        <v>7454.95</v>
      </c>
      <c r="E66" s="150">
        <v>89459.4</v>
      </c>
      <c r="F66" s="150">
        <v>38861.699999999997</v>
      </c>
      <c r="G66" s="151">
        <f t="shared" ref="G66:G97" si="3">E66-F66</f>
        <v>50597.7</v>
      </c>
      <c r="H66" s="191">
        <f t="shared" si="2"/>
        <v>0.76805269804753973</v>
      </c>
    </row>
    <row r="67" spans="1:8" ht="15.75">
      <c r="A67" s="149" t="s">
        <v>200</v>
      </c>
      <c r="B67" s="150">
        <v>300</v>
      </c>
      <c r="C67" s="150">
        <v>82.33</v>
      </c>
      <c r="D67" s="150">
        <v>264.55</v>
      </c>
      <c r="E67" s="150">
        <v>79365</v>
      </c>
      <c r="F67" s="150">
        <v>54665</v>
      </c>
      <c r="G67" s="151">
        <f t="shared" si="3"/>
        <v>24700</v>
      </c>
      <c r="H67" s="191">
        <f t="shared" si="2"/>
        <v>2.2131578947368422</v>
      </c>
    </row>
    <row r="68" spans="1:8" ht="15.75">
      <c r="A68" s="149" t="s">
        <v>201</v>
      </c>
      <c r="B68" s="150">
        <v>20</v>
      </c>
      <c r="C68" s="150">
        <v>2053.08</v>
      </c>
      <c r="D68" s="150">
        <v>3410.5</v>
      </c>
      <c r="E68" s="150">
        <v>68210</v>
      </c>
      <c r="F68" s="150">
        <v>27148.35</v>
      </c>
      <c r="G68" s="151">
        <f t="shared" si="3"/>
        <v>41061.65</v>
      </c>
      <c r="H68" s="191">
        <f t="shared" si="2"/>
        <v>0.66116071809096799</v>
      </c>
    </row>
    <row r="69" spans="1:8" ht="15.75">
      <c r="A69" s="149" t="s">
        <v>202</v>
      </c>
      <c r="B69" s="150">
        <v>22</v>
      </c>
      <c r="C69" s="150">
        <v>885.65</v>
      </c>
      <c r="D69" s="150">
        <v>3119.2</v>
      </c>
      <c r="E69" s="150">
        <v>68622.399999999994</v>
      </c>
      <c r="F69" s="150">
        <v>49138.2</v>
      </c>
      <c r="G69" s="151">
        <f t="shared" si="3"/>
        <v>19484.199999999997</v>
      </c>
      <c r="H69" s="191">
        <f t="shared" si="2"/>
        <v>2.5219511193685142</v>
      </c>
    </row>
    <row r="70" spans="1:8" ht="15.75">
      <c r="A70" s="149" t="s">
        <v>203</v>
      </c>
      <c r="B70" s="150">
        <v>30</v>
      </c>
      <c r="C70" s="150">
        <v>2499.15</v>
      </c>
      <c r="D70" s="150">
        <v>2969.5</v>
      </c>
      <c r="E70" s="150">
        <v>89085</v>
      </c>
      <c r="F70" s="150">
        <v>14110.65</v>
      </c>
      <c r="G70" s="151">
        <f t="shared" si="3"/>
        <v>74974.350000000006</v>
      </c>
      <c r="H70" s="191">
        <f t="shared" si="2"/>
        <v>0.18820636657736944</v>
      </c>
    </row>
    <row r="71" spans="1:8" ht="15.75">
      <c r="A71" s="149" t="s">
        <v>204</v>
      </c>
      <c r="B71" s="150">
        <v>42</v>
      </c>
      <c r="C71" s="150">
        <v>567.23</v>
      </c>
      <c r="D71" s="150">
        <v>1597.55</v>
      </c>
      <c r="E71" s="150">
        <v>67097.100000000006</v>
      </c>
      <c r="F71" s="150">
        <v>43273.5</v>
      </c>
      <c r="G71" s="151">
        <f t="shared" si="3"/>
        <v>23823.600000000006</v>
      </c>
      <c r="H71" s="191">
        <f t="shared" si="2"/>
        <v>1.8164131365536691</v>
      </c>
    </row>
    <row r="72" spans="1:8" ht="15.75">
      <c r="A72" s="149" t="s">
        <v>299</v>
      </c>
      <c r="B72" s="150">
        <v>49</v>
      </c>
      <c r="C72" s="150">
        <v>952.78</v>
      </c>
      <c r="D72" s="150">
        <v>789.6</v>
      </c>
      <c r="E72" s="150">
        <v>38690.400000000001</v>
      </c>
      <c r="F72" s="150">
        <v>-7995.75</v>
      </c>
      <c r="G72" s="151">
        <f t="shared" si="3"/>
        <v>46686.15</v>
      </c>
      <c r="H72" s="191">
        <f t="shared" si="2"/>
        <v>-0.17126599644648358</v>
      </c>
    </row>
    <row r="73" spans="1:8" ht="15.75">
      <c r="A73" s="149" t="s">
        <v>206</v>
      </c>
      <c r="B73" s="150">
        <v>77</v>
      </c>
      <c r="C73" s="150">
        <v>1234.6400000000001</v>
      </c>
      <c r="D73" s="150">
        <v>1386.4</v>
      </c>
      <c r="E73" s="150">
        <v>106752.8</v>
      </c>
      <c r="F73" s="150">
        <v>11685.35</v>
      </c>
      <c r="G73" s="151">
        <f t="shared" si="3"/>
        <v>95067.45</v>
      </c>
      <c r="H73" s="191">
        <f t="shared" si="2"/>
        <v>0.12291641355690093</v>
      </c>
    </row>
    <row r="74" spans="1:8" ht="15.75">
      <c r="A74" s="149" t="s">
        <v>207</v>
      </c>
      <c r="B74" s="150">
        <v>72</v>
      </c>
      <c r="C74" s="150">
        <v>355.35</v>
      </c>
      <c r="D74" s="150">
        <v>830.35</v>
      </c>
      <c r="E74" s="150">
        <v>59785.2</v>
      </c>
      <c r="F74" s="150">
        <v>34199.949999999997</v>
      </c>
      <c r="G74" s="151">
        <f t="shared" si="3"/>
        <v>25585.25</v>
      </c>
      <c r="H74" s="191">
        <f t="shared" si="2"/>
        <v>1.3367057191155058</v>
      </c>
    </row>
    <row r="75" spans="1:8" ht="15.75">
      <c r="A75" s="149" t="s">
        <v>208</v>
      </c>
      <c r="B75" s="150">
        <v>10</v>
      </c>
      <c r="C75" s="150">
        <v>5284</v>
      </c>
      <c r="D75" s="150">
        <v>7440</v>
      </c>
      <c r="E75" s="150">
        <v>74400</v>
      </c>
      <c r="F75" s="150">
        <v>21560</v>
      </c>
      <c r="G75" s="151">
        <f t="shared" si="3"/>
        <v>52840</v>
      </c>
      <c r="H75" s="191">
        <f t="shared" si="2"/>
        <v>0.40802422407267219</v>
      </c>
    </row>
    <row r="76" spans="1:8" ht="15.75">
      <c r="A76" s="149" t="s">
        <v>209</v>
      </c>
      <c r="B76" s="150">
        <v>5</v>
      </c>
      <c r="C76" s="150">
        <v>4802</v>
      </c>
      <c r="D76" s="150">
        <v>7359.46</v>
      </c>
      <c r="E76" s="150">
        <v>36797.300000000003</v>
      </c>
      <c r="F76" s="150">
        <v>12787.3</v>
      </c>
      <c r="G76" s="151">
        <f t="shared" si="3"/>
        <v>24010.000000000004</v>
      </c>
      <c r="H76" s="191">
        <f t="shared" si="2"/>
        <v>0.53258225739275289</v>
      </c>
    </row>
    <row r="77" spans="1:8" ht="15.75">
      <c r="A77" s="149" t="s">
        <v>210</v>
      </c>
      <c r="B77" s="150">
        <v>10</v>
      </c>
      <c r="C77" s="150">
        <v>5002.45</v>
      </c>
      <c r="D77" s="150">
        <v>7392.13</v>
      </c>
      <c r="E77" s="150">
        <v>73921.3</v>
      </c>
      <c r="F77" s="150">
        <v>23896.799999999999</v>
      </c>
      <c r="G77" s="151">
        <f t="shared" si="3"/>
        <v>50024.5</v>
      </c>
      <c r="H77" s="191">
        <f t="shared" si="2"/>
        <v>0.47770192605623241</v>
      </c>
    </row>
    <row r="78" spans="1:8" ht="15.75">
      <c r="A78" s="149" t="s">
        <v>211</v>
      </c>
      <c r="B78" s="150">
        <v>35</v>
      </c>
      <c r="C78" s="150">
        <v>984.23</v>
      </c>
      <c r="D78" s="150">
        <v>6967.95</v>
      </c>
      <c r="E78" s="150">
        <v>243878.25</v>
      </c>
      <c r="F78" s="150">
        <v>209430.2</v>
      </c>
      <c r="G78" s="151">
        <f t="shared" si="3"/>
        <v>34448.049999999988</v>
      </c>
      <c r="H78" s="191">
        <f t="shared" si="2"/>
        <v>6.0795952165652363</v>
      </c>
    </row>
    <row r="79" spans="1:8" ht="15.75">
      <c r="A79" s="149" t="s">
        <v>290</v>
      </c>
      <c r="B79" s="150">
        <v>48</v>
      </c>
      <c r="C79" s="150">
        <v>575.6</v>
      </c>
      <c r="D79" s="150">
        <v>651.1</v>
      </c>
      <c r="E79" s="150">
        <v>31252.799999999999</v>
      </c>
      <c r="F79" s="150">
        <v>3623.85</v>
      </c>
      <c r="G79" s="151">
        <f t="shared" si="3"/>
        <v>27628.95</v>
      </c>
      <c r="H79" s="191">
        <f t="shared" si="2"/>
        <v>0.13116133620713055</v>
      </c>
    </row>
    <row r="80" spans="1:8" ht="15.75">
      <c r="A80" s="149" t="s">
        <v>291</v>
      </c>
      <c r="B80" s="150">
        <v>226</v>
      </c>
      <c r="C80" s="150">
        <v>547.62</v>
      </c>
      <c r="D80" s="150">
        <v>520.6</v>
      </c>
      <c r="E80" s="150">
        <v>117655.6</v>
      </c>
      <c r="F80" s="150">
        <v>-6106.85</v>
      </c>
      <c r="G80" s="151">
        <f t="shared" si="3"/>
        <v>123762.45000000001</v>
      </c>
      <c r="H80" s="191">
        <f t="shared" ref="H80:H111" si="4">F80/G80</f>
        <v>-4.9343318591382121E-2</v>
      </c>
    </row>
    <row r="81" spans="1:8" ht="15.75">
      <c r="A81" s="149" t="s">
        <v>292</v>
      </c>
      <c r="B81" s="150">
        <v>32</v>
      </c>
      <c r="C81" s="150">
        <v>752.33</v>
      </c>
      <c r="D81" s="150">
        <v>1205.4000000000001</v>
      </c>
      <c r="E81" s="150">
        <v>38572.800000000003</v>
      </c>
      <c r="F81" s="150">
        <v>14498.3</v>
      </c>
      <c r="G81" s="151">
        <f t="shared" si="3"/>
        <v>24074.500000000004</v>
      </c>
      <c r="H81" s="191">
        <f t="shared" si="4"/>
        <v>0.60222642214791577</v>
      </c>
    </row>
    <row r="82" spans="1:8" ht="15.75">
      <c r="A82" s="149" t="s">
        <v>212</v>
      </c>
      <c r="B82" s="150">
        <v>152</v>
      </c>
      <c r="C82" s="150">
        <v>574.22</v>
      </c>
      <c r="D82" s="150">
        <v>1462.5</v>
      </c>
      <c r="E82" s="150">
        <v>222300</v>
      </c>
      <c r="F82" s="150">
        <v>135017.85</v>
      </c>
      <c r="G82" s="151">
        <f t="shared" si="3"/>
        <v>87282.15</v>
      </c>
      <c r="H82" s="191">
        <f t="shared" si="4"/>
        <v>1.546912513039608</v>
      </c>
    </row>
    <row r="83" spans="1:8" ht="15.75">
      <c r="A83" s="149" t="s">
        <v>293</v>
      </c>
      <c r="B83" s="150">
        <v>69</v>
      </c>
      <c r="C83" s="150">
        <v>373.18</v>
      </c>
      <c r="D83" s="150">
        <v>443</v>
      </c>
      <c r="E83" s="150">
        <v>30567</v>
      </c>
      <c r="F83" s="150">
        <v>4817.7</v>
      </c>
      <c r="G83" s="151">
        <f t="shared" si="3"/>
        <v>25749.3</v>
      </c>
      <c r="H83" s="191">
        <f t="shared" si="4"/>
        <v>0.18710023185096294</v>
      </c>
    </row>
    <row r="84" spans="1:8" ht="15.75">
      <c r="A84" s="149" t="s">
        <v>213</v>
      </c>
      <c r="B84" s="150">
        <v>83</v>
      </c>
      <c r="C84" s="150">
        <v>548.48</v>
      </c>
      <c r="D84" s="150">
        <v>672.8</v>
      </c>
      <c r="E84" s="150">
        <v>55842.400000000001</v>
      </c>
      <c r="F84" s="150">
        <v>10318.799999999999</v>
      </c>
      <c r="G84" s="151">
        <f t="shared" si="3"/>
        <v>45523.600000000006</v>
      </c>
      <c r="H84" s="191">
        <f t="shared" si="4"/>
        <v>0.22666924408438696</v>
      </c>
    </row>
    <row r="85" spans="1:8" ht="15.75">
      <c r="A85" s="149" t="s">
        <v>214</v>
      </c>
      <c r="B85" s="150">
        <v>46</v>
      </c>
      <c r="C85" s="150">
        <v>794.51</v>
      </c>
      <c r="D85" s="150">
        <v>1060.25</v>
      </c>
      <c r="E85" s="150">
        <v>48771.5</v>
      </c>
      <c r="F85" s="150">
        <v>12224.2</v>
      </c>
      <c r="G85" s="151">
        <f t="shared" si="3"/>
        <v>36547.300000000003</v>
      </c>
      <c r="H85" s="191">
        <f t="shared" si="4"/>
        <v>0.33447614461259789</v>
      </c>
    </row>
    <row r="86" spans="1:8" ht="15.75">
      <c r="A86" s="149" t="s">
        <v>267</v>
      </c>
      <c r="B86" s="150">
        <v>37</v>
      </c>
      <c r="C86" s="150">
        <v>632.20000000000005</v>
      </c>
      <c r="D86" s="150">
        <v>923</v>
      </c>
      <c r="E86" s="150">
        <v>34151</v>
      </c>
      <c r="F86" s="150">
        <v>10759.6</v>
      </c>
      <c r="G86" s="151">
        <f t="shared" si="3"/>
        <v>23391.4</v>
      </c>
      <c r="H86" s="191">
        <f t="shared" si="4"/>
        <v>0.45998101866497942</v>
      </c>
    </row>
    <row r="87" spans="1:8" ht="15.75">
      <c r="A87" s="149" t="s">
        <v>302</v>
      </c>
      <c r="B87" s="150">
        <v>775</v>
      </c>
      <c r="C87" s="150">
        <v>99.29</v>
      </c>
      <c r="D87" s="150">
        <v>618.45000000000005</v>
      </c>
      <c r="E87" s="150">
        <v>479298.75</v>
      </c>
      <c r="F87" s="150">
        <v>402347.75</v>
      </c>
      <c r="G87" s="151">
        <f t="shared" si="3"/>
        <v>76951</v>
      </c>
      <c r="H87" s="191">
        <f t="shared" si="4"/>
        <v>5.2286227599381423</v>
      </c>
    </row>
    <row r="88" spans="1:8" ht="15.75">
      <c r="A88" s="149" t="s">
        <v>215</v>
      </c>
      <c r="B88" s="150">
        <v>1050</v>
      </c>
      <c r="C88" s="150">
        <v>40.479999999999997</v>
      </c>
      <c r="D88" s="150">
        <v>167.2</v>
      </c>
      <c r="E88" s="150">
        <v>175560</v>
      </c>
      <c r="F88" s="150">
        <v>133059.75</v>
      </c>
      <c r="G88" s="151">
        <f t="shared" si="3"/>
        <v>42500.25</v>
      </c>
      <c r="H88" s="191">
        <f t="shared" si="4"/>
        <v>3.1307992305927614</v>
      </c>
    </row>
    <row r="89" spans="1:8" ht="15.75">
      <c r="A89" s="149" t="s">
        <v>216</v>
      </c>
      <c r="B89" s="150">
        <v>30</v>
      </c>
      <c r="C89" s="150">
        <v>3490.64</v>
      </c>
      <c r="D89" s="150">
        <v>3670.95</v>
      </c>
      <c r="E89" s="150">
        <v>110128.5</v>
      </c>
      <c r="F89" s="150">
        <v>5409.45</v>
      </c>
      <c r="G89" s="151">
        <f t="shared" si="3"/>
        <v>104719.05</v>
      </c>
      <c r="H89" s="191">
        <f t="shared" si="4"/>
        <v>5.1656790240171196E-2</v>
      </c>
    </row>
    <row r="90" spans="1:8" ht="15.75">
      <c r="A90" s="149" t="s">
        <v>217</v>
      </c>
      <c r="B90" s="150">
        <v>24</v>
      </c>
      <c r="C90" s="150">
        <v>2584.4</v>
      </c>
      <c r="D90" s="150">
        <v>3251.9</v>
      </c>
      <c r="E90" s="150">
        <v>78045.600000000006</v>
      </c>
      <c r="F90" s="150">
        <v>16020</v>
      </c>
      <c r="G90" s="151">
        <f t="shared" si="3"/>
        <v>62025.600000000006</v>
      </c>
      <c r="H90" s="191">
        <f t="shared" si="4"/>
        <v>0.25828045194242377</v>
      </c>
    </row>
    <row r="91" spans="1:8" ht="15.75">
      <c r="A91" s="149" t="s">
        <v>220</v>
      </c>
      <c r="B91" s="150">
        <v>61</v>
      </c>
      <c r="C91" s="150">
        <v>401.11</v>
      </c>
      <c r="D91" s="150">
        <v>848.7</v>
      </c>
      <c r="E91" s="150">
        <v>51770.7</v>
      </c>
      <c r="F91" s="150">
        <v>27302.95</v>
      </c>
      <c r="G91" s="151">
        <f t="shared" si="3"/>
        <v>24467.749999999996</v>
      </c>
      <c r="H91" s="191">
        <f t="shared" si="4"/>
        <v>1.1158749782877464</v>
      </c>
    </row>
    <row r="92" spans="1:8" ht="15.75">
      <c r="A92" s="149" t="s">
        <v>221</v>
      </c>
      <c r="B92" s="150">
        <v>36</v>
      </c>
      <c r="C92" s="150">
        <v>120.1</v>
      </c>
      <c r="D92" s="150">
        <v>1426.8</v>
      </c>
      <c r="E92" s="150">
        <v>51364.800000000003</v>
      </c>
      <c r="F92" s="150">
        <v>47041.15</v>
      </c>
      <c r="G92" s="151">
        <f t="shared" si="3"/>
        <v>4323.6500000000015</v>
      </c>
      <c r="H92" s="191">
        <f t="shared" si="4"/>
        <v>10.879962531657277</v>
      </c>
    </row>
    <row r="93" spans="1:8" ht="15.75">
      <c r="A93" s="149" t="s">
        <v>300</v>
      </c>
      <c r="B93" s="150">
        <v>525</v>
      </c>
      <c r="C93" s="150">
        <v>38.97</v>
      </c>
      <c r="D93" s="150">
        <v>23</v>
      </c>
      <c r="E93" s="150">
        <v>12075</v>
      </c>
      <c r="F93" s="150">
        <v>-8382.5</v>
      </c>
      <c r="G93" s="151">
        <f t="shared" si="3"/>
        <v>20457.5</v>
      </c>
      <c r="H93" s="191">
        <f t="shared" si="4"/>
        <v>-0.40975192472198463</v>
      </c>
    </row>
    <row r="94" spans="1:8" ht="16.5">
      <c r="A94" s="149"/>
      <c r="B94" s="150"/>
      <c r="C94" s="150"/>
      <c r="D94" s="150"/>
      <c r="E94" s="150"/>
      <c r="F94" s="150"/>
      <c r="G94" s="151"/>
      <c r="H94" s="191"/>
    </row>
    <row r="95" spans="1:8" ht="16.5">
      <c r="A95" s="149"/>
      <c r="B95" s="150"/>
      <c r="C95" s="150"/>
      <c r="D95" s="150"/>
      <c r="E95" s="150"/>
      <c r="F95" s="150"/>
      <c r="G95" s="151">
        <f t="shared" si="3"/>
        <v>0</v>
      </c>
      <c r="H95" s="191"/>
    </row>
    <row r="96" spans="1:8" ht="16.5">
      <c r="A96" s="149"/>
      <c r="B96" s="150"/>
      <c r="C96" s="150"/>
      <c r="D96" s="150"/>
      <c r="E96" s="150"/>
      <c r="F96" s="150"/>
      <c r="G96" s="151">
        <f t="shared" si="3"/>
        <v>0</v>
      </c>
      <c r="H96" s="191"/>
    </row>
    <row r="97" spans="1:8" ht="16.5">
      <c r="A97" s="149"/>
      <c r="B97" s="150"/>
      <c r="C97" s="150"/>
      <c r="D97" s="150"/>
      <c r="E97" s="150"/>
      <c r="F97" s="150"/>
      <c r="G97" s="151">
        <f t="shared" si="3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12176</v>
      </c>
      <c r="C104" s="45"/>
      <c r="D104" s="45"/>
      <c r="E104" s="45">
        <f>SUM(E2:E103)</f>
        <v>7522526.3900000006</v>
      </c>
      <c r="F104" s="45">
        <f>SUM(F2:F103)</f>
        <v>3106661.9600000004</v>
      </c>
      <c r="G104" s="45">
        <f>SUM(G2:G103)</f>
        <v>4415864.4300000006</v>
      </c>
      <c r="H104" s="176">
        <f>F104/G104</f>
        <v>0.70352294760099776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DC16-31E1-4C46-A210-AD24273D42DC}">
  <dimension ref="A1:I18"/>
  <sheetViews>
    <sheetView workbookViewId="0">
      <selection activeCell="F2" sqref="F2:F15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114.63</v>
      </c>
      <c r="E2">
        <v>68.607799999999997</v>
      </c>
      <c r="F2" s="188">
        <v>279986.10960000003</v>
      </c>
      <c r="G2" s="188">
        <v>467801.13260000001</v>
      </c>
      <c r="H2" s="188">
        <v>187815.02299999999</v>
      </c>
      <c r="I2" s="192">
        <f>H2/F2</f>
        <v>0.67080121677579096</v>
      </c>
    </row>
    <row r="3" spans="1:9">
      <c r="A3" s="168" t="s">
        <v>236</v>
      </c>
      <c r="B3" t="s">
        <v>237</v>
      </c>
      <c r="C3" s="188">
        <v>14235.332</v>
      </c>
      <c r="D3">
        <v>105.28</v>
      </c>
      <c r="E3">
        <v>47.766100000000002</v>
      </c>
      <c r="F3" s="188">
        <v>679966.92570000002</v>
      </c>
      <c r="G3" s="188">
        <v>1498695.753</v>
      </c>
      <c r="H3" s="188">
        <v>818728.8273</v>
      </c>
      <c r="I3" s="192">
        <f t="shared" ref="I3:I18" si="0">H3/F3</f>
        <v>1.2040715457698916</v>
      </c>
    </row>
    <row r="4" spans="1:9">
      <c r="A4" s="168" t="s">
        <v>238</v>
      </c>
      <c r="B4" t="s">
        <v>237</v>
      </c>
      <c r="C4" s="188">
        <v>22700.03</v>
      </c>
      <c r="D4">
        <v>39.08</v>
      </c>
      <c r="E4">
        <v>30.174700000000001</v>
      </c>
      <c r="F4" s="188">
        <v>684965.76800000004</v>
      </c>
      <c r="G4" s="188">
        <v>887117.17240000004</v>
      </c>
      <c r="H4" s="188">
        <v>202151.4044</v>
      </c>
      <c r="I4" s="192">
        <f t="shared" si="0"/>
        <v>0.2951262878293211</v>
      </c>
    </row>
    <row r="5" spans="1:9">
      <c r="A5" s="168" t="s">
        <v>303</v>
      </c>
      <c r="B5" t="s">
        <v>241</v>
      </c>
      <c r="C5" s="188">
        <v>1857.5519999999999</v>
      </c>
      <c r="D5">
        <v>693.10599999999999</v>
      </c>
      <c r="E5">
        <v>366.02140000000003</v>
      </c>
      <c r="F5" s="188">
        <v>679903.69869999995</v>
      </c>
      <c r="G5" s="188">
        <v>1287480.4365000001</v>
      </c>
      <c r="H5" s="188">
        <v>607576.7378</v>
      </c>
      <c r="I5" s="192">
        <f t="shared" si="0"/>
        <v>0.89362175696603552</v>
      </c>
    </row>
    <row r="6" spans="1:9">
      <c r="A6" s="168" t="s">
        <v>242</v>
      </c>
      <c r="B6" t="s">
        <v>237</v>
      </c>
      <c r="C6" s="188">
        <v>4306.576</v>
      </c>
      <c r="D6">
        <v>138.62700000000001</v>
      </c>
      <c r="E6">
        <v>44.3917</v>
      </c>
      <c r="F6" s="188">
        <v>191176.2298</v>
      </c>
      <c r="G6" s="188">
        <v>597007.71120000002</v>
      </c>
      <c r="H6" s="188">
        <v>405831.48129999998</v>
      </c>
      <c r="I6" s="192">
        <f t="shared" si="0"/>
        <v>2.1228134989614698</v>
      </c>
    </row>
    <row r="7" spans="1:9">
      <c r="A7" s="168" t="s">
        <v>272</v>
      </c>
      <c r="B7" t="s">
        <v>235</v>
      </c>
      <c r="C7" s="188">
        <v>5805.7370000000001</v>
      </c>
      <c r="D7">
        <v>132.43700000000001</v>
      </c>
      <c r="E7">
        <v>41.940399999999997</v>
      </c>
      <c r="F7" s="188">
        <v>243495.1642</v>
      </c>
      <c r="G7" s="188">
        <v>768894.39110000001</v>
      </c>
      <c r="H7" s="188">
        <v>525399.22679999995</v>
      </c>
      <c r="I7" s="192">
        <f t="shared" si="0"/>
        <v>2.1577398817187676</v>
      </c>
    </row>
    <row r="8" spans="1:9">
      <c r="A8" s="168" t="s">
        <v>244</v>
      </c>
      <c r="B8" t="s">
        <v>233</v>
      </c>
      <c r="C8" s="188">
        <v>5841.7389999999996</v>
      </c>
      <c r="D8">
        <v>32.101399999999998</v>
      </c>
      <c r="E8">
        <v>23.964300000000001</v>
      </c>
      <c r="F8" s="188">
        <v>139992.99739999999</v>
      </c>
      <c r="G8" s="188">
        <v>187528.00030000001</v>
      </c>
      <c r="H8" s="188">
        <v>47535.002899999999</v>
      </c>
      <c r="I8" s="192">
        <f t="shared" si="0"/>
        <v>0.33955271894192618</v>
      </c>
    </row>
    <row r="9" spans="1:9">
      <c r="A9" s="168" t="s">
        <v>273</v>
      </c>
      <c r="B9" t="s">
        <v>233</v>
      </c>
      <c r="C9" s="188">
        <v>82131.043999999994</v>
      </c>
      <c r="D9">
        <v>13.7768</v>
      </c>
      <c r="E9">
        <v>9.9227000000000007</v>
      </c>
      <c r="F9" s="188">
        <v>814959.2439</v>
      </c>
      <c r="G9" s="188">
        <v>1131502.9669999999</v>
      </c>
      <c r="H9" s="188">
        <v>316543.7231</v>
      </c>
      <c r="I9" s="192">
        <f t="shared" si="0"/>
        <v>0.38841662999633597</v>
      </c>
    </row>
    <row r="10" spans="1:9">
      <c r="A10" s="168" t="s">
        <v>246</v>
      </c>
      <c r="B10" t="s">
        <v>241</v>
      </c>
      <c r="C10" s="188">
        <v>61039.958500000001</v>
      </c>
      <c r="D10">
        <v>14.5276</v>
      </c>
      <c r="E10">
        <v>12.130800000000001</v>
      </c>
      <c r="F10" s="188">
        <v>740462.99569999997</v>
      </c>
      <c r="G10" s="188">
        <v>886764.10109999997</v>
      </c>
      <c r="H10" s="188">
        <v>146301.10550000001</v>
      </c>
      <c r="I10" s="192">
        <f t="shared" si="0"/>
        <v>0.19758057640907983</v>
      </c>
    </row>
    <row r="11" spans="1:9">
      <c r="A11" s="168" t="s">
        <v>247</v>
      </c>
      <c r="B11" t="s">
        <v>241</v>
      </c>
      <c r="C11" s="188">
        <v>25970.294000000002</v>
      </c>
      <c r="D11">
        <v>15.887600000000001</v>
      </c>
      <c r="E11">
        <v>12.7254</v>
      </c>
      <c r="F11" s="188">
        <v>330483.46730000002</v>
      </c>
      <c r="G11" s="188">
        <v>412605.64299999998</v>
      </c>
      <c r="H11" s="188">
        <v>82122.175700000007</v>
      </c>
      <c r="I11" s="192">
        <f t="shared" si="0"/>
        <v>0.24849102549947738</v>
      </c>
    </row>
    <row r="12" spans="1:9">
      <c r="A12" s="168" t="s">
        <v>250</v>
      </c>
      <c r="B12" t="s">
        <v>251</v>
      </c>
      <c r="C12" s="188">
        <v>19397.659</v>
      </c>
      <c r="D12">
        <v>77.769599999999997</v>
      </c>
      <c r="E12">
        <v>44.640599999999999</v>
      </c>
      <c r="F12" s="188">
        <v>865923.00470000005</v>
      </c>
      <c r="G12" s="188">
        <v>1508548.1813999999</v>
      </c>
      <c r="H12" s="188">
        <v>642625.17669999995</v>
      </c>
      <c r="I12" s="192">
        <f t="shared" si="0"/>
        <v>0.74212738686003399</v>
      </c>
    </row>
    <row r="13" spans="1:9">
      <c r="A13" s="168" t="s">
        <v>274</v>
      </c>
      <c r="B13" t="s">
        <v>233</v>
      </c>
      <c r="C13" s="188">
        <v>6809.741</v>
      </c>
      <c r="D13">
        <v>44.69</v>
      </c>
      <c r="E13">
        <v>35.241999999999997</v>
      </c>
      <c r="F13" s="188">
        <v>239988.8371</v>
      </c>
      <c r="G13" s="188">
        <v>304327.32530000003</v>
      </c>
      <c r="H13" s="188">
        <v>64338.4882</v>
      </c>
      <c r="I13" s="192">
        <f t="shared" si="0"/>
        <v>0.26808950356799743</v>
      </c>
    </row>
    <row r="14" spans="1:9">
      <c r="A14" s="168" t="s">
        <v>253</v>
      </c>
      <c r="B14" t="s">
        <v>235</v>
      </c>
      <c r="C14" s="188">
        <v>3350.0770000000002</v>
      </c>
      <c r="D14">
        <v>260.13200000000001</v>
      </c>
      <c r="E14">
        <v>170.24350000000001</v>
      </c>
      <c r="F14" s="188">
        <v>570328.72050000005</v>
      </c>
      <c r="G14" s="188">
        <v>871462.23019999999</v>
      </c>
      <c r="H14" s="188">
        <v>301133.5097</v>
      </c>
      <c r="I14" s="192">
        <f t="shared" si="0"/>
        <v>0.52799990404831798</v>
      </c>
    </row>
    <row r="15" spans="1:9">
      <c r="A15" s="168" t="s">
        <v>255</v>
      </c>
      <c r="B15" t="s">
        <v>241</v>
      </c>
      <c r="C15" s="188">
        <v>18996.168000000001</v>
      </c>
      <c r="D15">
        <v>24.753699999999998</v>
      </c>
      <c r="E15">
        <v>9.4700000000000006</v>
      </c>
      <c r="F15" s="188">
        <v>179893.71100000001</v>
      </c>
      <c r="G15" s="188">
        <v>470225.44380000001</v>
      </c>
      <c r="H15" s="188">
        <v>290331.7329</v>
      </c>
      <c r="I15" s="192">
        <f t="shared" si="0"/>
        <v>1.6139070748282023</v>
      </c>
    </row>
    <row r="16" spans="1:9">
      <c r="A16" s="168"/>
      <c r="B16"/>
      <c r="C16" s="188"/>
      <c r="D16"/>
      <c r="E16"/>
      <c r="F16" s="188"/>
      <c r="G16" s="188"/>
      <c r="H16" s="188"/>
      <c r="I16" s="192"/>
    </row>
    <row r="17" spans="1:9">
      <c r="A17" s="168"/>
      <c r="B17"/>
      <c r="C17" s="188"/>
      <c r="D17"/>
      <c r="E17"/>
      <c r="F17" s="188"/>
      <c r="G17" s="188"/>
      <c r="H17" s="188"/>
      <c r="I17" s="192"/>
    </row>
    <row r="18" spans="1:9">
      <c r="A18" s="74" t="s">
        <v>11</v>
      </c>
      <c r="B18" s="75"/>
      <c r="C18" s="75">
        <f>SUM(C2:C17)</f>
        <v>276522.87349999999</v>
      </c>
      <c r="D18" s="75"/>
      <c r="E18" s="75"/>
      <c r="F18" s="75">
        <f>SUM(F2:F17)</f>
        <v>6641526.8736000005</v>
      </c>
      <c r="G18" s="75">
        <f>SUM(G2:G17)</f>
        <v>11279960.4889</v>
      </c>
      <c r="H18" s="75">
        <f>SUM(H2:H17)</f>
        <v>4638433.6152999997</v>
      </c>
      <c r="I18" s="53">
        <f t="shared" si="0"/>
        <v>0.69839868204670297</v>
      </c>
    </row>
  </sheetData>
  <hyperlinks>
    <hyperlink ref="A2" r:id="rId1" location="/mf/1831632/15690/NULL" xr:uid="{E60E287F-ADE6-4258-B6A2-A70357E51C50}"/>
    <hyperlink ref="A3" r:id="rId2" location="/mf/1831632/22335/NULL" xr:uid="{E3A66ACA-A9B9-4A6A-81D1-A220AE2BAA37}"/>
    <hyperlink ref="A4" r:id="rId3" location="/mf/1831632/38817/NULL" xr:uid="{8BFC0CB4-C304-449B-9C75-B79C1EBED3A7}"/>
    <hyperlink ref="A5" r:id="rId4" location="/mf/1831632/16071/NULL" xr:uid="{975A2A76-0A0D-406D-88B6-EDF85659E76B}"/>
    <hyperlink ref="A6" r:id="rId5" location="/mf/1831632/16617/NULL" xr:uid="{8221BF48-B07C-4158-A6B8-8E98F49BD002}"/>
    <hyperlink ref="A7" r:id="rId6" location="/mf/1831632/17134/NULL" xr:uid="{C45C6FBE-A8A8-4C1A-B367-D6208A6D01F6}"/>
    <hyperlink ref="A8" r:id="rId7" location="/mf/1831632/38228/NULL" xr:uid="{DB57524B-C363-49D3-AB74-E81AB8DF8CB3}"/>
    <hyperlink ref="A9" r:id="rId8" location="/mf/1831632/42135/NULL" xr:uid="{5680851A-3923-4452-9E13-C8BE870146A0}"/>
    <hyperlink ref="A10" r:id="rId9" location="/mf/1831632/41574/NULL" xr:uid="{21FA7CBB-E5BA-4D53-B16C-1C91314B302C}"/>
    <hyperlink ref="A11" r:id="rId10" location="/mf/1831632/41937/NULL" xr:uid="{A295ED55-1C50-4475-9894-261E79FF1DE3}"/>
    <hyperlink ref="A12" r:id="rId11" location="/mf/1831632/19701/NULL" xr:uid="{106479B3-FF7E-4E58-90E5-4FFAC537C2D2}"/>
    <hyperlink ref="A13" r:id="rId12" location="/mf/1831632/17348/NULL" xr:uid="{F4562F75-7C1E-485D-836C-2C10A7F63EBA}"/>
    <hyperlink ref="A14" r:id="rId13" location="/mf/1831632/17375/NULL" xr:uid="{59DBB410-0FF6-4C09-95A2-634CB5B3011A}"/>
    <hyperlink ref="A15" r:id="rId14" location="/mf/1831632/36491/NULL" xr:uid="{8DEFE6CD-97A8-4351-A994-164B64B5663E}"/>
  </hyperlinks>
  <pageMargins left="0.7" right="0.7" top="0.75" bottom="0.75" header="0.3" footer="0.3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E22C-80FF-4D80-B1AD-D56D148540BA}">
  <dimension ref="A1:I104"/>
  <sheetViews>
    <sheetView workbookViewId="0">
      <pane xSplit="1" ySplit="1" topLeftCell="B78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143</v>
      </c>
      <c r="B2" s="150">
        <v>100</v>
      </c>
      <c r="C2" s="150">
        <v>109.73</v>
      </c>
      <c r="D2" s="150">
        <v>100.98</v>
      </c>
      <c r="E2" s="150">
        <v>10098</v>
      </c>
      <c r="F2" s="150">
        <v>-874.5</v>
      </c>
      <c r="G2" s="151">
        <f t="shared" ref="G2:G65" si="0">E2-F2</f>
        <v>10972.5</v>
      </c>
      <c r="H2" s="191">
        <f t="shared" ref="H2:H14" si="1">F2/G2</f>
        <v>-7.9699248120300756E-2</v>
      </c>
    </row>
    <row r="3" spans="1:8" ht="15.75">
      <c r="A3" s="149" t="s">
        <v>264</v>
      </c>
      <c r="B3" s="150">
        <v>13</v>
      </c>
      <c r="C3" s="150">
        <v>133.75</v>
      </c>
      <c r="D3" s="150">
        <v>935.5</v>
      </c>
      <c r="E3" s="150">
        <v>12161.5</v>
      </c>
      <c r="F3" s="150">
        <v>10422.75</v>
      </c>
      <c r="G3" s="151">
        <f t="shared" si="0"/>
        <v>1738.75</v>
      </c>
      <c r="H3" s="191">
        <f t="shared" si="1"/>
        <v>5.9943925233644864</v>
      </c>
    </row>
    <row r="4" spans="1:8" ht="15.75">
      <c r="A4" s="149" t="s">
        <v>144</v>
      </c>
      <c r="B4" s="150">
        <v>25</v>
      </c>
      <c r="C4" s="150">
        <v>813.47</v>
      </c>
      <c r="D4" s="150">
        <v>2215</v>
      </c>
      <c r="E4" s="150">
        <v>55375</v>
      </c>
      <c r="F4" s="150">
        <v>35038.35</v>
      </c>
      <c r="G4" s="151">
        <f t="shared" si="0"/>
        <v>20336.650000000001</v>
      </c>
      <c r="H4" s="191">
        <f t="shared" si="1"/>
        <v>1.7229165078810913</v>
      </c>
    </row>
    <row r="5" spans="1:8" ht="15.75">
      <c r="A5" s="149" t="s">
        <v>145</v>
      </c>
      <c r="B5" s="150">
        <v>250</v>
      </c>
      <c r="C5" s="150">
        <v>183.59</v>
      </c>
      <c r="D5" s="150">
        <v>510.1</v>
      </c>
      <c r="E5" s="150">
        <v>127525</v>
      </c>
      <c r="F5" s="150">
        <v>81627.5</v>
      </c>
      <c r="G5" s="151">
        <f t="shared" si="0"/>
        <v>45897.5</v>
      </c>
      <c r="H5" s="191">
        <f t="shared" si="1"/>
        <v>1.7784737730813225</v>
      </c>
    </row>
    <row r="6" spans="1:8" ht="15.75">
      <c r="A6" s="149" t="s">
        <v>275</v>
      </c>
      <c r="B6" s="150">
        <v>165</v>
      </c>
      <c r="C6" s="150">
        <v>160.15</v>
      </c>
      <c r="D6" s="150">
        <v>192.65</v>
      </c>
      <c r="E6" s="150">
        <v>31787.25</v>
      </c>
      <c r="F6" s="150">
        <v>5362.5</v>
      </c>
      <c r="G6" s="151">
        <f t="shared" si="0"/>
        <v>26424.75</v>
      </c>
      <c r="H6" s="191">
        <f t="shared" si="1"/>
        <v>0.20293474867311895</v>
      </c>
    </row>
    <row r="7" spans="1:8" ht="15.75">
      <c r="A7" s="149" t="s">
        <v>276</v>
      </c>
      <c r="B7" s="150">
        <v>28</v>
      </c>
      <c r="C7" s="150">
        <v>2757.87</v>
      </c>
      <c r="D7" s="150">
        <v>2871.3</v>
      </c>
      <c r="E7" s="150">
        <v>80396.399999999994</v>
      </c>
      <c r="F7" s="150">
        <v>3176</v>
      </c>
      <c r="G7" s="151">
        <f t="shared" si="0"/>
        <v>77220.399999999994</v>
      </c>
      <c r="H7" s="191">
        <f t="shared" si="1"/>
        <v>4.1129028080662627E-2</v>
      </c>
    </row>
    <row r="8" spans="1:8" ht="15.75">
      <c r="A8" s="149" t="s">
        <v>277</v>
      </c>
      <c r="B8" s="150">
        <v>97</v>
      </c>
      <c r="C8" s="150">
        <v>578.23</v>
      </c>
      <c r="D8" s="150">
        <v>633.6</v>
      </c>
      <c r="E8" s="150">
        <v>61459.199999999997</v>
      </c>
      <c r="F8" s="150">
        <v>5371</v>
      </c>
      <c r="G8" s="151">
        <f t="shared" si="0"/>
        <v>56088.2</v>
      </c>
      <c r="H8" s="191">
        <f t="shared" si="1"/>
        <v>9.5759892455097514E-2</v>
      </c>
    </row>
    <row r="9" spans="1:8" ht="15.75">
      <c r="A9" s="149" t="s">
        <v>146</v>
      </c>
      <c r="B9" s="150">
        <v>62</v>
      </c>
      <c r="C9" s="150">
        <v>708.24</v>
      </c>
      <c r="D9" s="150">
        <v>1166.1500000000001</v>
      </c>
      <c r="E9" s="150">
        <v>72301.3</v>
      </c>
      <c r="F9" s="150">
        <v>28390.7</v>
      </c>
      <c r="G9" s="151">
        <f t="shared" si="0"/>
        <v>43910.600000000006</v>
      </c>
      <c r="H9" s="191">
        <f t="shared" si="1"/>
        <v>0.64655686781779331</v>
      </c>
    </row>
    <row r="10" spans="1:8" ht="15.75">
      <c r="A10" s="149" t="s">
        <v>147</v>
      </c>
      <c r="B10" s="150">
        <v>21</v>
      </c>
      <c r="C10" s="150">
        <v>2946.68</v>
      </c>
      <c r="D10" s="150">
        <v>8938.6</v>
      </c>
      <c r="E10" s="150">
        <v>187710.6</v>
      </c>
      <c r="F10" s="150">
        <v>125830.35</v>
      </c>
      <c r="G10" s="151">
        <f t="shared" si="0"/>
        <v>61880.25</v>
      </c>
      <c r="H10" s="191">
        <f t="shared" si="1"/>
        <v>2.0334492830911319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6931.05</v>
      </c>
      <c r="E11" s="150">
        <v>55448.4</v>
      </c>
      <c r="F11" s="150">
        <v>1600.05</v>
      </c>
      <c r="G11" s="151">
        <f t="shared" si="0"/>
        <v>53848.35</v>
      </c>
      <c r="H11" s="191">
        <f t="shared" si="1"/>
        <v>2.9714002378902975E-2</v>
      </c>
    </row>
    <row r="12" spans="1:8" ht="15.75">
      <c r="A12" s="149" t="s">
        <v>149</v>
      </c>
      <c r="B12" s="150">
        <v>12</v>
      </c>
      <c r="C12" s="150">
        <v>2238.41</v>
      </c>
      <c r="D12" s="150">
        <v>2429.9</v>
      </c>
      <c r="E12" s="150">
        <v>29158.799999999999</v>
      </c>
      <c r="F12" s="150">
        <v>2297.9</v>
      </c>
      <c r="G12" s="151">
        <f t="shared" si="0"/>
        <v>26860.899999999998</v>
      </c>
      <c r="H12" s="191">
        <f t="shared" si="1"/>
        <v>8.5548138744420341E-2</v>
      </c>
    </row>
    <row r="13" spans="1:8" ht="15.75">
      <c r="A13" s="149" t="s">
        <v>150</v>
      </c>
      <c r="B13" s="150">
        <v>184</v>
      </c>
      <c r="C13" s="150">
        <v>185</v>
      </c>
      <c r="D13" s="150">
        <v>281.60000000000002</v>
      </c>
      <c r="E13" s="150">
        <v>51814.400000000001</v>
      </c>
      <c r="F13" s="150">
        <v>17774.400000000001</v>
      </c>
      <c r="G13" s="151">
        <f t="shared" si="0"/>
        <v>34040</v>
      </c>
      <c r="H13" s="191">
        <f t="shared" si="1"/>
        <v>0.52216216216216216</v>
      </c>
    </row>
    <row r="14" spans="1:8" ht="15.75">
      <c r="A14" s="149" t="s">
        <v>152</v>
      </c>
      <c r="B14" s="150">
        <v>180</v>
      </c>
      <c r="C14" s="150">
        <v>322.89</v>
      </c>
      <c r="D14" s="150">
        <v>1324.4</v>
      </c>
      <c r="E14" s="150">
        <v>238392</v>
      </c>
      <c r="F14" s="150">
        <v>180272</v>
      </c>
      <c r="G14" s="151">
        <f t="shared" si="0"/>
        <v>58120</v>
      </c>
      <c r="H14" s="191">
        <f t="shared" si="1"/>
        <v>3.1017205781142465</v>
      </c>
    </row>
    <row r="15" spans="1:8" ht="15.75">
      <c r="A15" s="149" t="s">
        <v>153</v>
      </c>
      <c r="B15" s="150">
        <v>61</v>
      </c>
      <c r="C15" s="150">
        <v>427.78</v>
      </c>
      <c r="D15" s="150">
        <v>1032.9000000000001</v>
      </c>
      <c r="E15" s="150">
        <v>63006.9</v>
      </c>
      <c r="F15" s="150">
        <v>36912.300000000003</v>
      </c>
      <c r="G15" s="151">
        <f t="shared" si="0"/>
        <v>26094.6</v>
      </c>
      <c r="H15" s="191">
        <v>0</v>
      </c>
    </row>
    <row r="16" spans="1:8" ht="15.75">
      <c r="A16" s="149" t="s">
        <v>304</v>
      </c>
      <c r="B16" s="150">
        <v>6</v>
      </c>
      <c r="C16" s="150">
        <v>0</v>
      </c>
      <c r="D16" s="150">
        <v>30.26</v>
      </c>
      <c r="E16" s="150">
        <v>181.56</v>
      </c>
      <c r="F16" s="150">
        <v>181.56</v>
      </c>
      <c r="G16" s="151">
        <f t="shared" si="0"/>
        <v>0</v>
      </c>
      <c r="H16" s="191" t="e">
        <f t="shared" ref="H16:H79" si="2">F16/G16</f>
        <v>#DIV/0!</v>
      </c>
    </row>
    <row r="17" spans="1:8" ht="16.5">
      <c r="A17" s="149" t="s">
        <v>154</v>
      </c>
      <c r="B17" s="150">
        <v>14</v>
      </c>
      <c r="C17" s="150">
        <v>3489.94</v>
      </c>
      <c r="D17" s="150">
        <v>4775.95</v>
      </c>
      <c r="E17" s="150">
        <v>66863.3</v>
      </c>
      <c r="F17" s="150">
        <v>18004.2</v>
      </c>
      <c r="G17" s="151">
        <f t="shared" si="0"/>
        <v>48859.100000000006</v>
      </c>
      <c r="H17" s="191"/>
    </row>
    <row r="18" spans="1:8" ht="15.75">
      <c r="A18" s="149" t="s">
        <v>278</v>
      </c>
      <c r="B18" s="150">
        <v>69</v>
      </c>
      <c r="C18" s="150">
        <v>536.45000000000005</v>
      </c>
      <c r="D18" s="150">
        <v>621.95000000000005</v>
      </c>
      <c r="E18" s="150">
        <v>42914.55</v>
      </c>
      <c r="F18" s="150">
        <v>5899.5</v>
      </c>
      <c r="G18" s="151">
        <f t="shared" si="0"/>
        <v>37015.050000000003</v>
      </c>
      <c r="H18" s="191">
        <f t="shared" si="2"/>
        <v>0.1593811165998695</v>
      </c>
    </row>
    <row r="19" spans="1:8" ht="15.75">
      <c r="A19" s="149" t="s">
        <v>155</v>
      </c>
      <c r="B19" s="150">
        <v>180</v>
      </c>
      <c r="C19" s="150">
        <v>155.25</v>
      </c>
      <c r="D19" s="150">
        <v>210.9</v>
      </c>
      <c r="E19" s="150">
        <v>37962</v>
      </c>
      <c r="F19" s="150">
        <v>10017</v>
      </c>
      <c r="G19" s="151">
        <f t="shared" si="0"/>
        <v>27945</v>
      </c>
      <c r="H19" s="191">
        <f t="shared" si="2"/>
        <v>0.35845410628019325</v>
      </c>
    </row>
    <row r="20" spans="1:8" ht="15.75">
      <c r="A20" s="149" t="s">
        <v>156</v>
      </c>
      <c r="B20" s="150">
        <v>47</v>
      </c>
      <c r="C20" s="150">
        <v>193.53</v>
      </c>
      <c r="D20" s="150">
        <v>490.85</v>
      </c>
      <c r="E20" s="150">
        <v>23069.95</v>
      </c>
      <c r="F20" s="150">
        <v>13974.05</v>
      </c>
      <c r="G20" s="151">
        <f t="shared" si="0"/>
        <v>9095.9000000000015</v>
      </c>
      <c r="H20" s="191">
        <f t="shared" si="2"/>
        <v>1.53630207016348</v>
      </c>
    </row>
    <row r="21" spans="1:8" ht="15.75">
      <c r="A21" s="149" t="s">
        <v>157</v>
      </c>
      <c r="B21" s="150">
        <v>40</v>
      </c>
      <c r="C21" s="150">
        <v>908.4</v>
      </c>
      <c r="D21" s="150">
        <v>1402.2</v>
      </c>
      <c r="E21" s="150">
        <v>56088</v>
      </c>
      <c r="F21" s="150">
        <v>19752.150000000001</v>
      </c>
      <c r="G21" s="151">
        <f t="shared" si="0"/>
        <v>36335.85</v>
      </c>
      <c r="H21" s="191">
        <f t="shared" si="2"/>
        <v>0.5435995029702072</v>
      </c>
    </row>
    <row r="22" spans="1:8" ht="15.75">
      <c r="A22" s="149" t="s">
        <v>158</v>
      </c>
      <c r="B22" s="150">
        <v>470</v>
      </c>
      <c r="C22" s="150">
        <v>194.39</v>
      </c>
      <c r="D22" s="150">
        <v>453</v>
      </c>
      <c r="E22" s="150">
        <v>212910</v>
      </c>
      <c r="F22" s="150">
        <v>121546.5</v>
      </c>
      <c r="G22" s="151">
        <f t="shared" si="0"/>
        <v>91363.5</v>
      </c>
      <c r="H22" s="191">
        <f t="shared" si="2"/>
        <v>1.3303616871069956</v>
      </c>
    </row>
    <row r="23" spans="1:8" ht="15.75">
      <c r="A23" s="149" t="s">
        <v>159</v>
      </c>
      <c r="B23" s="150">
        <v>13</v>
      </c>
      <c r="C23" s="150">
        <v>4545.26</v>
      </c>
      <c r="D23" s="150">
        <v>5103.25</v>
      </c>
      <c r="E23" s="150">
        <v>66342.25</v>
      </c>
      <c r="F23" s="150">
        <v>7253.85</v>
      </c>
      <c r="G23" s="151">
        <f t="shared" si="0"/>
        <v>59088.4</v>
      </c>
      <c r="H23" s="191">
        <f t="shared" si="2"/>
        <v>0.12276267423047502</v>
      </c>
    </row>
    <row r="24" spans="1:8" ht="15.75">
      <c r="A24" s="149" t="s">
        <v>160</v>
      </c>
      <c r="B24" s="150">
        <v>21</v>
      </c>
      <c r="C24" s="150">
        <v>1503.03</v>
      </c>
      <c r="D24" s="150">
        <v>2824.85</v>
      </c>
      <c r="E24" s="150">
        <v>59321.85</v>
      </c>
      <c r="F24" s="150">
        <v>27758.15</v>
      </c>
      <c r="G24" s="151">
        <f t="shared" si="0"/>
        <v>31563.699999999997</v>
      </c>
      <c r="H24" s="191">
        <f t="shared" si="2"/>
        <v>0.87943270275664776</v>
      </c>
    </row>
    <row r="25" spans="1:8" ht="15.75">
      <c r="A25" s="149" t="s">
        <v>279</v>
      </c>
      <c r="B25" s="150">
        <v>98</v>
      </c>
      <c r="C25" s="150">
        <v>555.05999999999995</v>
      </c>
      <c r="D25" s="150">
        <v>507.75</v>
      </c>
      <c r="E25" s="150">
        <v>49759.5</v>
      </c>
      <c r="F25" s="150">
        <v>-4636.55</v>
      </c>
      <c r="G25" s="151">
        <f t="shared" si="0"/>
        <v>54396.05</v>
      </c>
      <c r="H25" s="191">
        <f t="shared" si="2"/>
        <v>-8.5236887604890427E-2</v>
      </c>
    </row>
    <row r="26" spans="1:8" ht="15.75">
      <c r="A26" s="149" t="s">
        <v>161</v>
      </c>
      <c r="B26" s="150">
        <v>60</v>
      </c>
      <c r="C26" s="150">
        <v>356.27</v>
      </c>
      <c r="D26" s="150">
        <v>892</v>
      </c>
      <c r="E26" s="150">
        <v>53520</v>
      </c>
      <c r="F26" s="150">
        <v>32143.85</v>
      </c>
      <c r="G26" s="151">
        <f t="shared" si="0"/>
        <v>21376.15</v>
      </c>
      <c r="H26" s="191">
        <f t="shared" si="2"/>
        <v>1.50372494579239</v>
      </c>
    </row>
    <row r="27" spans="1:8" ht="15.75">
      <c r="A27" s="149" t="s">
        <v>162</v>
      </c>
      <c r="B27" s="150">
        <v>14</v>
      </c>
      <c r="C27" s="150">
        <v>3289.33</v>
      </c>
      <c r="D27" s="150">
        <v>4603.8</v>
      </c>
      <c r="E27" s="150">
        <v>64453.2</v>
      </c>
      <c r="F27" s="150">
        <v>18402.650000000001</v>
      </c>
      <c r="G27" s="151">
        <f t="shared" si="0"/>
        <v>46050.549999999996</v>
      </c>
      <c r="H27" s="191">
        <f t="shared" si="2"/>
        <v>0.39961846275451657</v>
      </c>
    </row>
    <row r="28" spans="1:8" ht="15.75">
      <c r="A28" s="149" t="s">
        <v>163</v>
      </c>
      <c r="B28" s="150">
        <v>10</v>
      </c>
      <c r="C28" s="150">
        <v>4623.5</v>
      </c>
      <c r="D28" s="150">
        <v>6198.9</v>
      </c>
      <c r="E28" s="150">
        <v>61989</v>
      </c>
      <c r="F28" s="150">
        <v>15754.05</v>
      </c>
      <c r="G28" s="151">
        <f t="shared" si="0"/>
        <v>46234.95</v>
      </c>
      <c r="H28" s="191">
        <f t="shared" si="2"/>
        <v>0.34073898641612027</v>
      </c>
    </row>
    <row r="29" spans="1:8" ht="15.75">
      <c r="A29" s="149" t="s">
        <v>164</v>
      </c>
      <c r="B29" s="150">
        <v>8</v>
      </c>
      <c r="C29" s="150">
        <v>2511.94</v>
      </c>
      <c r="D29" s="150">
        <v>4597.3999999999996</v>
      </c>
      <c r="E29" s="150">
        <v>36779.199999999997</v>
      </c>
      <c r="F29" s="150">
        <v>16683.7</v>
      </c>
      <c r="G29" s="151">
        <f t="shared" si="0"/>
        <v>20095.499999999996</v>
      </c>
      <c r="H29" s="191">
        <f t="shared" si="2"/>
        <v>0.83022069617576089</v>
      </c>
    </row>
    <row r="30" spans="1:8" ht="15.75">
      <c r="A30" s="149" t="s">
        <v>270</v>
      </c>
      <c r="B30" s="150">
        <v>46</v>
      </c>
      <c r="C30" s="150">
        <v>354.73</v>
      </c>
      <c r="D30" s="150">
        <v>360</v>
      </c>
      <c r="E30" s="150">
        <v>16560</v>
      </c>
      <c r="F30" s="150">
        <v>242.26</v>
      </c>
      <c r="G30" s="151">
        <f t="shared" si="0"/>
        <v>16317.74</v>
      </c>
      <c r="H30" s="191">
        <f t="shared" si="2"/>
        <v>1.4846418682979383E-2</v>
      </c>
    </row>
    <row r="31" spans="1:8" ht="15.75">
      <c r="A31" s="149" t="s">
        <v>166</v>
      </c>
      <c r="B31" s="150">
        <v>23</v>
      </c>
      <c r="C31" s="150">
        <v>1408.96</v>
      </c>
      <c r="D31" s="150">
        <v>1992.95</v>
      </c>
      <c r="E31" s="150">
        <v>45837.85</v>
      </c>
      <c r="F31" s="150">
        <v>13431.85</v>
      </c>
      <c r="G31" s="151">
        <f t="shared" si="0"/>
        <v>32406</v>
      </c>
      <c r="H31" s="191">
        <f t="shared" si="2"/>
        <v>0.41448651484293031</v>
      </c>
    </row>
    <row r="32" spans="1:8" ht="15.75">
      <c r="A32" s="149" t="s">
        <v>168</v>
      </c>
      <c r="B32" s="150">
        <v>80</v>
      </c>
      <c r="C32" s="150">
        <v>685.74</v>
      </c>
      <c r="D32" s="150">
        <v>895.95</v>
      </c>
      <c r="E32" s="150">
        <v>71676</v>
      </c>
      <c r="F32" s="150">
        <v>16817</v>
      </c>
      <c r="G32" s="151">
        <f t="shared" si="0"/>
        <v>54859</v>
      </c>
      <c r="H32" s="191">
        <f t="shared" si="2"/>
        <v>0.30654951785486428</v>
      </c>
    </row>
    <row r="33" spans="1:8" ht="15.75">
      <c r="A33" s="149" t="s">
        <v>169</v>
      </c>
      <c r="B33" s="150">
        <v>268</v>
      </c>
      <c r="C33" s="150">
        <v>181.75</v>
      </c>
      <c r="D33" s="150">
        <v>472.4</v>
      </c>
      <c r="E33" s="150">
        <v>126603.2</v>
      </c>
      <c r="F33" s="150">
        <v>77893.45</v>
      </c>
      <c r="G33" s="151">
        <f t="shared" si="0"/>
        <v>48709.75</v>
      </c>
      <c r="H33" s="191">
        <f t="shared" si="2"/>
        <v>1.5991346701635709</v>
      </c>
    </row>
    <row r="34" spans="1:8" ht="15.75">
      <c r="A34" s="149" t="s">
        <v>170</v>
      </c>
      <c r="B34" s="150">
        <v>323</v>
      </c>
      <c r="C34" s="150">
        <v>83.87</v>
      </c>
      <c r="D34" s="150">
        <v>162.6</v>
      </c>
      <c r="E34" s="150">
        <v>52519.8</v>
      </c>
      <c r="F34" s="150">
        <v>25428.799999999999</v>
      </c>
      <c r="G34" s="151">
        <f t="shared" si="0"/>
        <v>27091.000000000004</v>
      </c>
      <c r="H34" s="191">
        <f t="shared" si="2"/>
        <v>0.93864383005426144</v>
      </c>
    </row>
    <row r="35" spans="1:8" ht="15.75">
      <c r="A35" s="149" t="s">
        <v>172</v>
      </c>
      <c r="B35" s="150">
        <v>18</v>
      </c>
      <c r="C35" s="150">
        <v>1556.41</v>
      </c>
      <c r="D35" s="150">
        <v>2648.55</v>
      </c>
      <c r="E35" s="150">
        <v>47673.9</v>
      </c>
      <c r="F35" s="150">
        <v>19658.55</v>
      </c>
      <c r="G35" s="151">
        <f t="shared" si="0"/>
        <v>28015.350000000002</v>
      </c>
      <c r="H35" s="191">
        <f t="shared" si="2"/>
        <v>0.70170638596340928</v>
      </c>
    </row>
    <row r="36" spans="1:8" ht="15.75">
      <c r="A36" s="149" t="s">
        <v>281</v>
      </c>
      <c r="B36" s="150">
        <v>124</v>
      </c>
      <c r="C36" s="150">
        <v>304.87</v>
      </c>
      <c r="D36" s="150">
        <v>423.3</v>
      </c>
      <c r="E36" s="150">
        <v>52489.2</v>
      </c>
      <c r="F36" s="150">
        <v>14685.8</v>
      </c>
      <c r="G36" s="151">
        <f t="shared" si="0"/>
        <v>37803.399999999994</v>
      </c>
      <c r="H36" s="191">
        <f t="shared" si="2"/>
        <v>0.38847828502198217</v>
      </c>
    </row>
    <row r="37" spans="1:8" ht="15.75">
      <c r="A37" s="149" t="s">
        <v>174</v>
      </c>
      <c r="B37" s="150">
        <v>67</v>
      </c>
      <c r="C37" s="150">
        <v>1067.9000000000001</v>
      </c>
      <c r="D37" s="150">
        <v>1367.55</v>
      </c>
      <c r="E37" s="150">
        <v>91625.85</v>
      </c>
      <c r="F37" s="150">
        <v>20076.849999999999</v>
      </c>
      <c r="G37" s="151">
        <f t="shared" si="0"/>
        <v>71549</v>
      </c>
      <c r="H37" s="191">
        <f t="shared" si="2"/>
        <v>0.28060280367300727</v>
      </c>
    </row>
    <row r="38" spans="1:8" ht="15.75">
      <c r="A38" s="149" t="s">
        <v>175</v>
      </c>
      <c r="B38" s="150">
        <v>34</v>
      </c>
      <c r="C38" s="150">
        <v>1623.57</v>
      </c>
      <c r="D38" s="150">
        <v>1520.1</v>
      </c>
      <c r="E38" s="150">
        <v>51683.4</v>
      </c>
      <c r="F38" s="150">
        <v>-3518.1</v>
      </c>
      <c r="G38" s="151">
        <f t="shared" si="0"/>
        <v>55201.5</v>
      </c>
      <c r="H38" s="191">
        <f t="shared" si="2"/>
        <v>-6.3731963805331374E-2</v>
      </c>
    </row>
    <row r="39" spans="1:8" ht="15.75">
      <c r="A39" s="149" t="s">
        <v>176</v>
      </c>
      <c r="B39" s="150">
        <v>141</v>
      </c>
      <c r="C39" s="150">
        <v>587.25</v>
      </c>
      <c r="D39" s="150">
        <v>583.65</v>
      </c>
      <c r="E39" s="150">
        <v>82294.649999999994</v>
      </c>
      <c r="F39" s="150">
        <v>-506.95</v>
      </c>
      <c r="G39" s="151">
        <f t="shared" si="0"/>
        <v>82801.599999999991</v>
      </c>
      <c r="H39" s="191">
        <f t="shared" si="2"/>
        <v>-6.1224662325365699E-3</v>
      </c>
    </row>
    <row r="40" spans="1:8" ht="15.75">
      <c r="A40" s="149" t="s">
        <v>177</v>
      </c>
      <c r="B40" s="150">
        <v>10</v>
      </c>
      <c r="C40" s="150">
        <v>2735.04</v>
      </c>
      <c r="D40" s="150">
        <v>4543.05</v>
      </c>
      <c r="E40" s="150">
        <v>45430.5</v>
      </c>
      <c r="F40" s="150">
        <v>18080.099999999999</v>
      </c>
      <c r="G40" s="151">
        <f t="shared" si="0"/>
        <v>27350.400000000001</v>
      </c>
      <c r="H40" s="191">
        <f t="shared" si="2"/>
        <v>0.66105431730431718</v>
      </c>
    </row>
    <row r="41" spans="1:8" ht="15.75">
      <c r="A41" s="149" t="s">
        <v>282</v>
      </c>
      <c r="B41" s="150">
        <v>28</v>
      </c>
      <c r="C41" s="150">
        <v>2303.96</v>
      </c>
      <c r="D41" s="150">
        <v>2231.65</v>
      </c>
      <c r="E41" s="150">
        <v>62486.2</v>
      </c>
      <c r="F41" s="150">
        <v>-2024.6</v>
      </c>
      <c r="G41" s="151">
        <f t="shared" si="0"/>
        <v>64510.799999999996</v>
      </c>
      <c r="H41" s="191">
        <f t="shared" si="2"/>
        <v>-3.1383892309504766E-2</v>
      </c>
    </row>
    <row r="42" spans="1:8" ht="15.75">
      <c r="A42" s="149" t="s">
        <v>178</v>
      </c>
      <c r="B42" s="150">
        <v>73</v>
      </c>
      <c r="C42" s="150">
        <v>589.26</v>
      </c>
      <c r="D42" s="150">
        <v>1149.9000000000001</v>
      </c>
      <c r="E42" s="150">
        <v>83942.7</v>
      </c>
      <c r="F42" s="150">
        <v>40927.050000000003</v>
      </c>
      <c r="G42" s="151">
        <f t="shared" si="0"/>
        <v>43015.649999999994</v>
      </c>
      <c r="H42" s="191">
        <f t="shared" si="2"/>
        <v>0.95144557852781508</v>
      </c>
    </row>
    <row r="43" spans="1:8" ht="15.75">
      <c r="A43" s="149" t="s">
        <v>151</v>
      </c>
      <c r="B43" s="150">
        <v>1500</v>
      </c>
      <c r="C43" s="150">
        <v>47.07</v>
      </c>
      <c r="D43" s="150">
        <v>49.77</v>
      </c>
      <c r="E43" s="150">
        <v>74655</v>
      </c>
      <c r="F43" s="150">
        <v>4052.55</v>
      </c>
      <c r="G43" s="151">
        <f t="shared" si="0"/>
        <v>70602.45</v>
      </c>
      <c r="H43" s="191">
        <f t="shared" si="2"/>
        <v>5.7399566162364059E-2</v>
      </c>
    </row>
    <row r="44" spans="1:8" ht="15.75">
      <c r="A44" s="149" t="s">
        <v>179</v>
      </c>
      <c r="B44" s="150">
        <v>67</v>
      </c>
      <c r="C44" s="150">
        <v>1272.7</v>
      </c>
      <c r="D44" s="150">
        <v>1710.65</v>
      </c>
      <c r="E44" s="150">
        <v>114613.55</v>
      </c>
      <c r="F44" s="150">
        <v>29342.400000000001</v>
      </c>
      <c r="G44" s="151">
        <f t="shared" si="0"/>
        <v>85271.15</v>
      </c>
      <c r="H44" s="191">
        <f t="shared" si="2"/>
        <v>0.34410700453787718</v>
      </c>
    </row>
    <row r="45" spans="1:8" ht="15.75">
      <c r="A45" s="149" t="s">
        <v>180</v>
      </c>
      <c r="B45" s="150">
        <v>150</v>
      </c>
      <c r="C45" s="150">
        <v>500</v>
      </c>
      <c r="D45" s="150">
        <v>572.9</v>
      </c>
      <c r="E45" s="150">
        <v>85935</v>
      </c>
      <c r="F45" s="150">
        <v>10934.9</v>
      </c>
      <c r="G45" s="151">
        <f t="shared" si="0"/>
        <v>75000.100000000006</v>
      </c>
      <c r="H45" s="191">
        <f t="shared" si="2"/>
        <v>0.14579847226870363</v>
      </c>
    </row>
    <row r="46" spans="1:8" ht="15.75">
      <c r="A46" s="149" t="s">
        <v>284</v>
      </c>
      <c r="B46" s="150">
        <v>35</v>
      </c>
      <c r="C46" s="150">
        <v>917.94</v>
      </c>
      <c r="D46" s="150">
        <v>1515.7</v>
      </c>
      <c r="E46" s="150">
        <v>53049.5</v>
      </c>
      <c r="F46" s="150">
        <v>20921.599999999999</v>
      </c>
      <c r="G46" s="151">
        <f t="shared" si="0"/>
        <v>32127.9</v>
      </c>
      <c r="H46" s="191">
        <f t="shared" si="2"/>
        <v>0.65119724600736428</v>
      </c>
    </row>
    <row r="47" spans="1:8" ht="15.75">
      <c r="A47" s="149" t="s">
        <v>181</v>
      </c>
      <c r="B47" s="150">
        <v>57</v>
      </c>
      <c r="C47" s="150">
        <v>1521.67</v>
      </c>
      <c r="D47" s="150">
        <v>1421.1</v>
      </c>
      <c r="E47" s="150">
        <v>81002.7</v>
      </c>
      <c r="F47" s="150">
        <v>-5732.7</v>
      </c>
      <c r="G47" s="151">
        <f t="shared" si="0"/>
        <v>86735.4</v>
      </c>
      <c r="H47" s="191">
        <f t="shared" si="2"/>
        <v>-6.6094120739628809E-2</v>
      </c>
    </row>
    <row r="48" spans="1:8" ht="15.75">
      <c r="A48" s="149" t="s">
        <v>182</v>
      </c>
      <c r="B48" s="150">
        <v>759</v>
      </c>
      <c r="C48" s="150">
        <v>229.74</v>
      </c>
      <c r="D48" s="150">
        <v>435.65</v>
      </c>
      <c r="E48" s="150">
        <v>330658.34999999998</v>
      </c>
      <c r="F48" s="150">
        <v>156282.79999999999</v>
      </c>
      <c r="G48" s="151">
        <f t="shared" si="0"/>
        <v>174375.55</v>
      </c>
      <c r="H48" s="191">
        <f t="shared" si="2"/>
        <v>0.89624262117022713</v>
      </c>
    </row>
    <row r="49" spans="1:8" ht="15.75">
      <c r="A49" s="149" t="s">
        <v>183</v>
      </c>
      <c r="B49" s="150">
        <v>28</v>
      </c>
      <c r="C49" s="150">
        <v>597.6</v>
      </c>
      <c r="D49" s="150">
        <v>1905.25</v>
      </c>
      <c r="E49" s="150">
        <v>53347</v>
      </c>
      <c r="F49" s="150">
        <v>36614.300000000003</v>
      </c>
      <c r="G49" s="151">
        <f t="shared" si="0"/>
        <v>16732.699999999997</v>
      </c>
      <c r="H49" s="191">
        <f t="shared" si="2"/>
        <v>2.1881883975688328</v>
      </c>
    </row>
    <row r="50" spans="1:8" ht="15.75">
      <c r="A50" s="149" t="s">
        <v>184</v>
      </c>
      <c r="B50" s="150">
        <v>329</v>
      </c>
      <c r="C50" s="150">
        <v>121.11</v>
      </c>
      <c r="D50" s="150">
        <v>203.95</v>
      </c>
      <c r="E50" s="150">
        <v>67099.55</v>
      </c>
      <c r="F50" s="150">
        <v>27254.799999999999</v>
      </c>
      <c r="G50" s="151">
        <f t="shared" si="0"/>
        <v>39844.75</v>
      </c>
      <c r="H50" s="191">
        <f t="shared" si="2"/>
        <v>0.68402487153263603</v>
      </c>
    </row>
    <row r="51" spans="1:8" ht="15.75">
      <c r="A51" s="149" t="s">
        <v>185</v>
      </c>
      <c r="B51" s="150">
        <v>55</v>
      </c>
      <c r="C51" s="150">
        <v>1723.54</v>
      </c>
      <c r="D51" s="150">
        <v>1623.95</v>
      </c>
      <c r="E51" s="150">
        <v>89317.25</v>
      </c>
      <c r="F51" s="150">
        <v>-5477.7</v>
      </c>
      <c r="G51" s="151">
        <f t="shared" si="0"/>
        <v>94794.95</v>
      </c>
      <c r="H51" s="191">
        <f t="shared" si="2"/>
        <v>-5.7784723764293354E-2</v>
      </c>
    </row>
    <row r="52" spans="1:8" ht="15.75">
      <c r="A52" s="149" t="s">
        <v>186</v>
      </c>
      <c r="B52" s="150">
        <v>67</v>
      </c>
      <c r="C52" s="150">
        <v>676.11</v>
      </c>
      <c r="D52" s="150">
        <v>1494.2</v>
      </c>
      <c r="E52" s="150">
        <v>100111.4</v>
      </c>
      <c r="F52" s="150">
        <v>54812</v>
      </c>
      <c r="G52" s="151">
        <f t="shared" si="0"/>
        <v>45299.399999999994</v>
      </c>
      <c r="H52" s="191">
        <f t="shared" si="2"/>
        <v>1.2099939513547642</v>
      </c>
    </row>
    <row r="53" spans="1:8" ht="15.75">
      <c r="A53" s="149" t="s">
        <v>187</v>
      </c>
      <c r="B53" s="150">
        <v>20</v>
      </c>
      <c r="C53" s="150">
        <v>2295.38</v>
      </c>
      <c r="D53" s="150">
        <v>2372.4499999999998</v>
      </c>
      <c r="E53" s="150">
        <v>47449</v>
      </c>
      <c r="F53" s="150">
        <v>1541.4</v>
      </c>
      <c r="G53" s="151">
        <f t="shared" si="0"/>
        <v>45907.6</v>
      </c>
      <c r="H53" s="191">
        <f t="shared" si="2"/>
        <v>3.3576139898404626E-2</v>
      </c>
    </row>
    <row r="54" spans="1:8" ht="15.75">
      <c r="A54" s="149" t="s">
        <v>188</v>
      </c>
      <c r="B54" s="150">
        <v>62</v>
      </c>
      <c r="C54" s="150">
        <v>1053.22</v>
      </c>
      <c r="D54" s="150">
        <v>3594.3</v>
      </c>
      <c r="E54" s="150">
        <v>222846.6</v>
      </c>
      <c r="F54" s="150">
        <v>157547.25</v>
      </c>
      <c r="G54" s="151">
        <f t="shared" si="0"/>
        <v>65299.350000000006</v>
      </c>
      <c r="H54" s="191">
        <f t="shared" si="2"/>
        <v>2.4126924693737379</v>
      </c>
    </row>
    <row r="55" spans="1:8" ht="15.75">
      <c r="A55" s="149" t="s">
        <v>286</v>
      </c>
      <c r="B55" s="150">
        <v>25</v>
      </c>
      <c r="C55" s="150">
        <v>4933.3100000000004</v>
      </c>
      <c r="D55" s="150">
        <v>4706.45</v>
      </c>
      <c r="E55" s="150">
        <v>117661.25</v>
      </c>
      <c r="F55" s="150">
        <v>-5671.58</v>
      </c>
      <c r="G55" s="151">
        <f t="shared" si="0"/>
        <v>123332.83</v>
      </c>
      <c r="H55" s="191">
        <f t="shared" si="2"/>
        <v>-4.598597145626189E-2</v>
      </c>
    </row>
    <row r="56" spans="1:8" ht="15.75">
      <c r="A56" s="149" t="s">
        <v>189</v>
      </c>
      <c r="B56" s="150">
        <v>20</v>
      </c>
      <c r="C56" s="150">
        <v>1002.87</v>
      </c>
      <c r="D56" s="150">
        <v>2156.35</v>
      </c>
      <c r="E56" s="150">
        <v>43127</v>
      </c>
      <c r="F56" s="150">
        <v>23069.7</v>
      </c>
      <c r="G56" s="151">
        <f t="shared" si="0"/>
        <v>20057.3</v>
      </c>
      <c r="H56" s="191">
        <f t="shared" si="2"/>
        <v>1.1501897064909037</v>
      </c>
    </row>
    <row r="57" spans="1:8" ht="15.75">
      <c r="A57" s="149" t="s">
        <v>190</v>
      </c>
      <c r="B57" s="150">
        <v>23</v>
      </c>
      <c r="C57" s="150">
        <v>2162.1799999999998</v>
      </c>
      <c r="D57" s="150">
        <v>2375</v>
      </c>
      <c r="E57" s="150">
        <v>54625</v>
      </c>
      <c r="F57" s="150">
        <v>4894.8</v>
      </c>
      <c r="G57" s="151">
        <f t="shared" si="0"/>
        <v>49730.2</v>
      </c>
      <c r="H57" s="191">
        <f t="shared" si="2"/>
        <v>9.842711270012991E-2</v>
      </c>
    </row>
    <row r="58" spans="1:8" ht="15.75">
      <c r="A58" s="149" t="s">
        <v>191</v>
      </c>
      <c r="B58" s="150">
        <v>114</v>
      </c>
      <c r="C58" s="150">
        <v>490.12</v>
      </c>
      <c r="D58" s="150">
        <v>518</v>
      </c>
      <c r="E58" s="150">
        <v>59052</v>
      </c>
      <c r="F58" s="150">
        <v>3178.35</v>
      </c>
      <c r="G58" s="151">
        <f t="shared" si="0"/>
        <v>55873.65</v>
      </c>
      <c r="H58" s="191">
        <f t="shared" si="2"/>
        <v>5.6884595869430399E-2</v>
      </c>
    </row>
    <row r="59" spans="1:8" ht="15.75">
      <c r="A59" s="149" t="s">
        <v>192</v>
      </c>
      <c r="B59" s="150">
        <v>92</v>
      </c>
      <c r="C59" s="150">
        <v>744.93</v>
      </c>
      <c r="D59" s="150">
        <v>1010.9</v>
      </c>
      <c r="E59" s="150">
        <v>93002.8</v>
      </c>
      <c r="F59" s="150">
        <v>24469.45</v>
      </c>
      <c r="G59" s="151">
        <f t="shared" si="0"/>
        <v>68533.350000000006</v>
      </c>
      <c r="H59" s="191">
        <f t="shared" si="2"/>
        <v>0.35704441706118262</v>
      </c>
    </row>
    <row r="60" spans="1:8" ht="15.75">
      <c r="A60" s="149" t="s">
        <v>265</v>
      </c>
      <c r="B60" s="150">
        <v>53</v>
      </c>
      <c r="C60" s="150">
        <v>336.99</v>
      </c>
      <c r="D60" s="150">
        <v>355.15</v>
      </c>
      <c r="E60" s="150">
        <v>18822.95</v>
      </c>
      <c r="F60" s="150">
        <v>962.42</v>
      </c>
      <c r="G60" s="151">
        <f t="shared" si="0"/>
        <v>17860.530000000002</v>
      </c>
      <c r="H60" s="191">
        <f t="shared" si="2"/>
        <v>5.3885299036478748E-2</v>
      </c>
    </row>
    <row r="61" spans="1:8" ht="15.75">
      <c r="A61" s="149" t="s">
        <v>194</v>
      </c>
      <c r="B61" s="150">
        <v>255</v>
      </c>
      <c r="C61" s="150">
        <v>99.4</v>
      </c>
      <c r="D61" s="150">
        <v>131.19999999999999</v>
      </c>
      <c r="E61" s="150">
        <v>33456</v>
      </c>
      <c r="F61" s="150">
        <v>8108.5</v>
      </c>
      <c r="G61" s="151">
        <f t="shared" si="0"/>
        <v>25347.5</v>
      </c>
      <c r="H61" s="191">
        <f t="shared" si="2"/>
        <v>0.31989348061939049</v>
      </c>
    </row>
    <row r="62" spans="1:8" ht="15.75">
      <c r="A62" s="149" t="s">
        <v>195</v>
      </c>
      <c r="B62" s="150">
        <v>37</v>
      </c>
      <c r="C62" s="150">
        <v>2300.56</v>
      </c>
      <c r="D62" s="150">
        <v>2315.9</v>
      </c>
      <c r="E62" s="150">
        <v>85688.3</v>
      </c>
      <c r="F62" s="150">
        <v>567.54999999999995</v>
      </c>
      <c r="G62" s="151">
        <f t="shared" si="0"/>
        <v>85120.75</v>
      </c>
      <c r="H62" s="191">
        <f t="shared" si="2"/>
        <v>6.6675869279817198E-3</v>
      </c>
    </row>
    <row r="63" spans="1:8" ht="15.75">
      <c r="A63" s="149" t="s">
        <v>196</v>
      </c>
      <c r="B63" s="150">
        <v>21</v>
      </c>
      <c r="C63" s="150">
        <v>2605.84</v>
      </c>
      <c r="D63" s="150">
        <v>2507.4</v>
      </c>
      <c r="E63" s="150">
        <v>52655.4</v>
      </c>
      <c r="F63" s="150">
        <v>-2067.1999999999998</v>
      </c>
      <c r="G63" s="151">
        <f t="shared" si="0"/>
        <v>54722.6</v>
      </c>
      <c r="H63" s="191">
        <f t="shared" si="2"/>
        <v>-3.7775982866311175E-2</v>
      </c>
    </row>
    <row r="64" spans="1:8" ht="15.75">
      <c r="A64" s="149" t="s">
        <v>197</v>
      </c>
      <c r="B64" s="150">
        <v>145</v>
      </c>
      <c r="C64" s="150">
        <v>127.63</v>
      </c>
      <c r="D64" s="150">
        <v>133.55000000000001</v>
      </c>
      <c r="E64" s="150">
        <v>19364.75</v>
      </c>
      <c r="F64" s="150">
        <v>858.65</v>
      </c>
      <c r="G64" s="151">
        <f t="shared" si="0"/>
        <v>18506.099999999999</v>
      </c>
      <c r="H64" s="191">
        <f t="shared" si="2"/>
        <v>4.6398214642739424E-2</v>
      </c>
    </row>
    <row r="65" spans="1:8" ht="15.75">
      <c r="A65" s="149" t="s">
        <v>198</v>
      </c>
      <c r="B65" s="150">
        <v>88</v>
      </c>
      <c r="C65" s="150">
        <v>582.44000000000005</v>
      </c>
      <c r="D65" s="150">
        <v>1483.35</v>
      </c>
      <c r="E65" s="150">
        <v>130534.8</v>
      </c>
      <c r="F65" s="150">
        <v>79279.75</v>
      </c>
      <c r="G65" s="151">
        <f t="shared" si="0"/>
        <v>51255.05</v>
      </c>
      <c r="H65" s="191">
        <f t="shared" si="2"/>
        <v>1.5467695378309063</v>
      </c>
    </row>
    <row r="66" spans="1:8" ht="15.75">
      <c r="A66" s="149" t="s">
        <v>199</v>
      </c>
      <c r="B66" s="150">
        <v>12</v>
      </c>
      <c r="C66" s="150">
        <v>4216.4799999999996</v>
      </c>
      <c r="D66" s="150">
        <v>7598.65</v>
      </c>
      <c r="E66" s="150">
        <v>91183.8</v>
      </c>
      <c r="F66" s="150">
        <v>40586.1</v>
      </c>
      <c r="G66" s="151">
        <f t="shared" ref="G66:G97" si="3">E66-F66</f>
        <v>50597.700000000004</v>
      </c>
      <c r="H66" s="191">
        <f t="shared" si="2"/>
        <v>0.80213329854914339</v>
      </c>
    </row>
    <row r="67" spans="1:8" ht="15.75">
      <c r="A67" s="149" t="s">
        <v>200</v>
      </c>
      <c r="B67" s="150">
        <v>300</v>
      </c>
      <c r="C67" s="150">
        <v>82.33</v>
      </c>
      <c r="D67" s="150">
        <v>282.85000000000002</v>
      </c>
      <c r="E67" s="150">
        <v>84855</v>
      </c>
      <c r="F67" s="150">
        <v>60155</v>
      </c>
      <c r="G67" s="151">
        <f t="shared" si="3"/>
        <v>24700</v>
      </c>
      <c r="H67" s="191">
        <f t="shared" si="2"/>
        <v>2.4354251012145749</v>
      </c>
    </row>
    <row r="68" spans="1:8" ht="15.75">
      <c r="A68" s="149" t="s">
        <v>201</v>
      </c>
      <c r="B68" s="150">
        <v>20</v>
      </c>
      <c r="C68" s="150">
        <v>2053.08</v>
      </c>
      <c r="D68" s="150">
        <v>3369.75</v>
      </c>
      <c r="E68" s="150">
        <v>67395</v>
      </c>
      <c r="F68" s="150">
        <v>26333.35</v>
      </c>
      <c r="G68" s="151">
        <f t="shared" si="3"/>
        <v>41061.65</v>
      </c>
      <c r="H68" s="191">
        <f t="shared" si="2"/>
        <v>0.64131251423164914</v>
      </c>
    </row>
    <row r="69" spans="1:8" ht="15.75">
      <c r="A69" s="149" t="s">
        <v>202</v>
      </c>
      <c r="B69" s="150">
        <v>22</v>
      </c>
      <c r="C69" s="150">
        <v>885.65</v>
      </c>
      <c r="D69" s="150">
        <v>3175</v>
      </c>
      <c r="E69" s="150">
        <v>69850</v>
      </c>
      <c r="F69" s="150">
        <v>50365.8</v>
      </c>
      <c r="G69" s="151">
        <f t="shared" si="3"/>
        <v>19484.199999999997</v>
      </c>
      <c r="H69" s="191">
        <f t="shared" si="2"/>
        <v>2.5849560156434448</v>
      </c>
    </row>
    <row r="70" spans="1:8" ht="15.75">
      <c r="A70" s="149" t="s">
        <v>203</v>
      </c>
      <c r="B70" s="150">
        <v>30</v>
      </c>
      <c r="C70" s="150">
        <v>2499.15</v>
      </c>
      <c r="D70" s="150">
        <v>3049</v>
      </c>
      <c r="E70" s="150">
        <v>91470</v>
      </c>
      <c r="F70" s="150">
        <v>16495.650000000001</v>
      </c>
      <c r="G70" s="151">
        <f t="shared" si="3"/>
        <v>74974.350000000006</v>
      </c>
      <c r="H70" s="191">
        <f t="shared" si="2"/>
        <v>0.22001724589809715</v>
      </c>
    </row>
    <row r="71" spans="1:8" ht="15.75">
      <c r="A71" s="149" t="s">
        <v>204</v>
      </c>
      <c r="B71" s="150">
        <v>42</v>
      </c>
      <c r="C71" s="150">
        <v>567.23</v>
      </c>
      <c r="D71" s="150">
        <v>1379.45</v>
      </c>
      <c r="E71" s="150">
        <v>57936.9</v>
      </c>
      <c r="F71" s="150">
        <v>34113.300000000003</v>
      </c>
      <c r="G71" s="151">
        <f t="shared" si="3"/>
        <v>23823.599999999999</v>
      </c>
      <c r="H71" s="191">
        <f t="shared" si="2"/>
        <v>1.4319120535939154</v>
      </c>
    </row>
    <row r="72" spans="1:8" ht="15.75">
      <c r="A72" s="149" t="s">
        <v>205</v>
      </c>
      <c r="B72" s="150">
        <v>20</v>
      </c>
      <c r="C72" s="150">
        <v>1000</v>
      </c>
      <c r="D72" s="150">
        <v>1095</v>
      </c>
      <c r="E72" s="150">
        <v>21900</v>
      </c>
      <c r="F72" s="150">
        <v>0</v>
      </c>
      <c r="G72" s="151">
        <f t="shared" si="3"/>
        <v>21900</v>
      </c>
      <c r="H72" s="191">
        <f t="shared" si="2"/>
        <v>0</v>
      </c>
    </row>
    <row r="73" spans="1:8" ht="15.75">
      <c r="A73" s="149" t="s">
        <v>299</v>
      </c>
      <c r="B73" s="150">
        <v>49</v>
      </c>
      <c r="C73" s="150">
        <v>952.78</v>
      </c>
      <c r="D73" s="150">
        <v>834.3</v>
      </c>
      <c r="E73" s="150">
        <v>40880.699999999997</v>
      </c>
      <c r="F73" s="150">
        <v>-5805.45</v>
      </c>
      <c r="G73" s="151">
        <f t="shared" si="3"/>
        <v>46686.149999999994</v>
      </c>
      <c r="H73" s="191">
        <f t="shared" si="2"/>
        <v>-0.12435058363133393</v>
      </c>
    </row>
    <row r="74" spans="1:8" ht="15.75">
      <c r="A74" s="149" t="s">
        <v>206</v>
      </c>
      <c r="B74" s="150">
        <v>75</v>
      </c>
      <c r="C74" s="150">
        <v>1229.28</v>
      </c>
      <c r="D74" s="150">
        <v>1436.55</v>
      </c>
      <c r="E74" s="150">
        <v>107741.25</v>
      </c>
      <c r="F74" s="150">
        <v>15545.2</v>
      </c>
      <c r="G74" s="151">
        <f t="shared" si="3"/>
        <v>92196.05</v>
      </c>
      <c r="H74" s="191">
        <f t="shared" si="2"/>
        <v>0.16861026041788124</v>
      </c>
    </row>
    <row r="75" spans="1:8" ht="15.75">
      <c r="A75" s="149" t="s">
        <v>207</v>
      </c>
      <c r="B75" s="150">
        <v>72</v>
      </c>
      <c r="C75" s="150">
        <v>355.35</v>
      </c>
      <c r="D75" s="150">
        <v>826.25</v>
      </c>
      <c r="E75" s="150">
        <v>59490</v>
      </c>
      <c r="F75" s="150">
        <v>33904.75</v>
      </c>
      <c r="G75" s="151">
        <f t="shared" si="3"/>
        <v>25585.25</v>
      </c>
      <c r="H75" s="191">
        <f t="shared" si="2"/>
        <v>1.32516782130329</v>
      </c>
    </row>
    <row r="76" spans="1:8" ht="15.75">
      <c r="A76" s="149" t="s">
        <v>305</v>
      </c>
      <c r="B76" s="150">
        <v>10</v>
      </c>
      <c r="C76" s="150">
        <v>5284</v>
      </c>
      <c r="D76" s="150">
        <v>7114</v>
      </c>
      <c r="E76" s="150">
        <v>71140</v>
      </c>
      <c r="F76" s="150">
        <v>18300</v>
      </c>
      <c r="G76" s="151">
        <f t="shared" si="3"/>
        <v>52840</v>
      </c>
      <c r="H76" s="191">
        <f t="shared" si="2"/>
        <v>0.34632853898561694</v>
      </c>
    </row>
    <row r="77" spans="1:8" ht="15.75">
      <c r="A77" s="149" t="s">
        <v>306</v>
      </c>
      <c r="B77" s="150">
        <v>5</v>
      </c>
      <c r="C77" s="150">
        <v>4802</v>
      </c>
      <c r="D77" s="150">
        <v>7100</v>
      </c>
      <c r="E77" s="150">
        <v>35500</v>
      </c>
      <c r="F77" s="150">
        <v>11490</v>
      </c>
      <c r="G77" s="151">
        <f t="shared" si="3"/>
        <v>24010</v>
      </c>
      <c r="H77" s="191">
        <f t="shared" si="2"/>
        <v>0.4785506039150354</v>
      </c>
    </row>
    <row r="78" spans="1:8" ht="15.75">
      <c r="A78" s="149" t="s">
        <v>210</v>
      </c>
      <c r="B78" s="150">
        <v>10</v>
      </c>
      <c r="C78" s="150">
        <v>5002.45</v>
      </c>
      <c r="D78" s="150">
        <v>7080.61</v>
      </c>
      <c r="E78" s="150">
        <v>70806.100000000006</v>
      </c>
      <c r="F78" s="150">
        <v>20781.599999999999</v>
      </c>
      <c r="G78" s="151">
        <f t="shared" si="3"/>
        <v>50024.500000000007</v>
      </c>
      <c r="H78" s="191">
        <f t="shared" si="2"/>
        <v>0.41542844006436835</v>
      </c>
    </row>
    <row r="79" spans="1:8" ht="15.75">
      <c r="A79" s="149" t="s">
        <v>211</v>
      </c>
      <c r="B79" s="150">
        <v>35</v>
      </c>
      <c r="C79" s="150">
        <v>984.23</v>
      </c>
      <c r="D79" s="150">
        <v>5841.7</v>
      </c>
      <c r="E79" s="150">
        <v>204459.5</v>
      </c>
      <c r="F79" s="150">
        <v>170011.45</v>
      </c>
      <c r="G79" s="151">
        <f t="shared" si="3"/>
        <v>34448.049999999988</v>
      </c>
      <c r="H79" s="191">
        <f t="shared" si="2"/>
        <v>4.9352996758887677</v>
      </c>
    </row>
    <row r="80" spans="1:8" ht="15.75">
      <c r="A80" s="149" t="s">
        <v>290</v>
      </c>
      <c r="B80" s="150">
        <v>48</v>
      </c>
      <c r="C80" s="150">
        <v>575.6</v>
      </c>
      <c r="D80" s="150">
        <v>625.6</v>
      </c>
      <c r="E80" s="150">
        <v>30028.799999999999</v>
      </c>
      <c r="F80" s="150">
        <v>2399.85</v>
      </c>
      <c r="G80" s="151">
        <f t="shared" si="3"/>
        <v>27628.95</v>
      </c>
      <c r="H80" s="191">
        <f t="shared" ref="H80:H111" si="4">F80/G80</f>
        <v>8.6859978392229878E-2</v>
      </c>
    </row>
    <row r="81" spans="1:8" ht="15.75">
      <c r="A81" s="149" t="s">
        <v>291</v>
      </c>
      <c r="B81" s="150">
        <v>219</v>
      </c>
      <c r="C81" s="150">
        <v>547.91</v>
      </c>
      <c r="D81" s="150">
        <v>571.6</v>
      </c>
      <c r="E81" s="150">
        <v>125180.4</v>
      </c>
      <c r="F81" s="150">
        <v>5188.8500000000004</v>
      </c>
      <c r="G81" s="151">
        <f t="shared" si="3"/>
        <v>119991.54999999999</v>
      </c>
      <c r="H81" s="191">
        <f t="shared" si="4"/>
        <v>4.3243461727096623E-2</v>
      </c>
    </row>
    <row r="82" spans="1:8" ht="15.75">
      <c r="A82" s="149" t="s">
        <v>292</v>
      </c>
      <c r="B82" s="150">
        <v>32</v>
      </c>
      <c r="C82" s="150">
        <v>752.33</v>
      </c>
      <c r="D82" s="150">
        <v>1124.05</v>
      </c>
      <c r="E82" s="150">
        <v>35969.599999999999</v>
      </c>
      <c r="F82" s="150">
        <v>11895.1</v>
      </c>
      <c r="G82" s="151">
        <f t="shared" si="3"/>
        <v>24074.5</v>
      </c>
      <c r="H82" s="191">
        <f t="shared" si="4"/>
        <v>0.49409541215809261</v>
      </c>
    </row>
    <row r="83" spans="1:8" ht="15.75">
      <c r="A83" s="149" t="s">
        <v>212</v>
      </c>
      <c r="B83" s="150">
        <v>152</v>
      </c>
      <c r="C83" s="150">
        <v>574.22</v>
      </c>
      <c r="D83" s="150">
        <v>1502.3</v>
      </c>
      <c r="E83" s="150">
        <v>228349.6</v>
      </c>
      <c r="F83" s="150">
        <v>141067.45000000001</v>
      </c>
      <c r="G83" s="151">
        <f t="shared" si="3"/>
        <v>87282.15</v>
      </c>
      <c r="H83" s="191">
        <f t="shared" si="4"/>
        <v>1.6162233629671132</v>
      </c>
    </row>
    <row r="84" spans="1:8" ht="15.75">
      <c r="A84" s="149" t="s">
        <v>293</v>
      </c>
      <c r="B84" s="150">
        <v>69</v>
      </c>
      <c r="C84" s="150">
        <v>373.18</v>
      </c>
      <c r="D84" s="150">
        <v>422.75</v>
      </c>
      <c r="E84" s="150">
        <v>29169.75</v>
      </c>
      <c r="F84" s="150">
        <v>3420.45</v>
      </c>
      <c r="G84" s="151">
        <f t="shared" si="3"/>
        <v>25749.3</v>
      </c>
      <c r="H84" s="191">
        <f t="shared" si="4"/>
        <v>0.13283662080134218</v>
      </c>
    </row>
    <row r="85" spans="1:8" ht="15.75">
      <c r="A85" s="149" t="s">
        <v>213</v>
      </c>
      <c r="B85" s="150">
        <v>83</v>
      </c>
      <c r="C85" s="150">
        <v>548.48</v>
      </c>
      <c r="D85" s="150">
        <v>689.15</v>
      </c>
      <c r="E85" s="150">
        <v>57199.45</v>
      </c>
      <c r="F85" s="150">
        <v>11675.85</v>
      </c>
      <c r="G85" s="151">
        <f t="shared" si="3"/>
        <v>45523.6</v>
      </c>
      <c r="H85" s="191">
        <f t="shared" si="4"/>
        <v>0.25647905701658041</v>
      </c>
    </row>
    <row r="86" spans="1:8" ht="15.75">
      <c r="A86" s="149" t="s">
        <v>214</v>
      </c>
      <c r="B86" s="150">
        <v>46</v>
      </c>
      <c r="C86" s="150">
        <v>794.51</v>
      </c>
      <c r="D86" s="150">
        <v>1108.3499999999999</v>
      </c>
      <c r="E86" s="150">
        <v>50984.1</v>
      </c>
      <c r="F86" s="150">
        <v>14436.8</v>
      </c>
      <c r="G86" s="151">
        <f t="shared" si="3"/>
        <v>36547.300000000003</v>
      </c>
      <c r="H86" s="191">
        <f t="shared" si="4"/>
        <v>0.39501686855116513</v>
      </c>
    </row>
    <row r="87" spans="1:8" ht="15.75">
      <c r="A87" s="149" t="s">
        <v>267</v>
      </c>
      <c r="B87" s="150">
        <v>37</v>
      </c>
      <c r="C87" s="150">
        <v>632.20000000000005</v>
      </c>
      <c r="D87" s="150">
        <v>1007.9</v>
      </c>
      <c r="E87" s="150">
        <v>37292.300000000003</v>
      </c>
      <c r="F87" s="150">
        <v>13900.9</v>
      </c>
      <c r="G87" s="151">
        <f t="shared" si="3"/>
        <v>23391.4</v>
      </c>
      <c r="H87" s="191">
        <f t="shared" si="4"/>
        <v>0.59427396393546339</v>
      </c>
    </row>
    <row r="88" spans="1:8" ht="15.75">
      <c r="A88" s="149" t="s">
        <v>302</v>
      </c>
      <c r="B88" s="150">
        <v>775</v>
      </c>
      <c r="C88" s="150">
        <v>99.29</v>
      </c>
      <c r="D88" s="150">
        <v>682.25</v>
      </c>
      <c r="E88" s="150">
        <v>528743.75</v>
      </c>
      <c r="F88" s="150">
        <v>451792.75</v>
      </c>
      <c r="G88" s="151">
        <f t="shared" si="3"/>
        <v>76951</v>
      </c>
      <c r="H88" s="191">
        <f t="shared" si="4"/>
        <v>5.8711745136515443</v>
      </c>
    </row>
    <row r="89" spans="1:8" ht="15.75">
      <c r="A89" s="149" t="s">
        <v>215</v>
      </c>
      <c r="B89" s="150">
        <v>1050</v>
      </c>
      <c r="C89" s="150">
        <v>40.479999999999997</v>
      </c>
      <c r="D89" s="150">
        <v>165</v>
      </c>
      <c r="E89" s="150">
        <v>173250</v>
      </c>
      <c r="F89" s="150">
        <v>130749.75</v>
      </c>
      <c r="G89" s="151">
        <f t="shared" si="3"/>
        <v>42500.25</v>
      </c>
      <c r="H89" s="191">
        <f t="shared" si="4"/>
        <v>3.0764466091375935</v>
      </c>
    </row>
    <row r="90" spans="1:8" ht="15.75">
      <c r="A90" s="149" t="s">
        <v>216</v>
      </c>
      <c r="B90" s="150">
        <v>30</v>
      </c>
      <c r="C90" s="150">
        <v>3490.64</v>
      </c>
      <c r="D90" s="150">
        <v>3822.6</v>
      </c>
      <c r="E90" s="150">
        <v>114678</v>
      </c>
      <c r="F90" s="150">
        <v>9958.9500000000007</v>
      </c>
      <c r="G90" s="151">
        <f t="shared" si="3"/>
        <v>104719.05</v>
      </c>
      <c r="H90" s="191">
        <f t="shared" si="4"/>
        <v>9.5101607587158216E-2</v>
      </c>
    </row>
    <row r="91" spans="1:8" ht="15.75">
      <c r="A91" s="149" t="s">
        <v>217</v>
      </c>
      <c r="B91" s="150">
        <v>24</v>
      </c>
      <c r="C91" s="150">
        <v>2584.4</v>
      </c>
      <c r="D91" s="150">
        <v>3589.25</v>
      </c>
      <c r="E91" s="150">
        <v>86142</v>
      </c>
      <c r="F91" s="150">
        <v>24116.400000000001</v>
      </c>
      <c r="G91" s="151">
        <f t="shared" si="3"/>
        <v>62025.599999999999</v>
      </c>
      <c r="H91" s="191">
        <f t="shared" si="4"/>
        <v>0.38881365113759481</v>
      </c>
    </row>
    <row r="92" spans="1:8" ht="15.75">
      <c r="A92" s="149" t="s">
        <v>220</v>
      </c>
      <c r="B92" s="150">
        <v>61</v>
      </c>
      <c r="C92" s="150">
        <v>401.11</v>
      </c>
      <c r="D92" s="150">
        <v>738</v>
      </c>
      <c r="E92" s="150">
        <v>45018</v>
      </c>
      <c r="F92" s="150">
        <v>20550.25</v>
      </c>
      <c r="G92" s="151">
        <f t="shared" si="3"/>
        <v>24467.75</v>
      </c>
      <c r="H92" s="191">
        <f t="shared" si="4"/>
        <v>0.83989128546760528</v>
      </c>
    </row>
    <row r="93" spans="1:8" ht="15.75">
      <c r="A93" s="149" t="s">
        <v>221</v>
      </c>
      <c r="B93" s="150">
        <v>36</v>
      </c>
      <c r="C93" s="150">
        <v>120.1</v>
      </c>
      <c r="D93" s="150">
        <v>1479.45</v>
      </c>
      <c r="E93" s="150">
        <v>53260.2</v>
      </c>
      <c r="F93" s="150">
        <v>48936.55</v>
      </c>
      <c r="G93" s="151">
        <f t="shared" si="3"/>
        <v>4323.6499999999942</v>
      </c>
      <c r="H93" s="191">
        <f t="shared" si="4"/>
        <v>11.318342141477702</v>
      </c>
    </row>
    <row r="94" spans="1:8" ht="16.5">
      <c r="A94" s="149" t="s">
        <v>300</v>
      </c>
      <c r="B94" s="150">
        <v>525</v>
      </c>
      <c r="C94" s="150">
        <v>38.97</v>
      </c>
      <c r="D94" s="150">
        <v>26.17</v>
      </c>
      <c r="E94" s="150">
        <v>13739.25</v>
      </c>
      <c r="F94" s="150">
        <v>-6718.25</v>
      </c>
      <c r="G94" s="151">
        <f t="shared" si="3"/>
        <v>20457.5</v>
      </c>
      <c r="H94" s="191"/>
    </row>
    <row r="95" spans="1:8" ht="16.5">
      <c r="A95" s="149"/>
      <c r="B95" s="150"/>
      <c r="C95" s="150"/>
      <c r="D95" s="150"/>
      <c r="E95" s="150"/>
      <c r="F95" s="150"/>
      <c r="G95" s="151">
        <f t="shared" si="3"/>
        <v>0</v>
      </c>
      <c r="H95" s="191"/>
    </row>
    <row r="96" spans="1:8" ht="16.5">
      <c r="A96" s="149"/>
      <c r="B96" s="150"/>
      <c r="C96" s="150"/>
      <c r="D96" s="150"/>
      <c r="E96" s="150"/>
      <c r="F96" s="150"/>
      <c r="G96" s="151">
        <f t="shared" si="3"/>
        <v>0</v>
      </c>
      <c r="H96" s="191"/>
    </row>
    <row r="97" spans="1:8" ht="16.5">
      <c r="A97" s="149"/>
      <c r="B97" s="150"/>
      <c r="C97" s="150"/>
      <c r="D97" s="150"/>
      <c r="E97" s="150"/>
      <c r="F97" s="150"/>
      <c r="G97" s="151">
        <f t="shared" si="3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11382</v>
      </c>
      <c r="C104" s="45"/>
      <c r="D104" s="45"/>
      <c r="E104" s="45">
        <f>SUM(E2:E103)</f>
        <v>7451300.959999999</v>
      </c>
      <c r="F104" s="45">
        <f>SUM(F2:F103)</f>
        <v>3078520.4100000011</v>
      </c>
      <c r="G104" s="45">
        <f>SUM(G2:G103)</f>
        <v>4372780.55</v>
      </c>
      <c r="H104" s="176">
        <f>F104/G104</f>
        <v>0.7040189588292971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EAD2-C90F-47B0-95C9-4601700B98DC}">
  <dimension ref="A1:I18"/>
  <sheetViews>
    <sheetView workbookViewId="0">
      <selection activeCell="E17" sqref="E17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109.56</v>
      </c>
      <c r="E2">
        <v>68.607799999999997</v>
      </c>
      <c r="F2" s="188">
        <v>279986.10960000003</v>
      </c>
      <c r="G2" s="188">
        <v>447110.63500000001</v>
      </c>
      <c r="H2" s="188">
        <v>167124.52540000001</v>
      </c>
      <c r="I2" s="192">
        <f>H2/F2</f>
        <v>0.59690291650096916</v>
      </c>
    </row>
    <row r="3" spans="1:9">
      <c r="A3" s="168" t="s">
        <v>236</v>
      </c>
      <c r="B3" t="s">
        <v>237</v>
      </c>
      <c r="C3" s="188">
        <v>14235.332</v>
      </c>
      <c r="D3">
        <v>103.74</v>
      </c>
      <c r="E3">
        <v>47.766100000000002</v>
      </c>
      <c r="F3" s="188">
        <v>679966.92570000002</v>
      </c>
      <c r="G3" s="188">
        <v>1476773.3417</v>
      </c>
      <c r="H3" s="188">
        <v>796806.41599999997</v>
      </c>
      <c r="I3" s="192">
        <f t="shared" ref="I3:I18" si="0">H3/F3</f>
        <v>1.1718311374920451</v>
      </c>
    </row>
    <row r="4" spans="1:9">
      <c r="A4" s="168" t="s">
        <v>238</v>
      </c>
      <c r="B4" t="s">
        <v>237</v>
      </c>
      <c r="C4" s="188">
        <v>21650.489000000001</v>
      </c>
      <c r="D4">
        <v>38.090000000000003</v>
      </c>
      <c r="E4">
        <v>29.79</v>
      </c>
      <c r="F4" s="188">
        <v>644967.76049999997</v>
      </c>
      <c r="G4" s="188">
        <v>824667.12600000005</v>
      </c>
      <c r="H4" s="188">
        <v>179699.36550000001</v>
      </c>
      <c r="I4" s="192">
        <f t="shared" si="0"/>
        <v>0.27861759378591455</v>
      </c>
    </row>
    <row r="5" spans="1:9">
      <c r="A5" s="168" t="s">
        <v>268</v>
      </c>
      <c r="B5" t="s">
        <v>269</v>
      </c>
      <c r="C5">
        <v>64.52</v>
      </c>
      <c r="D5" s="188">
        <v>3138.1007</v>
      </c>
      <c r="E5" s="188">
        <v>3099.6498000000001</v>
      </c>
      <c r="F5" s="188">
        <v>199989.4051</v>
      </c>
      <c r="G5" s="188">
        <v>202470.25719999999</v>
      </c>
      <c r="H5" s="188">
        <v>2480.8521000000001</v>
      </c>
      <c r="I5" s="192">
        <f t="shared" si="0"/>
        <v>1.2404917644309749E-2</v>
      </c>
    </row>
    <row r="6" spans="1:9">
      <c r="A6" s="168" t="s">
        <v>303</v>
      </c>
      <c r="B6" t="s">
        <v>241</v>
      </c>
      <c r="C6" s="188">
        <v>1857.5519999999999</v>
      </c>
      <c r="D6">
        <v>695.49829999999997</v>
      </c>
      <c r="E6">
        <v>366.02140000000003</v>
      </c>
      <c r="F6" s="188">
        <v>679903.69869999995</v>
      </c>
      <c r="G6" s="188">
        <v>1291924.2582</v>
      </c>
      <c r="H6" s="188">
        <v>612020.55949999997</v>
      </c>
      <c r="I6" s="192">
        <f t="shared" si="0"/>
        <v>0.90015771449722226</v>
      </c>
    </row>
    <row r="7" spans="1:9">
      <c r="A7" s="168" t="s">
        <v>242</v>
      </c>
      <c r="B7" t="s">
        <v>237</v>
      </c>
      <c r="C7" s="188">
        <v>4306.576</v>
      </c>
      <c r="D7">
        <v>141.732</v>
      </c>
      <c r="E7">
        <v>44.3917</v>
      </c>
      <c r="F7" s="188">
        <v>191176.2298</v>
      </c>
      <c r="G7" s="188">
        <v>610379.62959999999</v>
      </c>
      <c r="H7" s="188">
        <v>419203.39980000001</v>
      </c>
      <c r="I7" s="192">
        <f t="shared" si="0"/>
        <v>2.1927590069045291</v>
      </c>
    </row>
    <row r="8" spans="1:9">
      <c r="A8" s="168" t="s">
        <v>272</v>
      </c>
      <c r="B8" t="s">
        <v>235</v>
      </c>
      <c r="C8" s="188">
        <v>5805.7370000000001</v>
      </c>
      <c r="D8">
        <v>125.74</v>
      </c>
      <c r="E8">
        <v>41.940399999999997</v>
      </c>
      <c r="F8" s="188">
        <v>243495.1642</v>
      </c>
      <c r="G8" s="188">
        <v>730013.37040000001</v>
      </c>
      <c r="H8" s="188">
        <v>486518.20610000001</v>
      </c>
      <c r="I8" s="192">
        <f t="shared" si="0"/>
        <v>1.9980610608775287</v>
      </c>
    </row>
    <row r="9" spans="1:9">
      <c r="A9" s="168" t="s">
        <v>244</v>
      </c>
      <c r="B9" t="s">
        <v>233</v>
      </c>
      <c r="C9" s="188">
        <v>5841.7389999999996</v>
      </c>
      <c r="D9">
        <v>30.875299999999999</v>
      </c>
      <c r="E9">
        <v>23.964300000000001</v>
      </c>
      <c r="F9" s="188">
        <v>139992.99739999999</v>
      </c>
      <c r="G9" s="188">
        <v>180365.44409999999</v>
      </c>
      <c r="H9" s="188">
        <v>40372.4467</v>
      </c>
      <c r="I9" s="192">
        <f t="shared" si="0"/>
        <v>0.28838904409371552</v>
      </c>
    </row>
    <row r="10" spans="1:9">
      <c r="A10" s="168" t="s">
        <v>273</v>
      </c>
      <c r="B10" t="s">
        <v>233</v>
      </c>
      <c r="C10" s="188">
        <v>82131.043999999994</v>
      </c>
      <c r="D10">
        <v>13.2034</v>
      </c>
      <c r="E10">
        <v>9.9227000000000007</v>
      </c>
      <c r="F10" s="188">
        <v>814959.2439</v>
      </c>
      <c r="G10" s="188">
        <v>1084409.0263</v>
      </c>
      <c r="H10" s="188">
        <v>269449.78249999997</v>
      </c>
      <c r="I10" s="192">
        <f t="shared" si="0"/>
        <v>0.33062976402420308</v>
      </c>
    </row>
    <row r="11" spans="1:9">
      <c r="A11" s="168" t="s">
        <v>246</v>
      </c>
      <c r="B11" t="s">
        <v>241</v>
      </c>
      <c r="C11" s="188">
        <v>58222.502999999997</v>
      </c>
      <c r="D11">
        <v>14.5261</v>
      </c>
      <c r="E11">
        <v>12.030799999999999</v>
      </c>
      <c r="F11" s="188">
        <v>700464.98860000004</v>
      </c>
      <c r="G11" s="188">
        <v>845745.90079999994</v>
      </c>
      <c r="H11" s="188">
        <v>145280.91219999999</v>
      </c>
      <c r="I11" s="192">
        <f t="shared" si="0"/>
        <v>0.20740638656382945</v>
      </c>
    </row>
    <row r="12" spans="1:9">
      <c r="A12" s="168" t="s">
        <v>247</v>
      </c>
      <c r="B12" t="s">
        <v>241</v>
      </c>
      <c r="C12" s="188">
        <v>23511.3</v>
      </c>
      <c r="D12">
        <v>15.269299999999999</v>
      </c>
      <c r="E12">
        <v>12.3551</v>
      </c>
      <c r="F12" s="188">
        <v>290485.47090000001</v>
      </c>
      <c r="G12" s="188">
        <v>359001.0931</v>
      </c>
      <c r="H12" s="188">
        <v>68515.622199999998</v>
      </c>
      <c r="I12" s="192">
        <f t="shared" si="0"/>
        <v>0.23586591779520219</v>
      </c>
    </row>
    <row r="13" spans="1:9">
      <c r="A13" s="168" t="s">
        <v>250</v>
      </c>
      <c r="B13" t="s">
        <v>251</v>
      </c>
      <c r="C13" s="188">
        <v>19397.659</v>
      </c>
      <c r="D13">
        <v>77.3108</v>
      </c>
      <c r="E13">
        <v>44.640599999999999</v>
      </c>
      <c r="F13" s="188">
        <v>865923.00470000005</v>
      </c>
      <c r="G13" s="188">
        <v>1499648.5353999999</v>
      </c>
      <c r="H13" s="188">
        <v>633725.5307</v>
      </c>
      <c r="I13" s="192">
        <f t="shared" si="0"/>
        <v>0.73184974560129035</v>
      </c>
    </row>
    <row r="14" spans="1:9">
      <c r="A14" s="168" t="s">
        <v>274</v>
      </c>
      <c r="B14" t="s">
        <v>233</v>
      </c>
      <c r="C14" s="188">
        <v>6809.741</v>
      </c>
      <c r="D14">
        <v>42.99</v>
      </c>
      <c r="E14">
        <v>35.241999999999997</v>
      </c>
      <c r="F14" s="188">
        <v>239988.8371</v>
      </c>
      <c r="G14" s="188">
        <v>292750.76559999998</v>
      </c>
      <c r="H14" s="188">
        <v>52761.928500000002</v>
      </c>
      <c r="I14" s="192">
        <f t="shared" si="0"/>
        <v>0.21985159450568462</v>
      </c>
    </row>
    <row r="15" spans="1:9">
      <c r="A15" s="168" t="s">
        <v>253</v>
      </c>
      <c r="B15" t="s">
        <v>235</v>
      </c>
      <c r="C15" s="188">
        <v>3198.4209999999998</v>
      </c>
      <c r="D15">
        <v>252.92</v>
      </c>
      <c r="E15">
        <v>165.81020000000001</v>
      </c>
      <c r="F15" s="188">
        <v>530330.80020000006</v>
      </c>
      <c r="G15" s="188">
        <v>808944.63930000004</v>
      </c>
      <c r="H15" s="188">
        <v>278613.83909999998</v>
      </c>
      <c r="I15" s="192">
        <f t="shared" si="0"/>
        <v>0.52535858561284432</v>
      </c>
    </row>
    <row r="16" spans="1:9">
      <c r="A16" s="168" t="s">
        <v>255</v>
      </c>
      <c r="B16" t="s">
        <v>241</v>
      </c>
      <c r="C16" s="188">
        <v>18996.168000000001</v>
      </c>
      <c r="D16">
        <v>23.7834</v>
      </c>
      <c r="E16">
        <v>9.4700000000000006</v>
      </c>
      <c r="F16" s="188">
        <v>179893.71100000001</v>
      </c>
      <c r="G16" s="188">
        <v>451793.462</v>
      </c>
      <c r="H16" s="188">
        <v>271899.75109999999</v>
      </c>
      <c r="I16" s="192">
        <f t="shared" si="0"/>
        <v>1.511446673641637</v>
      </c>
    </row>
    <row r="17" spans="1:9">
      <c r="A17" s="168"/>
      <c r="B17"/>
      <c r="C17" s="188"/>
      <c r="D17"/>
      <c r="E17"/>
      <c r="F17" s="188"/>
      <c r="G17" s="188"/>
      <c r="H17" s="188"/>
      <c r="I17" s="192"/>
    </row>
    <row r="18" spans="1:9">
      <c r="A18" s="74" t="s">
        <v>11</v>
      </c>
      <c r="B18" s="75"/>
      <c r="C18" s="75">
        <f>SUM(C2:C17)</f>
        <v>270109.74699999997</v>
      </c>
      <c r="D18" s="75"/>
      <c r="E18" s="75"/>
      <c r="F18" s="75">
        <f>SUM(F2:F17)</f>
        <v>6681524.3474000013</v>
      </c>
      <c r="G18" s="75">
        <f>SUM(G2:G17)</f>
        <v>11105997.4847</v>
      </c>
      <c r="H18" s="75">
        <f>SUM(H2:H17)</f>
        <v>4424473.1374000004</v>
      </c>
      <c r="I18" s="53">
        <f t="shared" si="0"/>
        <v>0.66219516795171252</v>
      </c>
    </row>
  </sheetData>
  <hyperlinks>
    <hyperlink ref="A2" r:id="rId1" location="/mf/1831632/15690/NULL" xr:uid="{E1C3DFCF-27F4-4ECE-A25F-FE8A35C0335F}"/>
    <hyperlink ref="A3" r:id="rId2" location="/mf/1831632/22335/NULL" xr:uid="{8E3B11C9-5ECC-4E11-8DD6-8FB142DA66D2}"/>
    <hyperlink ref="A4" r:id="rId3" location="/mf/1831632/38817/NULL" xr:uid="{4CA6C2D1-2B6C-437E-B52D-D53859325709}"/>
    <hyperlink ref="A5" r:id="rId4" location="/mf/1831632/16576/NULL" xr:uid="{1AC0D6D7-6E46-409A-960D-1D3C48F4E3FB}"/>
    <hyperlink ref="A6" r:id="rId5" location="/mf/1831632/16071/NULL" xr:uid="{C0774A0F-A4B5-4666-93FB-71652B10A11E}"/>
    <hyperlink ref="A7" r:id="rId6" location="/mf/1831632/16617/NULL" xr:uid="{BE03E59A-788A-4A53-A659-5E2A87121EEA}"/>
    <hyperlink ref="A8" r:id="rId7" location="/mf/1831632/17134/NULL" xr:uid="{6F6F8CF9-EC98-47E8-8A7C-08F76DD65504}"/>
    <hyperlink ref="A9" r:id="rId8" location="/mf/1831632/38228/NULL" xr:uid="{752A9AFE-B80A-43E0-A693-FF4E3CE2282C}"/>
    <hyperlink ref="A10" r:id="rId9" location="/mf/1831632/42135/NULL" xr:uid="{11C77334-7ED3-40A9-B341-28211F608875}"/>
    <hyperlink ref="A11" r:id="rId10" location="/mf/1831632/41574/NULL" xr:uid="{40A3FD98-18A6-4F08-BE3C-B78BEAC83CFC}"/>
    <hyperlink ref="A12" r:id="rId11" location="/mf/1831632/41937/NULL" xr:uid="{884818BF-1EEC-46D5-A422-EA6AE8B706FF}"/>
    <hyperlink ref="A13" r:id="rId12" location="/mf/1831632/19701/NULL" xr:uid="{29C56E3D-1987-4574-9EA8-005ED6E4AE96}"/>
    <hyperlink ref="A14" r:id="rId13" location="/mf/1831632/17348/NULL" xr:uid="{D3682A65-B81A-452B-987C-AF09D5726287}"/>
    <hyperlink ref="A15" r:id="rId14" location="/mf/1831632/17375/NULL" xr:uid="{6C951E7B-C281-4CC9-BD41-B42298A42322}"/>
    <hyperlink ref="A16" r:id="rId15" location="/mf/1831632/36491/NULL" xr:uid="{7A4EEE63-16A9-41CD-8B80-D800574BF5B6}"/>
  </hyperlinks>
  <pageMargins left="0.7" right="0.7" top="0.75" bottom="0.75" header="0.3" footer="0.3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4F7A-4876-4947-8870-0680A402CAC7}">
  <dimension ref="A1:I104"/>
  <sheetViews>
    <sheetView workbookViewId="0">
      <pane xSplit="1" ySplit="1" topLeftCell="B88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143</v>
      </c>
      <c r="B2" s="150">
        <v>100</v>
      </c>
      <c r="C2" s="150">
        <v>109.73</v>
      </c>
      <c r="D2" s="150">
        <v>101.54</v>
      </c>
      <c r="E2" s="150">
        <v>10154</v>
      </c>
      <c r="F2" s="150">
        <v>-818.5</v>
      </c>
      <c r="G2" s="151">
        <f t="shared" ref="G2:G65" si="0">E2-F2</f>
        <v>10972.5</v>
      </c>
      <c r="H2" s="191">
        <f t="shared" ref="H2:H14" si="1">F2/G2</f>
        <v>-7.4595579858737757E-2</v>
      </c>
    </row>
    <row r="3" spans="1:8" ht="15.75">
      <c r="A3" s="149" t="s">
        <v>259</v>
      </c>
      <c r="B3" s="150">
        <v>13</v>
      </c>
      <c r="C3" s="150">
        <v>133.75</v>
      </c>
      <c r="D3" s="150">
        <v>800.1</v>
      </c>
      <c r="E3" s="150">
        <v>10401.299999999999</v>
      </c>
      <c r="F3" s="150">
        <v>8662.5499999999993</v>
      </c>
      <c r="G3" s="151">
        <f t="shared" si="0"/>
        <v>1738.75</v>
      </c>
      <c r="H3" s="191">
        <f t="shared" si="1"/>
        <v>4.9820560747663549</v>
      </c>
    </row>
    <row r="4" spans="1:8" ht="15.75">
      <c r="A4" s="149" t="s">
        <v>144</v>
      </c>
      <c r="B4" s="150">
        <v>25</v>
      </c>
      <c r="C4" s="150">
        <v>813.47</v>
      </c>
      <c r="D4" s="150">
        <v>2270.5</v>
      </c>
      <c r="E4" s="150">
        <v>56762.5</v>
      </c>
      <c r="F4" s="150">
        <v>36425.85</v>
      </c>
      <c r="G4" s="151">
        <f t="shared" si="0"/>
        <v>20336.650000000001</v>
      </c>
      <c r="H4" s="191">
        <f t="shared" si="1"/>
        <v>1.7911430840379312</v>
      </c>
    </row>
    <row r="5" spans="1:8" ht="15.75">
      <c r="A5" s="149" t="s">
        <v>145</v>
      </c>
      <c r="B5" s="150">
        <v>250</v>
      </c>
      <c r="C5" s="150">
        <v>183.59</v>
      </c>
      <c r="D5" s="150">
        <v>470.7</v>
      </c>
      <c r="E5" s="150">
        <v>117675</v>
      </c>
      <c r="F5" s="150">
        <v>71777.5</v>
      </c>
      <c r="G5" s="151">
        <f t="shared" si="0"/>
        <v>45897.5</v>
      </c>
      <c r="H5" s="191">
        <f t="shared" si="1"/>
        <v>1.5638651342665721</v>
      </c>
    </row>
    <row r="6" spans="1:8" ht="15.75">
      <c r="A6" s="149" t="s">
        <v>275</v>
      </c>
      <c r="B6" s="150">
        <v>165</v>
      </c>
      <c r="C6" s="150">
        <v>160.15</v>
      </c>
      <c r="D6" s="150">
        <v>171.6</v>
      </c>
      <c r="E6" s="150">
        <v>28314</v>
      </c>
      <c r="F6" s="150">
        <v>1889.25</v>
      </c>
      <c r="G6" s="151">
        <f t="shared" si="0"/>
        <v>26424.75</v>
      </c>
      <c r="H6" s="191">
        <f t="shared" si="1"/>
        <v>7.1495472994068054E-2</v>
      </c>
    </row>
    <row r="7" spans="1:8" ht="15.75">
      <c r="A7" s="149" t="s">
        <v>276</v>
      </c>
      <c r="B7" s="150">
        <v>28</v>
      </c>
      <c r="C7" s="150">
        <v>2757.87</v>
      </c>
      <c r="D7" s="150">
        <v>2874.2</v>
      </c>
      <c r="E7" s="150">
        <v>80477.600000000006</v>
      </c>
      <c r="F7" s="150">
        <v>3257.2</v>
      </c>
      <c r="G7" s="151">
        <f t="shared" si="0"/>
        <v>77220.400000000009</v>
      </c>
      <c r="H7" s="191">
        <f t="shared" si="1"/>
        <v>4.218056368524379E-2</v>
      </c>
    </row>
    <row r="8" spans="1:8" ht="15.75">
      <c r="A8" s="149" t="s">
        <v>277</v>
      </c>
      <c r="B8" s="150">
        <v>97</v>
      </c>
      <c r="C8" s="150">
        <v>578.23</v>
      </c>
      <c r="D8" s="150">
        <v>591.6</v>
      </c>
      <c r="E8" s="150">
        <v>57385.2</v>
      </c>
      <c r="F8" s="150">
        <v>1297</v>
      </c>
      <c r="G8" s="151">
        <f t="shared" si="0"/>
        <v>56088.2</v>
      </c>
      <c r="H8" s="191">
        <f t="shared" si="1"/>
        <v>2.3124293523414909E-2</v>
      </c>
    </row>
    <row r="9" spans="1:8" ht="15.75">
      <c r="A9" s="149" t="s">
        <v>146</v>
      </c>
      <c r="B9" s="150">
        <v>62</v>
      </c>
      <c r="C9" s="150">
        <v>708.24</v>
      </c>
      <c r="D9" s="150">
        <v>1051.05</v>
      </c>
      <c r="E9" s="150">
        <v>65165.1</v>
      </c>
      <c r="F9" s="150">
        <v>21254.5</v>
      </c>
      <c r="G9" s="151">
        <f t="shared" si="0"/>
        <v>43910.6</v>
      </c>
      <c r="H9" s="191">
        <f t="shared" si="1"/>
        <v>0.48404030006422138</v>
      </c>
    </row>
    <row r="10" spans="1:8" ht="15.75">
      <c r="A10" s="149" t="s">
        <v>147</v>
      </c>
      <c r="B10" s="150">
        <v>21</v>
      </c>
      <c r="C10" s="150">
        <v>2946.68</v>
      </c>
      <c r="D10" s="150">
        <v>9276.65</v>
      </c>
      <c r="E10" s="150">
        <v>194809.65</v>
      </c>
      <c r="F10" s="150">
        <v>132929.4</v>
      </c>
      <c r="G10" s="151">
        <f t="shared" si="0"/>
        <v>61880.25</v>
      </c>
      <c r="H10" s="191">
        <f t="shared" si="1"/>
        <v>2.1481716702825215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7207.65</v>
      </c>
      <c r="E11" s="150">
        <v>57661.2</v>
      </c>
      <c r="F11" s="150">
        <v>3812.85</v>
      </c>
      <c r="G11" s="151">
        <f t="shared" si="0"/>
        <v>53848.35</v>
      </c>
      <c r="H11" s="191">
        <f t="shared" si="1"/>
        <v>7.0807183507015536E-2</v>
      </c>
    </row>
    <row r="12" spans="1:8" ht="15.75">
      <c r="A12" s="149" t="s">
        <v>149</v>
      </c>
      <c r="B12" s="150">
        <v>12</v>
      </c>
      <c r="C12" s="150">
        <v>2238.41</v>
      </c>
      <c r="D12" s="150">
        <v>2334.6</v>
      </c>
      <c r="E12" s="150">
        <v>28015.200000000001</v>
      </c>
      <c r="F12" s="150">
        <v>1154.3</v>
      </c>
      <c r="G12" s="151">
        <f t="shared" si="0"/>
        <v>26860.9</v>
      </c>
      <c r="H12" s="191">
        <f t="shared" si="1"/>
        <v>4.2973243636661461E-2</v>
      </c>
    </row>
    <row r="13" spans="1:8" ht="15.75">
      <c r="A13" s="149" t="s">
        <v>150</v>
      </c>
      <c r="B13" s="150">
        <v>184</v>
      </c>
      <c r="C13" s="150">
        <v>185</v>
      </c>
      <c r="D13" s="150">
        <v>271.05</v>
      </c>
      <c r="E13" s="150">
        <v>49873.2</v>
      </c>
      <c r="F13" s="150">
        <v>15833.2</v>
      </c>
      <c r="G13" s="151">
        <f t="shared" si="0"/>
        <v>34040</v>
      </c>
      <c r="H13" s="191">
        <f t="shared" si="1"/>
        <v>0.46513513513513516</v>
      </c>
    </row>
    <row r="14" spans="1:8" ht="15.75">
      <c r="A14" s="149" t="s">
        <v>152</v>
      </c>
      <c r="B14" s="150">
        <v>180</v>
      </c>
      <c r="C14" s="150">
        <v>322.89</v>
      </c>
      <c r="D14" s="150">
        <v>1208.4000000000001</v>
      </c>
      <c r="E14" s="150">
        <v>217512</v>
      </c>
      <c r="F14" s="150">
        <v>159392</v>
      </c>
      <c r="G14" s="151">
        <f t="shared" si="0"/>
        <v>58120</v>
      </c>
      <c r="H14" s="191">
        <f t="shared" si="1"/>
        <v>2.7424638678596009</v>
      </c>
    </row>
    <row r="15" spans="1:8" ht="15.75">
      <c r="A15" s="149" t="s">
        <v>153</v>
      </c>
      <c r="B15" s="150">
        <v>61</v>
      </c>
      <c r="C15" s="150">
        <v>427.78</v>
      </c>
      <c r="D15" s="150">
        <v>950.85</v>
      </c>
      <c r="E15" s="150">
        <v>58001.85</v>
      </c>
      <c r="F15" s="150">
        <v>31907.25</v>
      </c>
      <c r="G15" s="151">
        <f t="shared" si="0"/>
        <v>26094.6</v>
      </c>
      <c r="H15" s="191">
        <v>0</v>
      </c>
    </row>
    <row r="16" spans="1:8" ht="15.75">
      <c r="A16" s="149" t="s">
        <v>304</v>
      </c>
      <c r="B16" s="150">
        <v>6</v>
      </c>
      <c r="C16" s="150">
        <v>0</v>
      </c>
      <c r="D16" s="150">
        <v>30.08</v>
      </c>
      <c r="E16" s="150">
        <v>180.48</v>
      </c>
      <c r="F16" s="150">
        <v>180.48</v>
      </c>
      <c r="G16" s="151">
        <f t="shared" si="0"/>
        <v>0</v>
      </c>
      <c r="H16" s="191" t="e">
        <f t="shared" ref="H16:H79" si="2">F16/G16</f>
        <v>#DIV/0!</v>
      </c>
    </row>
    <row r="17" spans="1:8" ht="16.5">
      <c r="A17" s="149" t="s">
        <v>154</v>
      </c>
      <c r="B17" s="150">
        <v>14</v>
      </c>
      <c r="C17" s="150">
        <v>3489.94</v>
      </c>
      <c r="D17" s="150">
        <v>4899.95</v>
      </c>
      <c r="E17" s="150">
        <v>68599.3</v>
      </c>
      <c r="F17" s="150">
        <v>19740.2</v>
      </c>
      <c r="G17" s="151">
        <f t="shared" si="0"/>
        <v>48859.100000000006</v>
      </c>
      <c r="H17" s="191"/>
    </row>
    <row r="18" spans="1:8" ht="15.75">
      <c r="A18" s="149" t="s">
        <v>278</v>
      </c>
      <c r="B18" s="150">
        <v>69</v>
      </c>
      <c r="C18" s="150">
        <v>536.45000000000005</v>
      </c>
      <c r="D18" s="150">
        <v>594</v>
      </c>
      <c r="E18" s="150">
        <v>40986</v>
      </c>
      <c r="F18" s="150">
        <v>3970.95</v>
      </c>
      <c r="G18" s="151">
        <f t="shared" si="0"/>
        <v>37015.050000000003</v>
      </c>
      <c r="H18" s="191">
        <f t="shared" si="2"/>
        <v>0.10727933637804081</v>
      </c>
    </row>
    <row r="19" spans="1:8" ht="15.75">
      <c r="A19" s="149" t="s">
        <v>155</v>
      </c>
      <c r="B19" s="150">
        <v>180</v>
      </c>
      <c r="C19" s="150">
        <v>155.25</v>
      </c>
      <c r="D19" s="150">
        <v>211.25</v>
      </c>
      <c r="E19" s="150">
        <v>38025</v>
      </c>
      <c r="F19" s="150">
        <v>10080</v>
      </c>
      <c r="G19" s="151">
        <f t="shared" si="0"/>
        <v>27945</v>
      </c>
      <c r="H19" s="191">
        <f t="shared" si="2"/>
        <v>0.36070853462157809</v>
      </c>
    </row>
    <row r="20" spans="1:8" ht="15.75">
      <c r="A20" s="149" t="s">
        <v>156</v>
      </c>
      <c r="B20" s="150">
        <v>47</v>
      </c>
      <c r="C20" s="150">
        <v>193.53</v>
      </c>
      <c r="D20" s="150">
        <v>471.15</v>
      </c>
      <c r="E20" s="150">
        <v>22144.05</v>
      </c>
      <c r="F20" s="150">
        <v>13048.15</v>
      </c>
      <c r="G20" s="151">
        <f t="shared" si="0"/>
        <v>9095.9</v>
      </c>
      <c r="H20" s="191">
        <f t="shared" si="2"/>
        <v>1.4345089545839333</v>
      </c>
    </row>
    <row r="21" spans="1:8" ht="15.75">
      <c r="A21" s="149" t="s">
        <v>157</v>
      </c>
      <c r="B21" s="150">
        <v>40</v>
      </c>
      <c r="C21" s="150">
        <v>908.4</v>
      </c>
      <c r="D21" s="150">
        <v>1489.4</v>
      </c>
      <c r="E21" s="150">
        <v>59576</v>
      </c>
      <c r="F21" s="150">
        <v>23240.15</v>
      </c>
      <c r="G21" s="151">
        <f t="shared" si="0"/>
        <v>36335.85</v>
      </c>
      <c r="H21" s="191">
        <f t="shared" si="2"/>
        <v>0.6395928538894784</v>
      </c>
    </row>
    <row r="22" spans="1:8" ht="15.75">
      <c r="A22" s="149" t="s">
        <v>158</v>
      </c>
      <c r="B22" s="150">
        <v>470</v>
      </c>
      <c r="C22" s="150">
        <v>194.39</v>
      </c>
      <c r="D22" s="150">
        <v>443.2</v>
      </c>
      <c r="E22" s="150">
        <v>208304</v>
      </c>
      <c r="F22" s="150">
        <v>116940.5</v>
      </c>
      <c r="G22" s="151">
        <f t="shared" si="0"/>
        <v>91363.5</v>
      </c>
      <c r="H22" s="191">
        <f t="shared" si="2"/>
        <v>1.2799476815139526</v>
      </c>
    </row>
    <row r="23" spans="1:8" ht="15.75">
      <c r="A23" s="149" t="s">
        <v>159</v>
      </c>
      <c r="B23" s="150">
        <v>13</v>
      </c>
      <c r="C23" s="150">
        <v>4545.26</v>
      </c>
      <c r="D23" s="150">
        <v>5556.25</v>
      </c>
      <c r="E23" s="150">
        <v>72231.25</v>
      </c>
      <c r="F23" s="150">
        <v>13142.85</v>
      </c>
      <c r="G23" s="151">
        <f t="shared" si="0"/>
        <v>59088.4</v>
      </c>
      <c r="H23" s="191">
        <f t="shared" si="2"/>
        <v>0.22242690612709093</v>
      </c>
    </row>
    <row r="24" spans="1:8" ht="15.75">
      <c r="A24" s="149" t="s">
        <v>160</v>
      </c>
      <c r="B24" s="150">
        <v>21</v>
      </c>
      <c r="C24" s="150">
        <v>1503.03</v>
      </c>
      <c r="D24" s="150">
        <v>2782.6</v>
      </c>
      <c r="E24" s="150">
        <v>58434.6</v>
      </c>
      <c r="F24" s="150">
        <v>26870.9</v>
      </c>
      <c r="G24" s="151">
        <f t="shared" si="0"/>
        <v>31563.699999999997</v>
      </c>
      <c r="H24" s="191">
        <f t="shared" si="2"/>
        <v>0.85132288039741866</v>
      </c>
    </row>
    <row r="25" spans="1:8" ht="15.75">
      <c r="A25" s="149" t="s">
        <v>279</v>
      </c>
      <c r="B25" s="150">
        <v>98</v>
      </c>
      <c r="C25" s="150">
        <v>555.05999999999995</v>
      </c>
      <c r="D25" s="150">
        <v>531.6</v>
      </c>
      <c r="E25" s="150">
        <v>52096.800000000003</v>
      </c>
      <c r="F25" s="150">
        <v>-2299.25</v>
      </c>
      <c r="G25" s="151">
        <f t="shared" si="0"/>
        <v>54396.05</v>
      </c>
      <c r="H25" s="191">
        <f t="shared" si="2"/>
        <v>-4.2268694142313643E-2</v>
      </c>
    </row>
    <row r="26" spans="1:8" ht="15.75">
      <c r="A26" s="149" t="s">
        <v>161</v>
      </c>
      <c r="B26" s="150">
        <v>60</v>
      </c>
      <c r="C26" s="150">
        <v>356.27</v>
      </c>
      <c r="D26" s="150">
        <v>934.6</v>
      </c>
      <c r="E26" s="150">
        <v>56076</v>
      </c>
      <c r="F26" s="150">
        <v>34699.85</v>
      </c>
      <c r="G26" s="151">
        <f t="shared" si="0"/>
        <v>21376.15</v>
      </c>
      <c r="H26" s="191">
        <f t="shared" si="2"/>
        <v>1.6232974600196948</v>
      </c>
    </row>
    <row r="27" spans="1:8" ht="15.75">
      <c r="A27" s="149" t="s">
        <v>162</v>
      </c>
      <c r="B27" s="150">
        <v>14</v>
      </c>
      <c r="C27" s="150">
        <v>3289.33</v>
      </c>
      <c r="D27" s="150">
        <v>4411.8500000000004</v>
      </c>
      <c r="E27" s="150">
        <v>61765.9</v>
      </c>
      <c r="F27" s="150">
        <v>15715.35</v>
      </c>
      <c r="G27" s="151">
        <f t="shared" si="0"/>
        <v>46050.55</v>
      </c>
      <c r="H27" s="191">
        <f t="shared" si="2"/>
        <v>0.34126302508873402</v>
      </c>
    </row>
    <row r="28" spans="1:8" ht="15.75">
      <c r="A28" s="149" t="s">
        <v>163</v>
      </c>
      <c r="B28" s="150">
        <v>10</v>
      </c>
      <c r="C28" s="150">
        <v>4623.5</v>
      </c>
      <c r="D28" s="150">
        <v>6237.55</v>
      </c>
      <c r="E28" s="150">
        <v>62375.5</v>
      </c>
      <c r="F28" s="150">
        <v>16140.55</v>
      </c>
      <c r="G28" s="151">
        <f t="shared" si="0"/>
        <v>46234.95</v>
      </c>
      <c r="H28" s="191">
        <f t="shared" si="2"/>
        <v>0.34909846339187128</v>
      </c>
    </row>
    <row r="29" spans="1:8" ht="15.75">
      <c r="A29" s="149" t="s">
        <v>164</v>
      </c>
      <c r="B29" s="150">
        <v>8</v>
      </c>
      <c r="C29" s="150">
        <v>2511.94</v>
      </c>
      <c r="D29" s="150">
        <v>3922.2</v>
      </c>
      <c r="E29" s="150">
        <v>31377.599999999999</v>
      </c>
      <c r="F29" s="150">
        <v>11282.1</v>
      </c>
      <c r="G29" s="151">
        <f t="shared" si="0"/>
        <v>20095.5</v>
      </c>
      <c r="H29" s="191">
        <f t="shared" si="2"/>
        <v>0.56142419944763755</v>
      </c>
    </row>
    <row r="30" spans="1:8" ht="15.75">
      <c r="A30" s="149" t="s">
        <v>165</v>
      </c>
      <c r="B30" s="150">
        <v>46</v>
      </c>
      <c r="C30" s="150">
        <v>354.73</v>
      </c>
      <c r="D30" s="150">
        <v>370.64</v>
      </c>
      <c r="E30" s="150">
        <v>17049.439999999999</v>
      </c>
      <c r="F30" s="150">
        <v>731.7</v>
      </c>
      <c r="G30" s="151">
        <f t="shared" si="0"/>
        <v>16317.739999999998</v>
      </c>
      <c r="H30" s="191">
        <f t="shared" si="2"/>
        <v>4.4840768390720785E-2</v>
      </c>
    </row>
    <row r="31" spans="1:8" ht="15.75">
      <c r="A31" s="149" t="s">
        <v>166</v>
      </c>
      <c r="B31" s="150">
        <v>23</v>
      </c>
      <c r="C31" s="150">
        <v>1408.96</v>
      </c>
      <c r="D31" s="150">
        <v>1898.35</v>
      </c>
      <c r="E31" s="150">
        <v>43662.05</v>
      </c>
      <c r="F31" s="150">
        <v>11256.05</v>
      </c>
      <c r="G31" s="151">
        <f t="shared" si="0"/>
        <v>32406.000000000004</v>
      </c>
      <c r="H31" s="191">
        <f t="shared" si="2"/>
        <v>0.34734462753811018</v>
      </c>
    </row>
    <row r="32" spans="1:8" ht="15.75">
      <c r="A32" s="149" t="s">
        <v>168</v>
      </c>
      <c r="B32" s="150">
        <v>80</v>
      </c>
      <c r="C32" s="150">
        <v>685.74</v>
      </c>
      <c r="D32" s="150">
        <v>845.15</v>
      </c>
      <c r="E32" s="150">
        <v>67612</v>
      </c>
      <c r="F32" s="150">
        <v>12753</v>
      </c>
      <c r="G32" s="151">
        <f t="shared" si="0"/>
        <v>54859</v>
      </c>
      <c r="H32" s="191">
        <f t="shared" si="2"/>
        <v>0.23246869246614046</v>
      </c>
    </row>
    <row r="33" spans="1:8" ht="15.75">
      <c r="A33" s="149" t="s">
        <v>169</v>
      </c>
      <c r="B33" s="150">
        <v>268</v>
      </c>
      <c r="C33" s="150">
        <v>181.75</v>
      </c>
      <c r="D33" s="150">
        <v>314.5</v>
      </c>
      <c r="E33" s="150">
        <v>84286</v>
      </c>
      <c r="F33" s="150">
        <v>35576.25</v>
      </c>
      <c r="G33" s="151">
        <f t="shared" si="0"/>
        <v>48709.75</v>
      </c>
      <c r="H33" s="191">
        <f t="shared" si="2"/>
        <v>0.73037225606783041</v>
      </c>
    </row>
    <row r="34" spans="1:8" ht="15.75">
      <c r="A34" s="149" t="s">
        <v>170</v>
      </c>
      <c r="B34" s="150">
        <v>323</v>
      </c>
      <c r="C34" s="150">
        <v>83.87</v>
      </c>
      <c r="D34" s="150">
        <v>154.05000000000001</v>
      </c>
      <c r="E34" s="150">
        <v>49758.15</v>
      </c>
      <c r="F34" s="150">
        <v>22667.15</v>
      </c>
      <c r="G34" s="151">
        <f t="shared" si="0"/>
        <v>27091</v>
      </c>
      <c r="H34" s="191">
        <f t="shared" si="2"/>
        <v>0.83670407146284753</v>
      </c>
    </row>
    <row r="35" spans="1:8" ht="15.75">
      <c r="A35" s="149" t="s">
        <v>172</v>
      </c>
      <c r="B35" s="150">
        <v>18</v>
      </c>
      <c r="C35" s="150">
        <v>1556.41</v>
      </c>
      <c r="D35" s="150">
        <v>2497.75</v>
      </c>
      <c r="E35" s="150">
        <v>44959.5</v>
      </c>
      <c r="F35" s="150">
        <v>16944.150000000001</v>
      </c>
      <c r="G35" s="151">
        <f t="shared" si="0"/>
        <v>28015.35</v>
      </c>
      <c r="H35" s="191">
        <f t="shared" si="2"/>
        <v>0.60481664516059952</v>
      </c>
    </row>
    <row r="36" spans="1:8" ht="15.75">
      <c r="A36" s="149" t="s">
        <v>281</v>
      </c>
      <c r="B36" s="150">
        <v>124</v>
      </c>
      <c r="C36" s="150">
        <v>304.87</v>
      </c>
      <c r="D36" s="150">
        <v>445.6</v>
      </c>
      <c r="E36" s="150">
        <v>55254.400000000001</v>
      </c>
      <c r="F36" s="150">
        <v>17451</v>
      </c>
      <c r="G36" s="151">
        <f t="shared" si="0"/>
        <v>37803.4</v>
      </c>
      <c r="H36" s="191">
        <f t="shared" si="2"/>
        <v>0.46162514482824296</v>
      </c>
    </row>
    <row r="37" spans="1:8" ht="15.75">
      <c r="A37" s="149" t="s">
        <v>174</v>
      </c>
      <c r="B37" s="150">
        <v>67</v>
      </c>
      <c r="C37" s="150">
        <v>1067.9000000000001</v>
      </c>
      <c r="D37" s="150">
        <v>1528.3</v>
      </c>
      <c r="E37" s="150">
        <v>102396.1</v>
      </c>
      <c r="F37" s="150">
        <v>30847.1</v>
      </c>
      <c r="G37" s="151">
        <f t="shared" si="0"/>
        <v>71549</v>
      </c>
      <c r="H37" s="191">
        <f t="shared" si="2"/>
        <v>0.43113251058715002</v>
      </c>
    </row>
    <row r="38" spans="1:8" ht="15.75">
      <c r="A38" s="149" t="s">
        <v>175</v>
      </c>
      <c r="B38" s="150">
        <v>34</v>
      </c>
      <c r="C38" s="150">
        <v>1623.57</v>
      </c>
      <c r="D38" s="150">
        <v>1480.15</v>
      </c>
      <c r="E38" s="150">
        <v>50325.1</v>
      </c>
      <c r="F38" s="150">
        <v>-4876.3999999999996</v>
      </c>
      <c r="G38" s="151">
        <f t="shared" si="0"/>
        <v>55201.5</v>
      </c>
      <c r="H38" s="191">
        <f t="shared" si="2"/>
        <v>-8.833817921614448E-2</v>
      </c>
    </row>
    <row r="39" spans="1:8" ht="15.75">
      <c r="A39" s="149" t="s">
        <v>176</v>
      </c>
      <c r="B39" s="150">
        <v>136</v>
      </c>
      <c r="C39" s="150">
        <v>586.49</v>
      </c>
      <c r="D39" s="150">
        <v>632.85</v>
      </c>
      <c r="E39" s="150">
        <v>86067.6</v>
      </c>
      <c r="F39" s="150">
        <v>6305.25</v>
      </c>
      <c r="G39" s="151">
        <f t="shared" si="0"/>
        <v>79762.350000000006</v>
      </c>
      <c r="H39" s="191">
        <f t="shared" si="2"/>
        <v>7.9050454255673253E-2</v>
      </c>
    </row>
    <row r="40" spans="1:8" ht="15.75">
      <c r="A40" s="149" t="s">
        <v>177</v>
      </c>
      <c r="B40" s="150">
        <v>10</v>
      </c>
      <c r="C40" s="150">
        <v>2735.04</v>
      </c>
      <c r="D40" s="150">
        <v>4561.25</v>
      </c>
      <c r="E40" s="150">
        <v>45612.5</v>
      </c>
      <c r="F40" s="150">
        <v>18262.099999999999</v>
      </c>
      <c r="G40" s="151">
        <f t="shared" si="0"/>
        <v>27350.400000000001</v>
      </c>
      <c r="H40" s="191">
        <f t="shared" si="2"/>
        <v>0.66770869895869889</v>
      </c>
    </row>
    <row r="41" spans="1:8" ht="15.75">
      <c r="A41" s="149" t="s">
        <v>282</v>
      </c>
      <c r="B41" s="150">
        <v>28</v>
      </c>
      <c r="C41" s="150">
        <v>2303.96</v>
      </c>
      <c r="D41" s="150">
        <v>2286.6999999999998</v>
      </c>
      <c r="E41" s="150">
        <v>64027.6</v>
      </c>
      <c r="F41" s="150">
        <v>-483.2</v>
      </c>
      <c r="G41" s="151">
        <f t="shared" si="0"/>
        <v>64510.799999999996</v>
      </c>
      <c r="H41" s="191">
        <f t="shared" si="2"/>
        <v>-7.490218692063965E-3</v>
      </c>
    </row>
    <row r="42" spans="1:8" ht="15.75">
      <c r="A42" s="149" t="s">
        <v>178</v>
      </c>
      <c r="B42" s="150">
        <v>73</v>
      </c>
      <c r="C42" s="150">
        <v>589.26</v>
      </c>
      <c r="D42" s="150">
        <v>1082.5</v>
      </c>
      <c r="E42" s="150">
        <v>79022.5</v>
      </c>
      <c r="F42" s="150">
        <v>36006.85</v>
      </c>
      <c r="G42" s="151">
        <f t="shared" si="0"/>
        <v>43015.65</v>
      </c>
      <c r="H42" s="191">
        <f t="shared" si="2"/>
        <v>0.8370639523057305</v>
      </c>
    </row>
    <row r="43" spans="1:8" ht="15.75">
      <c r="A43" s="149" t="s">
        <v>151</v>
      </c>
      <c r="B43" s="150">
        <v>1000</v>
      </c>
      <c r="C43" s="150">
        <v>46.36</v>
      </c>
      <c r="D43" s="150">
        <v>48.01</v>
      </c>
      <c r="E43" s="150">
        <v>48010</v>
      </c>
      <c r="F43" s="150">
        <v>1650</v>
      </c>
      <c r="G43" s="151">
        <f t="shared" si="0"/>
        <v>46360</v>
      </c>
      <c r="H43" s="191">
        <f t="shared" si="2"/>
        <v>3.5591026747195859E-2</v>
      </c>
    </row>
    <row r="44" spans="1:8" ht="15.75">
      <c r="A44" s="149" t="s">
        <v>179</v>
      </c>
      <c r="B44" s="150">
        <v>65</v>
      </c>
      <c r="C44" s="150">
        <v>1261.51</v>
      </c>
      <c r="D44" s="150">
        <v>1688.9</v>
      </c>
      <c r="E44" s="150">
        <v>109778.5</v>
      </c>
      <c r="F44" s="150">
        <v>27780.55</v>
      </c>
      <c r="G44" s="151">
        <f t="shared" si="0"/>
        <v>81997.95</v>
      </c>
      <c r="H44" s="191">
        <f t="shared" si="2"/>
        <v>0.33879566501357655</v>
      </c>
    </row>
    <row r="45" spans="1:8" ht="15.75">
      <c r="A45" s="149" t="s">
        <v>180</v>
      </c>
      <c r="B45" s="150">
        <v>145</v>
      </c>
      <c r="C45" s="150">
        <v>496.18</v>
      </c>
      <c r="D45" s="150">
        <v>623.9</v>
      </c>
      <c r="E45" s="150">
        <v>90465.5</v>
      </c>
      <c r="F45" s="150">
        <v>18519.400000000001</v>
      </c>
      <c r="G45" s="151">
        <f t="shared" si="0"/>
        <v>71946.100000000006</v>
      </c>
      <c r="H45" s="191">
        <f t="shared" si="2"/>
        <v>0.25740658631948082</v>
      </c>
    </row>
    <row r="46" spans="1:8" ht="15.75">
      <c r="A46" s="149" t="s">
        <v>284</v>
      </c>
      <c r="B46" s="150">
        <v>35</v>
      </c>
      <c r="C46" s="150">
        <v>917.94</v>
      </c>
      <c r="D46" s="150">
        <v>1558.25</v>
      </c>
      <c r="E46" s="150">
        <v>54538.75</v>
      </c>
      <c r="F46" s="150">
        <v>22410.85</v>
      </c>
      <c r="G46" s="151">
        <f t="shared" si="0"/>
        <v>32127.9</v>
      </c>
      <c r="H46" s="191">
        <f t="shared" si="2"/>
        <v>0.69755103819421738</v>
      </c>
    </row>
    <row r="47" spans="1:8" ht="15.75">
      <c r="A47" s="149" t="s">
        <v>181</v>
      </c>
      <c r="B47" s="150">
        <v>57</v>
      </c>
      <c r="C47" s="150">
        <v>1521.67</v>
      </c>
      <c r="D47" s="150">
        <v>1483.2</v>
      </c>
      <c r="E47" s="150">
        <v>84542.399999999994</v>
      </c>
      <c r="F47" s="150">
        <v>-2193</v>
      </c>
      <c r="G47" s="151">
        <f t="shared" si="0"/>
        <v>86735.4</v>
      </c>
      <c r="H47" s="191">
        <f t="shared" si="2"/>
        <v>-2.5283794160169897E-2</v>
      </c>
    </row>
    <row r="48" spans="1:8" ht="15.75">
      <c r="A48" s="149" t="s">
        <v>182</v>
      </c>
      <c r="B48" s="150">
        <v>759</v>
      </c>
      <c r="C48" s="150">
        <v>229.74</v>
      </c>
      <c r="D48" s="150">
        <v>425.85</v>
      </c>
      <c r="E48" s="150">
        <v>323220.15000000002</v>
      </c>
      <c r="F48" s="150">
        <v>148844.6</v>
      </c>
      <c r="G48" s="151">
        <f t="shared" si="0"/>
        <v>174375.55000000002</v>
      </c>
      <c r="H48" s="191">
        <f t="shared" si="2"/>
        <v>0.8535864116270887</v>
      </c>
    </row>
    <row r="49" spans="1:8" ht="15.75">
      <c r="A49" s="149" t="s">
        <v>183</v>
      </c>
      <c r="B49" s="150">
        <v>28</v>
      </c>
      <c r="C49" s="150">
        <v>597.6</v>
      </c>
      <c r="D49" s="150">
        <v>1663</v>
      </c>
      <c r="E49" s="150">
        <v>46564</v>
      </c>
      <c r="F49" s="150">
        <v>29831.3</v>
      </c>
      <c r="G49" s="151">
        <f t="shared" si="0"/>
        <v>16732.7</v>
      </c>
      <c r="H49" s="191">
        <f t="shared" si="2"/>
        <v>1.7828144889946032</v>
      </c>
    </row>
    <row r="50" spans="1:8" ht="15.75">
      <c r="A50" s="149" t="s">
        <v>184</v>
      </c>
      <c r="B50" s="150">
        <v>329</v>
      </c>
      <c r="C50" s="150">
        <v>121.11</v>
      </c>
      <c r="D50" s="150">
        <v>185.85</v>
      </c>
      <c r="E50" s="150">
        <v>61144.65</v>
      </c>
      <c r="F50" s="150">
        <v>21299.9</v>
      </c>
      <c r="G50" s="151">
        <f t="shared" si="0"/>
        <v>39844.75</v>
      </c>
      <c r="H50" s="191">
        <f t="shared" si="2"/>
        <v>0.53457230877342687</v>
      </c>
    </row>
    <row r="51" spans="1:8" ht="15.75">
      <c r="A51" s="149" t="s">
        <v>185</v>
      </c>
      <c r="B51" s="150">
        <v>55</v>
      </c>
      <c r="C51" s="150">
        <v>1723.54</v>
      </c>
      <c r="D51" s="150">
        <v>1757.4</v>
      </c>
      <c r="E51" s="150">
        <v>96657</v>
      </c>
      <c r="F51" s="150">
        <v>1862.05</v>
      </c>
      <c r="G51" s="151">
        <f t="shared" si="0"/>
        <v>94794.95</v>
      </c>
      <c r="H51" s="191">
        <f t="shared" si="2"/>
        <v>1.9642924016521977E-2</v>
      </c>
    </row>
    <row r="52" spans="1:8" ht="15.75">
      <c r="A52" s="149" t="s">
        <v>186</v>
      </c>
      <c r="B52" s="150">
        <v>67</v>
      </c>
      <c r="C52" s="150">
        <v>676.11</v>
      </c>
      <c r="D52" s="150">
        <v>1511.5</v>
      </c>
      <c r="E52" s="150">
        <v>101270.5</v>
      </c>
      <c r="F52" s="150">
        <v>55971.1</v>
      </c>
      <c r="G52" s="151">
        <f t="shared" si="0"/>
        <v>45299.4</v>
      </c>
      <c r="H52" s="191">
        <f t="shared" si="2"/>
        <v>1.2355814867305086</v>
      </c>
    </row>
    <row r="53" spans="1:8" ht="15.75">
      <c r="A53" s="149" t="s">
        <v>187</v>
      </c>
      <c r="B53" s="150">
        <v>20</v>
      </c>
      <c r="C53" s="150">
        <v>2295.38</v>
      </c>
      <c r="D53" s="150">
        <v>2278.15</v>
      </c>
      <c r="E53" s="150">
        <v>45563</v>
      </c>
      <c r="F53" s="150">
        <v>-344.6</v>
      </c>
      <c r="G53" s="151">
        <f t="shared" si="0"/>
        <v>45907.6</v>
      </c>
      <c r="H53" s="191">
        <f t="shared" si="2"/>
        <v>-7.506382385487371E-3</v>
      </c>
    </row>
    <row r="54" spans="1:8" ht="15.75">
      <c r="A54" s="149" t="s">
        <v>188</v>
      </c>
      <c r="B54" s="150">
        <v>62</v>
      </c>
      <c r="C54" s="150">
        <v>1053.22</v>
      </c>
      <c r="D54" s="150">
        <v>3807.4</v>
      </c>
      <c r="E54" s="150">
        <v>236058.8</v>
      </c>
      <c r="F54" s="150">
        <v>170759.45</v>
      </c>
      <c r="G54" s="151">
        <f t="shared" si="0"/>
        <v>65299.349999999977</v>
      </c>
      <c r="H54" s="191">
        <f t="shared" si="2"/>
        <v>2.6150252644168752</v>
      </c>
    </row>
    <row r="55" spans="1:8" ht="15.75">
      <c r="A55" s="149" t="s">
        <v>286</v>
      </c>
      <c r="B55" s="150">
        <v>25</v>
      </c>
      <c r="C55" s="150">
        <v>4933.3100000000004</v>
      </c>
      <c r="D55" s="150">
        <v>4900.75</v>
      </c>
      <c r="E55" s="150">
        <v>122518.75</v>
      </c>
      <c r="F55" s="150">
        <v>-814.08</v>
      </c>
      <c r="G55" s="151">
        <f t="shared" si="0"/>
        <v>123332.83</v>
      </c>
      <c r="H55" s="191">
        <f t="shared" si="2"/>
        <v>-6.6006755865409073E-3</v>
      </c>
    </row>
    <row r="56" spans="1:8" ht="15.75">
      <c r="A56" s="149" t="s">
        <v>189</v>
      </c>
      <c r="B56" s="150">
        <v>20</v>
      </c>
      <c r="C56" s="150">
        <v>1002.87</v>
      </c>
      <c r="D56" s="150">
        <v>1971.95</v>
      </c>
      <c r="E56" s="150">
        <v>39439</v>
      </c>
      <c r="F56" s="150">
        <v>19381.7</v>
      </c>
      <c r="G56" s="151">
        <f t="shared" si="0"/>
        <v>20057.3</v>
      </c>
      <c r="H56" s="191">
        <f t="shared" si="2"/>
        <v>0.96631650321827967</v>
      </c>
    </row>
    <row r="57" spans="1:8" ht="15.75">
      <c r="A57" s="149" t="s">
        <v>190</v>
      </c>
      <c r="B57" s="150">
        <v>23</v>
      </c>
      <c r="C57" s="150">
        <v>2162.1799999999998</v>
      </c>
      <c r="D57" s="150">
        <v>2396.75</v>
      </c>
      <c r="E57" s="150">
        <v>55125.25</v>
      </c>
      <c r="F57" s="150">
        <v>5395.05</v>
      </c>
      <c r="G57" s="151">
        <f t="shared" si="0"/>
        <v>49730.2</v>
      </c>
      <c r="H57" s="191">
        <f t="shared" si="2"/>
        <v>0.1084863925743311</v>
      </c>
    </row>
    <row r="58" spans="1:8" ht="15.75">
      <c r="A58" s="149" t="s">
        <v>191</v>
      </c>
      <c r="B58" s="150">
        <v>114</v>
      </c>
      <c r="C58" s="150">
        <v>490.12</v>
      </c>
      <c r="D58" s="150">
        <v>499</v>
      </c>
      <c r="E58" s="150">
        <v>56886</v>
      </c>
      <c r="F58" s="150">
        <v>1012.35</v>
      </c>
      <c r="G58" s="151">
        <f t="shared" si="0"/>
        <v>55873.65</v>
      </c>
      <c r="H58" s="191">
        <f t="shared" si="2"/>
        <v>1.8118558569200329E-2</v>
      </c>
    </row>
    <row r="59" spans="1:8" ht="15.75">
      <c r="A59" s="149" t="s">
        <v>192</v>
      </c>
      <c r="B59" s="150">
        <v>89</v>
      </c>
      <c r="C59" s="150">
        <v>735.97</v>
      </c>
      <c r="D59" s="150">
        <v>1014.45</v>
      </c>
      <c r="E59" s="150">
        <v>90286.05</v>
      </c>
      <c r="F59" s="150">
        <v>24784.799999999999</v>
      </c>
      <c r="G59" s="151">
        <f t="shared" si="0"/>
        <v>65501.25</v>
      </c>
      <c r="H59" s="191">
        <f t="shared" si="2"/>
        <v>0.37838667201007614</v>
      </c>
    </row>
    <row r="60" spans="1:8" ht="15.75">
      <c r="A60" s="149" t="s">
        <v>265</v>
      </c>
      <c r="B60" s="150">
        <v>53</v>
      </c>
      <c r="C60" s="150">
        <v>336.99</v>
      </c>
      <c r="D60" s="150">
        <v>344.49</v>
      </c>
      <c r="E60" s="150">
        <v>18257.97</v>
      </c>
      <c r="F60" s="150">
        <v>397.44</v>
      </c>
      <c r="G60" s="151">
        <f t="shared" si="0"/>
        <v>17860.530000000002</v>
      </c>
      <c r="H60" s="191">
        <f t="shared" si="2"/>
        <v>2.2252419161133512E-2</v>
      </c>
    </row>
    <row r="61" spans="1:8" ht="15.75">
      <c r="A61" s="149" t="s">
        <v>194</v>
      </c>
      <c r="B61" s="150">
        <v>255</v>
      </c>
      <c r="C61" s="150">
        <v>99.4</v>
      </c>
      <c r="D61" s="150">
        <v>120.95</v>
      </c>
      <c r="E61" s="150">
        <v>30842.25</v>
      </c>
      <c r="F61" s="150">
        <v>5494.75</v>
      </c>
      <c r="G61" s="151">
        <f t="shared" si="0"/>
        <v>25347.5</v>
      </c>
      <c r="H61" s="191">
        <f t="shared" si="2"/>
        <v>0.21677680244600059</v>
      </c>
    </row>
    <row r="62" spans="1:8" ht="15.75">
      <c r="A62" s="149" t="s">
        <v>195</v>
      </c>
      <c r="B62" s="150">
        <v>37</v>
      </c>
      <c r="C62" s="150">
        <v>2300.56</v>
      </c>
      <c r="D62" s="150">
        <v>2468.4499999999998</v>
      </c>
      <c r="E62" s="150">
        <v>91332.65</v>
      </c>
      <c r="F62" s="150">
        <v>6211.9</v>
      </c>
      <c r="G62" s="151">
        <f t="shared" si="0"/>
        <v>85120.75</v>
      </c>
      <c r="H62" s="191">
        <f t="shared" si="2"/>
        <v>7.2977505484855335E-2</v>
      </c>
    </row>
    <row r="63" spans="1:8" ht="15.75">
      <c r="A63" s="149" t="s">
        <v>196</v>
      </c>
      <c r="B63" s="150">
        <v>21</v>
      </c>
      <c r="C63" s="150">
        <v>2605.84</v>
      </c>
      <c r="D63" s="150">
        <v>2623.3</v>
      </c>
      <c r="E63" s="150">
        <v>55089.3</v>
      </c>
      <c r="F63" s="150">
        <v>366.7</v>
      </c>
      <c r="G63" s="151">
        <f t="shared" si="0"/>
        <v>54722.600000000006</v>
      </c>
      <c r="H63" s="191">
        <f t="shared" si="2"/>
        <v>6.7010704900717427E-3</v>
      </c>
    </row>
    <row r="64" spans="1:8" ht="15.75">
      <c r="A64" s="149" t="s">
        <v>266</v>
      </c>
      <c r="B64" s="150">
        <v>145</v>
      </c>
      <c r="C64" s="150">
        <v>127.63</v>
      </c>
      <c r="D64" s="150">
        <v>130</v>
      </c>
      <c r="E64" s="150">
        <v>18850</v>
      </c>
      <c r="F64" s="150">
        <v>343.9</v>
      </c>
      <c r="G64" s="151">
        <f t="shared" si="0"/>
        <v>18506.099999999999</v>
      </c>
      <c r="H64" s="191">
        <f t="shared" si="2"/>
        <v>1.8583061801243913E-2</v>
      </c>
    </row>
    <row r="65" spans="1:8" ht="15.75">
      <c r="A65" s="149" t="s">
        <v>198</v>
      </c>
      <c r="B65" s="150">
        <v>88</v>
      </c>
      <c r="C65" s="150">
        <v>582.44000000000005</v>
      </c>
      <c r="D65" s="150">
        <v>1551.6</v>
      </c>
      <c r="E65" s="150">
        <v>136540.79999999999</v>
      </c>
      <c r="F65" s="150">
        <v>85285.75</v>
      </c>
      <c r="G65" s="151">
        <f t="shared" si="0"/>
        <v>51255.049999999988</v>
      </c>
      <c r="H65" s="191">
        <f t="shared" si="2"/>
        <v>1.6639482353446151</v>
      </c>
    </row>
    <row r="66" spans="1:8" ht="15.75">
      <c r="A66" s="149" t="s">
        <v>199</v>
      </c>
      <c r="B66" s="150">
        <v>12</v>
      </c>
      <c r="C66" s="150">
        <v>4216.4799999999996</v>
      </c>
      <c r="D66" s="150">
        <v>8826.2000000000007</v>
      </c>
      <c r="E66" s="150">
        <v>105914.4</v>
      </c>
      <c r="F66" s="150">
        <v>55316.7</v>
      </c>
      <c r="G66" s="151">
        <f t="shared" ref="G66:G97" si="3">E66-F66</f>
        <v>50597.7</v>
      </c>
      <c r="H66" s="191">
        <f t="shared" si="2"/>
        <v>1.0932651088883487</v>
      </c>
    </row>
    <row r="67" spans="1:8" ht="15.75">
      <c r="A67" s="149" t="s">
        <v>200</v>
      </c>
      <c r="B67" s="150">
        <v>300</v>
      </c>
      <c r="C67" s="150">
        <v>82.33</v>
      </c>
      <c r="D67" s="150">
        <v>272.5</v>
      </c>
      <c r="E67" s="150">
        <v>81750</v>
      </c>
      <c r="F67" s="150">
        <v>57050</v>
      </c>
      <c r="G67" s="151">
        <f t="shared" si="3"/>
        <v>24700</v>
      </c>
      <c r="H67" s="191">
        <f t="shared" si="2"/>
        <v>2.3097165991902835</v>
      </c>
    </row>
    <row r="68" spans="1:8" ht="15.75">
      <c r="A68" s="149" t="s">
        <v>201</v>
      </c>
      <c r="B68" s="150">
        <v>20</v>
      </c>
      <c r="C68" s="150">
        <v>2053.08</v>
      </c>
      <c r="D68" s="150">
        <v>3970.25</v>
      </c>
      <c r="E68" s="150">
        <v>79405</v>
      </c>
      <c r="F68" s="150">
        <v>38343.35</v>
      </c>
      <c r="G68" s="151">
        <f t="shared" si="3"/>
        <v>41061.65</v>
      </c>
      <c r="H68" s="191">
        <f t="shared" si="2"/>
        <v>0.93379954288247058</v>
      </c>
    </row>
    <row r="69" spans="1:8" ht="15.75">
      <c r="A69" s="149" t="s">
        <v>202</v>
      </c>
      <c r="B69" s="150">
        <v>22</v>
      </c>
      <c r="C69" s="150">
        <v>885.65</v>
      </c>
      <c r="D69" s="150">
        <v>2900</v>
      </c>
      <c r="E69" s="150">
        <v>63800</v>
      </c>
      <c r="F69" s="150">
        <v>44315.8</v>
      </c>
      <c r="G69" s="151">
        <f t="shared" si="3"/>
        <v>19484.199999999997</v>
      </c>
      <c r="H69" s="191">
        <f t="shared" si="2"/>
        <v>2.2744480142885011</v>
      </c>
    </row>
    <row r="70" spans="1:8" ht="15.75">
      <c r="A70" s="149" t="s">
        <v>203</v>
      </c>
      <c r="B70" s="150">
        <v>30</v>
      </c>
      <c r="C70" s="150">
        <v>2499.15</v>
      </c>
      <c r="D70" s="150">
        <v>2999.75</v>
      </c>
      <c r="E70" s="150">
        <v>89992.5</v>
      </c>
      <c r="F70" s="150">
        <v>15018.15</v>
      </c>
      <c r="G70" s="151">
        <f t="shared" si="3"/>
        <v>74974.350000000006</v>
      </c>
      <c r="H70" s="191">
        <f t="shared" si="2"/>
        <v>0.20031050619311802</v>
      </c>
    </row>
    <row r="71" spans="1:8" ht="15.75">
      <c r="A71" s="149" t="s">
        <v>204</v>
      </c>
      <c r="B71" s="150">
        <v>42</v>
      </c>
      <c r="C71" s="150">
        <v>567.23</v>
      </c>
      <c r="D71" s="150">
        <v>1313.65</v>
      </c>
      <c r="E71" s="150">
        <v>55173.3</v>
      </c>
      <c r="F71" s="150">
        <v>31349.7</v>
      </c>
      <c r="G71" s="151">
        <f t="shared" si="3"/>
        <v>23823.600000000002</v>
      </c>
      <c r="H71" s="191">
        <f t="shared" si="2"/>
        <v>1.3159094343424167</v>
      </c>
    </row>
    <row r="72" spans="1:8" ht="15.75">
      <c r="A72" s="149" t="s">
        <v>307</v>
      </c>
      <c r="B72" s="150">
        <v>20</v>
      </c>
      <c r="C72" s="150">
        <v>1000</v>
      </c>
      <c r="D72" s="150">
        <v>1084.6199999999999</v>
      </c>
      <c r="E72" s="150">
        <v>21692.400000000001</v>
      </c>
      <c r="F72" s="150">
        <v>0</v>
      </c>
      <c r="G72" s="151">
        <f t="shared" si="3"/>
        <v>21692.400000000001</v>
      </c>
      <c r="H72" s="191">
        <f t="shared" si="2"/>
        <v>0</v>
      </c>
    </row>
    <row r="73" spans="1:8" ht="15.75">
      <c r="A73" s="149" t="s">
        <v>299</v>
      </c>
      <c r="B73" s="150">
        <v>49</v>
      </c>
      <c r="C73" s="150">
        <v>952.78</v>
      </c>
      <c r="D73" s="150">
        <v>835.1</v>
      </c>
      <c r="E73" s="150">
        <v>40919.9</v>
      </c>
      <c r="F73" s="150">
        <v>-5766.25</v>
      </c>
      <c r="G73" s="151">
        <f t="shared" si="3"/>
        <v>46686.15</v>
      </c>
      <c r="H73" s="191">
        <f t="shared" si="2"/>
        <v>-0.12351093418497777</v>
      </c>
    </row>
    <row r="74" spans="1:8" ht="15.75">
      <c r="A74" s="149" t="s">
        <v>206</v>
      </c>
      <c r="B74" s="150">
        <v>73</v>
      </c>
      <c r="C74" s="150">
        <v>1222.56</v>
      </c>
      <c r="D74" s="150">
        <v>1470.75</v>
      </c>
      <c r="E74" s="150">
        <v>107364.75</v>
      </c>
      <c r="F74" s="150">
        <v>18117.599999999999</v>
      </c>
      <c r="G74" s="151">
        <f t="shared" si="3"/>
        <v>89247.15</v>
      </c>
      <c r="H74" s="191">
        <f t="shared" si="2"/>
        <v>0.20300480183400815</v>
      </c>
    </row>
    <row r="75" spans="1:8" ht="15.75">
      <c r="A75" s="149" t="s">
        <v>207</v>
      </c>
      <c r="B75" s="150">
        <v>72</v>
      </c>
      <c r="C75" s="150">
        <v>355.35</v>
      </c>
      <c r="D75" s="150">
        <v>767.35</v>
      </c>
      <c r="E75" s="150">
        <v>55249.2</v>
      </c>
      <c r="F75" s="150">
        <v>29663.95</v>
      </c>
      <c r="G75" s="151">
        <f t="shared" si="3"/>
        <v>25585.249999999996</v>
      </c>
      <c r="H75" s="191">
        <f t="shared" si="2"/>
        <v>1.1594160698058453</v>
      </c>
    </row>
    <row r="76" spans="1:8" ht="15.75">
      <c r="A76" s="149" t="s">
        <v>262</v>
      </c>
      <c r="B76" s="150">
        <v>10</v>
      </c>
      <c r="C76" s="150">
        <v>5284</v>
      </c>
      <c r="D76" s="150">
        <v>6756.06</v>
      </c>
      <c r="E76" s="150">
        <v>67560.600000000006</v>
      </c>
      <c r="F76" s="150">
        <v>14720.6</v>
      </c>
      <c r="G76" s="151">
        <f t="shared" si="3"/>
        <v>52840.000000000007</v>
      </c>
      <c r="H76" s="191">
        <f t="shared" si="2"/>
        <v>0.27858819076457225</v>
      </c>
    </row>
    <row r="77" spans="1:8" ht="15.75">
      <c r="A77" s="149" t="s">
        <v>209</v>
      </c>
      <c r="B77" s="150">
        <v>5</v>
      </c>
      <c r="C77" s="150">
        <v>4802</v>
      </c>
      <c r="D77" s="150">
        <v>6662.82</v>
      </c>
      <c r="E77" s="150">
        <v>33314.1</v>
      </c>
      <c r="F77" s="150">
        <v>9304.1</v>
      </c>
      <c r="G77" s="151">
        <f t="shared" si="3"/>
        <v>24010</v>
      </c>
      <c r="H77" s="191">
        <f t="shared" si="2"/>
        <v>0.38750937109537692</v>
      </c>
    </row>
    <row r="78" spans="1:8" ht="15.75">
      <c r="A78" s="149" t="s">
        <v>210</v>
      </c>
      <c r="B78" s="150">
        <v>10</v>
      </c>
      <c r="C78" s="150">
        <v>5002.45</v>
      </c>
      <c r="D78" s="150">
        <v>6679.94</v>
      </c>
      <c r="E78" s="150">
        <v>66799.399999999994</v>
      </c>
      <c r="F78" s="150">
        <v>16774.900000000001</v>
      </c>
      <c r="G78" s="151">
        <f t="shared" si="3"/>
        <v>50024.499999999993</v>
      </c>
      <c r="H78" s="191">
        <f t="shared" si="2"/>
        <v>0.33533368649361822</v>
      </c>
    </row>
    <row r="79" spans="1:8" ht="15.75">
      <c r="A79" s="149" t="s">
        <v>211</v>
      </c>
      <c r="B79" s="150">
        <v>35</v>
      </c>
      <c r="C79" s="150">
        <v>984.23</v>
      </c>
      <c r="D79" s="150">
        <v>5588.15</v>
      </c>
      <c r="E79" s="150">
        <v>195585.25</v>
      </c>
      <c r="F79" s="150">
        <v>161137.20000000001</v>
      </c>
      <c r="G79" s="151">
        <f t="shared" si="3"/>
        <v>34448.049999999988</v>
      </c>
      <c r="H79" s="191">
        <f t="shared" si="2"/>
        <v>4.6776871259766537</v>
      </c>
    </row>
    <row r="80" spans="1:8" ht="15.75">
      <c r="A80" s="149" t="s">
        <v>290</v>
      </c>
      <c r="B80" s="150">
        <v>48</v>
      </c>
      <c r="C80" s="150">
        <v>575.6</v>
      </c>
      <c r="D80" s="150">
        <v>678.2</v>
      </c>
      <c r="E80" s="150">
        <v>32553.599999999999</v>
      </c>
      <c r="F80" s="150">
        <v>4924.6499999999996</v>
      </c>
      <c r="G80" s="151">
        <f t="shared" si="3"/>
        <v>27628.949999999997</v>
      </c>
      <c r="H80" s="191">
        <f t="shared" ref="H80:H111" si="4">F80/G80</f>
        <v>0.17824238706139756</v>
      </c>
    </row>
    <row r="81" spans="1:8" ht="15.75">
      <c r="A81" s="149" t="s">
        <v>291</v>
      </c>
      <c r="B81" s="150">
        <v>212</v>
      </c>
      <c r="C81" s="150">
        <v>548.12</v>
      </c>
      <c r="D81" s="150">
        <v>558.65</v>
      </c>
      <c r="E81" s="150">
        <v>118433.8</v>
      </c>
      <c r="F81" s="150">
        <v>2232.75</v>
      </c>
      <c r="G81" s="151">
        <f t="shared" si="3"/>
        <v>116201.05</v>
      </c>
      <c r="H81" s="191">
        <f t="shared" si="4"/>
        <v>1.9214542381501717E-2</v>
      </c>
    </row>
    <row r="82" spans="1:8" ht="15.75">
      <c r="A82" s="149" t="s">
        <v>292</v>
      </c>
      <c r="B82" s="150">
        <v>32</v>
      </c>
      <c r="C82" s="150">
        <v>752.33</v>
      </c>
      <c r="D82" s="150">
        <v>1087.8499999999999</v>
      </c>
      <c r="E82" s="150">
        <v>34811.199999999997</v>
      </c>
      <c r="F82" s="150">
        <v>10736.7</v>
      </c>
      <c r="G82" s="151">
        <f t="shared" si="3"/>
        <v>24074.499999999996</v>
      </c>
      <c r="H82" s="191">
        <f t="shared" si="4"/>
        <v>0.44597810961806073</v>
      </c>
    </row>
    <row r="83" spans="1:8" ht="15.75">
      <c r="A83" s="149" t="s">
        <v>212</v>
      </c>
      <c r="B83" s="150">
        <v>152</v>
      </c>
      <c r="C83" s="150">
        <v>574.22</v>
      </c>
      <c r="D83" s="150">
        <v>1622.25</v>
      </c>
      <c r="E83" s="150">
        <v>246582</v>
      </c>
      <c r="F83" s="150">
        <v>159299.85</v>
      </c>
      <c r="G83" s="151">
        <f t="shared" si="3"/>
        <v>87282.15</v>
      </c>
      <c r="H83" s="191">
        <f t="shared" si="4"/>
        <v>1.825113726002396</v>
      </c>
    </row>
    <row r="84" spans="1:8" ht="15.75">
      <c r="A84" s="149" t="s">
        <v>293</v>
      </c>
      <c r="B84" s="150">
        <v>69</v>
      </c>
      <c r="C84" s="150">
        <v>373.18</v>
      </c>
      <c r="D84" s="150">
        <v>411.6</v>
      </c>
      <c r="E84" s="150">
        <v>28400.400000000001</v>
      </c>
      <c r="F84" s="150">
        <v>2651.1</v>
      </c>
      <c r="G84" s="151">
        <f t="shared" si="3"/>
        <v>25749.300000000003</v>
      </c>
      <c r="H84" s="191">
        <f t="shared" si="4"/>
        <v>0.10295813866784727</v>
      </c>
    </row>
    <row r="85" spans="1:8" ht="15.75">
      <c r="A85" s="149" t="s">
        <v>213</v>
      </c>
      <c r="B85" s="150">
        <v>83</v>
      </c>
      <c r="C85" s="150">
        <v>548.48</v>
      </c>
      <c r="D85" s="150">
        <v>723.4</v>
      </c>
      <c r="E85" s="150">
        <v>60042.2</v>
      </c>
      <c r="F85" s="150">
        <v>14518.6</v>
      </c>
      <c r="G85" s="151">
        <f t="shared" si="3"/>
        <v>45523.6</v>
      </c>
      <c r="H85" s="191">
        <f t="shared" si="4"/>
        <v>0.31892468961154219</v>
      </c>
    </row>
    <row r="86" spans="1:8" ht="15.75">
      <c r="A86" s="149" t="s">
        <v>214</v>
      </c>
      <c r="B86" s="150">
        <v>46</v>
      </c>
      <c r="C86" s="150">
        <v>794.51</v>
      </c>
      <c r="D86" s="150">
        <v>1131.1500000000001</v>
      </c>
      <c r="E86" s="150">
        <v>52032.9</v>
      </c>
      <c r="F86" s="150">
        <v>15485.6</v>
      </c>
      <c r="G86" s="151">
        <f t="shared" si="3"/>
        <v>36547.300000000003</v>
      </c>
      <c r="H86" s="191">
        <f t="shared" si="4"/>
        <v>0.42371392688379167</v>
      </c>
    </row>
    <row r="87" spans="1:8" ht="15.75">
      <c r="A87" s="149" t="s">
        <v>267</v>
      </c>
      <c r="B87" s="150">
        <v>37</v>
      </c>
      <c r="C87" s="150">
        <v>632.20000000000005</v>
      </c>
      <c r="D87" s="150">
        <v>1004.65</v>
      </c>
      <c r="E87" s="150">
        <v>37172.050000000003</v>
      </c>
      <c r="F87" s="150">
        <v>13780.65</v>
      </c>
      <c r="G87" s="151">
        <f t="shared" si="3"/>
        <v>23391.4</v>
      </c>
      <c r="H87" s="191">
        <f t="shared" si="4"/>
        <v>0.58913318570072759</v>
      </c>
    </row>
    <row r="88" spans="1:8" ht="15.75">
      <c r="A88" s="149" t="s">
        <v>302</v>
      </c>
      <c r="B88" s="150">
        <v>775</v>
      </c>
      <c r="C88" s="150">
        <v>99.29</v>
      </c>
      <c r="D88" s="150">
        <v>665.2</v>
      </c>
      <c r="E88" s="150">
        <v>515530</v>
      </c>
      <c r="F88" s="150">
        <v>438579</v>
      </c>
      <c r="G88" s="151">
        <f t="shared" si="3"/>
        <v>76951</v>
      </c>
      <c r="H88" s="191">
        <f t="shared" si="4"/>
        <v>5.6994580967108943</v>
      </c>
    </row>
    <row r="89" spans="1:8" ht="15.75">
      <c r="A89" s="149" t="s">
        <v>215</v>
      </c>
      <c r="B89" s="150">
        <v>1050</v>
      </c>
      <c r="C89" s="150">
        <v>40.479999999999997</v>
      </c>
      <c r="D89" s="150">
        <v>164.65</v>
      </c>
      <c r="E89" s="150">
        <v>172882.5</v>
      </c>
      <c r="F89" s="150">
        <v>130382.25</v>
      </c>
      <c r="G89" s="151">
        <f t="shared" si="3"/>
        <v>42500.25</v>
      </c>
      <c r="H89" s="191">
        <f t="shared" si="4"/>
        <v>3.0677996011788164</v>
      </c>
    </row>
    <row r="90" spans="1:8" ht="15.75">
      <c r="A90" s="149" t="s">
        <v>216</v>
      </c>
      <c r="B90" s="150">
        <v>30</v>
      </c>
      <c r="C90" s="150">
        <v>3490.64</v>
      </c>
      <c r="D90" s="150">
        <v>3883.8</v>
      </c>
      <c r="E90" s="150">
        <v>116514</v>
      </c>
      <c r="F90" s="150">
        <v>11794.95</v>
      </c>
      <c r="G90" s="151">
        <f t="shared" si="3"/>
        <v>104719.05</v>
      </c>
      <c r="H90" s="191">
        <f t="shared" si="4"/>
        <v>0.11263423417229244</v>
      </c>
    </row>
    <row r="91" spans="1:8" ht="15.75">
      <c r="A91" s="149" t="s">
        <v>217</v>
      </c>
      <c r="B91" s="150">
        <v>24</v>
      </c>
      <c r="C91" s="150">
        <v>2584.4</v>
      </c>
      <c r="D91" s="150">
        <v>3756.7</v>
      </c>
      <c r="E91" s="150">
        <v>90160.8</v>
      </c>
      <c r="F91" s="150">
        <v>28135.200000000001</v>
      </c>
      <c r="G91" s="151">
        <f t="shared" si="3"/>
        <v>62025.600000000006</v>
      </c>
      <c r="H91" s="191">
        <f t="shared" si="4"/>
        <v>0.4536062529020275</v>
      </c>
    </row>
    <row r="92" spans="1:8" ht="15.75">
      <c r="A92" s="149" t="s">
        <v>220</v>
      </c>
      <c r="B92" s="150">
        <v>61</v>
      </c>
      <c r="C92" s="150">
        <v>401.11</v>
      </c>
      <c r="D92" s="150">
        <v>690.55</v>
      </c>
      <c r="E92" s="150">
        <v>42123.55</v>
      </c>
      <c r="F92" s="150">
        <v>17655.8</v>
      </c>
      <c r="G92" s="151">
        <f t="shared" si="3"/>
        <v>24467.750000000004</v>
      </c>
      <c r="H92" s="191">
        <f t="shared" si="4"/>
        <v>0.72159475227595493</v>
      </c>
    </row>
    <row r="93" spans="1:8" ht="15.75">
      <c r="A93" s="149" t="s">
        <v>221</v>
      </c>
      <c r="B93" s="150">
        <v>36</v>
      </c>
      <c r="C93" s="150">
        <v>120.1</v>
      </c>
      <c r="D93" s="150">
        <v>1409.45</v>
      </c>
      <c r="E93" s="150">
        <v>50740.2</v>
      </c>
      <c r="F93" s="150">
        <v>46416.55</v>
      </c>
      <c r="G93" s="151">
        <f t="shared" si="3"/>
        <v>4323.6499999999942</v>
      </c>
      <c r="H93" s="191">
        <f t="shared" si="4"/>
        <v>10.735501254726923</v>
      </c>
    </row>
    <row r="94" spans="1:8" ht="16.5">
      <c r="A94" s="149" t="s">
        <v>300</v>
      </c>
      <c r="B94" s="150">
        <v>525</v>
      </c>
      <c r="C94" s="150">
        <v>38.97</v>
      </c>
      <c r="D94" s="150">
        <v>24.62</v>
      </c>
      <c r="E94" s="150">
        <v>12925.5</v>
      </c>
      <c r="F94" s="150">
        <v>-7532</v>
      </c>
      <c r="G94" s="151">
        <f t="shared" si="3"/>
        <v>20457.5</v>
      </c>
      <c r="H94" s="191"/>
    </row>
    <row r="95" spans="1:8" ht="16.5">
      <c r="A95" s="149"/>
      <c r="B95" s="150"/>
      <c r="C95" s="150"/>
      <c r="D95" s="150"/>
      <c r="E95" s="150"/>
      <c r="F95" s="150"/>
      <c r="G95" s="151">
        <f t="shared" si="3"/>
        <v>0</v>
      </c>
      <c r="H95" s="191"/>
    </row>
    <row r="96" spans="1:8" ht="16.5">
      <c r="A96" s="149"/>
      <c r="B96" s="150"/>
      <c r="C96" s="150"/>
      <c r="D96" s="150"/>
      <c r="E96" s="150"/>
      <c r="F96" s="150"/>
      <c r="G96" s="151">
        <f t="shared" si="3"/>
        <v>0</v>
      </c>
      <c r="H96" s="191"/>
    </row>
    <row r="97" spans="1:8" ht="16.5">
      <c r="A97" s="149"/>
      <c r="B97" s="150"/>
      <c r="C97" s="150"/>
      <c r="D97" s="150"/>
      <c r="E97" s="150"/>
      <c r="F97" s="150"/>
      <c r="G97" s="151">
        <f t="shared" si="3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10858</v>
      </c>
      <c r="C104" s="45"/>
      <c r="D104" s="45"/>
      <c r="E104" s="45">
        <f>SUM(E2:E103)</f>
        <v>7342819.9900000002</v>
      </c>
      <c r="F104" s="45">
        <f>SUM(F2:F103)</f>
        <v>3013627.4400000004</v>
      </c>
      <c r="G104" s="45">
        <f>SUM(G2:G103)</f>
        <v>4329192.55</v>
      </c>
      <c r="H104" s="176">
        <f>F104/G104</f>
        <v>0.69611767210492881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2BE7-F9DE-49C9-921A-F045664C7C9D}">
  <dimension ref="A1:I18"/>
  <sheetViews>
    <sheetView workbookViewId="0">
      <selection activeCell="B6" sqref="B6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105.96</v>
      </c>
      <c r="E2">
        <v>68.607799999999997</v>
      </c>
      <c r="F2" s="188">
        <v>279986.10960000003</v>
      </c>
      <c r="G2" s="188">
        <v>432419.15740000003</v>
      </c>
      <c r="H2" s="188">
        <v>152433.0478</v>
      </c>
      <c r="I2" s="192">
        <f>H2/F2</f>
        <v>0.54443075057463486</v>
      </c>
    </row>
    <row r="3" spans="1:9">
      <c r="A3" s="168" t="s">
        <v>236</v>
      </c>
      <c r="B3" t="s">
        <v>237</v>
      </c>
      <c r="C3" s="188">
        <v>14235.332</v>
      </c>
      <c r="D3">
        <v>100.65</v>
      </c>
      <c r="E3">
        <v>47.766100000000002</v>
      </c>
      <c r="F3" s="188">
        <v>679966.92570000002</v>
      </c>
      <c r="G3" s="188">
        <v>1432786.1658000001</v>
      </c>
      <c r="H3" s="188">
        <v>752819.24010000005</v>
      </c>
      <c r="I3" s="192">
        <f t="shared" ref="I3:I18" si="0">H3/F3</f>
        <v>1.1071409676654513</v>
      </c>
    </row>
    <row r="4" spans="1:9">
      <c r="A4" s="168" t="s">
        <v>238</v>
      </c>
      <c r="B4" t="s">
        <v>237</v>
      </c>
      <c r="C4" s="188">
        <v>20558.841</v>
      </c>
      <c r="D4">
        <v>36.64</v>
      </c>
      <c r="E4">
        <v>29.426300000000001</v>
      </c>
      <c r="F4" s="188">
        <v>604969.77780000004</v>
      </c>
      <c r="G4" s="188">
        <v>753275.93420000002</v>
      </c>
      <c r="H4" s="188">
        <v>148306.15650000001</v>
      </c>
      <c r="I4" s="192">
        <f t="shared" si="0"/>
        <v>0.24514638903008024</v>
      </c>
    </row>
    <row r="5" spans="1:9">
      <c r="A5" s="168" t="s">
        <v>268</v>
      </c>
      <c r="B5" t="s">
        <v>269</v>
      </c>
      <c r="C5">
        <v>64.52</v>
      </c>
      <c r="D5" s="188">
        <v>3120.6810999999998</v>
      </c>
      <c r="E5" s="188">
        <v>3099.6498000000001</v>
      </c>
      <c r="F5" s="188">
        <v>199989.4051</v>
      </c>
      <c r="G5" s="188">
        <v>201346.34460000001</v>
      </c>
      <c r="H5" s="188">
        <v>1356.9395</v>
      </c>
      <c r="I5" s="192">
        <f t="shared" si="0"/>
        <v>6.7850569349986031E-3</v>
      </c>
    </row>
    <row r="6" spans="1:9">
      <c r="A6" s="168" t="s">
        <v>303</v>
      </c>
      <c r="B6" t="s">
        <v>241</v>
      </c>
      <c r="C6" s="188">
        <v>1857.5519999999999</v>
      </c>
      <c r="D6">
        <v>690.21630000000005</v>
      </c>
      <c r="E6">
        <v>366.02140000000003</v>
      </c>
      <c r="F6" s="188">
        <v>679903.69869999995</v>
      </c>
      <c r="G6" s="188">
        <v>1282112.6684999999</v>
      </c>
      <c r="H6" s="188">
        <v>602208.96979999996</v>
      </c>
      <c r="I6" s="192">
        <f t="shared" si="0"/>
        <v>0.88572686242396526</v>
      </c>
    </row>
    <row r="7" spans="1:9">
      <c r="A7" s="168" t="s">
        <v>242</v>
      </c>
      <c r="B7" t="s">
        <v>237</v>
      </c>
      <c r="C7" s="188">
        <v>4306.576</v>
      </c>
      <c r="D7">
        <v>135.68199999999999</v>
      </c>
      <c r="E7">
        <v>44.3917</v>
      </c>
      <c r="F7" s="188">
        <v>191176.2298</v>
      </c>
      <c r="G7" s="188">
        <v>584324.84479999996</v>
      </c>
      <c r="H7" s="188">
        <v>393148.61499999999</v>
      </c>
      <c r="I7" s="192">
        <f t="shared" si="0"/>
        <v>2.0564722686041796</v>
      </c>
    </row>
    <row r="8" spans="1:9">
      <c r="A8" s="168" t="s">
        <v>272</v>
      </c>
      <c r="B8" t="s">
        <v>235</v>
      </c>
      <c r="C8" s="188">
        <v>5805.7370000000001</v>
      </c>
      <c r="D8">
        <v>120.23399999999999</v>
      </c>
      <c r="E8">
        <v>41.940399999999997</v>
      </c>
      <c r="F8" s="188">
        <v>243495.1642</v>
      </c>
      <c r="G8" s="188">
        <v>698046.98250000004</v>
      </c>
      <c r="H8" s="188">
        <v>454551.81819999998</v>
      </c>
      <c r="I8" s="192">
        <f t="shared" si="0"/>
        <v>1.8667796532774017</v>
      </c>
    </row>
    <row r="9" spans="1:9">
      <c r="A9" s="168" t="s">
        <v>244</v>
      </c>
      <c r="B9" t="s">
        <v>233</v>
      </c>
      <c r="C9" s="188">
        <v>5841.7389999999996</v>
      </c>
      <c r="D9">
        <v>31.638500000000001</v>
      </c>
      <c r="E9">
        <v>23.964300000000001</v>
      </c>
      <c r="F9" s="188">
        <v>139992.99739999999</v>
      </c>
      <c r="G9" s="188">
        <v>184823.85939999999</v>
      </c>
      <c r="H9" s="188">
        <v>44830.861900000004</v>
      </c>
      <c r="I9" s="192">
        <f t="shared" si="0"/>
        <v>0.3202364599131014</v>
      </c>
    </row>
    <row r="10" spans="1:9">
      <c r="A10" s="168" t="s">
        <v>273</v>
      </c>
      <c r="B10" t="s">
        <v>233</v>
      </c>
      <c r="C10" s="188">
        <v>82131.043999999994</v>
      </c>
      <c r="D10">
        <v>13.5656</v>
      </c>
      <c r="E10">
        <v>9.9227000000000007</v>
      </c>
      <c r="F10" s="188">
        <v>814959.2439</v>
      </c>
      <c r="G10" s="188">
        <v>1114156.8905</v>
      </c>
      <c r="H10" s="188">
        <v>299197.64659999998</v>
      </c>
      <c r="I10" s="192">
        <f t="shared" si="0"/>
        <v>0.36713203615948331</v>
      </c>
    </row>
    <row r="11" spans="1:9">
      <c r="A11" s="168" t="s">
        <v>246</v>
      </c>
      <c r="B11" t="s">
        <v>241</v>
      </c>
      <c r="C11" s="188">
        <v>55487.764999999999</v>
      </c>
      <c r="D11">
        <v>14.433400000000001</v>
      </c>
      <c r="E11">
        <v>11.902900000000001</v>
      </c>
      <c r="F11" s="188">
        <v>660466.9841</v>
      </c>
      <c r="G11" s="188">
        <v>800877.10739999998</v>
      </c>
      <c r="H11" s="188">
        <v>140410.1232</v>
      </c>
      <c r="I11" s="192">
        <f t="shared" si="0"/>
        <v>0.21259219095006388</v>
      </c>
    </row>
    <row r="12" spans="1:9">
      <c r="A12" s="168" t="s">
        <v>247</v>
      </c>
      <c r="B12" t="s">
        <v>241</v>
      </c>
      <c r="C12" s="188">
        <v>20842.667000000001</v>
      </c>
      <c r="D12">
        <v>14.648899999999999</v>
      </c>
      <c r="E12">
        <v>12.018000000000001</v>
      </c>
      <c r="F12" s="188">
        <v>250487.46580000001</v>
      </c>
      <c r="G12" s="188">
        <v>305322.1446</v>
      </c>
      <c r="H12" s="188">
        <v>54834.678899999999</v>
      </c>
      <c r="I12" s="192">
        <f t="shared" si="0"/>
        <v>0.21891186740570234</v>
      </c>
    </row>
    <row r="13" spans="1:9">
      <c r="A13" s="168" t="s">
        <v>250</v>
      </c>
      <c r="B13" t="s">
        <v>251</v>
      </c>
      <c r="C13" s="188">
        <v>19397.659</v>
      </c>
      <c r="D13">
        <v>75.733099999999993</v>
      </c>
      <c r="E13">
        <v>44.640599999999999</v>
      </c>
      <c r="F13" s="188">
        <v>865923.00470000005</v>
      </c>
      <c r="G13" s="188">
        <v>1469044.8488</v>
      </c>
      <c r="H13" s="188">
        <v>603121.84409999999</v>
      </c>
      <c r="I13" s="192">
        <f t="shared" si="0"/>
        <v>0.69650747332778418</v>
      </c>
    </row>
    <row r="14" spans="1:9">
      <c r="A14" s="168" t="s">
        <v>274</v>
      </c>
      <c r="B14" t="s">
        <v>233</v>
      </c>
      <c r="C14" s="188">
        <v>6809.741</v>
      </c>
      <c r="D14">
        <v>44.78</v>
      </c>
      <c r="E14">
        <v>35.241999999999997</v>
      </c>
      <c r="F14" s="188">
        <v>239988.8371</v>
      </c>
      <c r="G14" s="188">
        <v>304940.20199999999</v>
      </c>
      <c r="H14" s="188">
        <v>64951.3649</v>
      </c>
      <c r="I14" s="192">
        <f t="shared" si="0"/>
        <v>0.27064327526590609</v>
      </c>
    </row>
    <row r="15" spans="1:9">
      <c r="A15" s="168" t="s">
        <v>253</v>
      </c>
      <c r="B15" t="s">
        <v>235</v>
      </c>
      <c r="C15" s="188">
        <v>3033.43</v>
      </c>
      <c r="D15">
        <v>240.26009999999999</v>
      </c>
      <c r="E15">
        <v>161.643</v>
      </c>
      <c r="F15" s="188">
        <v>490332.75799999997</v>
      </c>
      <c r="G15" s="188">
        <v>728812.19510000001</v>
      </c>
      <c r="H15" s="188">
        <v>238479.43710000001</v>
      </c>
      <c r="I15" s="192">
        <f t="shared" si="0"/>
        <v>0.4863624410343802</v>
      </c>
    </row>
    <row r="16" spans="1:9">
      <c r="A16" s="168" t="s">
        <v>255</v>
      </c>
      <c r="B16" t="s">
        <v>241</v>
      </c>
      <c r="C16" s="188">
        <v>18996.168000000001</v>
      </c>
      <c r="D16">
        <v>22.818200000000001</v>
      </c>
      <c r="E16">
        <v>9.4700000000000006</v>
      </c>
      <c r="F16" s="188">
        <v>179893.71100000001</v>
      </c>
      <c r="G16" s="188">
        <v>433458.36070000002</v>
      </c>
      <c r="H16" s="188">
        <v>253564.64970000001</v>
      </c>
      <c r="I16" s="192">
        <f t="shared" ref="I16" si="1">H16/F16</f>
        <v>1.4095248149058417</v>
      </c>
    </row>
    <row r="17" spans="1:9">
      <c r="A17" s="168"/>
      <c r="B17"/>
      <c r="C17" s="188"/>
      <c r="D17"/>
      <c r="E17"/>
      <c r="F17" s="188"/>
      <c r="G17" s="188"/>
      <c r="H17" s="188"/>
      <c r="I17" s="192"/>
    </row>
    <row r="18" spans="1:9">
      <c r="A18" s="74" t="s">
        <v>11</v>
      </c>
      <c r="B18" s="75"/>
      <c r="C18" s="75">
        <f>SUM(C2:C17)</f>
        <v>263449.73699999996</v>
      </c>
      <c r="D18" s="75"/>
      <c r="E18" s="75"/>
      <c r="F18" s="75">
        <f>SUM(F2:F17)</f>
        <v>6521532.3129000012</v>
      </c>
      <c r="G18" s="75">
        <f>SUM(G2:G17)</f>
        <v>10725747.7063</v>
      </c>
      <c r="H18" s="75">
        <f>SUM(H2:H17)</f>
        <v>4204215.3933000006</v>
      </c>
      <c r="I18" s="53">
        <f t="shared" si="0"/>
        <v>0.64466680399387088</v>
      </c>
    </row>
  </sheetData>
  <hyperlinks>
    <hyperlink ref="A2" r:id="rId1" location="/mf/1831632/15690/NULL" xr:uid="{50857DDA-D6E4-47D2-8A38-AFE2865F6BD3}"/>
    <hyperlink ref="A3" r:id="rId2" location="/mf/1831632/22335/NULL" xr:uid="{6E138458-FC60-4264-A35E-C727BF6EF62A}"/>
    <hyperlink ref="A4" r:id="rId3" location="/mf/1831632/38817/NULL" xr:uid="{53A23A45-1D92-4AA8-ADEF-9EA600E756AA}"/>
    <hyperlink ref="A5" r:id="rId4" location="/mf/1831632/16576/NULL" xr:uid="{BF5757F6-423F-4A58-88EA-C8F61696554F}"/>
    <hyperlink ref="A6" r:id="rId5" location="/mf/1831632/16071/NULL" xr:uid="{9D9E6F78-BE9A-4CDF-8C60-B38B250FDB4C}"/>
    <hyperlink ref="A7" r:id="rId6" location="/mf/1831632/16617/NULL" xr:uid="{E17B57E6-2418-4432-AC62-BFC60393378B}"/>
    <hyperlink ref="A8" r:id="rId7" location="/mf/1831632/17134/NULL" xr:uid="{9A55C01F-7274-4316-A2B9-0FC89BA76C00}"/>
    <hyperlink ref="A9" r:id="rId8" location="/mf/1831632/38228/NULL" xr:uid="{16C19FC9-F76B-4843-A4BC-F5A62933704D}"/>
    <hyperlink ref="A10" r:id="rId9" location="/mf/1831632/42135/NULL" xr:uid="{43E929DE-1E74-4E82-95EE-04B43066104C}"/>
    <hyperlink ref="A11" r:id="rId10" location="/mf/1831632/41574/NULL" xr:uid="{D639624F-0C0A-4B74-98F3-2812678FDE48}"/>
    <hyperlink ref="A12" r:id="rId11" location="/mf/1831632/41937/NULL" xr:uid="{77A5BC39-236B-438B-8ADF-A3EE4F74382D}"/>
    <hyperlink ref="A13" r:id="rId12" location="/mf/1831632/19701/NULL" xr:uid="{49555EC9-B4D2-427E-B43C-4B23570FDEAC}"/>
    <hyperlink ref="A14" r:id="rId13" location="/mf/1831632/17348/NULL" xr:uid="{805252B1-BA5C-4C14-B47C-197C3B552315}"/>
    <hyperlink ref="A15" r:id="rId14" location="/mf/1831632/17375/NULL" xr:uid="{9F62A8B2-A35E-41BA-9082-6B90B8D71A0B}"/>
    <hyperlink ref="A16" r:id="rId15" location="/mf/1831632/36491/NULL" xr:uid="{47188957-5FD9-47A1-BA11-8017CC7980FB}"/>
  </hyperlinks>
  <pageMargins left="0.7" right="0.7" top="0.75" bottom="0.75" header="0.3" footer="0.3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EE35-6B2B-4879-A6C7-1C29F208F9A3}">
  <dimension ref="A1:I104"/>
  <sheetViews>
    <sheetView workbookViewId="0">
      <pane xSplit="1" ySplit="1" topLeftCell="B94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143</v>
      </c>
      <c r="B2" s="150">
        <v>100</v>
      </c>
      <c r="C2" s="150">
        <v>109.73</v>
      </c>
      <c r="D2" s="150">
        <v>103.84</v>
      </c>
      <c r="E2" s="150">
        <v>10384</v>
      </c>
      <c r="F2" s="150">
        <v>-588.5</v>
      </c>
      <c r="G2" s="151">
        <f t="shared" ref="G2:G65" si="0">E2-F2</f>
        <v>10972.5</v>
      </c>
      <c r="H2" s="191">
        <f t="shared" ref="H2:H14" si="1">F2/G2</f>
        <v>-5.3634085213032583E-2</v>
      </c>
    </row>
    <row r="3" spans="1:8" ht="15.75">
      <c r="A3" s="149" t="s">
        <v>259</v>
      </c>
      <c r="B3" s="150">
        <v>13</v>
      </c>
      <c r="C3" s="150">
        <v>133.75</v>
      </c>
      <c r="D3" s="150">
        <v>727.6</v>
      </c>
      <c r="E3" s="150">
        <v>9458.7999999999993</v>
      </c>
      <c r="F3" s="150">
        <v>7720.05</v>
      </c>
      <c r="G3" s="151">
        <f t="shared" si="0"/>
        <v>1738.7499999999991</v>
      </c>
      <c r="H3" s="191">
        <f t="shared" si="1"/>
        <v>4.4400000000000022</v>
      </c>
    </row>
    <row r="4" spans="1:8" ht="15.75">
      <c r="A4" s="149" t="s">
        <v>144</v>
      </c>
      <c r="B4" s="150">
        <v>25</v>
      </c>
      <c r="C4" s="150">
        <v>813.47</v>
      </c>
      <c r="D4" s="150">
        <v>2139.25</v>
      </c>
      <c r="E4" s="150">
        <v>53481.25</v>
      </c>
      <c r="F4" s="150">
        <v>33144.6</v>
      </c>
      <c r="G4" s="151">
        <f t="shared" si="0"/>
        <v>20336.650000000001</v>
      </c>
      <c r="H4" s="191">
        <f t="shared" si="1"/>
        <v>1.6297964512345935</v>
      </c>
    </row>
    <row r="5" spans="1:8" ht="15.75">
      <c r="A5" s="149" t="s">
        <v>145</v>
      </c>
      <c r="B5" s="150">
        <v>250</v>
      </c>
      <c r="C5" s="150">
        <v>183.59</v>
      </c>
      <c r="D5" s="150">
        <v>531.20000000000005</v>
      </c>
      <c r="E5" s="150">
        <v>132800</v>
      </c>
      <c r="F5" s="150">
        <v>86902.5</v>
      </c>
      <c r="G5" s="151">
        <f t="shared" si="0"/>
        <v>45897.5</v>
      </c>
      <c r="H5" s="191">
        <f t="shared" si="1"/>
        <v>1.8934037801623183</v>
      </c>
    </row>
    <row r="6" spans="1:8" ht="15.75">
      <c r="A6" s="149" t="s">
        <v>275</v>
      </c>
      <c r="B6" s="150">
        <v>165</v>
      </c>
      <c r="C6" s="150">
        <v>160.15</v>
      </c>
      <c r="D6" s="150">
        <v>172.4</v>
      </c>
      <c r="E6" s="150">
        <v>28446</v>
      </c>
      <c r="F6" s="150">
        <v>2021.25</v>
      </c>
      <c r="G6" s="151">
        <f t="shared" si="0"/>
        <v>26424.75</v>
      </c>
      <c r="H6" s="191">
        <f t="shared" si="1"/>
        <v>7.6490789884483296E-2</v>
      </c>
    </row>
    <row r="7" spans="1:8" ht="15.75">
      <c r="A7" s="149" t="s">
        <v>276</v>
      </c>
      <c r="B7" s="150">
        <v>28</v>
      </c>
      <c r="C7" s="150">
        <v>2757.87</v>
      </c>
      <c r="D7" s="150">
        <v>2849.8</v>
      </c>
      <c r="E7" s="150">
        <v>79794.399999999994</v>
      </c>
      <c r="F7" s="150">
        <v>2574</v>
      </c>
      <c r="G7" s="151">
        <f t="shared" si="0"/>
        <v>77220.399999999994</v>
      </c>
      <c r="H7" s="191">
        <f t="shared" si="1"/>
        <v>3.3333160667388416E-2</v>
      </c>
    </row>
    <row r="8" spans="1:8" ht="15.75">
      <c r="A8" s="149" t="s">
        <v>277</v>
      </c>
      <c r="B8" s="150">
        <v>72</v>
      </c>
      <c r="C8" s="150">
        <v>578.16999999999996</v>
      </c>
      <c r="D8" s="150">
        <v>578</v>
      </c>
      <c r="E8" s="150">
        <v>41616</v>
      </c>
      <c r="F8" s="150">
        <v>-12.2</v>
      </c>
      <c r="G8" s="151">
        <f t="shared" si="0"/>
        <v>41628.199999999997</v>
      </c>
      <c r="H8" s="191">
        <f t="shared" si="1"/>
        <v>-2.9307056274352483E-4</v>
      </c>
    </row>
    <row r="9" spans="1:8" ht="15.75">
      <c r="A9" s="149" t="s">
        <v>146</v>
      </c>
      <c r="B9" s="150">
        <v>73</v>
      </c>
      <c r="C9" s="150">
        <v>665.52</v>
      </c>
      <c r="D9" s="150">
        <v>1096.7</v>
      </c>
      <c r="E9" s="150">
        <v>80059.100000000006</v>
      </c>
      <c r="F9" s="150">
        <v>31475.9</v>
      </c>
      <c r="G9" s="151">
        <f t="shared" si="0"/>
        <v>48583.200000000004</v>
      </c>
      <c r="H9" s="191">
        <f t="shared" si="1"/>
        <v>0.64787622058654015</v>
      </c>
    </row>
    <row r="10" spans="1:8" ht="15.75">
      <c r="A10" s="149" t="s">
        <v>147</v>
      </c>
      <c r="B10" s="150">
        <v>21</v>
      </c>
      <c r="C10" s="150">
        <v>2946.68</v>
      </c>
      <c r="D10" s="150">
        <v>8046.6</v>
      </c>
      <c r="E10" s="150">
        <v>168978.6</v>
      </c>
      <c r="F10" s="150">
        <v>107098.35</v>
      </c>
      <c r="G10" s="151">
        <f t="shared" si="0"/>
        <v>61880.25</v>
      </c>
      <c r="H10" s="191">
        <f t="shared" si="1"/>
        <v>1.7307355739513013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6585</v>
      </c>
      <c r="E11" s="150">
        <v>52680</v>
      </c>
      <c r="F11" s="150">
        <v>-1168.3499999999999</v>
      </c>
      <c r="G11" s="151">
        <f t="shared" si="0"/>
        <v>53848.35</v>
      </c>
      <c r="H11" s="191">
        <f t="shared" si="1"/>
        <v>-2.1697043642005743E-2</v>
      </c>
    </row>
    <row r="12" spans="1:8" ht="15.75">
      <c r="A12" s="149" t="s">
        <v>149</v>
      </c>
      <c r="B12" s="150">
        <v>12</v>
      </c>
      <c r="C12" s="150">
        <v>2238.41</v>
      </c>
      <c r="D12" s="150">
        <v>2266.5</v>
      </c>
      <c r="E12" s="150">
        <v>27198</v>
      </c>
      <c r="F12" s="150">
        <v>337.1</v>
      </c>
      <c r="G12" s="151">
        <f t="shared" si="0"/>
        <v>26860.9</v>
      </c>
      <c r="H12" s="191">
        <f t="shared" si="1"/>
        <v>1.2549840102155922E-2</v>
      </c>
    </row>
    <row r="13" spans="1:8" ht="15.75">
      <c r="A13" s="149" t="s">
        <v>150</v>
      </c>
      <c r="B13" s="150">
        <v>184</v>
      </c>
      <c r="C13" s="150">
        <v>185</v>
      </c>
      <c r="D13" s="150">
        <v>271.85000000000002</v>
      </c>
      <c r="E13" s="150">
        <v>50020.4</v>
      </c>
      <c r="F13" s="150">
        <v>15980.4</v>
      </c>
      <c r="G13" s="151">
        <f t="shared" si="0"/>
        <v>34040</v>
      </c>
      <c r="H13" s="191">
        <f t="shared" si="1"/>
        <v>0.46945945945945944</v>
      </c>
    </row>
    <row r="14" spans="1:8" ht="15.75">
      <c r="A14" s="149" t="s">
        <v>152</v>
      </c>
      <c r="B14" s="150">
        <v>180</v>
      </c>
      <c r="C14" s="150">
        <v>322.89</v>
      </c>
      <c r="D14" s="150">
        <v>1131.0999999999999</v>
      </c>
      <c r="E14" s="150">
        <v>203598</v>
      </c>
      <c r="F14" s="150">
        <v>145478</v>
      </c>
      <c r="G14" s="151">
        <f t="shared" si="0"/>
        <v>58120</v>
      </c>
      <c r="H14" s="191">
        <f t="shared" si="1"/>
        <v>2.5030626290433586</v>
      </c>
    </row>
    <row r="15" spans="1:8" ht="15.75">
      <c r="A15" s="149" t="s">
        <v>153</v>
      </c>
      <c r="B15" s="150">
        <v>61</v>
      </c>
      <c r="C15" s="150">
        <v>427.78</v>
      </c>
      <c r="D15" s="150">
        <v>1004.95</v>
      </c>
      <c r="E15" s="150">
        <v>61301.95</v>
      </c>
      <c r="F15" s="150">
        <v>35207.35</v>
      </c>
      <c r="G15" s="151">
        <f t="shared" si="0"/>
        <v>26094.6</v>
      </c>
      <c r="H15" s="191">
        <v>0</v>
      </c>
    </row>
    <row r="16" spans="1:8" ht="15.75">
      <c r="A16" s="149" t="s">
        <v>304</v>
      </c>
      <c r="B16" s="150">
        <v>6</v>
      </c>
      <c r="C16" s="150">
        <v>0</v>
      </c>
      <c r="D16" s="150">
        <v>29.84</v>
      </c>
      <c r="E16" s="150">
        <v>179.04</v>
      </c>
      <c r="F16" s="150">
        <v>179.04</v>
      </c>
      <c r="G16" s="151">
        <f t="shared" si="0"/>
        <v>0</v>
      </c>
      <c r="H16" s="191" t="e">
        <f t="shared" ref="H16:H79" si="2">F16/G16</f>
        <v>#DIV/0!</v>
      </c>
    </row>
    <row r="17" spans="1:8" ht="16.5">
      <c r="A17" s="149" t="s">
        <v>154</v>
      </c>
      <c r="B17" s="150">
        <v>14</v>
      </c>
      <c r="C17" s="150">
        <v>3489.94</v>
      </c>
      <c r="D17" s="150">
        <v>4922.55</v>
      </c>
      <c r="E17" s="150">
        <v>68915.7</v>
      </c>
      <c r="F17" s="150">
        <v>20056.599999999999</v>
      </c>
      <c r="G17" s="151">
        <f t="shared" si="0"/>
        <v>48859.1</v>
      </c>
      <c r="H17" s="191"/>
    </row>
    <row r="18" spans="1:8" ht="15.75">
      <c r="A18" s="149" t="s">
        <v>155</v>
      </c>
      <c r="B18" s="150">
        <v>180</v>
      </c>
      <c r="C18" s="150">
        <v>155.25</v>
      </c>
      <c r="D18" s="150">
        <v>214.25</v>
      </c>
      <c r="E18" s="150">
        <v>38565</v>
      </c>
      <c r="F18" s="150">
        <v>10620</v>
      </c>
      <c r="G18" s="151">
        <f t="shared" si="0"/>
        <v>27945</v>
      </c>
      <c r="H18" s="191">
        <f t="shared" si="2"/>
        <v>0.38003220611916266</v>
      </c>
    </row>
    <row r="19" spans="1:8" ht="15.75">
      <c r="A19" s="149" t="s">
        <v>156</v>
      </c>
      <c r="B19" s="150">
        <v>47</v>
      </c>
      <c r="C19" s="150">
        <v>193.53</v>
      </c>
      <c r="D19" s="150">
        <v>447.85</v>
      </c>
      <c r="E19" s="150">
        <v>21048.95</v>
      </c>
      <c r="F19" s="150">
        <v>11953.05</v>
      </c>
      <c r="G19" s="151">
        <f t="shared" si="0"/>
        <v>9095.9000000000015</v>
      </c>
      <c r="H19" s="191">
        <f t="shared" si="2"/>
        <v>1.314114051385789</v>
      </c>
    </row>
    <row r="20" spans="1:8" ht="15.75">
      <c r="A20" s="149" t="s">
        <v>157</v>
      </c>
      <c r="B20" s="150">
        <v>35</v>
      </c>
      <c r="C20" s="150">
        <v>827.34</v>
      </c>
      <c r="D20" s="150">
        <v>1483.15</v>
      </c>
      <c r="E20" s="150">
        <v>51910.25</v>
      </c>
      <c r="F20" s="150">
        <v>22953.4</v>
      </c>
      <c r="G20" s="151">
        <f t="shared" si="0"/>
        <v>28956.85</v>
      </c>
      <c r="H20" s="191">
        <f t="shared" si="2"/>
        <v>0.79267599894325536</v>
      </c>
    </row>
    <row r="21" spans="1:8" ht="15.75">
      <c r="A21" s="149" t="s">
        <v>158</v>
      </c>
      <c r="B21" s="150">
        <v>470</v>
      </c>
      <c r="C21" s="150">
        <v>194.39</v>
      </c>
      <c r="D21" s="150">
        <v>448.5</v>
      </c>
      <c r="E21" s="150">
        <v>210795</v>
      </c>
      <c r="F21" s="150">
        <v>119431.5</v>
      </c>
      <c r="G21" s="151">
        <f t="shared" si="0"/>
        <v>91363.5</v>
      </c>
      <c r="H21" s="191">
        <f t="shared" si="2"/>
        <v>1.3072123988244759</v>
      </c>
    </row>
    <row r="22" spans="1:8" ht="15.75">
      <c r="A22" s="149" t="s">
        <v>159</v>
      </c>
      <c r="B22" s="150">
        <v>10</v>
      </c>
      <c r="C22" s="150">
        <v>4083.04</v>
      </c>
      <c r="D22" s="150">
        <v>6501.8</v>
      </c>
      <c r="E22" s="150">
        <v>65018</v>
      </c>
      <c r="F22" s="150">
        <v>24187.599999999999</v>
      </c>
      <c r="G22" s="151">
        <f t="shared" si="0"/>
        <v>40830.400000000001</v>
      </c>
      <c r="H22" s="191">
        <f t="shared" si="2"/>
        <v>0.59239194325796463</v>
      </c>
    </row>
    <row r="23" spans="1:8" ht="15.75">
      <c r="A23" s="149" t="s">
        <v>160</v>
      </c>
      <c r="B23" s="150">
        <v>32</v>
      </c>
      <c r="C23" s="150">
        <v>1549.21</v>
      </c>
      <c r="D23" s="150">
        <v>2525.75</v>
      </c>
      <c r="E23" s="150">
        <v>80824</v>
      </c>
      <c r="F23" s="150">
        <v>31249.15</v>
      </c>
      <c r="G23" s="151">
        <f t="shared" si="0"/>
        <v>49574.85</v>
      </c>
      <c r="H23" s="191">
        <f t="shared" si="2"/>
        <v>0.63034280486980798</v>
      </c>
    </row>
    <row r="24" spans="1:8" ht="15.75">
      <c r="A24" s="149" t="s">
        <v>279</v>
      </c>
      <c r="B24" s="150">
        <v>83</v>
      </c>
      <c r="C24" s="150">
        <v>560.16999999999996</v>
      </c>
      <c r="D24" s="150">
        <v>539.4</v>
      </c>
      <c r="E24" s="150">
        <v>44770.2</v>
      </c>
      <c r="F24" s="150">
        <v>-1723.85</v>
      </c>
      <c r="G24" s="151">
        <f t="shared" si="0"/>
        <v>46494.049999999996</v>
      </c>
      <c r="H24" s="191">
        <f t="shared" si="2"/>
        <v>-3.7076787244819498E-2</v>
      </c>
    </row>
    <row r="25" spans="1:8" ht="15.75">
      <c r="A25" s="149" t="s">
        <v>161</v>
      </c>
      <c r="B25" s="150">
        <v>60</v>
      </c>
      <c r="C25" s="150">
        <v>356.27</v>
      </c>
      <c r="D25" s="150">
        <v>922.95</v>
      </c>
      <c r="E25" s="150">
        <v>55377</v>
      </c>
      <c r="F25" s="150">
        <v>34000.85</v>
      </c>
      <c r="G25" s="151">
        <f t="shared" si="0"/>
        <v>21376.15</v>
      </c>
      <c r="H25" s="191">
        <f t="shared" si="2"/>
        <v>1.5905974649317112</v>
      </c>
    </row>
    <row r="26" spans="1:8" ht="15.75">
      <c r="A26" s="149" t="s">
        <v>162</v>
      </c>
      <c r="B26" s="150">
        <v>14</v>
      </c>
      <c r="C26" s="150">
        <v>3289.33</v>
      </c>
      <c r="D26" s="150">
        <v>3868.8</v>
      </c>
      <c r="E26" s="150">
        <v>54163.199999999997</v>
      </c>
      <c r="F26" s="150">
        <v>8112.65</v>
      </c>
      <c r="G26" s="151">
        <f t="shared" si="0"/>
        <v>46050.549999999996</v>
      </c>
      <c r="H26" s="191">
        <f t="shared" si="2"/>
        <v>0.17616836280999901</v>
      </c>
    </row>
    <row r="27" spans="1:8" ht="15.75">
      <c r="A27" s="149" t="s">
        <v>163</v>
      </c>
      <c r="B27" s="150">
        <v>9</v>
      </c>
      <c r="C27" s="150">
        <v>4442.55</v>
      </c>
      <c r="D27" s="150">
        <v>6241</v>
      </c>
      <c r="E27" s="150">
        <v>56169</v>
      </c>
      <c r="F27" s="150">
        <v>16186.05</v>
      </c>
      <c r="G27" s="151">
        <f t="shared" si="0"/>
        <v>39982.949999999997</v>
      </c>
      <c r="H27" s="191">
        <f t="shared" si="2"/>
        <v>0.40482380614737035</v>
      </c>
    </row>
    <row r="28" spans="1:8" ht="15.75">
      <c r="A28" s="149" t="s">
        <v>164</v>
      </c>
      <c r="B28" s="150">
        <v>8</v>
      </c>
      <c r="C28" s="150">
        <v>2511.94</v>
      </c>
      <c r="D28" s="150">
        <v>3860.35</v>
      </c>
      <c r="E28" s="150">
        <v>30882.799999999999</v>
      </c>
      <c r="F28" s="150">
        <v>10787.3</v>
      </c>
      <c r="G28" s="151">
        <f t="shared" si="0"/>
        <v>20095.5</v>
      </c>
      <c r="H28" s="191">
        <f t="shared" si="2"/>
        <v>0.53680177154089226</v>
      </c>
    </row>
    <row r="29" spans="1:8" ht="15.75">
      <c r="A29" s="149" t="s">
        <v>270</v>
      </c>
      <c r="B29" s="150">
        <v>72</v>
      </c>
      <c r="C29" s="150">
        <v>356.99</v>
      </c>
      <c r="D29" s="150">
        <v>375</v>
      </c>
      <c r="E29" s="150">
        <v>27000</v>
      </c>
      <c r="F29" s="150">
        <v>1297.04</v>
      </c>
      <c r="G29" s="151">
        <f t="shared" si="0"/>
        <v>25702.959999999999</v>
      </c>
      <c r="H29" s="191">
        <f t="shared" si="2"/>
        <v>5.0462670447294786E-2</v>
      </c>
    </row>
    <row r="30" spans="1:8" ht="15.75">
      <c r="A30" s="149" t="s">
        <v>166</v>
      </c>
      <c r="B30" s="150">
        <v>23</v>
      </c>
      <c r="C30" s="150">
        <v>1408.96</v>
      </c>
      <c r="D30" s="150">
        <v>1842</v>
      </c>
      <c r="E30" s="150">
        <v>42366</v>
      </c>
      <c r="F30" s="150">
        <v>9960</v>
      </c>
      <c r="G30" s="151">
        <f t="shared" si="0"/>
        <v>32406</v>
      </c>
      <c r="H30" s="191">
        <f t="shared" si="2"/>
        <v>0.30735049064987963</v>
      </c>
    </row>
    <row r="31" spans="1:8" ht="15.75">
      <c r="A31" s="149" t="s">
        <v>168</v>
      </c>
      <c r="B31" s="150">
        <v>80</v>
      </c>
      <c r="C31" s="150">
        <v>685.74</v>
      </c>
      <c r="D31" s="150">
        <v>878.05</v>
      </c>
      <c r="E31" s="150">
        <v>70244</v>
      </c>
      <c r="F31" s="150">
        <v>15385</v>
      </c>
      <c r="G31" s="151">
        <f t="shared" si="0"/>
        <v>54859</v>
      </c>
      <c r="H31" s="191">
        <f t="shared" si="2"/>
        <v>0.28044623489308956</v>
      </c>
    </row>
    <row r="32" spans="1:8" ht="15.75">
      <c r="A32" s="149" t="s">
        <v>169</v>
      </c>
      <c r="B32" s="150">
        <v>268</v>
      </c>
      <c r="C32" s="150">
        <v>181.75</v>
      </c>
      <c r="D32" s="150">
        <v>325.8</v>
      </c>
      <c r="E32" s="150">
        <v>87314.4</v>
      </c>
      <c r="F32" s="150">
        <v>38604.65</v>
      </c>
      <c r="G32" s="151">
        <f t="shared" si="0"/>
        <v>48709.749999999993</v>
      </c>
      <c r="H32" s="191">
        <f t="shared" si="2"/>
        <v>0.79254461375802598</v>
      </c>
    </row>
    <row r="33" spans="1:8" ht="15.75">
      <c r="A33" s="149" t="s">
        <v>170</v>
      </c>
      <c r="B33" s="150">
        <v>323</v>
      </c>
      <c r="C33" s="150">
        <v>83.87</v>
      </c>
      <c r="D33" s="150">
        <v>153.25</v>
      </c>
      <c r="E33" s="150">
        <v>49499.75</v>
      </c>
      <c r="F33" s="150">
        <v>22408.75</v>
      </c>
      <c r="G33" s="151">
        <f t="shared" si="0"/>
        <v>27091</v>
      </c>
      <c r="H33" s="191">
        <f t="shared" si="2"/>
        <v>0.82716584843675023</v>
      </c>
    </row>
    <row r="34" spans="1:8" ht="15.75">
      <c r="A34" s="149" t="s">
        <v>172</v>
      </c>
      <c r="B34" s="150">
        <v>18</v>
      </c>
      <c r="C34" s="150">
        <v>1556.41</v>
      </c>
      <c r="D34" s="150">
        <v>2441.5</v>
      </c>
      <c r="E34" s="150">
        <v>43947</v>
      </c>
      <c r="F34" s="150">
        <v>15931.65</v>
      </c>
      <c r="G34" s="151">
        <f t="shared" si="0"/>
        <v>28015.35</v>
      </c>
      <c r="H34" s="191">
        <f t="shared" si="2"/>
        <v>0.56867574383329145</v>
      </c>
    </row>
    <row r="35" spans="1:8" ht="15.75">
      <c r="A35" s="149" t="s">
        <v>281</v>
      </c>
      <c r="B35" s="150">
        <v>124</v>
      </c>
      <c r="C35" s="150">
        <v>304.87</v>
      </c>
      <c r="D35" s="150">
        <v>465.1</v>
      </c>
      <c r="E35" s="150">
        <v>57672.4</v>
      </c>
      <c r="F35" s="150">
        <v>19869</v>
      </c>
      <c r="G35" s="151">
        <f t="shared" si="0"/>
        <v>37803.4</v>
      </c>
      <c r="H35" s="191">
        <f t="shared" si="2"/>
        <v>0.52558764555569071</v>
      </c>
    </row>
    <row r="36" spans="1:8" ht="15.75">
      <c r="A36" s="149" t="s">
        <v>174</v>
      </c>
      <c r="B36" s="150">
        <v>67</v>
      </c>
      <c r="C36" s="150">
        <v>1067.9000000000001</v>
      </c>
      <c r="D36" s="150">
        <v>1645.5</v>
      </c>
      <c r="E36" s="150">
        <v>110248.5</v>
      </c>
      <c r="F36" s="150">
        <v>38699.5</v>
      </c>
      <c r="G36" s="151">
        <f t="shared" si="0"/>
        <v>71549</v>
      </c>
      <c r="H36" s="191">
        <f t="shared" si="2"/>
        <v>0.54088107450837886</v>
      </c>
    </row>
    <row r="37" spans="1:8" ht="15.75">
      <c r="A37" s="149" t="s">
        <v>175</v>
      </c>
      <c r="B37" s="150">
        <v>67</v>
      </c>
      <c r="C37" s="150">
        <v>1564.92</v>
      </c>
      <c r="D37" s="150">
        <v>1430.75</v>
      </c>
      <c r="E37" s="150">
        <v>95860.25</v>
      </c>
      <c r="F37" s="150">
        <v>-8989.65</v>
      </c>
      <c r="G37" s="151">
        <f t="shared" si="0"/>
        <v>104849.9</v>
      </c>
      <c r="H37" s="191">
        <f t="shared" si="2"/>
        <v>-8.5738279197214301E-2</v>
      </c>
    </row>
    <row r="38" spans="1:8" ht="15.75">
      <c r="A38" s="149" t="s">
        <v>176</v>
      </c>
      <c r="B38" s="150">
        <v>85</v>
      </c>
      <c r="C38" s="150">
        <v>565.1</v>
      </c>
      <c r="D38" s="150">
        <v>592.45000000000005</v>
      </c>
      <c r="E38" s="150">
        <v>50358.25</v>
      </c>
      <c r="F38" s="150">
        <v>2324.75</v>
      </c>
      <c r="G38" s="151">
        <f t="shared" si="0"/>
        <v>48033.5</v>
      </c>
      <c r="H38" s="191">
        <f t="shared" si="2"/>
        <v>4.8398513537427003E-2</v>
      </c>
    </row>
    <row r="39" spans="1:8" ht="15.75">
      <c r="A39" s="149" t="s">
        <v>177</v>
      </c>
      <c r="B39" s="150">
        <v>10</v>
      </c>
      <c r="C39" s="150">
        <v>2735.04</v>
      </c>
      <c r="D39" s="150">
        <v>4572.8999999999996</v>
      </c>
      <c r="E39" s="150">
        <v>45729</v>
      </c>
      <c r="F39" s="150">
        <v>18378.599999999999</v>
      </c>
      <c r="G39" s="151">
        <f t="shared" si="0"/>
        <v>27350.400000000001</v>
      </c>
      <c r="H39" s="191">
        <f t="shared" si="2"/>
        <v>0.67196823446823439</v>
      </c>
    </row>
    <row r="40" spans="1:8" ht="15.75">
      <c r="A40" s="149" t="s">
        <v>282</v>
      </c>
      <c r="B40" s="150">
        <v>22</v>
      </c>
      <c r="C40" s="150">
        <v>2298.5700000000002</v>
      </c>
      <c r="D40" s="150">
        <v>2416.1999999999998</v>
      </c>
      <c r="E40" s="150">
        <v>53156.4</v>
      </c>
      <c r="F40" s="150">
        <v>2587.8000000000002</v>
      </c>
      <c r="G40" s="151">
        <f t="shared" si="0"/>
        <v>50568.6</v>
      </c>
      <c r="H40" s="191">
        <f t="shared" si="2"/>
        <v>5.1174048717979148E-2</v>
      </c>
    </row>
    <row r="41" spans="1:8" ht="15.75">
      <c r="A41" s="149" t="s">
        <v>178</v>
      </c>
      <c r="B41" s="150">
        <v>73</v>
      </c>
      <c r="C41" s="150">
        <v>589.26</v>
      </c>
      <c r="D41" s="150">
        <v>1084.6500000000001</v>
      </c>
      <c r="E41" s="150">
        <v>79179.45</v>
      </c>
      <c r="F41" s="150">
        <v>36163.800000000003</v>
      </c>
      <c r="G41" s="151">
        <f t="shared" si="0"/>
        <v>43015.649999999994</v>
      </c>
      <c r="H41" s="191">
        <f t="shared" si="2"/>
        <v>0.84071262435880911</v>
      </c>
    </row>
    <row r="42" spans="1:8" ht="15.75">
      <c r="A42" s="149" t="s">
        <v>151</v>
      </c>
      <c r="B42" s="150">
        <v>500</v>
      </c>
      <c r="C42" s="150">
        <v>45.58</v>
      </c>
      <c r="D42" s="150">
        <v>47.76</v>
      </c>
      <c r="E42" s="150">
        <v>23880</v>
      </c>
      <c r="F42" s="150">
        <v>1090</v>
      </c>
      <c r="G42" s="151">
        <f t="shared" si="0"/>
        <v>22790</v>
      </c>
      <c r="H42" s="191">
        <f t="shared" si="2"/>
        <v>4.782799473453269E-2</v>
      </c>
    </row>
    <row r="43" spans="1:8" ht="15.75">
      <c r="A43" s="149" t="s">
        <v>179</v>
      </c>
      <c r="B43" s="150">
        <v>79</v>
      </c>
      <c r="C43" s="150">
        <v>1258.1300000000001</v>
      </c>
      <c r="D43" s="150">
        <v>1652.4</v>
      </c>
      <c r="E43" s="150">
        <v>130539.6</v>
      </c>
      <c r="F43" s="150">
        <v>31147.45</v>
      </c>
      <c r="G43" s="151">
        <f t="shared" si="0"/>
        <v>99392.150000000009</v>
      </c>
      <c r="H43" s="191">
        <f t="shared" si="2"/>
        <v>0.31337937654030018</v>
      </c>
    </row>
    <row r="44" spans="1:8" ht="15.75">
      <c r="A44" s="149" t="s">
        <v>180</v>
      </c>
      <c r="B44" s="150">
        <v>159</v>
      </c>
      <c r="C44" s="150">
        <v>495.78</v>
      </c>
      <c r="D44" s="150">
        <v>538.6</v>
      </c>
      <c r="E44" s="150">
        <v>85637.4</v>
      </c>
      <c r="F44" s="150">
        <v>6807.8</v>
      </c>
      <c r="G44" s="151">
        <f t="shared" si="0"/>
        <v>78829.599999999991</v>
      </c>
      <c r="H44" s="191">
        <f t="shared" si="2"/>
        <v>8.6360960857342933E-2</v>
      </c>
    </row>
    <row r="45" spans="1:8" ht="15.75">
      <c r="A45" s="149" t="s">
        <v>284</v>
      </c>
      <c r="B45" s="150">
        <v>35</v>
      </c>
      <c r="C45" s="150">
        <v>917.94</v>
      </c>
      <c r="D45" s="150">
        <v>1527</v>
      </c>
      <c r="E45" s="150">
        <v>53445</v>
      </c>
      <c r="F45" s="150">
        <v>21317.1</v>
      </c>
      <c r="G45" s="151">
        <f t="shared" si="0"/>
        <v>32127.9</v>
      </c>
      <c r="H45" s="191">
        <f t="shared" si="2"/>
        <v>0.66350741878554143</v>
      </c>
    </row>
    <row r="46" spans="1:8" ht="15.75">
      <c r="A46" s="149" t="s">
        <v>181</v>
      </c>
      <c r="B46" s="150">
        <v>47</v>
      </c>
      <c r="C46" s="150">
        <v>1499.22</v>
      </c>
      <c r="D46" s="150">
        <v>1656.3</v>
      </c>
      <c r="E46" s="150">
        <v>77846.100000000006</v>
      </c>
      <c r="F46" s="150">
        <v>7382.7</v>
      </c>
      <c r="G46" s="151">
        <f t="shared" si="0"/>
        <v>70463.400000000009</v>
      </c>
      <c r="H46" s="191">
        <f t="shared" si="2"/>
        <v>0.10477354200904297</v>
      </c>
    </row>
    <row r="47" spans="1:8" ht="15.75">
      <c r="A47" s="149" t="s">
        <v>182</v>
      </c>
      <c r="B47" s="150">
        <v>735</v>
      </c>
      <c r="C47" s="150">
        <v>223.37</v>
      </c>
      <c r="D47" s="150">
        <v>412.2</v>
      </c>
      <c r="E47" s="150">
        <v>302967</v>
      </c>
      <c r="F47" s="150">
        <v>138792.65</v>
      </c>
      <c r="G47" s="151">
        <f t="shared" si="0"/>
        <v>164174.35</v>
      </c>
      <c r="H47" s="191">
        <f t="shared" si="2"/>
        <v>0.8453978955908763</v>
      </c>
    </row>
    <row r="48" spans="1:8" ht="15.75">
      <c r="A48" s="149" t="s">
        <v>183</v>
      </c>
      <c r="B48" s="150">
        <v>28</v>
      </c>
      <c r="C48" s="150">
        <v>597.6</v>
      </c>
      <c r="D48" s="150">
        <v>1539.9</v>
      </c>
      <c r="E48" s="150">
        <v>43117.2</v>
      </c>
      <c r="F48" s="150">
        <v>26384.5</v>
      </c>
      <c r="G48" s="151">
        <f t="shared" si="0"/>
        <v>16732.699999999997</v>
      </c>
      <c r="H48" s="191">
        <f t="shared" si="2"/>
        <v>1.576822628744913</v>
      </c>
    </row>
    <row r="49" spans="1:8" ht="15.75">
      <c r="A49" s="149" t="s">
        <v>184</v>
      </c>
      <c r="B49" s="150">
        <v>283</v>
      </c>
      <c r="C49" s="150">
        <v>112.02</v>
      </c>
      <c r="D49" s="150">
        <v>185.35</v>
      </c>
      <c r="E49" s="150">
        <v>52454.05</v>
      </c>
      <c r="F49" s="150">
        <v>20751.3</v>
      </c>
      <c r="G49" s="151">
        <f t="shared" si="0"/>
        <v>31702.750000000004</v>
      </c>
      <c r="H49" s="191">
        <f t="shared" si="2"/>
        <v>0.6545583585020226</v>
      </c>
    </row>
    <row r="50" spans="1:8" ht="15.75">
      <c r="A50" s="149" t="s">
        <v>185</v>
      </c>
      <c r="B50" s="150">
        <v>55</v>
      </c>
      <c r="C50" s="150">
        <v>1723.54</v>
      </c>
      <c r="D50" s="150">
        <v>1724.65</v>
      </c>
      <c r="E50" s="150">
        <v>94855.75</v>
      </c>
      <c r="F50" s="150">
        <v>60.8</v>
      </c>
      <c r="G50" s="151">
        <f t="shared" si="0"/>
        <v>94794.95</v>
      </c>
      <c r="H50" s="191">
        <f t="shared" si="2"/>
        <v>6.4138437754331849E-4</v>
      </c>
    </row>
    <row r="51" spans="1:8" ht="15.75">
      <c r="A51" s="149" t="s">
        <v>186</v>
      </c>
      <c r="B51" s="150">
        <v>67</v>
      </c>
      <c r="C51" s="150">
        <v>676.11</v>
      </c>
      <c r="D51" s="150">
        <v>1583.9</v>
      </c>
      <c r="E51" s="150">
        <v>106121.3</v>
      </c>
      <c r="F51" s="150">
        <v>60821.9</v>
      </c>
      <c r="G51" s="151">
        <f t="shared" si="0"/>
        <v>45299.4</v>
      </c>
      <c r="H51" s="191">
        <f t="shared" si="2"/>
        <v>1.3426645827538555</v>
      </c>
    </row>
    <row r="52" spans="1:8" ht="15.75">
      <c r="A52" s="149" t="s">
        <v>187</v>
      </c>
      <c r="B52" s="150">
        <v>20</v>
      </c>
      <c r="C52" s="150">
        <v>2295.38</v>
      </c>
      <c r="D52" s="150">
        <v>2335</v>
      </c>
      <c r="E52" s="150">
        <v>46700</v>
      </c>
      <c r="F52" s="150">
        <v>792.4</v>
      </c>
      <c r="G52" s="151">
        <f t="shared" si="0"/>
        <v>45907.6</v>
      </c>
      <c r="H52" s="191">
        <f t="shared" si="2"/>
        <v>1.7260758567208916E-2</v>
      </c>
    </row>
    <row r="53" spans="1:8" ht="15.75">
      <c r="A53" s="149" t="s">
        <v>188</v>
      </c>
      <c r="B53" s="150">
        <v>62</v>
      </c>
      <c r="C53" s="150">
        <v>1053.22</v>
      </c>
      <c r="D53" s="150">
        <v>3655.25</v>
      </c>
      <c r="E53" s="150">
        <v>226625.5</v>
      </c>
      <c r="F53" s="150">
        <v>161326.15</v>
      </c>
      <c r="G53" s="151">
        <f t="shared" si="0"/>
        <v>65299.350000000006</v>
      </c>
      <c r="H53" s="191">
        <f t="shared" si="2"/>
        <v>2.4705628769658499</v>
      </c>
    </row>
    <row r="54" spans="1:8" ht="15.75">
      <c r="A54" s="149" t="s">
        <v>286</v>
      </c>
      <c r="B54" s="150">
        <v>17</v>
      </c>
      <c r="C54" s="150">
        <v>4810.6400000000003</v>
      </c>
      <c r="D54" s="150">
        <v>5294.9</v>
      </c>
      <c r="E54" s="150">
        <v>90013.3</v>
      </c>
      <c r="F54" s="150">
        <v>8232.4699999999993</v>
      </c>
      <c r="G54" s="151">
        <f t="shared" si="0"/>
        <v>81780.83</v>
      </c>
      <c r="H54" s="191">
        <f t="shared" si="2"/>
        <v>0.10066503360261811</v>
      </c>
    </row>
    <row r="55" spans="1:8" ht="15.75">
      <c r="A55" s="149" t="s">
        <v>189</v>
      </c>
      <c r="B55" s="150">
        <v>20</v>
      </c>
      <c r="C55" s="150">
        <v>1002.87</v>
      </c>
      <c r="D55" s="150">
        <v>1961</v>
      </c>
      <c r="E55" s="150">
        <v>39220</v>
      </c>
      <c r="F55" s="150">
        <v>19162.7</v>
      </c>
      <c r="G55" s="151">
        <f t="shared" si="0"/>
        <v>20057.3</v>
      </c>
      <c r="H55" s="191">
        <f t="shared" si="2"/>
        <v>0.95539778534498665</v>
      </c>
    </row>
    <row r="56" spans="1:8" ht="15.75">
      <c r="A56" s="149" t="s">
        <v>191</v>
      </c>
      <c r="B56" s="150">
        <v>87</v>
      </c>
      <c r="C56" s="150">
        <v>487.39</v>
      </c>
      <c r="D56" s="150">
        <v>528.45000000000005</v>
      </c>
      <c r="E56" s="150">
        <v>45975.15</v>
      </c>
      <c r="F56" s="150">
        <v>3571.8</v>
      </c>
      <c r="G56" s="151">
        <f t="shared" si="0"/>
        <v>42403.35</v>
      </c>
      <c r="H56" s="191">
        <f t="shared" si="2"/>
        <v>8.4233910764125952E-2</v>
      </c>
    </row>
    <row r="57" spans="1:8" ht="15.75">
      <c r="A57" s="149" t="s">
        <v>192</v>
      </c>
      <c r="B57" s="150">
        <v>85</v>
      </c>
      <c r="C57" s="150">
        <v>725.13</v>
      </c>
      <c r="D57" s="150">
        <v>970.25</v>
      </c>
      <c r="E57" s="150">
        <v>82471.25</v>
      </c>
      <c r="F57" s="150">
        <v>20835</v>
      </c>
      <c r="G57" s="151">
        <f t="shared" si="0"/>
        <v>61636.25</v>
      </c>
      <c r="H57" s="191">
        <f t="shared" si="2"/>
        <v>0.33803159666592308</v>
      </c>
    </row>
    <row r="58" spans="1:8" ht="15.75">
      <c r="A58" s="149" t="s">
        <v>265</v>
      </c>
      <c r="B58" s="150">
        <v>74</v>
      </c>
      <c r="C58" s="150">
        <v>338.54</v>
      </c>
      <c r="D58" s="150">
        <v>339.29</v>
      </c>
      <c r="E58" s="150">
        <v>25107.46</v>
      </c>
      <c r="F58" s="150">
        <v>55.69</v>
      </c>
      <c r="G58" s="151">
        <f t="shared" si="0"/>
        <v>25051.77</v>
      </c>
      <c r="H58" s="191">
        <f t="shared" si="2"/>
        <v>2.2229966186021986E-3</v>
      </c>
    </row>
    <row r="59" spans="1:8" ht="15.75">
      <c r="A59" s="149" t="s">
        <v>194</v>
      </c>
      <c r="B59" s="150">
        <v>255</v>
      </c>
      <c r="C59" s="150">
        <v>99.4</v>
      </c>
      <c r="D59" s="150">
        <v>120.05</v>
      </c>
      <c r="E59" s="150">
        <v>30612.75</v>
      </c>
      <c r="F59" s="150">
        <v>5265.25</v>
      </c>
      <c r="G59" s="151">
        <f t="shared" si="0"/>
        <v>25347.5</v>
      </c>
      <c r="H59" s="191">
        <f t="shared" si="2"/>
        <v>0.20772265509419074</v>
      </c>
    </row>
    <row r="60" spans="1:8" ht="15.75">
      <c r="A60" s="149" t="s">
        <v>195</v>
      </c>
      <c r="B60" s="150">
        <v>25</v>
      </c>
      <c r="C60" s="150">
        <v>2212.61</v>
      </c>
      <c r="D60" s="150">
        <v>2657.3</v>
      </c>
      <c r="E60" s="150">
        <v>66432.5</v>
      </c>
      <c r="F60" s="150">
        <v>11117.35</v>
      </c>
      <c r="G60" s="151">
        <f t="shared" si="0"/>
        <v>55315.15</v>
      </c>
      <c r="H60" s="191">
        <f t="shared" si="2"/>
        <v>0.20098200944949079</v>
      </c>
    </row>
    <row r="61" spans="1:8" ht="15.75">
      <c r="A61" s="149" t="s">
        <v>266</v>
      </c>
      <c r="B61" s="150">
        <v>177</v>
      </c>
      <c r="C61" s="150">
        <v>127.13</v>
      </c>
      <c r="D61" s="150">
        <v>128.74</v>
      </c>
      <c r="E61" s="150">
        <v>22786.98</v>
      </c>
      <c r="F61" s="150">
        <v>284.49</v>
      </c>
      <c r="G61" s="151">
        <f t="shared" si="0"/>
        <v>22502.489999999998</v>
      </c>
      <c r="H61" s="191">
        <f t="shared" si="2"/>
        <v>1.2642600885502005E-2</v>
      </c>
    </row>
    <row r="62" spans="1:8" ht="15.75">
      <c r="A62" s="149" t="s">
        <v>198</v>
      </c>
      <c r="B62" s="150">
        <v>79</v>
      </c>
      <c r="C62" s="150">
        <v>499.72</v>
      </c>
      <c r="D62" s="150">
        <v>1371.1</v>
      </c>
      <c r="E62" s="150">
        <v>108316.9</v>
      </c>
      <c r="F62" s="150">
        <v>68839.25</v>
      </c>
      <c r="G62" s="151">
        <f t="shared" si="0"/>
        <v>39477.649999999994</v>
      </c>
      <c r="H62" s="191">
        <f t="shared" si="2"/>
        <v>1.743752477667744</v>
      </c>
    </row>
    <row r="63" spans="1:8" ht="15.75">
      <c r="A63" s="149" t="s">
        <v>199</v>
      </c>
      <c r="B63" s="150">
        <v>27</v>
      </c>
      <c r="C63" s="150">
        <v>3952.46</v>
      </c>
      <c r="D63" s="150">
        <v>7780.7</v>
      </c>
      <c r="E63" s="150">
        <v>210078.9</v>
      </c>
      <c r="F63" s="150">
        <v>103362.5</v>
      </c>
      <c r="G63" s="151">
        <f t="shared" si="0"/>
        <v>106716.4</v>
      </c>
      <c r="H63" s="191">
        <f t="shared" si="2"/>
        <v>0.96857184087919013</v>
      </c>
    </row>
    <row r="64" spans="1:8" ht="15.75">
      <c r="A64" s="149" t="s">
        <v>200</v>
      </c>
      <c r="B64" s="150">
        <v>300</v>
      </c>
      <c r="C64" s="150">
        <v>82.33</v>
      </c>
      <c r="D64" s="150">
        <v>271.89999999999998</v>
      </c>
      <c r="E64" s="150">
        <v>81570</v>
      </c>
      <c r="F64" s="150">
        <v>56870</v>
      </c>
      <c r="G64" s="151">
        <f t="shared" si="0"/>
        <v>24700</v>
      </c>
      <c r="H64" s="191">
        <f t="shared" si="2"/>
        <v>2.3024291497975709</v>
      </c>
    </row>
    <row r="65" spans="1:8" ht="15.75">
      <c r="A65" s="149" t="s">
        <v>201</v>
      </c>
      <c r="B65" s="150">
        <v>10</v>
      </c>
      <c r="C65" s="150">
        <v>4106.17</v>
      </c>
      <c r="D65" s="150">
        <v>8575.85</v>
      </c>
      <c r="E65" s="150">
        <v>85758.5</v>
      </c>
      <c r="F65" s="150">
        <v>44696.85</v>
      </c>
      <c r="G65" s="151">
        <f t="shared" si="0"/>
        <v>41061.65</v>
      </c>
      <c r="H65" s="191">
        <f t="shared" si="2"/>
        <v>1.0885302952998721</v>
      </c>
    </row>
    <row r="66" spans="1:8" ht="15.75">
      <c r="A66" s="149" t="s">
        <v>202</v>
      </c>
      <c r="B66" s="150">
        <v>22</v>
      </c>
      <c r="C66" s="150">
        <v>885.65</v>
      </c>
      <c r="D66" s="150">
        <v>2774.9</v>
      </c>
      <c r="E66" s="150">
        <v>61047.8</v>
      </c>
      <c r="F66" s="150">
        <v>41563.599999999999</v>
      </c>
      <c r="G66" s="151">
        <f t="shared" ref="G66:G97" si="3">E66-F66</f>
        <v>19484.200000000004</v>
      </c>
      <c r="H66" s="191">
        <f t="shared" si="2"/>
        <v>2.1331951016721233</v>
      </c>
    </row>
    <row r="67" spans="1:8" ht="15.75">
      <c r="A67" s="149" t="s">
        <v>203</v>
      </c>
      <c r="B67" s="150">
        <v>30</v>
      </c>
      <c r="C67" s="150">
        <v>2499.15</v>
      </c>
      <c r="D67" s="150">
        <v>2742.2</v>
      </c>
      <c r="E67" s="150">
        <v>82266</v>
      </c>
      <c r="F67" s="150">
        <v>7291.65</v>
      </c>
      <c r="G67" s="151">
        <f t="shared" si="3"/>
        <v>74974.350000000006</v>
      </c>
      <c r="H67" s="191">
        <f t="shared" si="2"/>
        <v>9.7255261299364376E-2</v>
      </c>
    </row>
    <row r="68" spans="1:8" ht="15.75">
      <c r="A68" s="149" t="s">
        <v>204</v>
      </c>
      <c r="B68" s="150">
        <v>36</v>
      </c>
      <c r="C68" s="150">
        <v>488.83</v>
      </c>
      <c r="D68" s="150">
        <v>1213.3499999999999</v>
      </c>
      <c r="E68" s="150">
        <v>43680.6</v>
      </c>
      <c r="F68" s="150">
        <v>26082.9</v>
      </c>
      <c r="G68" s="151">
        <f t="shared" si="3"/>
        <v>17597.699999999997</v>
      </c>
      <c r="H68" s="191">
        <f t="shared" si="2"/>
        <v>1.4821766480846932</v>
      </c>
    </row>
    <row r="69" spans="1:8" ht="15.75">
      <c r="A69" s="149" t="s">
        <v>307</v>
      </c>
      <c r="B69" s="150">
        <v>20</v>
      </c>
      <c r="C69" s="150">
        <v>1000</v>
      </c>
      <c r="D69" s="150">
        <v>1102</v>
      </c>
      <c r="E69" s="150">
        <v>22040</v>
      </c>
      <c r="F69" s="150">
        <v>0</v>
      </c>
      <c r="G69" s="151">
        <f t="shared" si="3"/>
        <v>22040</v>
      </c>
      <c r="H69" s="191">
        <f t="shared" si="2"/>
        <v>0</v>
      </c>
    </row>
    <row r="70" spans="1:8" ht="15.75">
      <c r="A70" s="149" t="s">
        <v>299</v>
      </c>
      <c r="B70" s="150">
        <v>49</v>
      </c>
      <c r="C70" s="150">
        <v>952.78</v>
      </c>
      <c r="D70" s="150">
        <v>833</v>
      </c>
      <c r="E70" s="150">
        <v>40817</v>
      </c>
      <c r="F70" s="150">
        <v>-5869.15</v>
      </c>
      <c r="G70" s="151">
        <f t="shared" si="3"/>
        <v>46686.15</v>
      </c>
      <c r="H70" s="191">
        <f t="shared" si="2"/>
        <v>-0.12571501398166265</v>
      </c>
    </row>
    <row r="71" spans="1:8" ht="15.75">
      <c r="A71" s="149" t="s">
        <v>206</v>
      </c>
      <c r="B71" s="150">
        <v>80</v>
      </c>
      <c r="C71" s="150">
        <v>1197.54</v>
      </c>
      <c r="D71" s="150">
        <v>1547.6</v>
      </c>
      <c r="E71" s="150">
        <v>123808</v>
      </c>
      <c r="F71" s="150">
        <v>28004.75</v>
      </c>
      <c r="G71" s="151">
        <f t="shared" si="3"/>
        <v>95803.25</v>
      </c>
      <c r="H71" s="191">
        <f t="shared" si="2"/>
        <v>0.29231523982745888</v>
      </c>
    </row>
    <row r="72" spans="1:8" ht="15.75">
      <c r="A72" s="149" t="s">
        <v>207</v>
      </c>
      <c r="B72" s="150">
        <v>72</v>
      </c>
      <c r="C72" s="150">
        <v>355.35</v>
      </c>
      <c r="D72" s="150">
        <v>773.3</v>
      </c>
      <c r="E72" s="150">
        <v>55677.599999999999</v>
      </c>
      <c r="F72" s="150">
        <v>30092.35</v>
      </c>
      <c r="G72" s="151">
        <f t="shared" si="3"/>
        <v>25585.25</v>
      </c>
      <c r="H72" s="191">
        <f t="shared" si="2"/>
        <v>1.1761600922406463</v>
      </c>
    </row>
    <row r="73" spans="1:8" ht="15.75">
      <c r="A73" s="149" t="s">
        <v>262</v>
      </c>
      <c r="B73" s="150">
        <v>10</v>
      </c>
      <c r="C73" s="150">
        <v>5284</v>
      </c>
      <c r="D73" s="150">
        <v>6240.4</v>
      </c>
      <c r="E73" s="150">
        <v>62404</v>
      </c>
      <c r="F73" s="150">
        <v>9564</v>
      </c>
      <c r="G73" s="151">
        <f t="shared" si="3"/>
        <v>52840</v>
      </c>
      <c r="H73" s="191">
        <f t="shared" si="2"/>
        <v>0.18099924299772899</v>
      </c>
    </row>
    <row r="74" spans="1:8" ht="15.75">
      <c r="A74" s="149" t="s">
        <v>306</v>
      </c>
      <c r="B74" s="150">
        <v>5</v>
      </c>
      <c r="C74" s="150">
        <v>4802</v>
      </c>
      <c r="D74" s="150">
        <v>6249.95</v>
      </c>
      <c r="E74" s="150">
        <v>31249.75</v>
      </c>
      <c r="F74" s="150">
        <v>7239.75</v>
      </c>
      <c r="G74" s="151">
        <f t="shared" si="3"/>
        <v>24010</v>
      </c>
      <c r="H74" s="191">
        <f t="shared" si="2"/>
        <v>0.30153061224489797</v>
      </c>
    </row>
    <row r="75" spans="1:8" ht="15.75">
      <c r="A75" s="149" t="s">
        <v>210</v>
      </c>
      <c r="B75" s="150">
        <v>10</v>
      </c>
      <c r="C75" s="150">
        <v>5002.45</v>
      </c>
      <c r="D75" s="150">
        <v>6271.07</v>
      </c>
      <c r="E75" s="150">
        <v>62710.7</v>
      </c>
      <c r="F75" s="150">
        <v>12686.2</v>
      </c>
      <c r="G75" s="151">
        <f t="shared" si="3"/>
        <v>50024.5</v>
      </c>
      <c r="H75" s="191">
        <f t="shared" si="2"/>
        <v>0.25359973612929665</v>
      </c>
    </row>
    <row r="76" spans="1:8" ht="15.75">
      <c r="A76" s="149" t="s">
        <v>211</v>
      </c>
      <c r="B76" s="150">
        <v>35</v>
      </c>
      <c r="C76" s="150">
        <v>984.23</v>
      </c>
      <c r="D76" s="150">
        <v>4736.8999999999996</v>
      </c>
      <c r="E76" s="150">
        <v>165791.5</v>
      </c>
      <c r="F76" s="150">
        <v>131343.45000000001</v>
      </c>
      <c r="G76" s="151">
        <f t="shared" si="3"/>
        <v>34448.049999999988</v>
      </c>
      <c r="H76" s="191">
        <f t="shared" si="2"/>
        <v>3.812797821647381</v>
      </c>
    </row>
    <row r="77" spans="1:8" ht="15.75">
      <c r="A77" s="149" t="s">
        <v>290</v>
      </c>
      <c r="B77" s="150">
        <v>48</v>
      </c>
      <c r="C77" s="150">
        <v>575.6</v>
      </c>
      <c r="D77" s="150">
        <v>694.2</v>
      </c>
      <c r="E77" s="150">
        <v>33321.599999999999</v>
      </c>
      <c r="F77" s="150">
        <v>5692.65</v>
      </c>
      <c r="G77" s="151">
        <f t="shared" si="3"/>
        <v>27628.949999999997</v>
      </c>
      <c r="H77" s="191">
        <f t="shared" si="2"/>
        <v>0.20603931745506074</v>
      </c>
    </row>
    <row r="78" spans="1:8" ht="15.75">
      <c r="A78" s="149" t="s">
        <v>291</v>
      </c>
      <c r="B78" s="150">
        <v>158</v>
      </c>
      <c r="C78" s="150">
        <v>548.29999999999995</v>
      </c>
      <c r="D78" s="150">
        <v>566.75</v>
      </c>
      <c r="E78" s="150">
        <v>89546.5</v>
      </c>
      <c r="F78" s="150">
        <v>2914.95</v>
      </c>
      <c r="G78" s="151">
        <f t="shared" si="3"/>
        <v>86631.55</v>
      </c>
      <c r="H78" s="191">
        <f t="shared" si="2"/>
        <v>3.3647672239501658E-2</v>
      </c>
    </row>
    <row r="79" spans="1:8" ht="15.75">
      <c r="A79" s="149" t="s">
        <v>292</v>
      </c>
      <c r="B79" s="150">
        <v>32</v>
      </c>
      <c r="C79" s="150">
        <v>752.33</v>
      </c>
      <c r="D79" s="150">
        <v>1096.45</v>
      </c>
      <c r="E79" s="150">
        <v>35086.400000000001</v>
      </c>
      <c r="F79" s="150">
        <v>11011.9</v>
      </c>
      <c r="G79" s="151">
        <f t="shared" si="3"/>
        <v>24074.5</v>
      </c>
      <c r="H79" s="191">
        <f t="shared" si="2"/>
        <v>0.45740929198944941</v>
      </c>
    </row>
    <row r="80" spans="1:8" ht="15.75">
      <c r="A80" s="149" t="s">
        <v>212</v>
      </c>
      <c r="B80" s="150">
        <v>152</v>
      </c>
      <c r="C80" s="150">
        <v>574.22</v>
      </c>
      <c r="D80" s="150">
        <v>1552.9</v>
      </c>
      <c r="E80" s="150">
        <v>236040.8</v>
      </c>
      <c r="F80" s="150">
        <v>148758.65</v>
      </c>
      <c r="G80" s="151">
        <f t="shared" si="3"/>
        <v>87282.15</v>
      </c>
      <c r="H80" s="191">
        <f t="shared" ref="H80:H111" si="4">F80/G80</f>
        <v>1.70434218222168</v>
      </c>
    </row>
    <row r="81" spans="1:8" ht="15.75">
      <c r="A81" s="149" t="s">
        <v>293</v>
      </c>
      <c r="B81" s="150">
        <v>69</v>
      </c>
      <c r="C81" s="150">
        <v>373.18</v>
      </c>
      <c r="D81" s="150">
        <v>429.5</v>
      </c>
      <c r="E81" s="150">
        <v>29635.5</v>
      </c>
      <c r="F81" s="150">
        <v>3886.2</v>
      </c>
      <c r="G81" s="151">
        <f t="shared" si="3"/>
        <v>25749.3</v>
      </c>
      <c r="H81" s="191">
        <f t="shared" si="4"/>
        <v>0.15092449115121576</v>
      </c>
    </row>
    <row r="82" spans="1:8" ht="15.75">
      <c r="A82" s="149" t="s">
        <v>308</v>
      </c>
      <c r="B82" s="150">
        <v>119</v>
      </c>
      <c r="C82" s="150">
        <v>507.17</v>
      </c>
      <c r="D82" s="150">
        <v>722.95</v>
      </c>
      <c r="E82" s="150">
        <v>86031.05</v>
      </c>
      <c r="F82" s="150">
        <v>25678.1</v>
      </c>
      <c r="G82" s="151">
        <f t="shared" si="3"/>
        <v>60352.950000000004</v>
      </c>
      <c r="H82" s="191">
        <f t="shared" si="4"/>
        <v>0.42546553233934709</v>
      </c>
    </row>
    <row r="83" spans="1:8" ht="15.75">
      <c r="A83" s="149" t="s">
        <v>213</v>
      </c>
      <c r="B83" s="150">
        <v>65</v>
      </c>
      <c r="C83" s="150">
        <v>513.66</v>
      </c>
      <c r="D83" s="150">
        <v>710.45</v>
      </c>
      <c r="E83" s="150">
        <v>46179.25</v>
      </c>
      <c r="F83" s="150">
        <v>12791.15</v>
      </c>
      <c r="G83" s="151">
        <f t="shared" si="3"/>
        <v>33388.1</v>
      </c>
      <c r="H83" s="191">
        <f t="shared" si="4"/>
        <v>0.38310505838906678</v>
      </c>
    </row>
    <row r="84" spans="1:8" ht="15.75">
      <c r="A84" s="149" t="s">
        <v>214</v>
      </c>
      <c r="B84" s="150">
        <v>57</v>
      </c>
      <c r="C84" s="150">
        <v>750.26</v>
      </c>
      <c r="D84" s="150">
        <v>1207.25</v>
      </c>
      <c r="E84" s="150">
        <v>68813.25</v>
      </c>
      <c r="F84" s="150">
        <v>26048.65</v>
      </c>
      <c r="G84" s="151">
        <f t="shared" si="3"/>
        <v>42764.6</v>
      </c>
      <c r="H84" s="191">
        <f t="shared" si="4"/>
        <v>0.60911712023496078</v>
      </c>
    </row>
    <row r="85" spans="1:8" ht="15.75">
      <c r="A85" s="149" t="s">
        <v>267</v>
      </c>
      <c r="B85" s="150">
        <v>37</v>
      </c>
      <c r="C85" s="150">
        <v>632.20000000000005</v>
      </c>
      <c r="D85" s="150">
        <v>988.4</v>
      </c>
      <c r="E85" s="150">
        <v>36570.800000000003</v>
      </c>
      <c r="F85" s="150">
        <v>13179.4</v>
      </c>
      <c r="G85" s="151">
        <f t="shared" si="3"/>
        <v>23391.4</v>
      </c>
      <c r="H85" s="191">
        <f t="shared" si="4"/>
        <v>0.56342929452704837</v>
      </c>
    </row>
    <row r="86" spans="1:8" ht="15.75">
      <c r="A86" s="149" t="s">
        <v>302</v>
      </c>
      <c r="B86" s="150">
        <v>775</v>
      </c>
      <c r="C86" s="150">
        <v>99.29</v>
      </c>
      <c r="D86" s="150">
        <v>658.25</v>
      </c>
      <c r="E86" s="150">
        <v>510143.75</v>
      </c>
      <c r="F86" s="150">
        <v>433192.75</v>
      </c>
      <c r="G86" s="151">
        <f t="shared" si="3"/>
        <v>76951</v>
      </c>
      <c r="H86" s="191">
        <f t="shared" si="4"/>
        <v>5.6294622552013616</v>
      </c>
    </row>
    <row r="87" spans="1:8" ht="15.75">
      <c r="A87" s="149" t="s">
        <v>215</v>
      </c>
      <c r="B87" s="150">
        <v>1050</v>
      </c>
      <c r="C87" s="150">
        <v>40.479999999999997</v>
      </c>
      <c r="D87" s="150">
        <v>155.25</v>
      </c>
      <c r="E87" s="150">
        <v>163012.5</v>
      </c>
      <c r="F87" s="150">
        <v>120512.25</v>
      </c>
      <c r="G87" s="151">
        <f t="shared" si="3"/>
        <v>42500.25</v>
      </c>
      <c r="H87" s="191">
        <f t="shared" si="4"/>
        <v>2.8355656731430994</v>
      </c>
    </row>
    <row r="88" spans="1:8" ht="15.75">
      <c r="A88" s="149" t="s">
        <v>216</v>
      </c>
      <c r="B88" s="150">
        <v>27</v>
      </c>
      <c r="C88" s="150">
        <v>3410.37</v>
      </c>
      <c r="D88" s="150">
        <v>4107.1000000000004</v>
      </c>
      <c r="E88" s="150">
        <v>110891.7</v>
      </c>
      <c r="F88" s="150">
        <v>18811.650000000001</v>
      </c>
      <c r="G88" s="151">
        <f t="shared" si="3"/>
        <v>92080.049999999988</v>
      </c>
      <c r="H88" s="191">
        <f t="shared" si="4"/>
        <v>0.20429669618989132</v>
      </c>
    </row>
    <row r="89" spans="1:8" ht="15.75">
      <c r="A89" s="149" t="s">
        <v>217</v>
      </c>
      <c r="B89" s="150">
        <v>24</v>
      </c>
      <c r="C89" s="150">
        <v>2584.4</v>
      </c>
      <c r="D89" s="150">
        <v>3767.55</v>
      </c>
      <c r="E89" s="150">
        <v>90421.2</v>
      </c>
      <c r="F89" s="150">
        <v>28395.599999999999</v>
      </c>
      <c r="G89" s="151">
        <f t="shared" si="3"/>
        <v>62025.599999999999</v>
      </c>
      <c r="H89" s="191">
        <f t="shared" si="4"/>
        <v>0.45780451942423772</v>
      </c>
    </row>
    <row r="90" spans="1:8" ht="15.75">
      <c r="A90" s="149" t="s">
        <v>220</v>
      </c>
      <c r="B90" s="150">
        <v>61</v>
      </c>
      <c r="C90" s="150">
        <v>401.11</v>
      </c>
      <c r="D90" s="150">
        <v>663.05</v>
      </c>
      <c r="E90" s="150">
        <v>40446.050000000003</v>
      </c>
      <c r="F90" s="150">
        <v>15978.3</v>
      </c>
      <c r="G90" s="151">
        <f t="shared" si="3"/>
        <v>24467.750000000004</v>
      </c>
      <c r="H90" s="191">
        <f t="shared" si="4"/>
        <v>0.6530351176548721</v>
      </c>
    </row>
    <row r="91" spans="1:8" ht="15.75">
      <c r="A91" s="149" t="s">
        <v>221</v>
      </c>
      <c r="B91" s="150">
        <v>36</v>
      </c>
      <c r="C91" s="150">
        <v>120.1</v>
      </c>
      <c r="D91" s="150">
        <v>1448.75</v>
      </c>
      <c r="E91" s="150">
        <v>52155</v>
      </c>
      <c r="F91" s="150">
        <v>47831.35</v>
      </c>
      <c r="G91" s="151">
        <f t="shared" si="3"/>
        <v>4323.6500000000015</v>
      </c>
      <c r="H91" s="191">
        <f t="shared" si="4"/>
        <v>11.062724781145556</v>
      </c>
    </row>
    <row r="92" spans="1:8" ht="15.75">
      <c r="A92" s="149" t="s">
        <v>300</v>
      </c>
      <c r="B92" s="150">
        <v>525</v>
      </c>
      <c r="C92" s="150">
        <v>38.97</v>
      </c>
      <c r="D92" s="150">
        <v>25.25</v>
      </c>
      <c r="E92" s="150">
        <v>13256.25</v>
      </c>
      <c r="F92" s="150">
        <v>-7201.25</v>
      </c>
      <c r="G92" s="151">
        <f t="shared" si="3"/>
        <v>20457.5</v>
      </c>
      <c r="H92" s="191">
        <f t="shared" si="4"/>
        <v>-0.35201026518391787</v>
      </c>
    </row>
    <row r="93" spans="1:8" ht="15.75">
      <c r="A93" s="149" t="s">
        <v>309</v>
      </c>
      <c r="B93" s="150">
        <v>43</v>
      </c>
      <c r="C93" s="150">
        <v>1818.46</v>
      </c>
      <c r="D93" s="150">
        <v>1561.5</v>
      </c>
      <c r="E93" s="150">
        <v>67144.5</v>
      </c>
      <c r="F93" s="150">
        <v>-11049.45</v>
      </c>
      <c r="G93" s="151">
        <f t="shared" si="3"/>
        <v>78193.95</v>
      </c>
      <c r="H93" s="191">
        <f t="shared" si="4"/>
        <v>-0.14130824699353339</v>
      </c>
    </row>
    <row r="94" spans="1:8" ht="16.5">
      <c r="A94" s="149"/>
      <c r="B94" s="150"/>
      <c r="C94" s="150"/>
      <c r="D94" s="150"/>
      <c r="E94" s="150"/>
      <c r="F94" s="150"/>
      <c r="G94" s="151">
        <f t="shared" si="3"/>
        <v>0</v>
      </c>
      <c r="H94" s="191"/>
    </row>
    <row r="95" spans="1:8" ht="16.5">
      <c r="A95" s="149"/>
      <c r="B95" s="150"/>
      <c r="C95" s="150"/>
      <c r="D95" s="150"/>
      <c r="E95" s="150"/>
      <c r="F95" s="150"/>
      <c r="G95" s="151">
        <f t="shared" si="3"/>
        <v>0</v>
      </c>
      <c r="H95" s="191"/>
    </row>
    <row r="96" spans="1:8" ht="16.5">
      <c r="A96" s="149"/>
      <c r="B96" s="150"/>
      <c r="C96" s="150"/>
      <c r="D96" s="150"/>
      <c r="E96" s="150"/>
      <c r="F96" s="150"/>
      <c r="G96" s="151">
        <f t="shared" si="3"/>
        <v>0</v>
      </c>
      <c r="H96" s="191"/>
    </row>
    <row r="97" spans="1:8" ht="16.5">
      <c r="A97" s="149"/>
      <c r="B97" s="150"/>
      <c r="C97" s="150"/>
      <c r="D97" s="150"/>
      <c r="E97" s="150"/>
      <c r="F97" s="150"/>
      <c r="G97" s="151">
        <f t="shared" si="3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10265</v>
      </c>
      <c r="C104" s="45"/>
      <c r="D104" s="45"/>
      <c r="E104" s="45">
        <f>SUM(E2:E103)</f>
        <v>7183731.6799999997</v>
      </c>
      <c r="F104" s="45">
        <f>SUM(F2:F103)</f>
        <v>2990185.13</v>
      </c>
      <c r="G104" s="45">
        <f>SUM(G2:G103)</f>
        <v>4193546.5500000003</v>
      </c>
      <c r="H104" s="176">
        <f>F104/G104</f>
        <v>0.71304445875293787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8DF2-723B-44C7-8E2E-2914E08B960D}">
  <dimension ref="A1:I18"/>
  <sheetViews>
    <sheetView workbookViewId="0">
      <selection activeCell="B12" sqref="B12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255</v>
      </c>
      <c r="B2" t="s">
        <v>241</v>
      </c>
      <c r="C2" s="188">
        <v>18996.168000000001</v>
      </c>
      <c r="D2">
        <v>21.805</v>
      </c>
      <c r="E2">
        <v>9.4700000000000006</v>
      </c>
      <c r="F2" s="188">
        <v>179893.71100000001</v>
      </c>
      <c r="G2" s="188">
        <v>414211.44319999998</v>
      </c>
      <c r="H2" s="188">
        <v>234317.7323</v>
      </c>
      <c r="I2" s="192">
        <f>H2/F2</f>
        <v>1.3025343187233487</v>
      </c>
    </row>
    <row r="3" spans="1:9">
      <c r="A3" s="168" t="s">
        <v>253</v>
      </c>
      <c r="B3" t="s">
        <v>235</v>
      </c>
      <c r="C3" s="188">
        <v>2854.933</v>
      </c>
      <c r="D3">
        <v>231.81630000000001</v>
      </c>
      <c r="E3">
        <v>157.73920000000001</v>
      </c>
      <c r="F3" s="188">
        <v>450334.8468</v>
      </c>
      <c r="G3" s="188">
        <v>661820.0048</v>
      </c>
      <c r="H3" s="188">
        <v>211485.158</v>
      </c>
      <c r="I3" s="192">
        <f t="shared" ref="I3:I18" si="0">H3/F3</f>
        <v>0.46961757346289373</v>
      </c>
    </row>
    <row r="4" spans="1:9">
      <c r="A4" s="168" t="s">
        <v>274</v>
      </c>
      <c r="B4" t="s">
        <v>233</v>
      </c>
      <c r="C4" s="188">
        <v>6809.741</v>
      </c>
      <c r="D4">
        <v>44.12</v>
      </c>
      <c r="E4">
        <v>35.241999999999997</v>
      </c>
      <c r="F4" s="188">
        <v>239988.8371</v>
      </c>
      <c r="G4" s="188">
        <v>300445.77289999998</v>
      </c>
      <c r="H4" s="188">
        <v>60456.935799999999</v>
      </c>
      <c r="I4" s="192">
        <f t="shared" si="0"/>
        <v>0.25191561628680437</v>
      </c>
    </row>
    <row r="5" spans="1:9">
      <c r="A5" s="168" t="s">
        <v>250</v>
      </c>
      <c r="B5" t="s">
        <v>251</v>
      </c>
      <c r="C5" s="188">
        <v>19397.659</v>
      </c>
      <c r="D5">
        <v>75.430999999999997</v>
      </c>
      <c r="E5">
        <v>44.640599999999999</v>
      </c>
      <c r="F5" s="188">
        <v>865923.00470000005</v>
      </c>
      <c r="G5" s="188">
        <v>1463184.8160000001</v>
      </c>
      <c r="H5" s="188">
        <v>597261.81140000001</v>
      </c>
      <c r="I5" s="192">
        <f t="shared" si="0"/>
        <v>0.68974009023691663</v>
      </c>
    </row>
    <row r="6" spans="1:9">
      <c r="A6" s="168" t="s">
        <v>247</v>
      </c>
      <c r="B6" t="s">
        <v>241</v>
      </c>
      <c r="C6" s="188">
        <v>18008.322</v>
      </c>
      <c r="D6">
        <v>14.039300000000001</v>
      </c>
      <c r="E6">
        <v>11.688499999999999</v>
      </c>
      <c r="F6" s="188">
        <v>210489.47260000001</v>
      </c>
      <c r="G6" s="188">
        <v>252824.23509999999</v>
      </c>
      <c r="H6" s="188">
        <v>42334.762499999997</v>
      </c>
      <c r="I6" s="192">
        <f t="shared" si="0"/>
        <v>0.20112531984176768</v>
      </c>
    </row>
    <row r="7" spans="1:9">
      <c r="A7" s="168" t="s">
        <v>246</v>
      </c>
      <c r="B7" t="s">
        <v>241</v>
      </c>
      <c r="C7" s="188">
        <v>52701.962</v>
      </c>
      <c r="D7">
        <v>14.3622</v>
      </c>
      <c r="E7">
        <v>11.773199999999999</v>
      </c>
      <c r="F7" s="188">
        <v>620468.98179999995</v>
      </c>
      <c r="G7" s="188">
        <v>756916.11860000005</v>
      </c>
      <c r="H7" s="188">
        <v>136447.13680000001</v>
      </c>
      <c r="I7" s="192">
        <f t="shared" si="0"/>
        <v>0.2199096825181536</v>
      </c>
    </row>
    <row r="8" spans="1:9">
      <c r="A8" s="168" t="s">
        <v>273</v>
      </c>
      <c r="B8" t="s">
        <v>233</v>
      </c>
      <c r="C8" s="188">
        <v>79101.373999999996</v>
      </c>
      <c r="D8">
        <v>13.2911</v>
      </c>
      <c r="E8">
        <v>9.7971000000000004</v>
      </c>
      <c r="F8" s="188">
        <v>774961.23759999999</v>
      </c>
      <c r="G8" s="188">
        <v>1051344.2720000001</v>
      </c>
      <c r="H8" s="188">
        <v>276383.0344</v>
      </c>
      <c r="I8" s="192">
        <f t="shared" si="0"/>
        <v>0.35664110795520387</v>
      </c>
    </row>
    <row r="9" spans="1:9">
      <c r="A9" s="168" t="s">
        <v>244</v>
      </c>
      <c r="B9" t="s">
        <v>233</v>
      </c>
      <c r="C9" s="188">
        <v>5841.7389999999996</v>
      </c>
      <c r="D9">
        <v>31.107399999999998</v>
      </c>
      <c r="E9">
        <v>23.964300000000001</v>
      </c>
      <c r="F9" s="188">
        <v>139992.99739999999</v>
      </c>
      <c r="G9" s="188">
        <v>181721.3118</v>
      </c>
      <c r="H9" s="188">
        <v>41728.314299999998</v>
      </c>
      <c r="I9" s="192">
        <f t="shared" si="0"/>
        <v>0.29807429710766375</v>
      </c>
    </row>
    <row r="10" spans="1:9">
      <c r="A10" s="168" t="s">
        <v>272</v>
      </c>
      <c r="B10" t="s">
        <v>235</v>
      </c>
      <c r="C10" s="188">
        <v>5805.7370000000001</v>
      </c>
      <c r="D10">
        <v>117.85599999999999</v>
      </c>
      <c r="E10">
        <v>41.940399999999997</v>
      </c>
      <c r="F10" s="188">
        <v>243495.1642</v>
      </c>
      <c r="G10" s="188">
        <v>684240.9399</v>
      </c>
      <c r="H10" s="188">
        <v>440745.77559999999</v>
      </c>
      <c r="I10" s="192">
        <f t="shared" si="0"/>
        <v>1.8100802003524963</v>
      </c>
    </row>
    <row r="11" spans="1:9">
      <c r="A11" s="168" t="s">
        <v>242</v>
      </c>
      <c r="B11" t="s">
        <v>237</v>
      </c>
      <c r="C11" s="188">
        <v>4306.576</v>
      </c>
      <c r="D11">
        <v>135.87700000000001</v>
      </c>
      <c r="E11">
        <v>44.3917</v>
      </c>
      <c r="F11" s="188">
        <v>191176.2298</v>
      </c>
      <c r="G11" s="188">
        <v>585164.62719999999</v>
      </c>
      <c r="H11" s="188">
        <v>393988.39730000001</v>
      </c>
      <c r="I11" s="192">
        <f t="shared" si="0"/>
        <v>2.0608649815522204</v>
      </c>
    </row>
    <row r="12" spans="1:9">
      <c r="A12" s="168" t="s">
        <v>303</v>
      </c>
      <c r="B12" t="s">
        <v>241</v>
      </c>
      <c r="C12" s="188">
        <v>1857.5519999999999</v>
      </c>
      <c r="D12">
        <v>688.87199999999996</v>
      </c>
      <c r="E12">
        <v>366.02140000000003</v>
      </c>
      <c r="F12" s="188">
        <v>679903.69869999995</v>
      </c>
      <c r="G12" s="188">
        <v>1279615.5612999999</v>
      </c>
      <c r="H12" s="188">
        <v>599711.86270000006</v>
      </c>
      <c r="I12" s="192">
        <f t="shared" si="0"/>
        <v>0.88205412596911958</v>
      </c>
    </row>
    <row r="13" spans="1:9">
      <c r="A13" s="168" t="s">
        <v>238</v>
      </c>
      <c r="B13" t="s">
        <v>237</v>
      </c>
      <c r="C13" s="188">
        <v>19463.306</v>
      </c>
      <c r="D13">
        <v>36.51</v>
      </c>
      <c r="E13">
        <v>29.0275</v>
      </c>
      <c r="F13" s="188">
        <v>564971.79489999998</v>
      </c>
      <c r="G13" s="188">
        <v>710605.30209999997</v>
      </c>
      <c r="H13" s="188">
        <v>145633.50709999999</v>
      </c>
      <c r="I13" s="192">
        <f t="shared" si="0"/>
        <v>0.25777128772557067</v>
      </c>
    </row>
    <row r="14" spans="1:9">
      <c r="A14" s="168" t="s">
        <v>236</v>
      </c>
      <c r="B14" t="s">
        <v>237</v>
      </c>
      <c r="C14" s="188">
        <v>14235.332</v>
      </c>
      <c r="D14">
        <v>101</v>
      </c>
      <c r="E14">
        <v>47.766100000000002</v>
      </c>
      <c r="F14" s="188">
        <v>679966.92570000002</v>
      </c>
      <c r="G14" s="188">
        <v>1437768.5319999999</v>
      </c>
      <c r="H14" s="188">
        <v>757801.60629999998</v>
      </c>
      <c r="I14" s="192">
        <f t="shared" si="0"/>
        <v>1.1144683331764587</v>
      </c>
    </row>
    <row r="15" spans="1:9">
      <c r="A15" s="168" t="s">
        <v>234</v>
      </c>
      <c r="B15" t="s">
        <v>235</v>
      </c>
      <c r="C15" s="188">
        <v>4080.9659999999999</v>
      </c>
      <c r="D15">
        <v>102.72</v>
      </c>
      <c r="E15">
        <v>68.607799999999997</v>
      </c>
      <c r="F15" s="188">
        <v>279986.10960000003</v>
      </c>
      <c r="G15" s="188">
        <v>419196.82750000001</v>
      </c>
      <c r="H15" s="188">
        <v>139210.71799999999</v>
      </c>
      <c r="I15" s="192">
        <f t="shared" si="0"/>
        <v>0.49720580138379827</v>
      </c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253461.36699999997</v>
      </c>
      <c r="D18" s="75"/>
      <c r="E18" s="75"/>
      <c r="F18" s="75">
        <f t="shared" ref="F18:H18" si="1">SUM(F2:F15)</f>
        <v>6121553.0119000003</v>
      </c>
      <c r="G18" s="75">
        <f t="shared" si="1"/>
        <v>10199059.764400002</v>
      </c>
      <c r="H18" s="75">
        <f t="shared" si="1"/>
        <v>4077506.7524999999</v>
      </c>
      <c r="I18" s="53">
        <f t="shared" si="0"/>
        <v>0.66609024614726453</v>
      </c>
    </row>
  </sheetData>
  <hyperlinks>
    <hyperlink ref="A2" r:id="rId1" location="/mf/1831632/36491/NULL" xr:uid="{FF044A3D-9BF1-4B6B-AED7-32A285477D12}"/>
    <hyperlink ref="A3" r:id="rId2" location="/mf/1831632/17375/NULL" xr:uid="{24B4FC71-7594-43A7-83D4-BE606B7522BF}"/>
    <hyperlink ref="A4" r:id="rId3" location="/mf/1831632/17348/NULL" xr:uid="{C5F09BF1-E3DC-4C3B-BF9B-9CBAC567DAAB}"/>
    <hyperlink ref="A5" r:id="rId4" location="/mf/1831632/19701/NULL" xr:uid="{CBA7C6E1-F16B-4410-A02F-5F18CF2F5A26}"/>
    <hyperlink ref="A6" r:id="rId5" location="/mf/1831632/41937/NULL" xr:uid="{94D9FDB1-B7CF-4805-A1A2-99955211FEDB}"/>
    <hyperlink ref="A7" r:id="rId6" location="/mf/1831632/41574/NULL" xr:uid="{E6660E94-6173-4A2F-B1C3-25C78DF7319D}"/>
    <hyperlink ref="A8" r:id="rId7" location="/mf/1831632/42135/NULL" xr:uid="{CBE48CFF-9D13-4E68-AA4E-49B68B4FFED6}"/>
    <hyperlink ref="A9" r:id="rId8" location="/mf/1831632/38228/NULL" xr:uid="{5B76964D-E050-49F8-95AE-ED7DC4574641}"/>
    <hyperlink ref="A10" r:id="rId9" location="/mf/1831632/17134/NULL" xr:uid="{3EEAF546-ED12-4A9F-8D62-FCAA829D96DA}"/>
    <hyperlink ref="A11" r:id="rId10" location="/mf/1831632/16617/NULL" xr:uid="{65658622-DBC3-463C-9153-6E0C5EAFCDBB}"/>
    <hyperlink ref="A12" r:id="rId11" location="/mf/1831632/16071/NULL" xr:uid="{169FDFA7-8185-4B3D-ABA4-9860342668DB}"/>
    <hyperlink ref="A13" r:id="rId12" location="/mf/1831632/38817/NULL" xr:uid="{602D5AFD-D6D5-4021-BA35-A15990789D83}"/>
    <hyperlink ref="A14" r:id="rId13" location="/mf/1831632/22335/NULL" xr:uid="{1677CD18-863E-4A76-8A6A-635F45B7B13A}"/>
    <hyperlink ref="A15" r:id="rId14" location="/mf/1831632/15690/NULL" xr:uid="{03681F8F-4B40-46B4-AADA-70F31DD600AF}"/>
  </hyperlinks>
  <pageMargins left="0.7" right="0.7" top="0.75" bottom="0.75" header="0.3" footer="0.3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ADEA-0E71-4DE8-A9C7-7E1DF9B41759}">
  <dimension ref="A1:I18"/>
  <sheetViews>
    <sheetView workbookViewId="0">
      <selection activeCell="F3" sqref="F3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6">
        <v>4080.9659999999999</v>
      </c>
      <c r="D2" s="169">
        <v>99.1</v>
      </c>
      <c r="E2" s="169">
        <v>68.607799999999997</v>
      </c>
      <c r="F2" s="6">
        <v>279986.10960000003</v>
      </c>
      <c r="G2" s="6">
        <v>404423.73060000001</v>
      </c>
      <c r="H2" s="6">
        <v>124437.621</v>
      </c>
      <c r="I2" s="192">
        <f>H2/F2</f>
        <v>0.44444212313881154</v>
      </c>
    </row>
    <row r="3" spans="1:9">
      <c r="A3" s="168" t="s">
        <v>236</v>
      </c>
      <c r="B3" t="s">
        <v>237</v>
      </c>
      <c r="C3" s="6">
        <v>14235.332</v>
      </c>
      <c r="D3" s="169">
        <v>101.32</v>
      </c>
      <c r="E3" s="169">
        <v>47.766100000000002</v>
      </c>
      <c r="F3" s="6">
        <v>679966.92570000002</v>
      </c>
      <c r="G3" s="6">
        <v>1442323.8382000001</v>
      </c>
      <c r="H3" s="6">
        <v>762356.91260000004</v>
      </c>
      <c r="I3" s="192">
        <f t="shared" ref="I3:I18" si="0">H3/F3</f>
        <v>1.1211676388747625</v>
      </c>
    </row>
    <row r="4" spans="1:9">
      <c r="A4" s="168" t="s">
        <v>238</v>
      </c>
      <c r="B4" t="s">
        <v>237</v>
      </c>
      <c r="C4" s="6">
        <v>19463.306</v>
      </c>
      <c r="D4" s="169">
        <v>36.840000000000003</v>
      </c>
      <c r="E4" s="169">
        <v>29.0275</v>
      </c>
      <c r="F4" s="6">
        <v>564971.79489999998</v>
      </c>
      <c r="G4" s="6">
        <v>717028.19299999997</v>
      </c>
      <c r="H4" s="6">
        <v>152056.39809999999</v>
      </c>
      <c r="I4" s="192">
        <f t="shared" si="0"/>
        <v>0.26913980392050185</v>
      </c>
    </row>
    <row r="5" spans="1:9">
      <c r="A5" s="168" t="s">
        <v>303</v>
      </c>
      <c r="B5" t="s">
        <v>241</v>
      </c>
      <c r="C5" s="6">
        <v>1857.5519999999999</v>
      </c>
      <c r="D5" s="169">
        <v>672.70929999999998</v>
      </c>
      <c r="E5" s="169">
        <v>366.02140000000003</v>
      </c>
      <c r="F5" s="6">
        <v>679903.69869999995</v>
      </c>
      <c r="G5" s="6">
        <v>1249592.5056</v>
      </c>
      <c r="H5" s="6">
        <v>569688.80700000003</v>
      </c>
      <c r="I5" s="192">
        <f t="shared" si="0"/>
        <v>0.83789631986009971</v>
      </c>
    </row>
    <row r="6" spans="1:9">
      <c r="A6" s="168" t="s">
        <v>242</v>
      </c>
      <c r="B6" t="s">
        <v>237</v>
      </c>
      <c r="C6" s="6">
        <v>4306.576</v>
      </c>
      <c r="D6" s="169">
        <v>137.19300000000001</v>
      </c>
      <c r="E6" s="169">
        <v>44.3917</v>
      </c>
      <c r="F6" s="6">
        <v>191176.2298</v>
      </c>
      <c r="G6" s="6">
        <v>590832.08120000002</v>
      </c>
      <c r="H6" s="6">
        <v>399655.85129999998</v>
      </c>
      <c r="I6" s="192">
        <f t="shared" si="0"/>
        <v>2.090510162890554</v>
      </c>
    </row>
    <row r="7" spans="1:9">
      <c r="A7" s="168" t="s">
        <v>272</v>
      </c>
      <c r="B7" t="s">
        <v>235</v>
      </c>
      <c r="C7" s="6">
        <v>5805.7370000000001</v>
      </c>
      <c r="D7" s="169">
        <v>115.018</v>
      </c>
      <c r="E7" s="169">
        <v>41.940399999999997</v>
      </c>
      <c r="F7" s="6">
        <v>243495.1642</v>
      </c>
      <c r="G7" s="6">
        <v>667764.25829999999</v>
      </c>
      <c r="H7" s="6">
        <v>424269.09399999998</v>
      </c>
      <c r="I7" s="192">
        <f t="shared" si="0"/>
        <v>1.7424128129769239</v>
      </c>
    </row>
    <row r="8" spans="1:9">
      <c r="A8" s="168" t="s">
        <v>244</v>
      </c>
      <c r="B8" t="s">
        <v>233</v>
      </c>
      <c r="C8" s="6">
        <v>5841.7389999999996</v>
      </c>
      <c r="D8" s="169">
        <v>30.268999999999998</v>
      </c>
      <c r="E8" s="169">
        <v>23.964300000000001</v>
      </c>
      <c r="F8" s="6">
        <v>139992.99739999999</v>
      </c>
      <c r="G8" s="6">
        <v>176823.59779999999</v>
      </c>
      <c r="H8" s="6">
        <v>36830.600299999998</v>
      </c>
      <c r="I8" s="192">
        <f t="shared" si="0"/>
        <v>0.26308887575829559</v>
      </c>
    </row>
    <row r="9" spans="1:9">
      <c r="A9" s="168" t="s">
        <v>273</v>
      </c>
      <c r="B9" t="s">
        <v>233</v>
      </c>
      <c r="C9" s="6">
        <v>75254.968999999997</v>
      </c>
      <c r="D9" s="169">
        <v>12.7903</v>
      </c>
      <c r="E9" s="169">
        <v>9.6334</v>
      </c>
      <c r="F9" s="6">
        <v>724963.74219999998</v>
      </c>
      <c r="G9" s="6">
        <v>962533.63</v>
      </c>
      <c r="H9" s="6">
        <v>237569.8878</v>
      </c>
      <c r="I9" s="192">
        <f t="shared" si="0"/>
        <v>0.32769899233727501</v>
      </c>
    </row>
    <row r="10" spans="1:9">
      <c r="A10" s="168" t="s">
        <v>246</v>
      </c>
      <c r="B10" t="s">
        <v>241</v>
      </c>
      <c r="C10" s="6">
        <v>49102.87</v>
      </c>
      <c r="D10" s="169">
        <v>14.0337</v>
      </c>
      <c r="E10" s="169">
        <v>11.617900000000001</v>
      </c>
      <c r="F10" s="6">
        <v>570471.47549999994</v>
      </c>
      <c r="G10" s="6">
        <v>689094.94669999997</v>
      </c>
      <c r="H10" s="6">
        <v>118623.4712</v>
      </c>
      <c r="I10" s="192">
        <f t="shared" si="0"/>
        <v>0.20793935594418692</v>
      </c>
    </row>
    <row r="11" spans="1:9">
      <c r="A11" s="168" t="s">
        <v>247</v>
      </c>
      <c r="B11" t="s">
        <v>241</v>
      </c>
      <c r="C11" s="6">
        <v>15144.51</v>
      </c>
      <c r="D11" s="169">
        <v>13.1866</v>
      </c>
      <c r="E11" s="169">
        <v>11.2576</v>
      </c>
      <c r="F11" s="6">
        <v>170491.46950000001</v>
      </c>
      <c r="G11" s="6">
        <v>199704.5956</v>
      </c>
      <c r="H11" s="6">
        <v>29213.126100000001</v>
      </c>
      <c r="I11" s="192">
        <f t="shared" si="0"/>
        <v>0.17134655584630293</v>
      </c>
    </row>
    <row r="12" spans="1:9">
      <c r="A12" s="168" t="s">
        <v>250</v>
      </c>
      <c r="B12" t="s">
        <v>251</v>
      </c>
      <c r="C12" s="6">
        <v>19397.659</v>
      </c>
      <c r="D12" s="169">
        <v>72.534599999999998</v>
      </c>
      <c r="E12" s="169">
        <v>44.640599999999999</v>
      </c>
      <c r="F12" s="6">
        <v>865923.00470000005</v>
      </c>
      <c r="G12" s="6">
        <v>1407001.4365000001</v>
      </c>
      <c r="H12" s="6">
        <v>541078.43180000002</v>
      </c>
      <c r="I12" s="192">
        <f t="shared" si="0"/>
        <v>0.62485743982221287</v>
      </c>
    </row>
    <row r="13" spans="1:9">
      <c r="A13" s="168" t="s">
        <v>274</v>
      </c>
      <c r="B13" t="s">
        <v>233</v>
      </c>
      <c r="C13" s="6">
        <v>6809.741</v>
      </c>
      <c r="D13" s="169">
        <v>41.47</v>
      </c>
      <c r="E13" s="169">
        <v>35.241999999999997</v>
      </c>
      <c r="F13" s="6">
        <v>239988.8371</v>
      </c>
      <c r="G13" s="6">
        <v>282399.95929999999</v>
      </c>
      <c r="H13" s="6">
        <v>42411.122199999998</v>
      </c>
      <c r="I13" s="192">
        <f t="shared" si="0"/>
        <v>0.1767212288391892</v>
      </c>
    </row>
    <row r="14" spans="1:9">
      <c r="A14" s="168" t="s">
        <v>253</v>
      </c>
      <c r="B14" t="s">
        <v>235</v>
      </c>
      <c r="C14" s="6">
        <v>2640.221</v>
      </c>
      <c r="D14" s="169">
        <v>224.80779999999999</v>
      </c>
      <c r="E14" s="169">
        <v>151.6302</v>
      </c>
      <c r="F14" s="6">
        <v>400337.31109999999</v>
      </c>
      <c r="G14" s="6">
        <v>593542.27450000006</v>
      </c>
      <c r="H14" s="6">
        <v>193204.96340000001</v>
      </c>
      <c r="I14" s="192">
        <f t="shared" si="0"/>
        <v>0.48260543807204487</v>
      </c>
    </row>
    <row r="15" spans="1:9">
      <c r="A15" s="168" t="s">
        <v>255</v>
      </c>
      <c r="B15" t="s">
        <v>241</v>
      </c>
      <c r="C15" s="6">
        <v>18996.168000000001</v>
      </c>
      <c r="D15" s="169">
        <v>20.4834</v>
      </c>
      <c r="E15" s="169">
        <v>9.4700000000000006</v>
      </c>
      <c r="F15" s="6">
        <v>179893.71100000001</v>
      </c>
      <c r="G15" s="6">
        <v>389106.10759999999</v>
      </c>
      <c r="H15" s="6">
        <v>209212.39670000001</v>
      </c>
      <c r="I15" s="192">
        <f t="shared" si="0"/>
        <v>1.1629778247222884</v>
      </c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242937.34600000002</v>
      </c>
      <c r="D18" s="75"/>
      <c r="E18" s="75"/>
      <c r="F18" s="75">
        <f t="shared" ref="F18:H18" si="1">SUM(F2:F15)</f>
        <v>5931562.4714000002</v>
      </c>
      <c r="G18" s="75">
        <f t="shared" si="1"/>
        <v>9772171.1548999995</v>
      </c>
      <c r="H18" s="75">
        <f t="shared" si="1"/>
        <v>3840608.6834999998</v>
      </c>
      <c r="I18" s="53">
        <f t="shared" si="0"/>
        <v>0.6474868471870816</v>
      </c>
    </row>
  </sheetData>
  <hyperlinks>
    <hyperlink ref="A2" r:id="rId1" location="/mf/1831632/15690/NULL" xr:uid="{444A28D7-2410-44EF-B5F3-D3EA2BAC3CF9}"/>
    <hyperlink ref="A3" r:id="rId2" location="/mf/1831632/22335/NULL" xr:uid="{05CBA42E-889C-4017-B133-11F26DBCC401}"/>
    <hyperlink ref="A4" r:id="rId3" location="/mf/1831632/38817/NULL" xr:uid="{6F65D8DA-60EC-4104-ACA1-E2DC355AE029}"/>
    <hyperlink ref="A5" r:id="rId4" location="/mf/1831632/16071/NULL" xr:uid="{161CF319-CF40-4102-9697-36E748E11E0F}"/>
    <hyperlink ref="A6" r:id="rId5" location="/mf/1831632/16617/NULL" xr:uid="{51D834D7-A9E9-46B3-AC8A-C9A4FAD8249F}"/>
    <hyperlink ref="A7" r:id="rId6" location="/mf/1831632/17134/NULL" xr:uid="{2824255B-8110-456C-8E99-9DDD778BCC1A}"/>
    <hyperlink ref="A8" r:id="rId7" location="/mf/1831632/38228/NULL" xr:uid="{4D9B5D67-C235-47EE-B28F-9A3C5103215D}"/>
    <hyperlink ref="A9" r:id="rId8" location="/mf/1831632/42135/NULL" xr:uid="{EFF9CCDB-6124-4246-8339-99DFCE0D9B4E}"/>
    <hyperlink ref="A10" r:id="rId9" location="/mf/1831632/41574/NULL" xr:uid="{8D5E0E27-6390-4339-87AD-6689057D917F}"/>
    <hyperlink ref="A11" r:id="rId10" location="/mf/1831632/41937/NULL" xr:uid="{46BA43B2-6272-42D8-8014-A53E74E31197}"/>
    <hyperlink ref="A12" r:id="rId11" location="/mf/1831632/19701/NULL" xr:uid="{6E6ED85D-B372-406F-AD28-7A97BE474B97}"/>
    <hyperlink ref="A13" r:id="rId12" location="/mf/1831632/17348/NULL" xr:uid="{05B1C0CB-CA58-4995-BC7B-360E69C05B80}"/>
    <hyperlink ref="A14" r:id="rId13" location="/mf/1831632/17375/NULL" xr:uid="{A4E45F76-A3C6-4F37-9A43-260ED3CB259E}"/>
    <hyperlink ref="A15" r:id="rId14" location="/mf/1831632/36491/NULL" xr:uid="{484D7D53-C624-4845-80D4-4951E5C263BF}"/>
  </hyperlinks>
  <pageMargins left="0.7" right="0.7" top="0.75" bottom="0.75" header="0.3" footer="0.3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0B56-CA30-4CC4-A9E6-47063F461733}">
  <dimension ref="A1:I104"/>
  <sheetViews>
    <sheetView workbookViewId="0">
      <pane xSplit="1" ySplit="1" topLeftCell="B97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143</v>
      </c>
      <c r="B2" s="150">
        <v>100</v>
      </c>
      <c r="C2" s="150">
        <v>109.73</v>
      </c>
      <c r="D2" s="150">
        <v>107</v>
      </c>
      <c r="E2" s="150">
        <v>10700</v>
      </c>
      <c r="F2" s="150">
        <v>-272.5</v>
      </c>
      <c r="G2" s="151">
        <f t="shared" ref="G2:G33" si="0">E2-F2</f>
        <v>10972.5</v>
      </c>
      <c r="H2" s="191">
        <f t="shared" ref="H2:H14" si="1">F2/G2</f>
        <v>-2.4834814308498519E-2</v>
      </c>
    </row>
    <row r="3" spans="1:8" ht="15.75">
      <c r="A3" s="149" t="s">
        <v>264</v>
      </c>
      <c r="B3" s="150">
        <v>13</v>
      </c>
      <c r="C3" s="150">
        <v>133.75</v>
      </c>
      <c r="D3" s="150">
        <v>756.25</v>
      </c>
      <c r="E3" s="150">
        <v>9831.25</v>
      </c>
      <c r="F3" s="150">
        <v>8092.5</v>
      </c>
      <c r="G3" s="151">
        <f t="shared" si="0"/>
        <v>1738.75</v>
      </c>
      <c r="H3" s="191">
        <f t="shared" si="1"/>
        <v>4.6542056074766354</v>
      </c>
    </row>
    <row r="4" spans="1:8" ht="15.75">
      <c r="A4" s="149" t="s">
        <v>144</v>
      </c>
      <c r="B4" s="150">
        <v>25</v>
      </c>
      <c r="C4" s="150">
        <v>813.47</v>
      </c>
      <c r="D4" s="150">
        <v>2168.4</v>
      </c>
      <c r="E4" s="150">
        <v>54210</v>
      </c>
      <c r="F4" s="150">
        <v>33873.35</v>
      </c>
      <c r="G4" s="151">
        <f t="shared" si="0"/>
        <v>20336.650000000001</v>
      </c>
      <c r="H4" s="191">
        <f t="shared" si="1"/>
        <v>1.6656307700629158</v>
      </c>
    </row>
    <row r="5" spans="1:8" ht="15.75">
      <c r="A5" s="149" t="s">
        <v>145</v>
      </c>
      <c r="B5" s="150">
        <v>250</v>
      </c>
      <c r="C5" s="150">
        <v>183.59</v>
      </c>
      <c r="D5" s="150">
        <v>539.5</v>
      </c>
      <c r="E5" s="150">
        <v>134875</v>
      </c>
      <c r="F5" s="150">
        <v>88977.5</v>
      </c>
      <c r="G5" s="151">
        <f t="shared" si="0"/>
        <v>45897.5</v>
      </c>
      <c r="H5" s="191">
        <f t="shared" si="1"/>
        <v>1.9386132142273544</v>
      </c>
    </row>
    <row r="6" spans="1:8" ht="15.75">
      <c r="A6" s="149" t="s">
        <v>275</v>
      </c>
      <c r="B6" s="150">
        <v>165</v>
      </c>
      <c r="C6" s="150">
        <v>160.15</v>
      </c>
      <c r="D6" s="150">
        <v>174.1</v>
      </c>
      <c r="E6" s="150">
        <v>28726.5</v>
      </c>
      <c r="F6" s="150">
        <v>2301.75</v>
      </c>
      <c r="G6" s="151">
        <f t="shared" si="0"/>
        <v>26424.75</v>
      </c>
      <c r="H6" s="191">
        <f t="shared" si="1"/>
        <v>8.710583827661568E-2</v>
      </c>
    </row>
    <row r="7" spans="1:8" ht="15.75">
      <c r="A7" s="149" t="s">
        <v>276</v>
      </c>
      <c r="B7" s="150">
        <v>28</v>
      </c>
      <c r="C7" s="150">
        <v>2757.87</v>
      </c>
      <c r="D7" s="150">
        <v>2936.3</v>
      </c>
      <c r="E7" s="150">
        <v>82216.399999999994</v>
      </c>
      <c r="F7" s="150">
        <v>4996</v>
      </c>
      <c r="G7" s="151">
        <f t="shared" si="0"/>
        <v>77220.399999999994</v>
      </c>
      <c r="H7" s="191">
        <f t="shared" si="1"/>
        <v>6.4697929562654438E-2</v>
      </c>
    </row>
    <row r="8" spans="1:8" ht="15.75">
      <c r="A8" s="149" t="s">
        <v>277</v>
      </c>
      <c r="B8" s="150">
        <v>72</v>
      </c>
      <c r="C8" s="150">
        <v>578.16999999999996</v>
      </c>
      <c r="D8" s="150">
        <v>629.15</v>
      </c>
      <c r="E8" s="150">
        <v>45298.8</v>
      </c>
      <c r="F8" s="150">
        <v>3670.6</v>
      </c>
      <c r="G8" s="151">
        <f t="shared" si="0"/>
        <v>41628.200000000004</v>
      </c>
      <c r="H8" s="191">
        <f t="shared" si="1"/>
        <v>8.8175803902162467E-2</v>
      </c>
    </row>
    <row r="9" spans="1:8" ht="15.75">
      <c r="A9" s="149" t="s">
        <v>146</v>
      </c>
      <c r="B9" s="150">
        <v>73</v>
      </c>
      <c r="C9" s="150">
        <v>665.52</v>
      </c>
      <c r="D9" s="150">
        <v>1068.75</v>
      </c>
      <c r="E9" s="150">
        <v>78018.75</v>
      </c>
      <c r="F9" s="150">
        <v>29435.55</v>
      </c>
      <c r="G9" s="151">
        <f t="shared" si="0"/>
        <v>48583.199999999997</v>
      </c>
      <c r="H9" s="191">
        <f t="shared" si="1"/>
        <v>0.60587919280739022</v>
      </c>
    </row>
    <row r="10" spans="1:8" ht="15.75">
      <c r="A10" s="149" t="s">
        <v>147</v>
      </c>
      <c r="B10" s="150">
        <v>21</v>
      </c>
      <c r="C10" s="150">
        <v>2946.68</v>
      </c>
      <c r="D10" s="150">
        <v>7738.2</v>
      </c>
      <c r="E10" s="150">
        <v>162502.20000000001</v>
      </c>
      <c r="F10" s="150">
        <v>100621.95</v>
      </c>
      <c r="G10" s="151">
        <f t="shared" si="0"/>
        <v>61880.250000000015</v>
      </c>
      <c r="H10" s="191">
        <f t="shared" si="1"/>
        <v>1.6260753633025071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6848.3</v>
      </c>
      <c r="E11" s="150">
        <v>54786.400000000001</v>
      </c>
      <c r="F11" s="150">
        <v>938.05</v>
      </c>
      <c r="G11" s="151">
        <f t="shared" si="0"/>
        <v>53848.35</v>
      </c>
      <c r="H11" s="191">
        <f t="shared" si="1"/>
        <v>1.7420218075391354E-2</v>
      </c>
    </row>
    <row r="12" spans="1:8" ht="15.75">
      <c r="A12" s="149" t="s">
        <v>149</v>
      </c>
      <c r="B12" s="150">
        <v>12</v>
      </c>
      <c r="C12" s="150">
        <v>2238.41</v>
      </c>
      <c r="D12" s="150">
        <v>2452.4</v>
      </c>
      <c r="E12" s="150">
        <v>29428.799999999999</v>
      </c>
      <c r="F12" s="150">
        <v>2567.9</v>
      </c>
      <c r="G12" s="151">
        <f t="shared" si="0"/>
        <v>26860.899999999998</v>
      </c>
      <c r="H12" s="191">
        <f t="shared" si="1"/>
        <v>9.5599924053177673E-2</v>
      </c>
    </row>
    <row r="13" spans="1:8" ht="15.75">
      <c r="A13" s="149" t="s">
        <v>150</v>
      </c>
      <c r="B13" s="150">
        <v>184</v>
      </c>
      <c r="C13" s="150">
        <v>185</v>
      </c>
      <c r="D13" s="150">
        <v>255.3</v>
      </c>
      <c r="E13" s="150">
        <v>46975.199999999997</v>
      </c>
      <c r="F13" s="150">
        <v>12935.2</v>
      </c>
      <c r="G13" s="151">
        <f t="shared" si="0"/>
        <v>34040</v>
      </c>
      <c r="H13" s="191">
        <f t="shared" si="1"/>
        <v>0.38</v>
      </c>
    </row>
    <row r="14" spans="1:8" ht="15.75">
      <c r="A14" s="149" t="s">
        <v>152</v>
      </c>
      <c r="B14" s="150">
        <v>180</v>
      </c>
      <c r="C14" s="150">
        <v>322.89</v>
      </c>
      <c r="D14" s="150">
        <v>1150.8</v>
      </c>
      <c r="E14" s="150">
        <v>207144</v>
      </c>
      <c r="F14" s="150">
        <v>149024</v>
      </c>
      <c r="G14" s="151">
        <f t="shared" si="0"/>
        <v>58120</v>
      </c>
      <c r="H14" s="191">
        <f t="shared" si="1"/>
        <v>2.5640743289745354</v>
      </c>
    </row>
    <row r="15" spans="1:8" ht="15.75">
      <c r="A15" s="149" t="s">
        <v>153</v>
      </c>
      <c r="B15" s="150">
        <v>61</v>
      </c>
      <c r="C15" s="150">
        <v>427.78</v>
      </c>
      <c r="D15" s="150">
        <v>1032.0999999999999</v>
      </c>
      <c r="E15" s="150">
        <v>62958.1</v>
      </c>
      <c r="F15" s="150">
        <v>36863.5</v>
      </c>
      <c r="G15" s="151">
        <f t="shared" si="0"/>
        <v>26094.6</v>
      </c>
      <c r="H15" s="191">
        <v>0</v>
      </c>
    </row>
    <row r="16" spans="1:8" ht="15.75">
      <c r="A16" s="149" t="s">
        <v>154</v>
      </c>
      <c r="B16" s="150">
        <v>14</v>
      </c>
      <c r="C16" s="150">
        <v>3489.94</v>
      </c>
      <c r="D16" s="150">
        <v>5148.8500000000004</v>
      </c>
      <c r="E16" s="150">
        <v>72083.899999999994</v>
      </c>
      <c r="F16" s="150">
        <v>23224.799999999999</v>
      </c>
      <c r="G16" s="151">
        <f t="shared" si="0"/>
        <v>48859.099999999991</v>
      </c>
      <c r="H16" s="191">
        <f t="shared" ref="H16:H19" si="2">F16/G16</f>
        <v>0.47534236201649238</v>
      </c>
    </row>
    <row r="17" spans="1:8" ht="16.5">
      <c r="A17" s="149" t="s">
        <v>304</v>
      </c>
      <c r="B17" s="150">
        <v>6</v>
      </c>
      <c r="C17" s="150">
        <v>0</v>
      </c>
      <c r="D17" s="150">
        <v>29.71</v>
      </c>
      <c r="E17" s="150">
        <v>178.26</v>
      </c>
      <c r="F17" s="150">
        <v>178.26</v>
      </c>
      <c r="G17" s="151">
        <f t="shared" si="0"/>
        <v>0</v>
      </c>
      <c r="H17" s="191"/>
    </row>
    <row r="18" spans="1:8" ht="15.75">
      <c r="A18" s="149" t="s">
        <v>155</v>
      </c>
      <c r="B18" s="150">
        <v>180</v>
      </c>
      <c r="C18" s="150">
        <v>155.25</v>
      </c>
      <c r="D18" s="150">
        <v>198.4</v>
      </c>
      <c r="E18" s="150">
        <v>35712</v>
      </c>
      <c r="F18" s="150">
        <v>7767</v>
      </c>
      <c r="G18" s="151">
        <f t="shared" si="0"/>
        <v>27945</v>
      </c>
      <c r="H18" s="191">
        <f t="shared" si="2"/>
        <v>0.27793880837359097</v>
      </c>
    </row>
    <row r="19" spans="1:8" ht="15.75">
      <c r="A19" s="149" t="s">
        <v>156</v>
      </c>
      <c r="B19" s="150">
        <v>47</v>
      </c>
      <c r="C19" s="150">
        <v>193.53</v>
      </c>
      <c r="D19" s="150">
        <v>484</v>
      </c>
      <c r="E19" s="150">
        <v>22748</v>
      </c>
      <c r="F19" s="150">
        <v>13652.1</v>
      </c>
      <c r="G19" s="151">
        <f t="shared" si="0"/>
        <v>9095.9</v>
      </c>
      <c r="H19" s="191">
        <f t="shared" si="2"/>
        <v>1.5009070020558715</v>
      </c>
    </row>
    <row r="20" spans="1:8" ht="15.75">
      <c r="A20" s="149" t="s">
        <v>157</v>
      </c>
      <c r="B20" s="150">
        <v>35</v>
      </c>
      <c r="C20" s="150">
        <v>827.34</v>
      </c>
      <c r="D20" s="150">
        <v>1392.65</v>
      </c>
      <c r="E20" s="150">
        <v>48742.75</v>
      </c>
      <c r="F20" s="150">
        <v>19785.900000000001</v>
      </c>
      <c r="G20" s="151">
        <f t="shared" si="0"/>
        <v>28956.85</v>
      </c>
      <c r="H20" s="191">
        <f t="shared" ref="H20:H51" si="3">F20/G20</f>
        <v>0.68328910085178474</v>
      </c>
    </row>
    <row r="21" spans="1:8" ht="15.75">
      <c r="A21" s="149" t="s">
        <v>158</v>
      </c>
      <c r="B21" s="150">
        <v>470</v>
      </c>
      <c r="C21" s="150">
        <v>194.39</v>
      </c>
      <c r="D21" s="150">
        <v>419.8</v>
      </c>
      <c r="E21" s="150">
        <v>197306</v>
      </c>
      <c r="F21" s="150">
        <v>105942.5</v>
      </c>
      <c r="G21" s="151">
        <f t="shared" si="0"/>
        <v>91363.5</v>
      </c>
      <c r="H21" s="191">
        <f t="shared" si="3"/>
        <v>1.1595713824448495</v>
      </c>
    </row>
    <row r="22" spans="1:8" ht="15.75">
      <c r="A22" s="149" t="s">
        <v>159</v>
      </c>
      <c r="B22" s="150">
        <v>10</v>
      </c>
      <c r="C22" s="150">
        <v>4083.04</v>
      </c>
      <c r="D22" s="150">
        <v>6425.35</v>
      </c>
      <c r="E22" s="150">
        <v>64253.5</v>
      </c>
      <c r="F22" s="150">
        <v>23423.1</v>
      </c>
      <c r="G22" s="151">
        <f t="shared" si="0"/>
        <v>40830.400000000001</v>
      </c>
      <c r="H22" s="191">
        <f t="shared" si="3"/>
        <v>0.57366814922214815</v>
      </c>
    </row>
    <row r="23" spans="1:8" ht="15.75">
      <c r="A23" s="149" t="s">
        <v>160</v>
      </c>
      <c r="B23" s="150">
        <v>32</v>
      </c>
      <c r="C23" s="150">
        <v>1549.21</v>
      </c>
      <c r="D23" s="150">
        <v>2547.35</v>
      </c>
      <c r="E23" s="150">
        <v>81515.199999999997</v>
      </c>
      <c r="F23" s="150">
        <v>31940.35</v>
      </c>
      <c r="G23" s="151">
        <f t="shared" si="0"/>
        <v>49574.85</v>
      </c>
      <c r="H23" s="191">
        <f t="shared" si="3"/>
        <v>0.64428535840249646</v>
      </c>
    </row>
    <row r="24" spans="1:8" ht="15.75">
      <c r="A24" s="149" t="s">
        <v>279</v>
      </c>
      <c r="B24" s="150">
        <v>83</v>
      </c>
      <c r="C24" s="150">
        <v>560.16999999999996</v>
      </c>
      <c r="D24" s="150">
        <v>544.65</v>
      </c>
      <c r="E24" s="150">
        <v>45205.95</v>
      </c>
      <c r="F24" s="150">
        <v>-1288.0999999999999</v>
      </c>
      <c r="G24" s="151">
        <f t="shared" si="0"/>
        <v>46494.049999999996</v>
      </c>
      <c r="H24" s="191">
        <f t="shared" si="3"/>
        <v>-2.7704620268615018E-2</v>
      </c>
    </row>
    <row r="25" spans="1:8" ht="15.75">
      <c r="A25" s="149" t="s">
        <v>161</v>
      </c>
      <c r="B25" s="150">
        <v>60</v>
      </c>
      <c r="C25" s="150">
        <v>356.27</v>
      </c>
      <c r="D25" s="150">
        <v>791.45</v>
      </c>
      <c r="E25" s="150">
        <v>47487</v>
      </c>
      <c r="F25" s="150">
        <v>26110.85</v>
      </c>
      <c r="G25" s="151">
        <f t="shared" si="0"/>
        <v>21376.15</v>
      </c>
      <c r="H25" s="191">
        <f t="shared" si="3"/>
        <v>1.2214945160845145</v>
      </c>
    </row>
    <row r="26" spans="1:8" ht="15.75">
      <c r="A26" s="149" t="s">
        <v>162</v>
      </c>
      <c r="B26" s="150">
        <v>14</v>
      </c>
      <c r="C26" s="150">
        <v>3289.33</v>
      </c>
      <c r="D26" s="150">
        <v>3784.3</v>
      </c>
      <c r="E26" s="150">
        <v>52980.2</v>
      </c>
      <c r="F26" s="150">
        <v>6929.65</v>
      </c>
      <c r="G26" s="151">
        <f t="shared" si="0"/>
        <v>46050.549999999996</v>
      </c>
      <c r="H26" s="191">
        <f t="shared" si="3"/>
        <v>0.15047920165991505</v>
      </c>
    </row>
    <row r="27" spans="1:8" ht="15.75">
      <c r="A27" s="149" t="s">
        <v>163</v>
      </c>
      <c r="B27" s="150">
        <v>9</v>
      </c>
      <c r="C27" s="150">
        <v>4442.55</v>
      </c>
      <c r="D27" s="150">
        <v>6039.5</v>
      </c>
      <c r="E27" s="150">
        <v>54355.5</v>
      </c>
      <c r="F27" s="150">
        <v>14372.55</v>
      </c>
      <c r="G27" s="151">
        <f t="shared" si="0"/>
        <v>39982.949999999997</v>
      </c>
      <c r="H27" s="191">
        <f t="shared" si="3"/>
        <v>0.35946697279715478</v>
      </c>
    </row>
    <row r="28" spans="1:8" ht="15.75">
      <c r="A28" s="149" t="s">
        <v>164</v>
      </c>
      <c r="B28" s="150">
        <v>8</v>
      </c>
      <c r="C28" s="150">
        <v>2511.94</v>
      </c>
      <c r="D28" s="150">
        <v>3825.55</v>
      </c>
      <c r="E28" s="150">
        <v>30604.400000000001</v>
      </c>
      <c r="F28" s="150">
        <v>10508.9</v>
      </c>
      <c r="G28" s="151">
        <f t="shared" si="0"/>
        <v>20095.5</v>
      </c>
      <c r="H28" s="191">
        <f t="shared" si="3"/>
        <v>0.52294792366450193</v>
      </c>
    </row>
    <row r="29" spans="1:8" ht="15.75">
      <c r="A29" s="149" t="s">
        <v>165</v>
      </c>
      <c r="B29" s="150">
        <v>72</v>
      </c>
      <c r="C29" s="150">
        <v>356.99</v>
      </c>
      <c r="D29" s="150">
        <v>368.6</v>
      </c>
      <c r="E29" s="150">
        <v>26539.200000000001</v>
      </c>
      <c r="F29" s="150">
        <v>836.24</v>
      </c>
      <c r="G29" s="151">
        <f t="shared" si="0"/>
        <v>25702.959999999999</v>
      </c>
      <c r="H29" s="191">
        <f t="shared" si="3"/>
        <v>3.2534774204994288E-2</v>
      </c>
    </row>
    <row r="30" spans="1:8" ht="15.75">
      <c r="A30" s="149" t="s">
        <v>166</v>
      </c>
      <c r="B30" s="150">
        <v>23</v>
      </c>
      <c r="C30" s="150">
        <v>1408.96</v>
      </c>
      <c r="D30" s="150">
        <v>2129.0500000000002</v>
      </c>
      <c r="E30" s="150">
        <v>48968.15</v>
      </c>
      <c r="F30" s="150">
        <v>16562.150000000001</v>
      </c>
      <c r="G30" s="151">
        <f t="shared" si="0"/>
        <v>32406</v>
      </c>
      <c r="H30" s="191">
        <f t="shared" si="3"/>
        <v>0.51108282416836393</v>
      </c>
    </row>
    <row r="31" spans="1:8" ht="15.75">
      <c r="A31" s="149" t="s">
        <v>168</v>
      </c>
      <c r="B31" s="150">
        <v>80</v>
      </c>
      <c r="C31" s="150">
        <v>685.74</v>
      </c>
      <c r="D31" s="150">
        <v>892.05</v>
      </c>
      <c r="E31" s="150">
        <v>71364</v>
      </c>
      <c r="F31" s="150">
        <v>16505</v>
      </c>
      <c r="G31" s="151">
        <f t="shared" si="0"/>
        <v>54859</v>
      </c>
      <c r="H31" s="191">
        <f t="shared" si="3"/>
        <v>0.30086221039391897</v>
      </c>
    </row>
    <row r="32" spans="1:8" ht="15.75">
      <c r="A32" s="149" t="s">
        <v>169</v>
      </c>
      <c r="B32" s="150">
        <v>268</v>
      </c>
      <c r="C32" s="150">
        <v>181.75</v>
      </c>
      <c r="D32" s="150">
        <v>343.35</v>
      </c>
      <c r="E32" s="150">
        <v>92017.8</v>
      </c>
      <c r="F32" s="150">
        <v>43308.05</v>
      </c>
      <c r="G32" s="151">
        <f t="shared" si="0"/>
        <v>48709.75</v>
      </c>
      <c r="H32" s="191">
        <f t="shared" si="3"/>
        <v>0.88910433742731187</v>
      </c>
    </row>
    <row r="33" spans="1:8" ht="15.75">
      <c r="A33" s="149" t="s">
        <v>170</v>
      </c>
      <c r="B33" s="150">
        <v>323</v>
      </c>
      <c r="C33" s="150">
        <v>83.87</v>
      </c>
      <c r="D33" s="150">
        <v>145.85</v>
      </c>
      <c r="E33" s="150">
        <v>47109.55</v>
      </c>
      <c r="F33" s="150">
        <v>20018.55</v>
      </c>
      <c r="G33" s="151">
        <f t="shared" si="0"/>
        <v>27091.000000000004</v>
      </c>
      <c r="H33" s="191">
        <f t="shared" si="3"/>
        <v>0.73893728544535076</v>
      </c>
    </row>
    <row r="34" spans="1:8" ht="15.75">
      <c r="A34" s="149" t="s">
        <v>172</v>
      </c>
      <c r="B34" s="150">
        <v>18</v>
      </c>
      <c r="C34" s="150">
        <v>1556.41</v>
      </c>
      <c r="D34" s="150">
        <v>2379.65</v>
      </c>
      <c r="E34" s="150">
        <v>42833.7</v>
      </c>
      <c r="F34" s="150">
        <v>14818.35</v>
      </c>
      <c r="G34" s="151">
        <f t="shared" ref="G34:G65" si="4">E34-F34</f>
        <v>28015.35</v>
      </c>
      <c r="H34" s="191">
        <f t="shared" si="3"/>
        <v>0.52893681499606471</v>
      </c>
    </row>
    <row r="35" spans="1:8" ht="15.75">
      <c r="A35" s="149" t="s">
        <v>281</v>
      </c>
      <c r="B35" s="150">
        <v>124</v>
      </c>
      <c r="C35" s="150">
        <v>304.87</v>
      </c>
      <c r="D35" s="150">
        <v>420</v>
      </c>
      <c r="E35" s="150">
        <v>52080</v>
      </c>
      <c r="F35" s="150">
        <v>14276.6</v>
      </c>
      <c r="G35" s="151">
        <f t="shared" si="4"/>
        <v>37803.4</v>
      </c>
      <c r="H35" s="191">
        <f t="shared" si="3"/>
        <v>0.37765386182195254</v>
      </c>
    </row>
    <row r="36" spans="1:8" ht="15.75">
      <c r="A36" s="149" t="s">
        <v>174</v>
      </c>
      <c r="B36" s="150">
        <v>67</v>
      </c>
      <c r="C36" s="150">
        <v>1067.9000000000001</v>
      </c>
      <c r="D36" s="150">
        <v>1583.75</v>
      </c>
      <c r="E36" s="150">
        <v>106111.25</v>
      </c>
      <c r="F36" s="150">
        <v>34562.25</v>
      </c>
      <c r="G36" s="151">
        <f t="shared" si="4"/>
        <v>71549</v>
      </c>
      <c r="H36" s="191">
        <f t="shared" si="3"/>
        <v>0.48305706578708296</v>
      </c>
    </row>
    <row r="37" spans="1:8" ht="15.75">
      <c r="A37" s="149" t="s">
        <v>175</v>
      </c>
      <c r="B37" s="150">
        <v>67</v>
      </c>
      <c r="C37" s="150">
        <v>1564.92</v>
      </c>
      <c r="D37" s="150">
        <v>1446.85</v>
      </c>
      <c r="E37" s="150">
        <v>96938.95</v>
      </c>
      <c r="F37" s="150">
        <v>-7910.95</v>
      </c>
      <c r="G37" s="151">
        <f t="shared" si="4"/>
        <v>104849.9</v>
      </c>
      <c r="H37" s="191">
        <f t="shared" si="3"/>
        <v>-7.545023886527312E-2</v>
      </c>
    </row>
    <row r="38" spans="1:8" ht="15.75">
      <c r="A38" s="149" t="s">
        <v>176</v>
      </c>
      <c r="B38" s="150">
        <v>81</v>
      </c>
      <c r="C38" s="150">
        <v>564.09</v>
      </c>
      <c r="D38" s="150">
        <v>578.9</v>
      </c>
      <c r="E38" s="150">
        <v>46890.9</v>
      </c>
      <c r="F38" s="150">
        <v>1199.8</v>
      </c>
      <c r="G38" s="151">
        <f t="shared" si="4"/>
        <v>45691.1</v>
      </c>
      <c r="H38" s="191">
        <f t="shared" si="3"/>
        <v>2.6258943207758186E-2</v>
      </c>
    </row>
    <row r="39" spans="1:8" ht="15.75">
      <c r="A39" s="149" t="s">
        <v>177</v>
      </c>
      <c r="B39" s="150">
        <v>10</v>
      </c>
      <c r="C39" s="150">
        <v>2735.04</v>
      </c>
      <c r="D39" s="150">
        <v>4717.3</v>
      </c>
      <c r="E39" s="150">
        <v>47173</v>
      </c>
      <c r="F39" s="150">
        <v>19822.599999999999</v>
      </c>
      <c r="G39" s="151">
        <f t="shared" si="4"/>
        <v>27350.400000000001</v>
      </c>
      <c r="H39" s="191">
        <f t="shared" si="3"/>
        <v>0.72476453726453716</v>
      </c>
    </row>
    <row r="40" spans="1:8" ht="15.75">
      <c r="A40" s="149" t="s">
        <v>282</v>
      </c>
      <c r="B40" s="150">
        <v>22</v>
      </c>
      <c r="C40" s="150">
        <v>2298.5700000000002</v>
      </c>
      <c r="D40" s="150">
        <v>2454.0500000000002</v>
      </c>
      <c r="E40" s="150">
        <v>53989.1</v>
      </c>
      <c r="F40" s="150">
        <v>3420.5</v>
      </c>
      <c r="G40" s="151">
        <f t="shared" si="4"/>
        <v>50568.6</v>
      </c>
      <c r="H40" s="191">
        <f t="shared" si="3"/>
        <v>6.7640788948082411E-2</v>
      </c>
    </row>
    <row r="41" spans="1:8" ht="15.75">
      <c r="A41" s="149" t="s">
        <v>178</v>
      </c>
      <c r="B41" s="150">
        <v>73</v>
      </c>
      <c r="C41" s="150">
        <v>589.26</v>
      </c>
      <c r="D41" s="150">
        <v>1024.75</v>
      </c>
      <c r="E41" s="150">
        <v>74806.75</v>
      </c>
      <c r="F41" s="150">
        <v>31791.1</v>
      </c>
      <c r="G41" s="151">
        <f t="shared" si="4"/>
        <v>43015.65</v>
      </c>
      <c r="H41" s="191">
        <f t="shared" si="3"/>
        <v>0.73905892390327699</v>
      </c>
    </row>
    <row r="42" spans="1:8" ht="15.75">
      <c r="A42" s="149" t="s">
        <v>179</v>
      </c>
      <c r="B42" s="150">
        <v>76</v>
      </c>
      <c r="C42" s="150">
        <v>1243.19</v>
      </c>
      <c r="D42" s="150">
        <v>1499.05</v>
      </c>
      <c r="E42" s="150">
        <v>113927.8</v>
      </c>
      <c r="F42" s="150">
        <v>19445.150000000001</v>
      </c>
      <c r="G42" s="151">
        <f t="shared" si="4"/>
        <v>94482.65</v>
      </c>
      <c r="H42" s="191">
        <f t="shared" si="3"/>
        <v>0.2058065687192305</v>
      </c>
    </row>
    <row r="43" spans="1:8" ht="15.75">
      <c r="A43" s="149" t="s">
        <v>180</v>
      </c>
      <c r="B43" s="150">
        <v>152</v>
      </c>
      <c r="C43" s="150">
        <v>495.14</v>
      </c>
      <c r="D43" s="150">
        <v>506.5</v>
      </c>
      <c r="E43" s="150">
        <v>76988</v>
      </c>
      <c r="F43" s="150">
        <v>1726.3</v>
      </c>
      <c r="G43" s="151">
        <f t="shared" si="4"/>
        <v>75261.7</v>
      </c>
      <c r="H43" s="191">
        <f t="shared" si="3"/>
        <v>2.2937297456740946E-2</v>
      </c>
    </row>
    <row r="44" spans="1:8" ht="15.75">
      <c r="A44" s="149" t="s">
        <v>284</v>
      </c>
      <c r="B44" s="150">
        <v>35</v>
      </c>
      <c r="C44" s="150">
        <v>917.94</v>
      </c>
      <c r="D44" s="150">
        <v>1537.35</v>
      </c>
      <c r="E44" s="150">
        <v>53807.25</v>
      </c>
      <c r="F44" s="150">
        <v>21679.35</v>
      </c>
      <c r="G44" s="151">
        <f t="shared" si="4"/>
        <v>32127.9</v>
      </c>
      <c r="H44" s="191">
        <f t="shared" si="3"/>
        <v>0.67478266553369493</v>
      </c>
    </row>
    <row r="45" spans="1:8" ht="15.75">
      <c r="A45" s="149" t="s">
        <v>181</v>
      </c>
      <c r="B45" s="150">
        <v>47</v>
      </c>
      <c r="C45" s="150">
        <v>1499.22</v>
      </c>
      <c r="D45" s="150">
        <v>1693.85</v>
      </c>
      <c r="E45" s="150">
        <v>79610.95</v>
      </c>
      <c r="F45" s="150">
        <v>9147.5499999999993</v>
      </c>
      <c r="G45" s="151">
        <f t="shared" si="4"/>
        <v>70463.399999999994</v>
      </c>
      <c r="H45" s="191">
        <f t="shared" si="3"/>
        <v>0.12981987812112389</v>
      </c>
    </row>
    <row r="46" spans="1:8" ht="15.75">
      <c r="A46" s="149" t="s">
        <v>182</v>
      </c>
      <c r="B46" s="150">
        <v>735</v>
      </c>
      <c r="C46" s="150">
        <v>223.37</v>
      </c>
      <c r="D46" s="150">
        <v>440.2</v>
      </c>
      <c r="E46" s="150">
        <v>323547</v>
      </c>
      <c r="F46" s="150">
        <v>159372.65</v>
      </c>
      <c r="G46" s="151">
        <f t="shared" si="4"/>
        <v>164174.35</v>
      </c>
      <c r="H46" s="191">
        <f t="shared" si="3"/>
        <v>0.97075243483528328</v>
      </c>
    </row>
    <row r="47" spans="1:8" ht="15.75">
      <c r="A47" s="149" t="s">
        <v>183</v>
      </c>
      <c r="B47" s="150">
        <v>28</v>
      </c>
      <c r="C47" s="150">
        <v>597.6</v>
      </c>
      <c r="D47" s="150">
        <v>1688.35</v>
      </c>
      <c r="E47" s="150">
        <v>47273.8</v>
      </c>
      <c r="F47" s="150">
        <v>30541.1</v>
      </c>
      <c r="G47" s="151">
        <f t="shared" si="4"/>
        <v>16732.700000000004</v>
      </c>
      <c r="H47" s="191">
        <f t="shared" si="3"/>
        <v>1.8252344212231135</v>
      </c>
    </row>
    <row r="48" spans="1:8" ht="15.75">
      <c r="A48" s="149" t="s">
        <v>184</v>
      </c>
      <c r="B48" s="150">
        <v>283</v>
      </c>
      <c r="C48" s="150">
        <v>112.02</v>
      </c>
      <c r="D48" s="150">
        <v>193.5</v>
      </c>
      <c r="E48" s="150">
        <v>54760.5</v>
      </c>
      <c r="F48" s="150">
        <v>23057.75</v>
      </c>
      <c r="G48" s="151">
        <f t="shared" si="4"/>
        <v>31702.75</v>
      </c>
      <c r="H48" s="191">
        <f t="shared" si="3"/>
        <v>0.72731072225595572</v>
      </c>
    </row>
    <row r="49" spans="1:8" ht="15.75">
      <c r="A49" s="149" t="s">
        <v>185</v>
      </c>
      <c r="B49" s="150">
        <v>55</v>
      </c>
      <c r="C49" s="150">
        <v>1723.54</v>
      </c>
      <c r="D49" s="150">
        <v>1824</v>
      </c>
      <c r="E49" s="150">
        <v>100320</v>
      </c>
      <c r="F49" s="150">
        <v>5525.05</v>
      </c>
      <c r="G49" s="151">
        <f t="shared" si="4"/>
        <v>94794.95</v>
      </c>
      <c r="H49" s="191">
        <f t="shared" si="3"/>
        <v>5.8284222946475527E-2</v>
      </c>
    </row>
    <row r="50" spans="1:8" ht="15.75">
      <c r="A50" s="149" t="s">
        <v>186</v>
      </c>
      <c r="B50" s="150">
        <v>67</v>
      </c>
      <c r="C50" s="150">
        <v>676.11</v>
      </c>
      <c r="D50" s="150">
        <v>1577.1</v>
      </c>
      <c r="E50" s="150">
        <v>105665.7</v>
      </c>
      <c r="F50" s="150">
        <v>60366.3</v>
      </c>
      <c r="G50" s="151">
        <f t="shared" si="4"/>
        <v>45299.399999999994</v>
      </c>
      <c r="H50" s="191">
        <f t="shared" si="3"/>
        <v>1.3326070543980717</v>
      </c>
    </row>
    <row r="51" spans="1:8" ht="15.75">
      <c r="A51" s="149" t="s">
        <v>187</v>
      </c>
      <c r="B51" s="150">
        <v>20</v>
      </c>
      <c r="C51" s="150">
        <v>2295.38</v>
      </c>
      <c r="D51" s="150">
        <v>2453.25</v>
      </c>
      <c r="E51" s="150">
        <v>49065</v>
      </c>
      <c r="F51" s="150">
        <v>3157.4</v>
      </c>
      <c r="G51" s="151">
        <f t="shared" si="4"/>
        <v>45907.6</v>
      </c>
      <c r="H51" s="191">
        <f t="shared" si="3"/>
        <v>6.8777283064242092E-2</v>
      </c>
    </row>
    <row r="52" spans="1:8" ht="15.75">
      <c r="A52" s="149" t="s">
        <v>188</v>
      </c>
      <c r="B52" s="150">
        <v>62</v>
      </c>
      <c r="C52" s="150">
        <v>1053.22</v>
      </c>
      <c r="D52" s="150">
        <v>3377.8</v>
      </c>
      <c r="E52" s="150">
        <v>209423.6</v>
      </c>
      <c r="F52" s="150">
        <v>144124.25</v>
      </c>
      <c r="G52" s="151">
        <f t="shared" si="4"/>
        <v>65299.350000000006</v>
      </c>
      <c r="H52" s="191">
        <f t="shared" ref="H52:H83" si="5">F52/G52</f>
        <v>2.2071314645551601</v>
      </c>
    </row>
    <row r="53" spans="1:8" ht="15.75">
      <c r="A53" s="149" t="s">
        <v>286</v>
      </c>
      <c r="B53" s="150">
        <v>17</v>
      </c>
      <c r="C53" s="150">
        <v>4810.6400000000003</v>
      </c>
      <c r="D53" s="150">
        <v>5485.85</v>
      </c>
      <c r="E53" s="150">
        <v>93259.45</v>
      </c>
      <c r="F53" s="150">
        <v>11478.62</v>
      </c>
      <c r="G53" s="151">
        <f t="shared" si="4"/>
        <v>81780.83</v>
      </c>
      <c r="H53" s="191">
        <f t="shared" si="5"/>
        <v>0.14035832113711735</v>
      </c>
    </row>
    <row r="54" spans="1:8" ht="15.75">
      <c r="A54" s="149" t="s">
        <v>189</v>
      </c>
      <c r="B54" s="150">
        <v>20</v>
      </c>
      <c r="C54" s="150">
        <v>1002.87</v>
      </c>
      <c r="D54" s="150">
        <v>1664.25</v>
      </c>
      <c r="E54" s="150">
        <v>33285</v>
      </c>
      <c r="F54" s="150">
        <v>13227.7</v>
      </c>
      <c r="G54" s="151">
        <f t="shared" si="4"/>
        <v>20057.3</v>
      </c>
      <c r="H54" s="191">
        <f t="shared" si="5"/>
        <v>0.65949554526282206</v>
      </c>
    </row>
    <row r="55" spans="1:8" ht="15.75">
      <c r="A55" s="149" t="s">
        <v>191</v>
      </c>
      <c r="B55" s="150">
        <v>87</v>
      </c>
      <c r="C55" s="150">
        <v>487.39</v>
      </c>
      <c r="D55" s="150">
        <v>531</v>
      </c>
      <c r="E55" s="150">
        <v>46197</v>
      </c>
      <c r="F55" s="150">
        <v>3793.65</v>
      </c>
      <c r="G55" s="151">
        <f t="shared" si="4"/>
        <v>42403.35</v>
      </c>
      <c r="H55" s="191">
        <f t="shared" si="5"/>
        <v>8.9465808715584974E-2</v>
      </c>
    </row>
    <row r="56" spans="1:8" ht="15.75">
      <c r="A56" s="149" t="s">
        <v>192</v>
      </c>
      <c r="B56" s="150">
        <v>81</v>
      </c>
      <c r="C56" s="150">
        <v>712.65</v>
      </c>
      <c r="D56" s="150">
        <v>887.55</v>
      </c>
      <c r="E56" s="150">
        <v>71891.55</v>
      </c>
      <c r="F56" s="150">
        <v>14166.5</v>
      </c>
      <c r="G56" s="151">
        <f t="shared" si="4"/>
        <v>57725.05</v>
      </c>
      <c r="H56" s="191">
        <f t="shared" si="5"/>
        <v>0.24541338638944443</v>
      </c>
    </row>
    <row r="57" spans="1:8" ht="15.75">
      <c r="A57" s="149" t="s">
        <v>265</v>
      </c>
      <c r="B57" s="150">
        <v>74</v>
      </c>
      <c r="C57" s="150">
        <v>338.54</v>
      </c>
      <c r="D57" s="150">
        <v>325.5</v>
      </c>
      <c r="E57" s="150">
        <v>24087</v>
      </c>
      <c r="F57" s="150">
        <v>-964.77</v>
      </c>
      <c r="G57" s="151">
        <f t="shared" si="4"/>
        <v>25051.77</v>
      </c>
      <c r="H57" s="191">
        <f t="shared" si="5"/>
        <v>-3.8511051314937025E-2</v>
      </c>
    </row>
    <row r="58" spans="1:8" ht="15.75">
      <c r="A58" s="149" t="s">
        <v>194</v>
      </c>
      <c r="B58" s="150">
        <v>255</v>
      </c>
      <c r="C58" s="150">
        <v>99.4</v>
      </c>
      <c r="D58" s="150">
        <v>115.85</v>
      </c>
      <c r="E58" s="150">
        <v>29541.75</v>
      </c>
      <c r="F58" s="150">
        <v>4194.25</v>
      </c>
      <c r="G58" s="151">
        <f t="shared" si="4"/>
        <v>25347.5</v>
      </c>
      <c r="H58" s="191">
        <f t="shared" si="5"/>
        <v>0.16546996745241149</v>
      </c>
    </row>
    <row r="59" spans="1:8" ht="15.75">
      <c r="A59" s="149" t="s">
        <v>195</v>
      </c>
      <c r="B59" s="150">
        <v>25</v>
      </c>
      <c r="C59" s="150">
        <v>2212.61</v>
      </c>
      <c r="D59" s="150">
        <v>2561.25</v>
      </c>
      <c r="E59" s="150">
        <v>64031.25</v>
      </c>
      <c r="F59" s="150">
        <v>8716.1</v>
      </c>
      <c r="G59" s="151">
        <f t="shared" si="4"/>
        <v>55315.15</v>
      </c>
      <c r="H59" s="191">
        <f t="shared" si="5"/>
        <v>0.15757165984364138</v>
      </c>
    </row>
    <row r="60" spans="1:8" ht="15.75">
      <c r="A60" s="149" t="s">
        <v>266</v>
      </c>
      <c r="B60" s="150">
        <v>177</v>
      </c>
      <c r="C60" s="150">
        <v>127.13</v>
      </c>
      <c r="D60" s="150">
        <v>128.9</v>
      </c>
      <c r="E60" s="150">
        <v>22815.3</v>
      </c>
      <c r="F60" s="150">
        <v>312.81</v>
      </c>
      <c r="G60" s="151">
        <f t="shared" si="4"/>
        <v>22502.489999999998</v>
      </c>
      <c r="H60" s="191">
        <f t="shared" si="5"/>
        <v>1.3901128275137552E-2</v>
      </c>
    </row>
    <row r="61" spans="1:8" ht="15.75">
      <c r="A61" s="149" t="s">
        <v>198</v>
      </c>
      <c r="B61" s="150">
        <v>79</v>
      </c>
      <c r="C61" s="150">
        <v>499.72</v>
      </c>
      <c r="D61" s="150">
        <v>1285.1500000000001</v>
      </c>
      <c r="E61" s="150">
        <v>101526.85</v>
      </c>
      <c r="F61" s="150">
        <v>62049.2</v>
      </c>
      <c r="G61" s="151">
        <f t="shared" si="4"/>
        <v>39477.650000000009</v>
      </c>
      <c r="H61" s="191">
        <f t="shared" si="5"/>
        <v>1.5717551576651594</v>
      </c>
    </row>
    <row r="62" spans="1:8" ht="15.75">
      <c r="A62" s="149" t="s">
        <v>199</v>
      </c>
      <c r="B62" s="150">
        <v>27</v>
      </c>
      <c r="C62" s="150">
        <v>3952.46</v>
      </c>
      <c r="D62" s="150">
        <v>6564.1</v>
      </c>
      <c r="E62" s="150">
        <v>177230.7</v>
      </c>
      <c r="F62" s="150">
        <v>70514.3</v>
      </c>
      <c r="G62" s="151">
        <f t="shared" si="4"/>
        <v>106716.40000000001</v>
      </c>
      <c r="H62" s="191">
        <f t="shared" si="5"/>
        <v>0.66076348152673814</v>
      </c>
    </row>
    <row r="63" spans="1:8" ht="15.75">
      <c r="A63" s="149" t="s">
        <v>200</v>
      </c>
      <c r="B63" s="150">
        <v>300</v>
      </c>
      <c r="C63" s="150">
        <v>82.33</v>
      </c>
      <c r="D63" s="150">
        <v>257.25</v>
      </c>
      <c r="E63" s="150">
        <v>77175</v>
      </c>
      <c r="F63" s="150">
        <v>52475</v>
      </c>
      <c r="G63" s="151">
        <f t="shared" si="4"/>
        <v>24700</v>
      </c>
      <c r="H63" s="191">
        <f t="shared" si="5"/>
        <v>2.1244939271255059</v>
      </c>
    </row>
    <row r="64" spans="1:8" ht="15.75">
      <c r="A64" s="149" t="s">
        <v>201</v>
      </c>
      <c r="B64" s="150">
        <v>10</v>
      </c>
      <c r="C64" s="150">
        <v>4106.17</v>
      </c>
      <c r="D64" s="150">
        <v>8515</v>
      </c>
      <c r="E64" s="150">
        <v>85150</v>
      </c>
      <c r="F64" s="150">
        <v>44088.35</v>
      </c>
      <c r="G64" s="151">
        <f t="shared" si="4"/>
        <v>41061.65</v>
      </c>
      <c r="H64" s="191">
        <f t="shared" si="5"/>
        <v>1.073711114872393</v>
      </c>
    </row>
    <row r="65" spans="1:8" ht="15.75">
      <c r="A65" s="149" t="s">
        <v>202</v>
      </c>
      <c r="B65" s="150">
        <v>22</v>
      </c>
      <c r="C65" s="150">
        <v>885.65</v>
      </c>
      <c r="D65" s="150">
        <v>2478.9</v>
      </c>
      <c r="E65" s="150">
        <v>54535.8</v>
      </c>
      <c r="F65" s="150">
        <v>35051.599999999999</v>
      </c>
      <c r="G65" s="151">
        <f t="shared" si="4"/>
        <v>19484.200000000004</v>
      </c>
      <c r="H65" s="191">
        <f t="shared" si="5"/>
        <v>1.7989755802137111</v>
      </c>
    </row>
    <row r="66" spans="1:8" ht="15.75">
      <c r="A66" s="149" t="s">
        <v>203</v>
      </c>
      <c r="B66" s="150">
        <v>30</v>
      </c>
      <c r="C66" s="150">
        <v>2499.15</v>
      </c>
      <c r="D66" s="150">
        <v>2515.35</v>
      </c>
      <c r="E66" s="150">
        <v>75460.5</v>
      </c>
      <c r="F66" s="150">
        <v>486.15</v>
      </c>
      <c r="G66" s="151">
        <f t="shared" ref="G66:G97" si="6">E66-F66</f>
        <v>74974.350000000006</v>
      </c>
      <c r="H66" s="191">
        <f t="shared" si="5"/>
        <v>6.4842176024200266E-3</v>
      </c>
    </row>
    <row r="67" spans="1:8" ht="15.75">
      <c r="A67" s="149" t="s">
        <v>204</v>
      </c>
      <c r="B67" s="150">
        <v>36</v>
      </c>
      <c r="C67" s="150">
        <v>488.83</v>
      </c>
      <c r="D67" s="150">
        <v>1206</v>
      </c>
      <c r="E67" s="150">
        <v>43416</v>
      </c>
      <c r="F67" s="150">
        <v>25818.3</v>
      </c>
      <c r="G67" s="151">
        <f t="shared" si="6"/>
        <v>17597.7</v>
      </c>
      <c r="H67" s="191">
        <f t="shared" si="5"/>
        <v>1.4671405922364853</v>
      </c>
    </row>
    <row r="68" spans="1:8" ht="15.75">
      <c r="A68" s="149" t="s">
        <v>307</v>
      </c>
      <c r="B68" s="150">
        <v>20</v>
      </c>
      <c r="C68" s="150">
        <v>1000</v>
      </c>
      <c r="D68" s="150">
        <v>1081.01</v>
      </c>
      <c r="E68" s="150">
        <v>21620.2</v>
      </c>
      <c r="F68" s="150">
        <v>0</v>
      </c>
      <c r="G68" s="151">
        <f t="shared" si="6"/>
        <v>21620.2</v>
      </c>
      <c r="H68" s="191">
        <f t="shared" si="5"/>
        <v>0</v>
      </c>
    </row>
    <row r="69" spans="1:8" ht="15.75">
      <c r="A69" s="149" t="s">
        <v>299</v>
      </c>
      <c r="B69" s="150">
        <v>49</v>
      </c>
      <c r="C69" s="150">
        <v>952.78</v>
      </c>
      <c r="D69" s="150">
        <v>838.85</v>
      </c>
      <c r="E69" s="150">
        <v>41103.65</v>
      </c>
      <c r="F69" s="150">
        <v>-5582.5</v>
      </c>
      <c r="G69" s="151">
        <f t="shared" si="6"/>
        <v>46686.15</v>
      </c>
      <c r="H69" s="191">
        <f t="shared" si="5"/>
        <v>-0.11957507740518333</v>
      </c>
    </row>
    <row r="70" spans="1:8" ht="15.75">
      <c r="A70" s="149" t="s">
        <v>206</v>
      </c>
      <c r="B70" s="150">
        <v>77</v>
      </c>
      <c r="C70" s="150">
        <v>1187.58</v>
      </c>
      <c r="D70" s="150">
        <v>1435.45</v>
      </c>
      <c r="E70" s="150">
        <v>110529.65</v>
      </c>
      <c r="F70" s="150">
        <v>19086.150000000001</v>
      </c>
      <c r="G70" s="151">
        <f t="shared" si="6"/>
        <v>91443.5</v>
      </c>
      <c r="H70" s="191">
        <f t="shared" si="5"/>
        <v>0.20872068545057879</v>
      </c>
    </row>
    <row r="71" spans="1:8" ht="15.75">
      <c r="A71" s="149" t="s">
        <v>207</v>
      </c>
      <c r="B71" s="150">
        <v>72</v>
      </c>
      <c r="C71" s="150">
        <v>355.35</v>
      </c>
      <c r="D71" s="150">
        <v>650.4</v>
      </c>
      <c r="E71" s="150">
        <v>46828.800000000003</v>
      </c>
      <c r="F71" s="150">
        <v>21243.55</v>
      </c>
      <c r="G71" s="151">
        <f t="shared" si="6"/>
        <v>25585.250000000004</v>
      </c>
      <c r="H71" s="191">
        <f t="shared" si="5"/>
        <v>0.83030457001592695</v>
      </c>
    </row>
    <row r="72" spans="1:8" ht="15.75">
      <c r="A72" s="149" t="s">
        <v>305</v>
      </c>
      <c r="B72" s="150">
        <v>10</v>
      </c>
      <c r="C72" s="150">
        <v>5284</v>
      </c>
      <c r="D72" s="150">
        <v>6321</v>
      </c>
      <c r="E72" s="150">
        <v>63210</v>
      </c>
      <c r="F72" s="150">
        <v>10370</v>
      </c>
      <c r="G72" s="151">
        <f t="shared" si="6"/>
        <v>52840</v>
      </c>
      <c r="H72" s="191">
        <f t="shared" si="5"/>
        <v>0.19625283875851626</v>
      </c>
    </row>
    <row r="73" spans="1:8" ht="15.75">
      <c r="A73" s="149" t="s">
        <v>306</v>
      </c>
      <c r="B73" s="150">
        <v>5</v>
      </c>
      <c r="C73" s="150">
        <v>4802</v>
      </c>
      <c r="D73" s="150">
        <v>6298.97</v>
      </c>
      <c r="E73" s="150">
        <v>31494.85</v>
      </c>
      <c r="F73" s="150">
        <v>7484.85</v>
      </c>
      <c r="G73" s="151">
        <f t="shared" si="6"/>
        <v>24010</v>
      </c>
      <c r="H73" s="191">
        <f t="shared" si="5"/>
        <v>0.31173885880882968</v>
      </c>
    </row>
    <row r="74" spans="1:8" ht="15.75">
      <c r="A74" s="149" t="s">
        <v>210</v>
      </c>
      <c r="B74" s="150">
        <v>10</v>
      </c>
      <c r="C74" s="150">
        <v>5002.45</v>
      </c>
      <c r="D74" s="150">
        <v>6307</v>
      </c>
      <c r="E74" s="150">
        <v>63070</v>
      </c>
      <c r="F74" s="150">
        <v>13045.5</v>
      </c>
      <c r="G74" s="151">
        <f t="shared" si="6"/>
        <v>50024.5</v>
      </c>
      <c r="H74" s="191">
        <f t="shared" si="5"/>
        <v>0.26078221671381024</v>
      </c>
    </row>
    <row r="75" spans="1:8" ht="15.75">
      <c r="A75" s="149" t="s">
        <v>211</v>
      </c>
      <c r="B75" s="150">
        <v>35</v>
      </c>
      <c r="C75" s="150">
        <v>984.23</v>
      </c>
      <c r="D75" s="150">
        <v>4162.3</v>
      </c>
      <c r="E75" s="150">
        <v>145680.5</v>
      </c>
      <c r="F75" s="150">
        <v>111232.45</v>
      </c>
      <c r="G75" s="151">
        <f t="shared" si="6"/>
        <v>34448.050000000003</v>
      </c>
      <c r="H75" s="191">
        <f t="shared" si="5"/>
        <v>3.2289911910833848</v>
      </c>
    </row>
    <row r="76" spans="1:8" ht="15.75">
      <c r="A76" s="149" t="s">
        <v>290</v>
      </c>
      <c r="B76" s="150">
        <v>48</v>
      </c>
      <c r="C76" s="150">
        <v>575.6</v>
      </c>
      <c r="D76" s="150">
        <v>630.35</v>
      </c>
      <c r="E76" s="150">
        <v>30256.799999999999</v>
      </c>
      <c r="F76" s="150">
        <v>2627.85</v>
      </c>
      <c r="G76" s="151">
        <f t="shared" si="6"/>
        <v>27628.95</v>
      </c>
      <c r="H76" s="191">
        <f t="shared" si="5"/>
        <v>9.5112192102848631E-2</v>
      </c>
    </row>
    <row r="77" spans="1:8" ht="15.75">
      <c r="A77" s="149" t="s">
        <v>291</v>
      </c>
      <c r="B77" s="150">
        <v>152</v>
      </c>
      <c r="C77" s="150">
        <v>547.91999999999996</v>
      </c>
      <c r="D77" s="150">
        <v>573.79999999999995</v>
      </c>
      <c r="E77" s="150">
        <v>87217.600000000006</v>
      </c>
      <c r="F77" s="150">
        <v>3933.8</v>
      </c>
      <c r="G77" s="151">
        <f t="shared" si="6"/>
        <v>83283.8</v>
      </c>
      <c r="H77" s="191">
        <f t="shared" si="5"/>
        <v>4.7233675696834197E-2</v>
      </c>
    </row>
    <row r="78" spans="1:8" ht="15.75">
      <c r="A78" s="149" t="s">
        <v>292</v>
      </c>
      <c r="B78" s="150">
        <v>32</v>
      </c>
      <c r="C78" s="150">
        <v>752.33</v>
      </c>
      <c r="D78" s="150">
        <v>1228.0999999999999</v>
      </c>
      <c r="E78" s="150">
        <v>39299.199999999997</v>
      </c>
      <c r="F78" s="150">
        <v>15224.7</v>
      </c>
      <c r="G78" s="151">
        <f t="shared" si="6"/>
        <v>24074.499999999996</v>
      </c>
      <c r="H78" s="191">
        <f t="shared" si="5"/>
        <v>0.63239942677937244</v>
      </c>
    </row>
    <row r="79" spans="1:8" ht="15.75">
      <c r="A79" s="149" t="s">
        <v>212</v>
      </c>
      <c r="B79" s="150">
        <v>152</v>
      </c>
      <c r="C79" s="150">
        <v>574.22</v>
      </c>
      <c r="D79" s="150">
        <v>1417.2</v>
      </c>
      <c r="E79" s="150">
        <v>215414.39999999999</v>
      </c>
      <c r="F79" s="150">
        <v>128132.25</v>
      </c>
      <c r="G79" s="151">
        <f t="shared" si="6"/>
        <v>87282.15</v>
      </c>
      <c r="H79" s="191">
        <f t="shared" si="5"/>
        <v>1.4680235305844322</v>
      </c>
    </row>
    <row r="80" spans="1:8" ht="15.75">
      <c r="A80" s="149" t="s">
        <v>293</v>
      </c>
      <c r="B80" s="150">
        <v>69</v>
      </c>
      <c r="C80" s="150">
        <v>373.18</v>
      </c>
      <c r="D80" s="150">
        <v>389.5</v>
      </c>
      <c r="E80" s="150">
        <v>26875.5</v>
      </c>
      <c r="F80" s="150">
        <v>1126.2</v>
      </c>
      <c r="G80" s="151">
        <f t="shared" si="6"/>
        <v>25749.3</v>
      </c>
      <c r="H80" s="191">
        <f t="shared" si="5"/>
        <v>4.3737111300113013E-2</v>
      </c>
    </row>
    <row r="81" spans="1:8" ht="15.75">
      <c r="A81" s="149" t="s">
        <v>308</v>
      </c>
      <c r="B81" s="150">
        <v>119</v>
      </c>
      <c r="C81" s="150">
        <v>507.17</v>
      </c>
      <c r="D81" s="150">
        <v>652.6</v>
      </c>
      <c r="E81" s="150">
        <v>77659.399999999994</v>
      </c>
      <c r="F81" s="150">
        <v>17306.45</v>
      </c>
      <c r="G81" s="151">
        <f t="shared" si="6"/>
        <v>60352.95</v>
      </c>
      <c r="H81" s="191">
        <f t="shared" si="5"/>
        <v>0.28675400291120817</v>
      </c>
    </row>
    <row r="82" spans="1:8" ht="15.75">
      <c r="A82" s="149" t="s">
        <v>213</v>
      </c>
      <c r="B82" s="150">
        <v>65</v>
      </c>
      <c r="C82" s="150">
        <v>513.66</v>
      </c>
      <c r="D82" s="150">
        <v>744.05</v>
      </c>
      <c r="E82" s="150">
        <v>48363.25</v>
      </c>
      <c r="F82" s="150">
        <v>14975.15</v>
      </c>
      <c r="G82" s="151">
        <f t="shared" si="6"/>
        <v>33388.1</v>
      </c>
      <c r="H82" s="191">
        <f t="shared" si="5"/>
        <v>0.44851758560684796</v>
      </c>
    </row>
    <row r="83" spans="1:8" ht="15.75">
      <c r="A83" s="149" t="s">
        <v>214</v>
      </c>
      <c r="B83" s="150">
        <v>57</v>
      </c>
      <c r="C83" s="150">
        <v>750.26</v>
      </c>
      <c r="D83" s="150">
        <v>1162.75</v>
      </c>
      <c r="E83" s="150">
        <v>66276.75</v>
      </c>
      <c r="F83" s="150">
        <v>23512.15</v>
      </c>
      <c r="G83" s="151">
        <f t="shared" si="6"/>
        <v>42764.6</v>
      </c>
      <c r="H83" s="191">
        <f t="shared" si="5"/>
        <v>0.54980404353133205</v>
      </c>
    </row>
    <row r="84" spans="1:8" ht="15.75">
      <c r="A84" s="149" t="s">
        <v>267</v>
      </c>
      <c r="B84" s="150">
        <v>37</v>
      </c>
      <c r="C84" s="150">
        <v>632.20000000000005</v>
      </c>
      <c r="D84" s="150">
        <v>878.8</v>
      </c>
      <c r="E84" s="150">
        <v>32515.599999999999</v>
      </c>
      <c r="F84" s="150">
        <v>9124.2000000000007</v>
      </c>
      <c r="G84" s="151">
        <f t="shared" si="6"/>
        <v>23391.399999999998</v>
      </c>
      <c r="H84" s="191">
        <f t="shared" ref="H84:H115" si="7">F84/G84</f>
        <v>0.39006643467257202</v>
      </c>
    </row>
    <row r="85" spans="1:8" ht="15.75">
      <c r="A85" s="149" t="s">
        <v>302</v>
      </c>
      <c r="B85" s="150">
        <v>775</v>
      </c>
      <c r="C85" s="150">
        <v>99.29</v>
      </c>
      <c r="D85" s="150">
        <v>586.75</v>
      </c>
      <c r="E85" s="150">
        <v>454731.25</v>
      </c>
      <c r="F85" s="150">
        <v>377780.25</v>
      </c>
      <c r="G85" s="151">
        <f t="shared" si="6"/>
        <v>76951</v>
      </c>
      <c r="H85" s="191">
        <f t="shared" si="7"/>
        <v>4.9093611519018596</v>
      </c>
    </row>
    <row r="86" spans="1:8" ht="15.75">
      <c r="A86" s="149" t="s">
        <v>215</v>
      </c>
      <c r="B86" s="150">
        <v>1050</v>
      </c>
      <c r="C86" s="150">
        <v>40.479999999999997</v>
      </c>
      <c r="D86" s="150">
        <v>138.69999999999999</v>
      </c>
      <c r="E86" s="150">
        <v>145635</v>
      </c>
      <c r="F86" s="150">
        <v>103134.75</v>
      </c>
      <c r="G86" s="151">
        <f t="shared" si="6"/>
        <v>42500.25</v>
      </c>
      <c r="H86" s="191">
        <f t="shared" si="7"/>
        <v>2.426685725378086</v>
      </c>
    </row>
    <row r="87" spans="1:8" ht="15.75">
      <c r="A87" s="149" t="s">
        <v>216</v>
      </c>
      <c r="B87" s="150">
        <v>27</v>
      </c>
      <c r="C87" s="150">
        <v>3410.37</v>
      </c>
      <c r="D87" s="150">
        <v>3966.35</v>
      </c>
      <c r="E87" s="150">
        <v>107091.45</v>
      </c>
      <c r="F87" s="150">
        <v>15011.4</v>
      </c>
      <c r="G87" s="151">
        <f t="shared" si="6"/>
        <v>92080.05</v>
      </c>
      <c r="H87" s="191">
        <f t="shared" si="7"/>
        <v>0.1630255413631943</v>
      </c>
    </row>
    <row r="88" spans="1:8" ht="15.75">
      <c r="A88" s="149" t="s">
        <v>217</v>
      </c>
      <c r="B88" s="150">
        <v>24</v>
      </c>
      <c r="C88" s="150">
        <v>2584.4</v>
      </c>
      <c r="D88" s="150">
        <v>3613.75</v>
      </c>
      <c r="E88" s="150">
        <v>86730</v>
      </c>
      <c r="F88" s="150">
        <v>24704.400000000001</v>
      </c>
      <c r="G88" s="151">
        <f t="shared" si="6"/>
        <v>62025.599999999999</v>
      </c>
      <c r="H88" s="191">
        <f t="shared" si="7"/>
        <v>0.3982936078006501</v>
      </c>
    </row>
    <row r="89" spans="1:8" ht="15.75">
      <c r="A89" s="149" t="s">
        <v>220</v>
      </c>
      <c r="B89" s="150">
        <v>61</v>
      </c>
      <c r="C89" s="150">
        <v>401.11</v>
      </c>
      <c r="D89" s="150">
        <v>692.6</v>
      </c>
      <c r="E89" s="150">
        <v>42248.6</v>
      </c>
      <c r="F89" s="150">
        <v>17780.849999999999</v>
      </c>
      <c r="G89" s="151">
        <f t="shared" si="6"/>
        <v>24467.75</v>
      </c>
      <c r="H89" s="191">
        <f t="shared" si="7"/>
        <v>0.72670556140225395</v>
      </c>
    </row>
    <row r="90" spans="1:8" ht="15.75">
      <c r="A90" s="149" t="s">
        <v>221</v>
      </c>
      <c r="B90" s="150">
        <v>36</v>
      </c>
      <c r="C90" s="150">
        <v>120.1</v>
      </c>
      <c r="D90" s="150">
        <v>1285.75</v>
      </c>
      <c r="E90" s="150">
        <v>46287</v>
      </c>
      <c r="F90" s="150">
        <v>41963.35</v>
      </c>
      <c r="G90" s="151">
        <f t="shared" si="6"/>
        <v>4323.6500000000015</v>
      </c>
      <c r="H90" s="191">
        <f t="shared" si="7"/>
        <v>9.7055381448544598</v>
      </c>
    </row>
    <row r="91" spans="1:8" ht="15.75">
      <c r="A91" s="149" t="s">
        <v>300</v>
      </c>
      <c r="B91" s="150">
        <v>525</v>
      </c>
      <c r="C91" s="150">
        <v>38.97</v>
      </c>
      <c r="D91" s="150">
        <v>23.7</v>
      </c>
      <c r="E91" s="150">
        <v>12442.5</v>
      </c>
      <c r="F91" s="150">
        <v>-8015</v>
      </c>
      <c r="G91" s="151">
        <f t="shared" si="6"/>
        <v>20457.5</v>
      </c>
      <c r="H91" s="191">
        <f t="shared" si="7"/>
        <v>-0.39178785286569717</v>
      </c>
    </row>
    <row r="92" spans="1:8" ht="15.75">
      <c r="A92" s="149" t="s">
        <v>309</v>
      </c>
      <c r="B92" s="150">
        <v>43</v>
      </c>
      <c r="C92" s="150">
        <v>1818.46</v>
      </c>
      <c r="D92" s="150">
        <v>1600.8</v>
      </c>
      <c r="E92" s="150">
        <v>68834.399999999994</v>
      </c>
      <c r="F92" s="150">
        <v>-9359.5499999999993</v>
      </c>
      <c r="G92" s="151">
        <f t="shared" si="6"/>
        <v>78193.95</v>
      </c>
      <c r="H92" s="191">
        <f t="shared" si="7"/>
        <v>-0.11969660056820253</v>
      </c>
    </row>
    <row r="93" spans="1:8" ht="16.5">
      <c r="A93" s="149"/>
      <c r="B93" s="150"/>
      <c r="C93" s="150"/>
      <c r="D93" s="150"/>
      <c r="E93" s="150"/>
      <c r="F93" s="150"/>
      <c r="G93" s="151">
        <f t="shared" si="6"/>
        <v>0</v>
      </c>
      <c r="H93" s="191"/>
    </row>
    <row r="94" spans="1:8" ht="16.5">
      <c r="A94" s="149"/>
      <c r="B94" s="150"/>
      <c r="C94" s="150"/>
      <c r="D94" s="150"/>
      <c r="E94" s="150"/>
      <c r="F94" s="150"/>
      <c r="G94" s="151">
        <f t="shared" si="6"/>
        <v>0</v>
      </c>
      <c r="H94" s="191"/>
    </row>
    <row r="95" spans="1:8" ht="16.5">
      <c r="A95" s="149"/>
      <c r="B95" s="150"/>
      <c r="C95" s="150"/>
      <c r="D95" s="150"/>
      <c r="E95" s="150"/>
      <c r="F95" s="150"/>
      <c r="G95" s="151">
        <f t="shared" ref="G95:G97" si="8">E95-F95</f>
        <v>0</v>
      </c>
      <c r="H95" s="191"/>
    </row>
    <row r="96" spans="1:8" ht="16.5">
      <c r="A96" s="149"/>
      <c r="B96" s="150"/>
      <c r="C96" s="150"/>
      <c r="D96" s="150"/>
      <c r="E96" s="150"/>
      <c r="F96" s="150"/>
      <c r="G96" s="151">
        <f t="shared" si="8"/>
        <v>0</v>
      </c>
      <c r="H96" s="191"/>
    </row>
    <row r="97" spans="1:8" ht="16.5">
      <c r="A97" s="149"/>
      <c r="B97" s="150"/>
      <c r="C97" s="150"/>
      <c r="D97" s="150"/>
      <c r="E97" s="150"/>
      <c r="F97" s="150"/>
      <c r="G97" s="151">
        <f t="shared" si="8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9738</v>
      </c>
      <c r="C104" s="45"/>
      <c r="D104" s="45"/>
      <c r="E104" s="45">
        <f>SUM(E2:E103)</f>
        <v>6893075.5100000007</v>
      </c>
      <c r="F104" s="45">
        <f>SUM(F2:F103)</f>
        <v>2745177.2600000012</v>
      </c>
      <c r="G104" s="45">
        <f>SUM(G2:G103)</f>
        <v>4147898.25</v>
      </c>
      <c r="H104" s="176">
        <f>F104/G104</f>
        <v>0.66182367419451549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C401-4B56-45AA-AF32-21007DD2499D}">
  <dimension ref="A1:I18"/>
  <sheetViews>
    <sheetView workbookViewId="0">
      <selection activeCell="H2" sqref="H2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98.51</v>
      </c>
      <c r="E2">
        <v>68.607799999999997</v>
      </c>
      <c r="F2" s="188">
        <v>279986.10960000003</v>
      </c>
      <c r="G2" s="188">
        <v>402015.9607</v>
      </c>
      <c r="H2" s="188">
        <v>122029.8511</v>
      </c>
      <c r="I2" s="192">
        <f>H2/F2</f>
        <v>0.43584251831041548</v>
      </c>
    </row>
    <row r="3" spans="1:9">
      <c r="A3" s="168" t="s">
        <v>236</v>
      </c>
      <c r="B3" t="s">
        <v>237</v>
      </c>
      <c r="C3" s="188">
        <v>14235.332</v>
      </c>
      <c r="D3">
        <v>97.15</v>
      </c>
      <c r="E3">
        <v>47.766100000000002</v>
      </c>
      <c r="F3" s="188">
        <v>679966.92570000002</v>
      </c>
      <c r="G3" s="188">
        <v>1382962.5038000001</v>
      </c>
      <c r="H3" s="188">
        <v>702995.57810000004</v>
      </c>
      <c r="I3" s="192">
        <f t="shared" ref="I3:I18" si="0">H3/F3</f>
        <v>1.0338673125553759</v>
      </c>
    </row>
    <row r="4" spans="1:9">
      <c r="A4" s="168" t="s">
        <v>238</v>
      </c>
      <c r="B4" t="s">
        <v>237</v>
      </c>
      <c r="C4" s="188">
        <v>16973.846000000001</v>
      </c>
      <c r="D4">
        <v>35.4</v>
      </c>
      <c r="E4">
        <v>27.982800000000001</v>
      </c>
      <c r="F4" s="188">
        <v>474976.27490000002</v>
      </c>
      <c r="G4" s="188">
        <v>600874.14839999995</v>
      </c>
      <c r="H4" s="188">
        <v>125897.8735</v>
      </c>
      <c r="I4" s="192">
        <f t="shared" si="0"/>
        <v>0.26506139391174038</v>
      </c>
    </row>
    <row r="5" spans="1:9">
      <c r="A5" s="168" t="s">
        <v>303</v>
      </c>
      <c r="B5" t="s">
        <v>241</v>
      </c>
      <c r="C5" s="188">
        <v>1857.5519999999999</v>
      </c>
      <c r="D5">
        <v>674.11030000000005</v>
      </c>
      <c r="E5">
        <v>366.02140000000003</v>
      </c>
      <c r="F5" s="188">
        <v>679903.69869999995</v>
      </c>
      <c r="G5" s="188">
        <v>1252194.936</v>
      </c>
      <c r="H5" s="188">
        <v>572291.23730000004</v>
      </c>
      <c r="I5" s="192">
        <f t="shared" si="0"/>
        <v>0.84172396531191285</v>
      </c>
    </row>
    <row r="6" spans="1:9">
      <c r="A6" s="168" t="s">
        <v>242</v>
      </c>
      <c r="B6" t="s">
        <v>237</v>
      </c>
      <c r="C6" s="188">
        <v>4306.576</v>
      </c>
      <c r="D6">
        <v>129.59</v>
      </c>
      <c r="E6">
        <v>44.3917</v>
      </c>
      <c r="F6" s="188">
        <v>191176.2298</v>
      </c>
      <c r="G6" s="188">
        <v>558089.1838</v>
      </c>
      <c r="H6" s="188">
        <v>366912.95400000003</v>
      </c>
      <c r="I6" s="192">
        <f t="shared" si="0"/>
        <v>1.9192394074506434</v>
      </c>
    </row>
    <row r="7" spans="1:9">
      <c r="A7" s="168" t="s">
        <v>272</v>
      </c>
      <c r="B7" t="s">
        <v>235</v>
      </c>
      <c r="C7" s="188">
        <v>5805.7370000000001</v>
      </c>
      <c r="D7">
        <v>114.34099999999999</v>
      </c>
      <c r="E7">
        <v>41.940399999999997</v>
      </c>
      <c r="F7" s="188">
        <v>243495.1642</v>
      </c>
      <c r="G7" s="188">
        <v>663833.77430000005</v>
      </c>
      <c r="H7" s="188">
        <v>420338.61009999999</v>
      </c>
      <c r="I7" s="192">
        <f t="shared" si="0"/>
        <v>1.7262708747461852</v>
      </c>
    </row>
    <row r="8" spans="1:9">
      <c r="A8" s="168" t="s">
        <v>244</v>
      </c>
      <c r="B8" t="s">
        <v>233</v>
      </c>
      <c r="C8" s="188">
        <v>5841.7389999999996</v>
      </c>
      <c r="D8">
        <v>29.164200000000001</v>
      </c>
      <c r="E8">
        <v>23.964300000000001</v>
      </c>
      <c r="F8" s="188">
        <v>139992.99739999999</v>
      </c>
      <c r="G8" s="188">
        <v>170369.64449999999</v>
      </c>
      <c r="H8" s="188">
        <v>30376.647099999998</v>
      </c>
      <c r="I8" s="192">
        <f t="shared" si="0"/>
        <v>0.21698690408924698</v>
      </c>
    </row>
    <row r="9" spans="1:9">
      <c r="A9" s="168" t="s">
        <v>273</v>
      </c>
      <c r="B9" t="s">
        <v>233</v>
      </c>
      <c r="C9" s="188">
        <v>71936.569000000003</v>
      </c>
      <c r="D9">
        <v>12.4945</v>
      </c>
      <c r="E9">
        <v>9.5218000000000007</v>
      </c>
      <c r="F9" s="188">
        <v>684965.73959999997</v>
      </c>
      <c r="G9" s="188">
        <v>898811.46140000003</v>
      </c>
      <c r="H9" s="188">
        <v>213845.7218</v>
      </c>
      <c r="I9" s="192">
        <f t="shared" si="0"/>
        <v>0.31219915017191907</v>
      </c>
    </row>
    <row r="10" spans="1:9">
      <c r="A10" s="168" t="s">
        <v>246</v>
      </c>
      <c r="B10" t="s">
        <v>241</v>
      </c>
      <c r="C10" s="188">
        <v>46220.9</v>
      </c>
      <c r="D10">
        <v>13.952</v>
      </c>
      <c r="E10">
        <v>11.476900000000001</v>
      </c>
      <c r="F10" s="188">
        <v>530473.47840000002</v>
      </c>
      <c r="G10" s="188">
        <v>644873.99679999996</v>
      </c>
      <c r="H10" s="188">
        <v>114400.5184</v>
      </c>
      <c r="I10" s="192">
        <f t="shared" si="0"/>
        <v>0.21565737602010152</v>
      </c>
    </row>
    <row r="11" spans="1:9">
      <c r="A11" s="168" t="s">
        <v>247</v>
      </c>
      <c r="B11" t="s">
        <v>241</v>
      </c>
      <c r="C11" s="188">
        <v>12018.787</v>
      </c>
      <c r="D11">
        <v>12.575100000000001</v>
      </c>
      <c r="E11">
        <v>10.8575</v>
      </c>
      <c r="F11" s="188">
        <v>130493.46769999999</v>
      </c>
      <c r="G11" s="188">
        <v>151137.44839999999</v>
      </c>
      <c r="H11" s="188">
        <v>20643.9807</v>
      </c>
      <c r="I11" s="192">
        <f t="shared" si="0"/>
        <v>0.15819934180506109</v>
      </c>
    </row>
    <row r="12" spans="1:9">
      <c r="A12" s="168" t="s">
        <v>250</v>
      </c>
      <c r="B12" t="s">
        <v>251</v>
      </c>
      <c r="C12" s="188">
        <v>19397.659</v>
      </c>
      <c r="D12">
        <v>70.352400000000003</v>
      </c>
      <c r="E12">
        <v>44.640599999999999</v>
      </c>
      <c r="F12" s="188">
        <v>865923.00470000005</v>
      </c>
      <c r="G12" s="188">
        <v>1364671.865</v>
      </c>
      <c r="H12" s="188">
        <v>498748.86040000001</v>
      </c>
      <c r="I12" s="192">
        <f t="shared" si="0"/>
        <v>0.57597368090802958</v>
      </c>
    </row>
    <row r="13" spans="1:9">
      <c r="A13" s="168" t="s">
        <v>274</v>
      </c>
      <c r="B13" t="s">
        <v>233</v>
      </c>
      <c r="C13" s="188">
        <v>6809.741</v>
      </c>
      <c r="D13">
        <v>39.04</v>
      </c>
      <c r="E13">
        <v>35.241999999999997</v>
      </c>
      <c r="F13" s="188">
        <v>239988.8371</v>
      </c>
      <c r="G13" s="188">
        <v>265852.28860000003</v>
      </c>
      <c r="H13" s="188">
        <v>25863.451499999999</v>
      </c>
      <c r="I13" s="192">
        <f t="shared" si="0"/>
        <v>0.10776939382902655</v>
      </c>
    </row>
    <row r="14" spans="1:9">
      <c r="A14" s="168" t="s">
        <v>253</v>
      </c>
      <c r="B14" t="s">
        <v>235</v>
      </c>
      <c r="C14" s="188">
        <v>2450.4349999999999</v>
      </c>
      <c r="D14">
        <v>204.9528</v>
      </c>
      <c r="E14">
        <v>147.05119999999999</v>
      </c>
      <c r="F14" s="188">
        <v>360339.36119999998</v>
      </c>
      <c r="G14" s="188">
        <v>502223.51449999999</v>
      </c>
      <c r="H14" s="188">
        <v>141884.1532</v>
      </c>
      <c r="I14" s="192">
        <f t="shared" si="0"/>
        <v>0.39375147007947797</v>
      </c>
    </row>
    <row r="15" spans="1:9">
      <c r="A15" s="168" t="s">
        <v>255</v>
      </c>
      <c r="B15" t="s">
        <v>241</v>
      </c>
      <c r="C15" s="188">
        <v>18996.168000000001</v>
      </c>
      <c r="D15">
        <v>19.5366</v>
      </c>
      <c r="E15">
        <v>9.4700000000000006</v>
      </c>
      <c r="F15" s="188">
        <v>179893.71100000001</v>
      </c>
      <c r="G15" s="188">
        <v>371120.53570000001</v>
      </c>
      <c r="H15" s="188">
        <v>191226.8248</v>
      </c>
      <c r="I15" s="192">
        <f t="shared" si="0"/>
        <v>1.0629989438596883</v>
      </c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230932.00700000001</v>
      </c>
      <c r="D18" s="75"/>
      <c r="E18" s="75"/>
      <c r="F18" s="75">
        <f t="shared" ref="F18:H18" si="1">SUM(F2:F15)</f>
        <v>5681575</v>
      </c>
      <c r="G18" s="75">
        <f t="shared" si="1"/>
        <v>9229031.2619000003</v>
      </c>
      <c r="H18" s="75">
        <f t="shared" si="1"/>
        <v>3547456.2620000006</v>
      </c>
      <c r="I18" s="53">
        <f t="shared" si="0"/>
        <v>0.62437902553429292</v>
      </c>
    </row>
  </sheetData>
  <hyperlinks>
    <hyperlink ref="A2" r:id="rId1" location="/mf/1831632/15690/NULL" xr:uid="{90D02882-AFBA-4180-B647-9E717334FBA7}"/>
    <hyperlink ref="A3" r:id="rId2" location="/mf/1831632/22335/NULL" xr:uid="{2696F869-F8D1-4B05-8BB6-9281E5D424BB}"/>
    <hyperlink ref="A4" r:id="rId3" location="/mf/1831632/38817/NULL" xr:uid="{662F4BB4-A476-48E2-B0FC-D0A68B9E7637}"/>
    <hyperlink ref="A5" r:id="rId4" location="/mf/1831632/16071/NULL" xr:uid="{F511C4C4-E9AA-4777-B236-48592ED46C03}"/>
    <hyperlink ref="A6" r:id="rId5" location="/mf/1831632/16617/NULL" xr:uid="{842AF359-DB99-4487-ACB3-4ECAEC3169A5}"/>
    <hyperlink ref="A7" r:id="rId6" location="/mf/1831632/17134/NULL" xr:uid="{0E39A636-5DA6-445C-97D3-EC15C81E1040}"/>
    <hyperlink ref="A8" r:id="rId7" location="/mf/1831632/38228/NULL" xr:uid="{BF4F9F04-6857-41E7-9CCC-79CFF473699E}"/>
    <hyperlink ref="A9" r:id="rId8" location="/mf/1831632/42135/NULL" xr:uid="{0453D3B2-9058-46D8-A399-6EEDB45F6984}"/>
    <hyperlink ref="A10" r:id="rId9" location="/mf/1831632/41574/NULL" xr:uid="{BBCE8989-62A5-42B3-B198-93445046E36A}"/>
    <hyperlink ref="A11" r:id="rId10" location="/mf/1831632/41937/NULL" xr:uid="{F3E0E4EF-96B5-4199-87D8-7C46DB91BB59}"/>
    <hyperlink ref="A12" r:id="rId11" location="/mf/1831632/19701/NULL" xr:uid="{25B8E8C8-9C63-4AA2-89EF-5AA3914FB210}"/>
    <hyperlink ref="A13" r:id="rId12" location="/mf/1831632/17348/NULL" xr:uid="{7108813D-5056-4AEA-ADD6-10F006BE6248}"/>
    <hyperlink ref="A14" r:id="rId13" location="/mf/1831632/17375/NULL" xr:uid="{DFE3F296-985E-4EAF-A1E9-44483D19BDB9}"/>
    <hyperlink ref="A15" r:id="rId14" location="/mf/1831632/36491/NULL" xr:uid="{8379E006-CB14-4B9E-947B-2D9CDA19BBFF}"/>
  </hyperlinks>
  <pageMargins left="0.7" right="0.7" top="0.75" bottom="0.75" header="0.3" footer="0.3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6C1A-06CA-404B-95F7-564EE708FDF5}">
  <dimension ref="A1:I104"/>
  <sheetViews>
    <sheetView workbookViewId="0">
      <pane xSplit="1" ySplit="1" topLeftCell="D98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143</v>
      </c>
      <c r="B2" s="150">
        <v>100</v>
      </c>
      <c r="C2" s="150">
        <v>109.73</v>
      </c>
      <c r="D2" s="150">
        <v>100.53</v>
      </c>
      <c r="E2" s="150">
        <v>10053</v>
      </c>
      <c r="F2" s="150">
        <v>-919.5</v>
      </c>
      <c r="G2" s="151">
        <f t="shared" ref="G2:G33" si="0">E2-F2</f>
        <v>10972.5</v>
      </c>
      <c r="H2" s="191">
        <f t="shared" ref="H2:H14" si="1">F2/G2</f>
        <v>-8.3800410116199583E-2</v>
      </c>
    </row>
    <row r="3" spans="1:8" ht="15.75">
      <c r="A3" s="149" t="s">
        <v>264</v>
      </c>
      <c r="B3" s="150">
        <v>13</v>
      </c>
      <c r="C3" s="150">
        <v>133.75</v>
      </c>
      <c r="D3" s="150">
        <v>634.85</v>
      </c>
      <c r="E3" s="150">
        <v>8253.0499999999993</v>
      </c>
      <c r="F3" s="150">
        <v>6514.3</v>
      </c>
      <c r="G3" s="151">
        <f t="shared" si="0"/>
        <v>1738.7499999999991</v>
      </c>
      <c r="H3" s="191">
        <f t="shared" si="1"/>
        <v>3.7465420560747682</v>
      </c>
    </row>
    <row r="4" spans="1:8" ht="15.75">
      <c r="A4" s="149" t="s">
        <v>144</v>
      </c>
      <c r="B4" s="150">
        <v>25</v>
      </c>
      <c r="C4" s="150">
        <v>813.47</v>
      </c>
      <c r="D4" s="150">
        <v>2084.4</v>
      </c>
      <c r="E4" s="150">
        <v>52110</v>
      </c>
      <c r="F4" s="150">
        <v>31773.35</v>
      </c>
      <c r="G4" s="151">
        <f t="shared" si="0"/>
        <v>20336.650000000001</v>
      </c>
      <c r="H4" s="191">
        <f t="shared" si="1"/>
        <v>1.5623689250687796</v>
      </c>
    </row>
    <row r="5" spans="1:8" ht="15.75">
      <c r="A5" s="149" t="s">
        <v>145</v>
      </c>
      <c r="B5" s="150">
        <v>250</v>
      </c>
      <c r="C5" s="150">
        <v>183.59</v>
      </c>
      <c r="D5" s="150">
        <v>454.05</v>
      </c>
      <c r="E5" s="150">
        <v>113512.5</v>
      </c>
      <c r="F5" s="150">
        <v>67615</v>
      </c>
      <c r="G5" s="151">
        <f t="shared" si="0"/>
        <v>45897.5</v>
      </c>
      <c r="H5" s="191">
        <f t="shared" si="1"/>
        <v>1.4731739201481562</v>
      </c>
    </row>
    <row r="6" spans="1:8" ht="15.75">
      <c r="A6" s="149" t="s">
        <v>275</v>
      </c>
      <c r="B6" s="150">
        <v>165</v>
      </c>
      <c r="C6" s="150">
        <v>160.15</v>
      </c>
      <c r="D6" s="150">
        <v>181.55</v>
      </c>
      <c r="E6" s="150">
        <v>29955.75</v>
      </c>
      <c r="F6" s="150">
        <v>3531</v>
      </c>
      <c r="G6" s="151">
        <f t="shared" si="0"/>
        <v>26424.75</v>
      </c>
      <c r="H6" s="191">
        <f t="shared" si="1"/>
        <v>0.13362472681860754</v>
      </c>
    </row>
    <row r="7" spans="1:8" ht="15.75">
      <c r="A7" s="149" t="s">
        <v>276</v>
      </c>
      <c r="B7" s="150">
        <v>28</v>
      </c>
      <c r="C7" s="150">
        <v>2757.87</v>
      </c>
      <c r="D7" s="150">
        <v>3402.4</v>
      </c>
      <c r="E7" s="150">
        <v>95267.199999999997</v>
      </c>
      <c r="F7" s="150">
        <v>18046.8</v>
      </c>
      <c r="G7" s="151">
        <f t="shared" si="0"/>
        <v>77220.399999999994</v>
      </c>
      <c r="H7" s="191">
        <f t="shared" si="1"/>
        <v>0.23370508311275259</v>
      </c>
    </row>
    <row r="8" spans="1:8" ht="15.75">
      <c r="A8" s="149" t="s">
        <v>277</v>
      </c>
      <c r="B8" s="150">
        <v>72</v>
      </c>
      <c r="C8" s="150">
        <v>578.16999999999996</v>
      </c>
      <c r="D8" s="150">
        <v>787.4</v>
      </c>
      <c r="E8" s="150">
        <v>56692.800000000003</v>
      </c>
      <c r="F8" s="150">
        <v>15064.6</v>
      </c>
      <c r="G8" s="151">
        <f t="shared" si="0"/>
        <v>41628.200000000004</v>
      </c>
      <c r="H8" s="191">
        <f t="shared" si="1"/>
        <v>0.36188449176279536</v>
      </c>
    </row>
    <row r="9" spans="1:8" ht="15.75">
      <c r="A9" s="149" t="s">
        <v>146</v>
      </c>
      <c r="B9" s="150">
        <v>73</v>
      </c>
      <c r="C9" s="150">
        <v>665.52</v>
      </c>
      <c r="D9" s="150">
        <v>1102.95</v>
      </c>
      <c r="E9" s="150">
        <v>80515.350000000006</v>
      </c>
      <c r="F9" s="150">
        <v>31932.15</v>
      </c>
      <c r="G9" s="151">
        <f t="shared" si="0"/>
        <v>48583.200000000004</v>
      </c>
      <c r="H9" s="191">
        <f t="shared" si="1"/>
        <v>0.65726732697722667</v>
      </c>
    </row>
    <row r="10" spans="1:8" ht="15.75">
      <c r="A10" s="149" t="s">
        <v>147</v>
      </c>
      <c r="B10" s="150">
        <v>21</v>
      </c>
      <c r="C10" s="150">
        <v>2946.68</v>
      </c>
      <c r="D10" s="150">
        <v>6822.75</v>
      </c>
      <c r="E10" s="150">
        <v>143277.75</v>
      </c>
      <c r="F10" s="150">
        <v>81397.5</v>
      </c>
      <c r="G10" s="151">
        <f t="shared" si="0"/>
        <v>61880.25</v>
      </c>
      <c r="H10" s="191">
        <f t="shared" si="1"/>
        <v>1.3154035415176895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7327.75</v>
      </c>
      <c r="E11" s="150">
        <v>58622</v>
      </c>
      <c r="F11" s="150">
        <v>4773.6499999999996</v>
      </c>
      <c r="G11" s="151">
        <f t="shared" si="0"/>
        <v>53848.35</v>
      </c>
      <c r="H11" s="191">
        <f t="shared" si="1"/>
        <v>8.8649884351145389E-2</v>
      </c>
    </row>
    <row r="12" spans="1:8" ht="15.75">
      <c r="A12" s="149" t="s">
        <v>149</v>
      </c>
      <c r="B12" s="150">
        <v>12</v>
      </c>
      <c r="C12" s="150">
        <v>2238.41</v>
      </c>
      <c r="D12" s="150">
        <v>2568.5500000000002</v>
      </c>
      <c r="E12" s="150">
        <v>30822.6</v>
      </c>
      <c r="F12" s="150">
        <v>3961.7</v>
      </c>
      <c r="G12" s="151">
        <f t="shared" si="0"/>
        <v>26860.899999999998</v>
      </c>
      <c r="H12" s="191">
        <f t="shared" si="1"/>
        <v>0.14748947354705166</v>
      </c>
    </row>
    <row r="13" spans="1:8" ht="15.75">
      <c r="A13" s="149" t="s">
        <v>150</v>
      </c>
      <c r="B13" s="150">
        <v>184</v>
      </c>
      <c r="C13" s="150">
        <v>185</v>
      </c>
      <c r="D13" s="150">
        <v>231.1</v>
      </c>
      <c r="E13" s="150">
        <v>42522.400000000001</v>
      </c>
      <c r="F13" s="150">
        <v>8482.4</v>
      </c>
      <c r="G13" s="151">
        <f t="shared" si="0"/>
        <v>34040</v>
      </c>
      <c r="H13" s="191">
        <f t="shared" si="1"/>
        <v>0.24918918918918917</v>
      </c>
    </row>
    <row r="14" spans="1:8" ht="15.75">
      <c r="A14" s="149" t="s">
        <v>152</v>
      </c>
      <c r="B14" s="150">
        <v>180</v>
      </c>
      <c r="C14" s="150">
        <v>322.89</v>
      </c>
      <c r="D14" s="150">
        <v>1032.8499999999999</v>
      </c>
      <c r="E14" s="150">
        <v>185913</v>
      </c>
      <c r="F14" s="150">
        <v>127793</v>
      </c>
      <c r="G14" s="151">
        <f t="shared" si="0"/>
        <v>58120</v>
      </c>
      <c r="H14" s="191">
        <f t="shared" si="1"/>
        <v>2.198778389538885</v>
      </c>
    </row>
    <row r="15" spans="1:8" ht="15.75">
      <c r="A15" s="149" t="s">
        <v>310</v>
      </c>
      <c r="B15" s="150">
        <v>6</v>
      </c>
      <c r="C15" s="150">
        <v>0</v>
      </c>
      <c r="D15" s="150">
        <v>29.5</v>
      </c>
      <c r="E15" s="150">
        <v>177</v>
      </c>
      <c r="F15" s="150">
        <v>177</v>
      </c>
      <c r="G15" s="151">
        <f t="shared" si="0"/>
        <v>0</v>
      </c>
      <c r="H15" s="191">
        <v>0</v>
      </c>
    </row>
    <row r="16" spans="1:8" ht="15.75">
      <c r="A16" s="149" t="s">
        <v>153</v>
      </c>
      <c r="B16" s="150">
        <v>61</v>
      </c>
      <c r="C16" s="150">
        <v>427.78</v>
      </c>
      <c r="D16" s="150">
        <v>898.9</v>
      </c>
      <c r="E16" s="150">
        <v>54832.9</v>
      </c>
      <c r="F16" s="150">
        <v>28738.3</v>
      </c>
      <c r="G16" s="151">
        <f t="shared" si="0"/>
        <v>26094.600000000002</v>
      </c>
      <c r="H16" s="191">
        <f t="shared" ref="H16:H19" si="2">F16/G16</f>
        <v>1.1013121488737132</v>
      </c>
    </row>
    <row r="17" spans="1:8" ht="15.75">
      <c r="A17" s="149" t="s">
        <v>154</v>
      </c>
      <c r="B17" s="150">
        <v>14</v>
      </c>
      <c r="C17" s="150">
        <v>3489.94</v>
      </c>
      <c r="D17" s="150">
        <v>5338.95</v>
      </c>
      <c r="E17" s="150">
        <v>74745.3</v>
      </c>
      <c r="F17" s="150">
        <v>25886.2</v>
      </c>
      <c r="G17" s="151">
        <f t="shared" si="0"/>
        <v>48859.100000000006</v>
      </c>
      <c r="H17" s="191">
        <f t="shared" si="2"/>
        <v>0.52981327940956746</v>
      </c>
    </row>
    <row r="18" spans="1:8" ht="15.75">
      <c r="A18" s="149" t="s">
        <v>155</v>
      </c>
      <c r="B18" s="150">
        <v>180</v>
      </c>
      <c r="C18" s="150">
        <v>155.25</v>
      </c>
      <c r="D18" s="150">
        <v>179.8</v>
      </c>
      <c r="E18" s="150">
        <v>32364</v>
      </c>
      <c r="F18" s="150">
        <v>4419</v>
      </c>
      <c r="G18" s="151">
        <f t="shared" si="0"/>
        <v>27945</v>
      </c>
      <c r="H18" s="191">
        <f t="shared" si="2"/>
        <v>0.15813204508856682</v>
      </c>
    </row>
    <row r="19" spans="1:8" ht="15.75">
      <c r="A19" s="149" t="s">
        <v>156</v>
      </c>
      <c r="B19" s="150">
        <v>47</v>
      </c>
      <c r="C19" s="150">
        <v>193.53</v>
      </c>
      <c r="D19" s="150">
        <v>470.7</v>
      </c>
      <c r="E19" s="150">
        <v>22122.9</v>
      </c>
      <c r="F19" s="150">
        <v>13027</v>
      </c>
      <c r="G19" s="151">
        <f t="shared" si="0"/>
        <v>9095.9000000000015</v>
      </c>
      <c r="H19" s="191">
        <f t="shared" si="2"/>
        <v>1.4321837311316086</v>
      </c>
    </row>
    <row r="20" spans="1:8" ht="15.75">
      <c r="A20" s="149" t="s">
        <v>157</v>
      </c>
      <c r="B20" s="150">
        <v>35</v>
      </c>
      <c r="C20" s="150">
        <v>827.34</v>
      </c>
      <c r="D20" s="150">
        <v>1246.75</v>
      </c>
      <c r="E20" s="150">
        <v>43636.25</v>
      </c>
      <c r="F20" s="150">
        <v>14679.4</v>
      </c>
      <c r="G20" s="151">
        <f t="shared" si="0"/>
        <v>28956.85</v>
      </c>
      <c r="H20" s="191">
        <f t="shared" ref="H20:H51" si="3">F20/G20</f>
        <v>0.50694049939824259</v>
      </c>
    </row>
    <row r="21" spans="1:8" ht="15.75">
      <c r="A21" s="149" t="s">
        <v>158</v>
      </c>
      <c r="B21" s="150">
        <v>470</v>
      </c>
      <c r="C21" s="150">
        <v>194.39</v>
      </c>
      <c r="D21" s="150">
        <v>376</v>
      </c>
      <c r="E21" s="150">
        <v>176720</v>
      </c>
      <c r="F21" s="150">
        <v>85356.5</v>
      </c>
      <c r="G21" s="151">
        <f t="shared" si="0"/>
        <v>91363.5</v>
      </c>
      <c r="H21" s="191">
        <f t="shared" si="3"/>
        <v>0.93425164316165643</v>
      </c>
    </row>
    <row r="22" spans="1:8" ht="15.75">
      <c r="A22" s="149" t="s">
        <v>159</v>
      </c>
      <c r="B22" s="150">
        <v>10</v>
      </c>
      <c r="C22" s="150">
        <v>4083.04</v>
      </c>
      <c r="D22" s="150">
        <v>6275.3</v>
      </c>
      <c r="E22" s="150">
        <v>62753</v>
      </c>
      <c r="F22" s="150">
        <v>21922.6</v>
      </c>
      <c r="G22" s="151">
        <f t="shared" si="0"/>
        <v>40830.400000000001</v>
      </c>
      <c r="H22" s="191">
        <f t="shared" si="3"/>
        <v>0.5369185704768995</v>
      </c>
    </row>
    <row r="23" spans="1:8" ht="15.75">
      <c r="A23" s="149" t="s">
        <v>160</v>
      </c>
      <c r="B23" s="150">
        <v>32</v>
      </c>
      <c r="C23" s="150">
        <v>1549.21</v>
      </c>
      <c r="D23" s="150">
        <v>2529.6999999999998</v>
      </c>
      <c r="E23" s="150">
        <v>80950.399999999994</v>
      </c>
      <c r="F23" s="150">
        <v>31375.55</v>
      </c>
      <c r="G23" s="151">
        <f t="shared" si="0"/>
        <v>49574.849999999991</v>
      </c>
      <c r="H23" s="191">
        <f t="shared" si="3"/>
        <v>0.63289248479823956</v>
      </c>
    </row>
    <row r="24" spans="1:8" ht="15.75">
      <c r="A24" s="149" t="s">
        <v>279</v>
      </c>
      <c r="B24" s="150">
        <v>83</v>
      </c>
      <c r="C24" s="150">
        <v>560.16999999999996</v>
      </c>
      <c r="D24" s="150">
        <v>557.20000000000005</v>
      </c>
      <c r="E24" s="150">
        <v>46247.6</v>
      </c>
      <c r="F24" s="150">
        <v>-246.45</v>
      </c>
      <c r="G24" s="151">
        <f t="shared" si="0"/>
        <v>46494.049999999996</v>
      </c>
      <c r="H24" s="191">
        <f t="shared" si="3"/>
        <v>-5.3006782588309693E-3</v>
      </c>
    </row>
    <row r="25" spans="1:8" ht="15.75">
      <c r="A25" s="149" t="s">
        <v>161</v>
      </c>
      <c r="B25" s="150">
        <v>60</v>
      </c>
      <c r="C25" s="150">
        <v>356.27</v>
      </c>
      <c r="D25" s="150">
        <v>724.5</v>
      </c>
      <c r="E25" s="150">
        <v>43470</v>
      </c>
      <c r="F25" s="150">
        <v>22093.85</v>
      </c>
      <c r="G25" s="151">
        <f t="shared" si="0"/>
        <v>21376.15</v>
      </c>
      <c r="H25" s="191">
        <f t="shared" si="3"/>
        <v>1.0335748018235276</v>
      </c>
    </row>
    <row r="26" spans="1:8" ht="15.75">
      <c r="A26" s="149" t="s">
        <v>162</v>
      </c>
      <c r="B26" s="150">
        <v>14</v>
      </c>
      <c r="C26" s="150">
        <v>3289.33</v>
      </c>
      <c r="D26" s="150">
        <v>4082.65</v>
      </c>
      <c r="E26" s="150">
        <v>57157.1</v>
      </c>
      <c r="F26" s="150">
        <v>11106.55</v>
      </c>
      <c r="G26" s="151">
        <f t="shared" si="0"/>
        <v>46050.55</v>
      </c>
      <c r="H26" s="191">
        <f t="shared" si="3"/>
        <v>0.24118170141290382</v>
      </c>
    </row>
    <row r="27" spans="1:8" ht="15.75">
      <c r="A27" s="149" t="s">
        <v>163</v>
      </c>
      <c r="B27" s="150">
        <v>9</v>
      </c>
      <c r="C27" s="150">
        <v>4442.55</v>
      </c>
      <c r="D27" s="150">
        <v>5797.9</v>
      </c>
      <c r="E27" s="150">
        <v>52181.1</v>
      </c>
      <c r="F27" s="150">
        <v>12198.15</v>
      </c>
      <c r="G27" s="151">
        <f t="shared" si="0"/>
        <v>39982.949999999997</v>
      </c>
      <c r="H27" s="191">
        <f t="shared" si="3"/>
        <v>0.30508379196632568</v>
      </c>
    </row>
    <row r="28" spans="1:8" ht="15.75">
      <c r="A28" s="149" t="s">
        <v>164</v>
      </c>
      <c r="B28" s="150">
        <v>8</v>
      </c>
      <c r="C28" s="150">
        <v>2511.94</v>
      </c>
      <c r="D28" s="150">
        <v>4143.5</v>
      </c>
      <c r="E28" s="150">
        <v>33148</v>
      </c>
      <c r="F28" s="150">
        <v>13052.5</v>
      </c>
      <c r="G28" s="151">
        <f t="shared" si="0"/>
        <v>20095.5</v>
      </c>
      <c r="H28" s="191">
        <f t="shared" si="3"/>
        <v>0.64952352516732603</v>
      </c>
    </row>
    <row r="29" spans="1:8" ht="15.75">
      <c r="A29" s="149" t="s">
        <v>270</v>
      </c>
      <c r="B29" s="150">
        <v>72</v>
      </c>
      <c r="C29" s="150">
        <v>356.99</v>
      </c>
      <c r="D29" s="150">
        <v>325.06</v>
      </c>
      <c r="E29" s="150">
        <v>23404.32</v>
      </c>
      <c r="F29" s="150">
        <v>-2298.64</v>
      </c>
      <c r="G29" s="151">
        <f t="shared" si="0"/>
        <v>25702.959999999999</v>
      </c>
      <c r="H29" s="191">
        <f t="shared" si="3"/>
        <v>-8.943094491840628E-2</v>
      </c>
    </row>
    <row r="30" spans="1:8" ht="15.75">
      <c r="A30" s="149" t="s">
        <v>166</v>
      </c>
      <c r="B30" s="150">
        <v>23</v>
      </c>
      <c r="C30" s="150">
        <v>1408.96</v>
      </c>
      <c r="D30" s="150">
        <v>1933.2</v>
      </c>
      <c r="E30" s="150">
        <v>44463.6</v>
      </c>
      <c r="F30" s="150">
        <v>12057.6</v>
      </c>
      <c r="G30" s="151">
        <f t="shared" si="0"/>
        <v>32406</v>
      </c>
      <c r="H30" s="191">
        <f t="shared" si="3"/>
        <v>0.37207924458433622</v>
      </c>
    </row>
    <row r="31" spans="1:8" ht="15.75">
      <c r="A31" s="149" t="s">
        <v>168</v>
      </c>
      <c r="B31" s="150">
        <v>80</v>
      </c>
      <c r="C31" s="150">
        <v>685.74</v>
      </c>
      <c r="D31" s="150">
        <v>909.5</v>
      </c>
      <c r="E31" s="150">
        <v>72760</v>
      </c>
      <c r="F31" s="150">
        <v>17901</v>
      </c>
      <c r="G31" s="151">
        <f t="shared" si="0"/>
        <v>54859</v>
      </c>
      <c r="H31" s="191">
        <f t="shared" si="3"/>
        <v>0.32630926557173845</v>
      </c>
    </row>
    <row r="32" spans="1:8" ht="15.75">
      <c r="A32" s="149" t="s">
        <v>169</v>
      </c>
      <c r="B32" s="150">
        <v>268</v>
      </c>
      <c r="C32" s="150">
        <v>181.75</v>
      </c>
      <c r="D32" s="150">
        <v>317.95</v>
      </c>
      <c r="E32" s="150">
        <v>85210.6</v>
      </c>
      <c r="F32" s="150">
        <v>36500.85</v>
      </c>
      <c r="G32" s="151">
        <f t="shared" si="0"/>
        <v>48709.750000000007</v>
      </c>
      <c r="H32" s="191">
        <f t="shared" si="3"/>
        <v>0.74935408208828813</v>
      </c>
    </row>
    <row r="33" spans="1:8" ht="15.75">
      <c r="A33" s="149" t="s">
        <v>170</v>
      </c>
      <c r="B33" s="150">
        <v>323</v>
      </c>
      <c r="C33" s="150">
        <v>83.87</v>
      </c>
      <c r="D33" s="150">
        <v>156.15</v>
      </c>
      <c r="E33" s="150">
        <v>50436.45</v>
      </c>
      <c r="F33" s="150">
        <v>23345.45</v>
      </c>
      <c r="G33" s="151">
        <f t="shared" si="0"/>
        <v>27090.999999999996</v>
      </c>
      <c r="H33" s="191">
        <f t="shared" si="3"/>
        <v>0.86174190690635277</v>
      </c>
    </row>
    <row r="34" spans="1:8" ht="15.75">
      <c r="A34" s="149" t="s">
        <v>172</v>
      </c>
      <c r="B34" s="150">
        <v>18</v>
      </c>
      <c r="C34" s="150">
        <v>1556.41</v>
      </c>
      <c r="D34" s="150">
        <v>2013.35</v>
      </c>
      <c r="E34" s="150">
        <v>36240.300000000003</v>
      </c>
      <c r="F34" s="150">
        <v>8224.9500000000007</v>
      </c>
      <c r="G34" s="151">
        <f t="shared" ref="G34:G65" si="4">E34-F34</f>
        <v>28015.350000000002</v>
      </c>
      <c r="H34" s="191">
        <f t="shared" si="3"/>
        <v>0.29358726555263454</v>
      </c>
    </row>
    <row r="35" spans="1:8" ht="15.75">
      <c r="A35" s="149" t="s">
        <v>281</v>
      </c>
      <c r="B35" s="150">
        <v>124</v>
      </c>
      <c r="C35" s="150">
        <v>304.87</v>
      </c>
      <c r="D35" s="150">
        <v>405.45</v>
      </c>
      <c r="E35" s="150">
        <v>50275.8</v>
      </c>
      <c r="F35" s="150">
        <v>12472.4</v>
      </c>
      <c r="G35" s="151">
        <f t="shared" si="4"/>
        <v>37803.4</v>
      </c>
      <c r="H35" s="191">
        <f t="shared" si="3"/>
        <v>0.32992799589454913</v>
      </c>
    </row>
    <row r="36" spans="1:8" ht="15.75">
      <c r="A36" s="149" t="s">
        <v>174</v>
      </c>
      <c r="B36" s="150">
        <v>67</v>
      </c>
      <c r="C36" s="150">
        <v>1067.9000000000001</v>
      </c>
      <c r="D36" s="150">
        <v>1466.1</v>
      </c>
      <c r="E36" s="150">
        <v>98228.7</v>
      </c>
      <c r="F36" s="150">
        <v>26679.7</v>
      </c>
      <c r="G36" s="151">
        <f t="shared" si="4"/>
        <v>71549</v>
      </c>
      <c r="H36" s="191">
        <f t="shared" si="3"/>
        <v>0.37288711232861399</v>
      </c>
    </row>
    <row r="37" spans="1:8" ht="15.75">
      <c r="A37" s="149" t="s">
        <v>175</v>
      </c>
      <c r="B37" s="150">
        <v>67</v>
      </c>
      <c r="C37" s="150">
        <v>1564.92</v>
      </c>
      <c r="D37" s="150">
        <v>1709.65</v>
      </c>
      <c r="E37" s="150">
        <v>114546.55</v>
      </c>
      <c r="F37" s="150">
        <v>9696.65</v>
      </c>
      <c r="G37" s="151">
        <f t="shared" si="4"/>
        <v>104849.90000000001</v>
      </c>
      <c r="H37" s="191">
        <f t="shared" si="3"/>
        <v>9.2481251770387948E-2</v>
      </c>
    </row>
    <row r="38" spans="1:8" ht="15.75">
      <c r="A38" s="149" t="s">
        <v>176</v>
      </c>
      <c r="B38" s="150">
        <v>81</v>
      </c>
      <c r="C38" s="150">
        <v>564.09</v>
      </c>
      <c r="D38" s="150">
        <v>647.04999999999995</v>
      </c>
      <c r="E38" s="150">
        <v>52411.05</v>
      </c>
      <c r="F38" s="150">
        <v>6719.95</v>
      </c>
      <c r="G38" s="151">
        <f t="shared" si="4"/>
        <v>45691.100000000006</v>
      </c>
      <c r="H38" s="191">
        <f t="shared" si="3"/>
        <v>0.14707350009082729</v>
      </c>
    </row>
    <row r="39" spans="1:8" ht="15.75">
      <c r="A39" s="149" t="s">
        <v>177</v>
      </c>
      <c r="B39" s="150">
        <v>10</v>
      </c>
      <c r="C39" s="150">
        <v>2735.04</v>
      </c>
      <c r="D39" s="150">
        <v>4139.55</v>
      </c>
      <c r="E39" s="150">
        <v>41395.5</v>
      </c>
      <c r="F39" s="150">
        <v>14045.1</v>
      </c>
      <c r="G39" s="151">
        <f t="shared" si="4"/>
        <v>27350.400000000001</v>
      </c>
      <c r="H39" s="191">
        <f t="shared" si="3"/>
        <v>0.51352448227448222</v>
      </c>
    </row>
    <row r="40" spans="1:8" ht="15.75">
      <c r="A40" s="149" t="s">
        <v>282</v>
      </c>
      <c r="B40" s="150">
        <v>22</v>
      </c>
      <c r="C40" s="150">
        <v>2298.5700000000002</v>
      </c>
      <c r="D40" s="150">
        <v>2663.95</v>
      </c>
      <c r="E40" s="150">
        <v>58606.9</v>
      </c>
      <c r="F40" s="150">
        <v>8038.3</v>
      </c>
      <c r="G40" s="151">
        <f t="shared" si="4"/>
        <v>50568.6</v>
      </c>
      <c r="H40" s="191">
        <f t="shared" si="3"/>
        <v>0.15895832591766432</v>
      </c>
    </row>
    <row r="41" spans="1:8" ht="15.75">
      <c r="A41" s="149" t="s">
        <v>178</v>
      </c>
      <c r="B41" s="150">
        <v>73</v>
      </c>
      <c r="C41" s="150">
        <v>589.26</v>
      </c>
      <c r="D41" s="150">
        <v>996.6</v>
      </c>
      <c r="E41" s="150">
        <v>72751.8</v>
      </c>
      <c r="F41" s="150">
        <v>29736.15</v>
      </c>
      <c r="G41" s="151">
        <f t="shared" si="4"/>
        <v>43015.65</v>
      </c>
      <c r="H41" s="191">
        <f t="shared" si="3"/>
        <v>0.69128677585948373</v>
      </c>
    </row>
    <row r="42" spans="1:8" ht="15.75">
      <c r="A42" s="149" t="s">
        <v>179</v>
      </c>
      <c r="B42" s="150">
        <v>76</v>
      </c>
      <c r="C42" s="150">
        <v>1243.19</v>
      </c>
      <c r="D42" s="150">
        <v>1418.15</v>
      </c>
      <c r="E42" s="150">
        <v>107779.4</v>
      </c>
      <c r="F42" s="150">
        <v>13296.75</v>
      </c>
      <c r="G42" s="151">
        <f t="shared" si="4"/>
        <v>94482.65</v>
      </c>
      <c r="H42" s="191">
        <f t="shared" si="3"/>
        <v>0.14073218733809859</v>
      </c>
    </row>
    <row r="43" spans="1:8" ht="15.75">
      <c r="A43" s="149" t="s">
        <v>180</v>
      </c>
      <c r="B43" s="150">
        <v>152</v>
      </c>
      <c r="C43" s="150">
        <v>495.14</v>
      </c>
      <c r="D43" s="150">
        <v>534.85</v>
      </c>
      <c r="E43" s="150">
        <v>81297.2</v>
      </c>
      <c r="F43" s="150">
        <v>6035.5</v>
      </c>
      <c r="G43" s="151">
        <f t="shared" si="4"/>
        <v>75261.7</v>
      </c>
      <c r="H43" s="191">
        <f t="shared" si="3"/>
        <v>8.0193511440746088E-2</v>
      </c>
    </row>
    <row r="44" spans="1:8" ht="15.75">
      <c r="A44" s="149" t="s">
        <v>284</v>
      </c>
      <c r="B44" s="150">
        <v>35</v>
      </c>
      <c r="C44" s="150">
        <v>917.94</v>
      </c>
      <c r="D44" s="150">
        <v>1598.95</v>
      </c>
      <c r="E44" s="150">
        <v>55963.25</v>
      </c>
      <c r="F44" s="150">
        <v>23835.35</v>
      </c>
      <c r="G44" s="151">
        <f t="shared" si="4"/>
        <v>32127.9</v>
      </c>
      <c r="H44" s="191">
        <f t="shared" si="3"/>
        <v>0.74188944811207691</v>
      </c>
    </row>
    <row r="45" spans="1:8" ht="15.75">
      <c r="A45" s="149" t="s">
        <v>181</v>
      </c>
      <c r="B45" s="150">
        <v>47</v>
      </c>
      <c r="C45" s="150">
        <v>1499.22</v>
      </c>
      <c r="D45" s="150">
        <v>1542.9</v>
      </c>
      <c r="E45" s="150">
        <v>72516.3</v>
      </c>
      <c r="F45" s="150">
        <v>2052.9</v>
      </c>
      <c r="G45" s="151">
        <f t="shared" si="4"/>
        <v>70463.400000000009</v>
      </c>
      <c r="H45" s="191">
        <f t="shared" si="3"/>
        <v>2.9134273963504456E-2</v>
      </c>
    </row>
    <row r="46" spans="1:8" ht="15.75">
      <c r="A46" s="149" t="s">
        <v>182</v>
      </c>
      <c r="B46" s="150">
        <v>735</v>
      </c>
      <c r="C46" s="150">
        <v>223.37</v>
      </c>
      <c r="D46" s="150">
        <v>462.35</v>
      </c>
      <c r="E46" s="150">
        <v>339827.25</v>
      </c>
      <c r="F46" s="150">
        <v>175652.9</v>
      </c>
      <c r="G46" s="151">
        <f t="shared" si="4"/>
        <v>164174.35</v>
      </c>
      <c r="H46" s="191">
        <f t="shared" si="3"/>
        <v>1.0699168292732695</v>
      </c>
    </row>
    <row r="47" spans="1:8" ht="15.75">
      <c r="A47" s="149" t="s">
        <v>183</v>
      </c>
      <c r="B47" s="150">
        <v>28</v>
      </c>
      <c r="C47" s="150">
        <v>597.6</v>
      </c>
      <c r="D47" s="150">
        <v>1624.65</v>
      </c>
      <c r="E47" s="150">
        <v>45490.2</v>
      </c>
      <c r="F47" s="150">
        <v>28757.5</v>
      </c>
      <c r="G47" s="151">
        <f t="shared" si="4"/>
        <v>16732.699999999997</v>
      </c>
      <c r="H47" s="191">
        <f t="shared" si="3"/>
        <v>1.7186407453668568</v>
      </c>
    </row>
    <row r="48" spans="1:8" ht="15.75">
      <c r="A48" s="149" t="s">
        <v>184</v>
      </c>
      <c r="B48" s="150">
        <v>283</v>
      </c>
      <c r="C48" s="150">
        <v>112.02</v>
      </c>
      <c r="D48" s="150">
        <v>168.9</v>
      </c>
      <c r="E48" s="150">
        <v>47798.7</v>
      </c>
      <c r="F48" s="150">
        <v>16095.95</v>
      </c>
      <c r="G48" s="151">
        <f t="shared" si="4"/>
        <v>31702.749999999996</v>
      </c>
      <c r="H48" s="191">
        <f t="shared" si="3"/>
        <v>0.50771463043426845</v>
      </c>
    </row>
    <row r="49" spans="1:8" ht="15.75">
      <c r="A49" s="149" t="s">
        <v>185</v>
      </c>
      <c r="B49" s="150">
        <v>55</v>
      </c>
      <c r="C49" s="150">
        <v>1723.54</v>
      </c>
      <c r="D49" s="150">
        <v>1904.7</v>
      </c>
      <c r="E49" s="150">
        <v>104758.5</v>
      </c>
      <c r="F49" s="150">
        <v>9963.5499999999993</v>
      </c>
      <c r="G49" s="151">
        <f t="shared" si="4"/>
        <v>94794.95</v>
      </c>
      <c r="H49" s="191">
        <f t="shared" si="3"/>
        <v>0.10510633741565346</v>
      </c>
    </row>
    <row r="50" spans="1:8" ht="15.75">
      <c r="A50" s="149" t="s">
        <v>186</v>
      </c>
      <c r="B50" s="150">
        <v>67</v>
      </c>
      <c r="C50" s="150">
        <v>676.11</v>
      </c>
      <c r="D50" s="150">
        <v>1513.85</v>
      </c>
      <c r="E50" s="150">
        <v>101427.95</v>
      </c>
      <c r="F50" s="150">
        <v>56128.55</v>
      </c>
      <c r="G50" s="151">
        <f t="shared" si="4"/>
        <v>45299.399999999994</v>
      </c>
      <c r="H50" s="191">
        <f t="shared" si="3"/>
        <v>1.2390572502064048</v>
      </c>
    </row>
    <row r="51" spans="1:8" ht="15.75">
      <c r="A51" s="149" t="s">
        <v>187</v>
      </c>
      <c r="B51" s="150">
        <v>20</v>
      </c>
      <c r="C51" s="150">
        <v>2295.38</v>
      </c>
      <c r="D51" s="150">
        <v>2577.6999999999998</v>
      </c>
      <c r="E51" s="150">
        <v>51554</v>
      </c>
      <c r="F51" s="150">
        <v>5646.4</v>
      </c>
      <c r="G51" s="151">
        <f t="shared" si="4"/>
        <v>45907.6</v>
      </c>
      <c r="H51" s="191">
        <f t="shared" si="3"/>
        <v>0.12299488537845585</v>
      </c>
    </row>
    <row r="52" spans="1:8" ht="15.75">
      <c r="A52" s="149" t="s">
        <v>188</v>
      </c>
      <c r="B52" s="150">
        <v>62</v>
      </c>
      <c r="C52" s="150">
        <v>1053.22</v>
      </c>
      <c r="D52" s="150">
        <v>3527.05</v>
      </c>
      <c r="E52" s="150">
        <v>218677.1</v>
      </c>
      <c r="F52" s="150">
        <v>153377.75</v>
      </c>
      <c r="G52" s="151">
        <f t="shared" si="4"/>
        <v>65299.350000000006</v>
      </c>
      <c r="H52" s="191">
        <f t="shared" ref="H52:H83" si="5">F52/G52</f>
        <v>2.3488403789624246</v>
      </c>
    </row>
    <row r="53" spans="1:8" ht="15.75">
      <c r="A53" s="149" t="s">
        <v>286</v>
      </c>
      <c r="B53" s="150">
        <v>17</v>
      </c>
      <c r="C53" s="150">
        <v>4810.6400000000003</v>
      </c>
      <c r="D53" s="150">
        <v>6294.95</v>
      </c>
      <c r="E53" s="150">
        <v>107014.15</v>
      </c>
      <c r="F53" s="150">
        <v>25233.32</v>
      </c>
      <c r="G53" s="151">
        <f t="shared" si="4"/>
        <v>81780.829999999987</v>
      </c>
      <c r="H53" s="191">
        <f t="shared" si="5"/>
        <v>0.30854810351032147</v>
      </c>
    </row>
    <row r="54" spans="1:8" ht="15.75">
      <c r="A54" s="149" t="s">
        <v>189</v>
      </c>
      <c r="B54" s="150">
        <v>20</v>
      </c>
      <c r="C54" s="150">
        <v>1002.87</v>
      </c>
      <c r="D54" s="150">
        <v>1729.4</v>
      </c>
      <c r="E54" s="150">
        <v>34588</v>
      </c>
      <c r="F54" s="150">
        <v>14530.7</v>
      </c>
      <c r="G54" s="151">
        <f t="shared" si="4"/>
        <v>20057.3</v>
      </c>
      <c r="H54" s="191">
        <f t="shared" si="5"/>
        <v>0.72445942375095362</v>
      </c>
    </row>
    <row r="55" spans="1:8" ht="15.75">
      <c r="A55" s="149" t="s">
        <v>191</v>
      </c>
      <c r="B55" s="150">
        <v>87</v>
      </c>
      <c r="C55" s="150">
        <v>487.39</v>
      </c>
      <c r="D55" s="150">
        <v>548.5</v>
      </c>
      <c r="E55" s="150">
        <v>47719.5</v>
      </c>
      <c r="F55" s="150">
        <v>5316.15</v>
      </c>
      <c r="G55" s="151">
        <f t="shared" si="4"/>
        <v>42403.35</v>
      </c>
      <c r="H55" s="191">
        <f t="shared" si="5"/>
        <v>0.12537099073540181</v>
      </c>
    </row>
    <row r="56" spans="1:8" ht="15.75">
      <c r="A56" s="149" t="s">
        <v>192</v>
      </c>
      <c r="B56" s="150">
        <v>81</v>
      </c>
      <c r="C56" s="150">
        <v>712.65</v>
      </c>
      <c r="D56" s="150">
        <v>954.5</v>
      </c>
      <c r="E56" s="150">
        <v>77314.5</v>
      </c>
      <c r="F56" s="150">
        <v>19589.45</v>
      </c>
      <c r="G56" s="151">
        <f t="shared" si="4"/>
        <v>57725.05</v>
      </c>
      <c r="H56" s="191">
        <f t="shared" si="5"/>
        <v>0.33935786976364679</v>
      </c>
    </row>
    <row r="57" spans="1:8" ht="15.75">
      <c r="A57" s="149" t="s">
        <v>193</v>
      </c>
      <c r="B57" s="150">
        <v>74</v>
      </c>
      <c r="C57" s="150">
        <v>338.54</v>
      </c>
      <c r="D57" s="150">
        <v>323.29000000000002</v>
      </c>
      <c r="E57" s="150">
        <v>23923.46</v>
      </c>
      <c r="F57" s="150">
        <v>-1128.31</v>
      </c>
      <c r="G57" s="151">
        <f t="shared" si="4"/>
        <v>25051.77</v>
      </c>
      <c r="H57" s="191">
        <f t="shared" si="5"/>
        <v>-4.5039132963459266E-2</v>
      </c>
    </row>
    <row r="58" spans="1:8" ht="15.75">
      <c r="A58" s="149" t="s">
        <v>194</v>
      </c>
      <c r="B58" s="150">
        <v>255</v>
      </c>
      <c r="C58" s="150">
        <v>99.4</v>
      </c>
      <c r="D58" s="150">
        <v>102</v>
      </c>
      <c r="E58" s="150">
        <v>26010</v>
      </c>
      <c r="F58" s="150">
        <v>662.5</v>
      </c>
      <c r="G58" s="151">
        <f t="shared" si="4"/>
        <v>25347.5</v>
      </c>
      <c r="H58" s="191">
        <f t="shared" si="5"/>
        <v>2.6136699871782226E-2</v>
      </c>
    </row>
    <row r="59" spans="1:8" ht="15.75">
      <c r="A59" s="149" t="s">
        <v>195</v>
      </c>
      <c r="B59" s="150">
        <v>25</v>
      </c>
      <c r="C59" s="150">
        <v>2212.61</v>
      </c>
      <c r="D59" s="150">
        <v>2733.2</v>
      </c>
      <c r="E59" s="150">
        <v>68330</v>
      </c>
      <c r="F59" s="150">
        <v>13014.85</v>
      </c>
      <c r="G59" s="151">
        <f t="shared" si="4"/>
        <v>55315.15</v>
      </c>
      <c r="H59" s="191">
        <f t="shared" si="5"/>
        <v>0.23528545073094803</v>
      </c>
    </row>
    <row r="60" spans="1:8" ht="15.75">
      <c r="A60" s="149" t="s">
        <v>266</v>
      </c>
      <c r="B60" s="150">
        <v>177</v>
      </c>
      <c r="C60" s="150">
        <v>127.13</v>
      </c>
      <c r="D60" s="150">
        <v>136</v>
      </c>
      <c r="E60" s="150">
        <v>24072</v>
      </c>
      <c r="F60" s="150">
        <v>1569.51</v>
      </c>
      <c r="G60" s="151">
        <f t="shared" si="4"/>
        <v>22502.49</v>
      </c>
      <c r="H60" s="191">
        <f t="shared" si="5"/>
        <v>6.974828119021495E-2</v>
      </c>
    </row>
    <row r="61" spans="1:8" ht="15.75">
      <c r="A61" s="149" t="s">
        <v>198</v>
      </c>
      <c r="B61" s="150">
        <v>79</v>
      </c>
      <c r="C61" s="150">
        <v>499.72</v>
      </c>
      <c r="D61" s="150">
        <v>1426</v>
      </c>
      <c r="E61" s="150">
        <v>112654</v>
      </c>
      <c r="F61" s="150">
        <v>73176.350000000006</v>
      </c>
      <c r="G61" s="151">
        <f t="shared" si="4"/>
        <v>39477.649999999994</v>
      </c>
      <c r="H61" s="191">
        <f t="shared" si="5"/>
        <v>1.8536146401824833</v>
      </c>
    </row>
    <row r="62" spans="1:8" ht="15.75">
      <c r="A62" s="149" t="s">
        <v>199</v>
      </c>
      <c r="B62" s="150">
        <v>27</v>
      </c>
      <c r="C62" s="150">
        <v>3952.46</v>
      </c>
      <c r="D62" s="150">
        <v>4221</v>
      </c>
      <c r="E62" s="150">
        <v>113967</v>
      </c>
      <c r="F62" s="150">
        <v>7250.6</v>
      </c>
      <c r="G62" s="151">
        <f t="shared" si="4"/>
        <v>106716.4</v>
      </c>
      <c r="H62" s="191">
        <f t="shared" si="5"/>
        <v>6.7942696717655404E-2</v>
      </c>
    </row>
    <row r="63" spans="1:8" ht="15.75">
      <c r="A63" s="149" t="s">
        <v>200</v>
      </c>
      <c r="B63" s="150">
        <v>300</v>
      </c>
      <c r="C63" s="150">
        <v>82.33</v>
      </c>
      <c r="D63" s="150">
        <v>205.05</v>
      </c>
      <c r="E63" s="150">
        <v>61515</v>
      </c>
      <c r="F63" s="150">
        <v>36815</v>
      </c>
      <c r="G63" s="151">
        <f t="shared" si="4"/>
        <v>24700</v>
      </c>
      <c r="H63" s="191">
        <f t="shared" si="5"/>
        <v>1.4904858299595141</v>
      </c>
    </row>
    <row r="64" spans="1:8" ht="15.75">
      <c r="A64" s="149" t="s">
        <v>201</v>
      </c>
      <c r="B64" s="150">
        <v>10</v>
      </c>
      <c r="C64" s="150">
        <v>4106.17</v>
      </c>
      <c r="D64" s="150">
        <v>7389.4</v>
      </c>
      <c r="E64" s="150">
        <v>73894</v>
      </c>
      <c r="F64" s="150">
        <v>32832.35</v>
      </c>
      <c r="G64" s="151">
        <f t="shared" si="4"/>
        <v>41061.65</v>
      </c>
      <c r="H64" s="191">
        <f t="shared" si="5"/>
        <v>0.79958671899448752</v>
      </c>
    </row>
    <row r="65" spans="1:8" ht="15.75">
      <c r="A65" s="149" t="s">
        <v>202</v>
      </c>
      <c r="B65" s="150">
        <v>22</v>
      </c>
      <c r="C65" s="150">
        <v>885.65</v>
      </c>
      <c r="D65" s="150">
        <v>2244.65</v>
      </c>
      <c r="E65" s="150">
        <v>49382.3</v>
      </c>
      <c r="F65" s="150">
        <v>29898.1</v>
      </c>
      <c r="G65" s="151">
        <f t="shared" si="4"/>
        <v>19484.200000000004</v>
      </c>
      <c r="H65" s="191">
        <f t="shared" si="5"/>
        <v>1.5344792190595453</v>
      </c>
    </row>
    <row r="66" spans="1:8" ht="15.75">
      <c r="A66" s="149" t="s">
        <v>203</v>
      </c>
      <c r="B66" s="150">
        <v>30</v>
      </c>
      <c r="C66" s="150">
        <v>2499.15</v>
      </c>
      <c r="D66" s="150">
        <v>2717.15</v>
      </c>
      <c r="E66" s="150">
        <v>81514.5</v>
      </c>
      <c r="F66" s="150">
        <v>6540.15</v>
      </c>
      <c r="G66" s="151">
        <f t="shared" ref="G66:G97" si="6">E66-F66</f>
        <v>74974.350000000006</v>
      </c>
      <c r="H66" s="191">
        <f t="shared" si="5"/>
        <v>8.723183328698414E-2</v>
      </c>
    </row>
    <row r="67" spans="1:8" ht="15.75">
      <c r="A67" s="149" t="s">
        <v>204</v>
      </c>
      <c r="B67" s="150">
        <v>36</v>
      </c>
      <c r="C67" s="150">
        <v>488.83</v>
      </c>
      <c r="D67" s="150">
        <v>1178.9000000000001</v>
      </c>
      <c r="E67" s="150">
        <v>42440.4</v>
      </c>
      <c r="F67" s="150">
        <v>24842.7</v>
      </c>
      <c r="G67" s="151">
        <f t="shared" si="6"/>
        <v>17597.7</v>
      </c>
      <c r="H67" s="191">
        <f t="shared" si="5"/>
        <v>1.4117015291771084</v>
      </c>
    </row>
    <row r="68" spans="1:8" ht="15.75">
      <c r="A68" s="149" t="s">
        <v>307</v>
      </c>
      <c r="B68" s="150">
        <v>20</v>
      </c>
      <c r="C68" s="150">
        <v>1000</v>
      </c>
      <c r="D68" s="150">
        <v>1071</v>
      </c>
      <c r="E68" s="150">
        <v>21420</v>
      </c>
      <c r="F68" s="150">
        <v>0</v>
      </c>
      <c r="G68" s="151">
        <f t="shared" si="6"/>
        <v>21420</v>
      </c>
      <c r="H68" s="191">
        <f t="shared" si="5"/>
        <v>0</v>
      </c>
    </row>
    <row r="69" spans="1:8" ht="15.75">
      <c r="A69" s="149" t="s">
        <v>299</v>
      </c>
      <c r="B69" s="150">
        <v>49</v>
      </c>
      <c r="C69" s="150">
        <v>952.78</v>
      </c>
      <c r="D69" s="150">
        <v>903.5</v>
      </c>
      <c r="E69" s="150">
        <v>44271.5</v>
      </c>
      <c r="F69" s="150">
        <v>-2414.65</v>
      </c>
      <c r="G69" s="151">
        <f t="shared" si="6"/>
        <v>46686.15</v>
      </c>
      <c r="H69" s="191">
        <f t="shared" si="5"/>
        <v>-5.1720906521527263E-2</v>
      </c>
    </row>
    <row r="70" spans="1:8" ht="15.75">
      <c r="A70" s="149" t="s">
        <v>206</v>
      </c>
      <c r="B70" s="150">
        <v>77</v>
      </c>
      <c r="C70" s="150">
        <v>1187.58</v>
      </c>
      <c r="D70" s="150">
        <v>1432.6</v>
      </c>
      <c r="E70" s="150">
        <v>110310.2</v>
      </c>
      <c r="F70" s="150">
        <v>18866.7</v>
      </c>
      <c r="G70" s="151">
        <f t="shared" si="6"/>
        <v>91443.5</v>
      </c>
      <c r="H70" s="191">
        <f t="shared" si="5"/>
        <v>0.20632084292486619</v>
      </c>
    </row>
    <row r="71" spans="1:8" ht="15.75">
      <c r="A71" s="149" t="s">
        <v>207</v>
      </c>
      <c r="B71" s="150">
        <v>72</v>
      </c>
      <c r="C71" s="150">
        <v>355.35</v>
      </c>
      <c r="D71" s="150">
        <v>642.04999999999995</v>
      </c>
      <c r="E71" s="150">
        <v>46227.6</v>
      </c>
      <c r="F71" s="150">
        <v>20642.349999999999</v>
      </c>
      <c r="G71" s="151">
        <f t="shared" si="6"/>
        <v>25585.25</v>
      </c>
      <c r="H71" s="191">
        <f t="shared" si="5"/>
        <v>0.80680665617885294</v>
      </c>
    </row>
    <row r="72" spans="1:8" ht="15.75">
      <c r="A72" s="149" t="s">
        <v>262</v>
      </c>
      <c r="B72" s="150">
        <v>10</v>
      </c>
      <c r="C72" s="150">
        <v>5284</v>
      </c>
      <c r="D72" s="150">
        <v>6245.7</v>
      </c>
      <c r="E72" s="150">
        <v>62457</v>
      </c>
      <c r="F72" s="150">
        <v>9617</v>
      </c>
      <c r="G72" s="151">
        <f t="shared" si="6"/>
        <v>52840</v>
      </c>
      <c r="H72" s="191">
        <f t="shared" si="5"/>
        <v>0.18200227100681302</v>
      </c>
    </row>
    <row r="73" spans="1:8" ht="15.75">
      <c r="A73" s="149" t="s">
        <v>209</v>
      </c>
      <c r="B73" s="150">
        <v>5</v>
      </c>
      <c r="C73" s="150">
        <v>4802</v>
      </c>
      <c r="D73" s="150">
        <v>6244.08</v>
      </c>
      <c r="E73" s="150">
        <v>31220.400000000001</v>
      </c>
      <c r="F73" s="150">
        <v>7210.4</v>
      </c>
      <c r="G73" s="151">
        <f t="shared" si="6"/>
        <v>24010</v>
      </c>
      <c r="H73" s="191">
        <f t="shared" si="5"/>
        <v>0.3003082049146189</v>
      </c>
    </row>
    <row r="74" spans="1:8" ht="15.75">
      <c r="A74" s="149" t="s">
        <v>311</v>
      </c>
      <c r="B74" s="150">
        <v>10</v>
      </c>
      <c r="C74" s="150">
        <v>5002.45</v>
      </c>
      <c r="D74" s="150">
        <v>6230</v>
      </c>
      <c r="E74" s="150">
        <v>62300</v>
      </c>
      <c r="F74" s="150">
        <v>12275.5</v>
      </c>
      <c r="G74" s="151">
        <f t="shared" si="6"/>
        <v>50024.5</v>
      </c>
      <c r="H74" s="191">
        <f t="shared" si="5"/>
        <v>0.24538975901808113</v>
      </c>
    </row>
    <row r="75" spans="1:8" ht="15.75">
      <c r="A75" s="149" t="s">
        <v>211</v>
      </c>
      <c r="B75" s="150">
        <v>35</v>
      </c>
      <c r="C75" s="150">
        <v>984.23</v>
      </c>
      <c r="D75" s="150">
        <v>4024.7</v>
      </c>
      <c r="E75" s="150">
        <v>140864.5</v>
      </c>
      <c r="F75" s="150">
        <v>106416.45</v>
      </c>
      <c r="G75" s="151">
        <f t="shared" si="6"/>
        <v>34448.050000000003</v>
      </c>
      <c r="H75" s="191">
        <f t="shared" si="5"/>
        <v>3.0891864706420242</v>
      </c>
    </row>
    <row r="76" spans="1:8" ht="15.75">
      <c r="A76" s="149" t="s">
        <v>290</v>
      </c>
      <c r="B76" s="150">
        <v>48</v>
      </c>
      <c r="C76" s="150">
        <v>575.6</v>
      </c>
      <c r="D76" s="150">
        <v>644.5</v>
      </c>
      <c r="E76" s="150">
        <v>30936</v>
      </c>
      <c r="F76" s="150">
        <v>3307.05</v>
      </c>
      <c r="G76" s="151">
        <f t="shared" si="6"/>
        <v>27628.95</v>
      </c>
      <c r="H76" s="191">
        <f t="shared" si="5"/>
        <v>0.11969510241974451</v>
      </c>
    </row>
    <row r="77" spans="1:8" ht="15.75">
      <c r="A77" s="149" t="s">
        <v>291</v>
      </c>
      <c r="B77" s="150">
        <v>152</v>
      </c>
      <c r="C77" s="150">
        <v>547.91999999999996</v>
      </c>
      <c r="D77" s="150">
        <v>534.75</v>
      </c>
      <c r="E77" s="150">
        <v>81282</v>
      </c>
      <c r="F77" s="150">
        <v>-2001.8</v>
      </c>
      <c r="G77" s="151">
        <f t="shared" si="6"/>
        <v>83283.8</v>
      </c>
      <c r="H77" s="191">
        <f t="shared" si="5"/>
        <v>-2.4035886931191901E-2</v>
      </c>
    </row>
    <row r="78" spans="1:8" ht="15.75">
      <c r="A78" s="149" t="s">
        <v>292</v>
      </c>
      <c r="B78" s="150">
        <v>32</v>
      </c>
      <c r="C78" s="150">
        <v>752.33</v>
      </c>
      <c r="D78" s="150">
        <v>1248.9000000000001</v>
      </c>
      <c r="E78" s="150">
        <v>39964.800000000003</v>
      </c>
      <c r="F78" s="150">
        <v>15890.3</v>
      </c>
      <c r="G78" s="151">
        <f t="shared" si="6"/>
        <v>24074.500000000004</v>
      </c>
      <c r="H78" s="191">
        <f t="shared" si="5"/>
        <v>0.66004693763110334</v>
      </c>
    </row>
    <row r="79" spans="1:8" ht="15.75">
      <c r="A79" s="149" t="s">
        <v>212</v>
      </c>
      <c r="B79" s="150">
        <v>152</v>
      </c>
      <c r="C79" s="150">
        <v>574.22</v>
      </c>
      <c r="D79" s="150">
        <v>1261.5</v>
      </c>
      <c r="E79" s="150">
        <v>191748</v>
      </c>
      <c r="F79" s="150">
        <v>104465.85</v>
      </c>
      <c r="G79" s="151">
        <f t="shared" si="6"/>
        <v>87282.15</v>
      </c>
      <c r="H79" s="191">
        <f t="shared" si="5"/>
        <v>1.1968753061192925</v>
      </c>
    </row>
    <row r="80" spans="1:8" ht="15.75">
      <c r="A80" s="149" t="s">
        <v>293</v>
      </c>
      <c r="B80" s="150">
        <v>69</v>
      </c>
      <c r="C80" s="150">
        <v>373.18</v>
      </c>
      <c r="D80" s="150">
        <v>406.55</v>
      </c>
      <c r="E80" s="150">
        <v>28051.95</v>
      </c>
      <c r="F80" s="150">
        <v>2302.65</v>
      </c>
      <c r="G80" s="151">
        <f t="shared" si="6"/>
        <v>25749.3</v>
      </c>
      <c r="H80" s="191">
        <f t="shared" si="5"/>
        <v>8.9425731961645563E-2</v>
      </c>
    </row>
    <row r="81" spans="1:8" ht="15.75">
      <c r="A81" s="149" t="s">
        <v>308</v>
      </c>
      <c r="B81" s="150">
        <v>119</v>
      </c>
      <c r="C81" s="150">
        <v>507.17</v>
      </c>
      <c r="D81" s="150">
        <v>729</v>
      </c>
      <c r="E81" s="150">
        <v>86751</v>
      </c>
      <c r="F81" s="150">
        <v>26398.05</v>
      </c>
      <c r="G81" s="151">
        <f t="shared" si="6"/>
        <v>60352.95</v>
      </c>
      <c r="H81" s="191">
        <f t="shared" si="5"/>
        <v>0.43739452669670664</v>
      </c>
    </row>
    <row r="82" spans="1:8" ht="15.75">
      <c r="A82" s="149" t="s">
        <v>213</v>
      </c>
      <c r="B82" s="150">
        <v>65</v>
      </c>
      <c r="C82" s="150">
        <v>513.66</v>
      </c>
      <c r="D82" s="150">
        <v>701.45</v>
      </c>
      <c r="E82" s="150">
        <v>45594.25</v>
      </c>
      <c r="F82" s="150">
        <v>12206.15</v>
      </c>
      <c r="G82" s="151">
        <f t="shared" si="6"/>
        <v>33388.1</v>
      </c>
      <c r="H82" s="191">
        <f t="shared" si="5"/>
        <v>0.36558384574144681</v>
      </c>
    </row>
    <row r="83" spans="1:8" ht="15.75">
      <c r="A83" s="149" t="s">
        <v>214</v>
      </c>
      <c r="B83" s="150">
        <v>57</v>
      </c>
      <c r="C83" s="150">
        <v>750.26</v>
      </c>
      <c r="D83" s="150">
        <v>1086.8</v>
      </c>
      <c r="E83" s="150">
        <v>61947.6</v>
      </c>
      <c r="F83" s="150">
        <v>19183</v>
      </c>
      <c r="G83" s="151">
        <f t="shared" si="6"/>
        <v>42764.6</v>
      </c>
      <c r="H83" s="191">
        <f t="shared" si="5"/>
        <v>0.44857194969671177</v>
      </c>
    </row>
    <row r="84" spans="1:8" ht="15.75">
      <c r="A84" s="149" t="s">
        <v>267</v>
      </c>
      <c r="B84" s="150">
        <v>37</v>
      </c>
      <c r="C84" s="150">
        <v>632.20000000000005</v>
      </c>
      <c r="D84" s="150">
        <v>780.75</v>
      </c>
      <c r="E84" s="150">
        <v>28887.75</v>
      </c>
      <c r="F84" s="150">
        <v>5496.35</v>
      </c>
      <c r="G84" s="151">
        <f t="shared" si="6"/>
        <v>23391.4</v>
      </c>
      <c r="H84" s="191">
        <f t="shared" ref="H84:H115" si="7">F84/G84</f>
        <v>0.23497310977538755</v>
      </c>
    </row>
    <row r="85" spans="1:8" ht="15.75">
      <c r="A85" s="149" t="s">
        <v>302</v>
      </c>
      <c r="B85" s="150">
        <v>775</v>
      </c>
      <c r="C85" s="150">
        <v>99.29</v>
      </c>
      <c r="D85" s="150">
        <v>519.4</v>
      </c>
      <c r="E85" s="150">
        <v>402535</v>
      </c>
      <c r="F85" s="150">
        <v>325584</v>
      </c>
      <c r="G85" s="151">
        <f t="shared" si="6"/>
        <v>76951</v>
      </c>
      <c r="H85" s="191">
        <f t="shared" si="7"/>
        <v>4.2310561266260347</v>
      </c>
    </row>
    <row r="86" spans="1:8" ht="15.75">
      <c r="A86" s="149" t="s">
        <v>215</v>
      </c>
      <c r="B86" s="150">
        <v>1050</v>
      </c>
      <c r="C86" s="150">
        <v>40.479999999999997</v>
      </c>
      <c r="D86" s="150">
        <v>139.6</v>
      </c>
      <c r="E86" s="150">
        <v>146580</v>
      </c>
      <c r="F86" s="150">
        <v>104079.75</v>
      </c>
      <c r="G86" s="151">
        <f t="shared" si="6"/>
        <v>42500.25</v>
      </c>
      <c r="H86" s="191">
        <f t="shared" si="7"/>
        <v>2.4489208887006546</v>
      </c>
    </row>
    <row r="87" spans="1:8" ht="15.75">
      <c r="A87" s="149" t="s">
        <v>216</v>
      </c>
      <c r="B87" s="150">
        <v>27</v>
      </c>
      <c r="C87" s="150">
        <v>3410.37</v>
      </c>
      <c r="D87" s="150">
        <v>3794.95</v>
      </c>
      <c r="E87" s="150">
        <v>102463.65</v>
      </c>
      <c r="F87" s="150">
        <v>10383.6</v>
      </c>
      <c r="G87" s="151">
        <f t="shared" si="6"/>
        <v>92080.049999999988</v>
      </c>
      <c r="H87" s="191">
        <f t="shared" si="7"/>
        <v>0.11276709775896084</v>
      </c>
    </row>
    <row r="88" spans="1:8" ht="15.75">
      <c r="A88" s="149" t="s">
        <v>217</v>
      </c>
      <c r="B88" s="150">
        <v>24</v>
      </c>
      <c r="C88" s="150">
        <v>2584.4</v>
      </c>
      <c r="D88" s="150">
        <v>3675.95</v>
      </c>
      <c r="E88" s="150">
        <v>88222.8</v>
      </c>
      <c r="F88" s="150">
        <v>26197.200000000001</v>
      </c>
      <c r="G88" s="151">
        <f t="shared" si="6"/>
        <v>62025.600000000006</v>
      </c>
      <c r="H88" s="191">
        <f t="shared" si="7"/>
        <v>0.42236108961461072</v>
      </c>
    </row>
    <row r="89" spans="1:8" ht="15.75">
      <c r="A89" s="149" t="s">
        <v>220</v>
      </c>
      <c r="B89" s="150">
        <v>61</v>
      </c>
      <c r="C89" s="150">
        <v>401.11</v>
      </c>
      <c r="D89" s="150">
        <v>687.65</v>
      </c>
      <c r="E89" s="150">
        <v>41946.65</v>
      </c>
      <c r="F89" s="150">
        <v>17478.900000000001</v>
      </c>
      <c r="G89" s="151">
        <f t="shared" si="6"/>
        <v>24467.75</v>
      </c>
      <c r="H89" s="191">
        <f t="shared" si="7"/>
        <v>0.71436482717045913</v>
      </c>
    </row>
    <row r="90" spans="1:8" ht="15.75">
      <c r="A90" s="149" t="s">
        <v>221</v>
      </c>
      <c r="B90" s="150">
        <v>36</v>
      </c>
      <c r="C90" s="150">
        <v>120.1</v>
      </c>
      <c r="D90" s="150">
        <v>1236.9000000000001</v>
      </c>
      <c r="E90" s="150">
        <v>44528.4</v>
      </c>
      <c r="F90" s="150">
        <v>40204.75</v>
      </c>
      <c r="G90" s="151">
        <f t="shared" si="6"/>
        <v>4323.6500000000015</v>
      </c>
      <c r="H90" s="191">
        <f t="shared" si="7"/>
        <v>9.298798468886238</v>
      </c>
    </row>
    <row r="91" spans="1:8" ht="15.75">
      <c r="A91" s="149" t="s">
        <v>300</v>
      </c>
      <c r="B91" s="150">
        <v>525</v>
      </c>
      <c r="C91" s="150">
        <v>38.97</v>
      </c>
      <c r="D91" s="150">
        <v>21.46</v>
      </c>
      <c r="E91" s="150">
        <v>11266.5</v>
      </c>
      <c r="F91" s="150">
        <v>-9191</v>
      </c>
      <c r="G91" s="151">
        <f t="shared" si="6"/>
        <v>20457.5</v>
      </c>
      <c r="H91" s="191">
        <f t="shared" si="7"/>
        <v>-0.44927288280581695</v>
      </c>
    </row>
    <row r="92" spans="1:8" ht="15.75">
      <c r="A92" s="149" t="s">
        <v>309</v>
      </c>
      <c r="B92" s="150">
        <v>43</v>
      </c>
      <c r="C92" s="150">
        <v>1818.46</v>
      </c>
      <c r="D92" s="150">
        <v>1682.15</v>
      </c>
      <c r="E92" s="150">
        <v>72332.45</v>
      </c>
      <c r="F92" s="150">
        <v>-5861.5</v>
      </c>
      <c r="G92" s="151">
        <f t="shared" si="6"/>
        <v>78193.95</v>
      </c>
      <c r="H92" s="191">
        <f t="shared" si="7"/>
        <v>-7.4961042382434964E-2</v>
      </c>
    </row>
    <row r="93" spans="1:8" ht="16.5">
      <c r="A93" s="149"/>
      <c r="B93" s="150"/>
      <c r="C93" s="150"/>
      <c r="D93" s="150"/>
      <c r="E93" s="150"/>
      <c r="F93" s="150"/>
      <c r="G93" s="151">
        <f t="shared" si="6"/>
        <v>0</v>
      </c>
      <c r="H93" s="191"/>
    </row>
    <row r="94" spans="1:8" ht="16.5">
      <c r="A94" s="149"/>
      <c r="B94" s="150"/>
      <c r="C94" s="150"/>
      <c r="D94" s="150"/>
      <c r="E94" s="150"/>
      <c r="F94" s="150"/>
      <c r="G94" s="151">
        <f t="shared" si="6"/>
        <v>0</v>
      </c>
      <c r="H94" s="191"/>
    </row>
    <row r="95" spans="1:8" ht="16.5">
      <c r="A95" s="149"/>
      <c r="B95" s="150"/>
      <c r="C95" s="150"/>
      <c r="D95" s="150"/>
      <c r="E95" s="150"/>
      <c r="F95" s="150"/>
      <c r="G95" s="151">
        <f t="shared" ref="G95:G97" si="8">E95-F95</f>
        <v>0</v>
      </c>
      <c r="H95" s="191"/>
    </row>
    <row r="96" spans="1:8" ht="16.5">
      <c r="A96" s="149"/>
      <c r="B96" s="150"/>
      <c r="C96" s="150"/>
      <c r="D96" s="150"/>
      <c r="E96" s="150"/>
      <c r="F96" s="150"/>
      <c r="G96" s="151">
        <f t="shared" si="8"/>
        <v>0</v>
      </c>
      <c r="H96" s="191"/>
    </row>
    <row r="97" spans="1:8" ht="16.5">
      <c r="A97" s="149"/>
      <c r="B97" s="150"/>
      <c r="C97" s="150"/>
      <c r="D97" s="150"/>
      <c r="E97" s="150"/>
      <c r="F97" s="150"/>
      <c r="G97" s="151">
        <f t="shared" si="8"/>
        <v>0</v>
      </c>
      <c r="H97" s="191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9738</v>
      </c>
      <c r="C104" s="45"/>
      <c r="D104" s="45"/>
      <c r="E104" s="45">
        <f>SUM(E2:E103)</f>
        <v>6684293.1800000016</v>
      </c>
      <c r="F104" s="45">
        <f>SUM(F2:F103)</f>
        <v>2536595.1300000004</v>
      </c>
      <c r="G104" s="45">
        <f>SUM(G2:G103)</f>
        <v>4147698.05</v>
      </c>
      <c r="H104" s="176">
        <f>F104/G104</f>
        <v>0.61156697026197471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CD4F-0A1D-446F-AB05-5EDF1B98D989}">
  <dimension ref="A1:I18"/>
  <sheetViews>
    <sheetView workbookViewId="0">
      <selection activeCell="A2" sqref="A2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93.93</v>
      </c>
      <c r="E2">
        <v>68.607799999999997</v>
      </c>
      <c r="F2" s="188">
        <v>279986.10960000003</v>
      </c>
      <c r="G2" s="188">
        <v>383325.13640000002</v>
      </c>
      <c r="H2" s="188">
        <v>103339.02680000001</v>
      </c>
      <c r="I2" s="192">
        <f>H2/F2</f>
        <v>0.36908626269936928</v>
      </c>
    </row>
    <row r="3" spans="1:9">
      <c r="A3" s="168" t="s">
        <v>236</v>
      </c>
      <c r="B3" t="s">
        <v>237</v>
      </c>
      <c r="C3" s="188">
        <v>14235.332</v>
      </c>
      <c r="D3">
        <v>94.08</v>
      </c>
      <c r="E3">
        <v>47.766100000000002</v>
      </c>
      <c r="F3" s="188">
        <v>679966.92570000002</v>
      </c>
      <c r="G3" s="188">
        <v>1339260.0345999999</v>
      </c>
      <c r="H3" s="188">
        <v>659293.10889999999</v>
      </c>
      <c r="I3" s="192">
        <f t="shared" ref="I3:I18" si="0">H3/F3</f>
        <v>0.96959584941765053</v>
      </c>
    </row>
    <row r="4" spans="1:9">
      <c r="A4" s="168" t="s">
        <v>238</v>
      </c>
      <c r="B4" t="s">
        <v>237</v>
      </c>
      <c r="C4" s="188">
        <v>16973.846000000001</v>
      </c>
      <c r="D4">
        <v>33.99</v>
      </c>
      <c r="E4">
        <v>27.982800000000001</v>
      </c>
      <c r="F4" s="188">
        <v>474976.27490000002</v>
      </c>
      <c r="G4" s="188">
        <v>576941.02549999999</v>
      </c>
      <c r="H4" s="188">
        <v>101964.7506</v>
      </c>
      <c r="I4" s="192">
        <f t="shared" si="0"/>
        <v>0.21467335525646483</v>
      </c>
    </row>
    <row r="5" spans="1:9">
      <c r="A5" s="168" t="s">
        <v>303</v>
      </c>
      <c r="B5" t="s">
        <v>241</v>
      </c>
      <c r="C5" s="188">
        <v>1857.5519999999999</v>
      </c>
      <c r="D5">
        <v>629.80250000000001</v>
      </c>
      <c r="E5">
        <v>366.02140000000003</v>
      </c>
      <c r="F5" s="188">
        <v>679903.69869999995</v>
      </c>
      <c r="G5" s="188">
        <v>1169890.8935</v>
      </c>
      <c r="H5" s="188">
        <v>489987.1948</v>
      </c>
      <c r="I5" s="192">
        <f t="shared" si="0"/>
        <v>0.72067146529261861</v>
      </c>
    </row>
    <row r="6" spans="1:9">
      <c r="A6" s="168" t="s">
        <v>242</v>
      </c>
      <c r="B6" t="s">
        <v>237</v>
      </c>
      <c r="C6" s="188">
        <v>4306.576</v>
      </c>
      <c r="D6">
        <v>124.736</v>
      </c>
      <c r="E6">
        <v>44.3917</v>
      </c>
      <c r="F6" s="188">
        <v>191176.2298</v>
      </c>
      <c r="G6" s="188">
        <v>537185.06389999995</v>
      </c>
      <c r="H6" s="188">
        <v>346008.83409999998</v>
      </c>
      <c r="I6" s="192">
        <f t="shared" si="0"/>
        <v>1.8098946425608398</v>
      </c>
    </row>
    <row r="7" spans="1:9">
      <c r="A7" s="168" t="s">
        <v>272</v>
      </c>
      <c r="B7" t="s">
        <v>235</v>
      </c>
      <c r="C7" s="188">
        <v>5805.7370000000001</v>
      </c>
      <c r="D7">
        <v>109.04</v>
      </c>
      <c r="E7">
        <v>41.940399999999997</v>
      </c>
      <c r="F7" s="188">
        <v>243495.1642</v>
      </c>
      <c r="G7" s="188">
        <v>633057.5625</v>
      </c>
      <c r="H7" s="188">
        <v>389562.3982</v>
      </c>
      <c r="I7" s="192">
        <f t="shared" si="0"/>
        <v>1.5998773506648556</v>
      </c>
    </row>
    <row r="8" spans="1:9">
      <c r="A8" s="168" t="s">
        <v>244</v>
      </c>
      <c r="B8" t="s">
        <v>233</v>
      </c>
      <c r="C8" s="188">
        <v>5841.7389999999996</v>
      </c>
      <c r="D8">
        <v>27.669699999999999</v>
      </c>
      <c r="E8">
        <v>23.964300000000001</v>
      </c>
      <c r="F8" s="188">
        <v>139992.99739999999</v>
      </c>
      <c r="G8" s="188">
        <v>161639.16560000001</v>
      </c>
      <c r="H8" s="188">
        <v>21646.1682</v>
      </c>
      <c r="I8" s="192">
        <f t="shared" si="0"/>
        <v>0.15462322117549004</v>
      </c>
    </row>
    <row r="9" spans="1:9">
      <c r="A9" s="168" t="s">
        <v>273</v>
      </c>
      <c r="B9" t="s">
        <v>233</v>
      </c>
      <c r="C9" s="188">
        <v>71936.569000000003</v>
      </c>
      <c r="D9">
        <v>11.819599999999999</v>
      </c>
      <c r="E9">
        <v>9.5218000000000007</v>
      </c>
      <c r="F9" s="188">
        <v>684965.73959999997</v>
      </c>
      <c r="G9" s="188">
        <v>850261.47100000002</v>
      </c>
      <c r="H9" s="188">
        <v>165295.73130000001</v>
      </c>
      <c r="I9" s="192">
        <f t="shared" si="0"/>
        <v>0.24131970658346782</v>
      </c>
    </row>
    <row r="10" spans="1:9">
      <c r="A10" s="168" t="s">
        <v>246</v>
      </c>
      <c r="B10" t="s">
        <v>241</v>
      </c>
      <c r="C10" s="188">
        <v>46220.9</v>
      </c>
      <c r="D10">
        <v>13.0152</v>
      </c>
      <c r="E10">
        <v>11.476900000000001</v>
      </c>
      <c r="F10" s="188">
        <v>530473.47840000002</v>
      </c>
      <c r="G10" s="188">
        <v>601574.25769999996</v>
      </c>
      <c r="H10" s="188">
        <v>71100.779200000004</v>
      </c>
      <c r="I10" s="192">
        <f t="shared" si="0"/>
        <v>0.13403267476152111</v>
      </c>
    </row>
    <row r="11" spans="1:9">
      <c r="A11" s="168" t="s">
        <v>247</v>
      </c>
      <c r="B11" t="s">
        <v>241</v>
      </c>
      <c r="C11" s="188">
        <v>8783.1219999999994</v>
      </c>
      <c r="D11">
        <v>11.431800000000001</v>
      </c>
      <c r="E11">
        <v>10.3033</v>
      </c>
      <c r="F11" s="188">
        <v>90495.4712</v>
      </c>
      <c r="G11" s="188">
        <v>100406.8941</v>
      </c>
      <c r="H11" s="188">
        <v>9911.4228000000003</v>
      </c>
      <c r="I11" s="192">
        <f t="shared" si="0"/>
        <v>0.10952396477493562</v>
      </c>
    </row>
    <row r="12" spans="1:9">
      <c r="A12" s="168" t="s">
        <v>250</v>
      </c>
      <c r="B12" t="s">
        <v>251</v>
      </c>
      <c r="C12" s="188">
        <v>19397.659</v>
      </c>
      <c r="D12">
        <v>67.006699999999995</v>
      </c>
      <c r="E12">
        <v>44.640599999999999</v>
      </c>
      <c r="F12" s="188">
        <v>865923.00470000005</v>
      </c>
      <c r="G12" s="188">
        <v>1299773.1173</v>
      </c>
      <c r="H12" s="188">
        <v>433850.11259999999</v>
      </c>
      <c r="I12" s="192">
        <f t="shared" si="0"/>
        <v>0.50102620007226606</v>
      </c>
    </row>
    <row r="13" spans="1:9">
      <c r="A13" s="168" t="s">
        <v>274</v>
      </c>
      <c r="B13" t="s">
        <v>233</v>
      </c>
      <c r="C13" s="188">
        <v>6809.741</v>
      </c>
      <c r="D13">
        <v>37.97</v>
      </c>
      <c r="E13">
        <v>35.241999999999997</v>
      </c>
      <c r="F13" s="188">
        <v>239988.8371</v>
      </c>
      <c r="G13" s="188">
        <v>258565.8658</v>
      </c>
      <c r="H13" s="188">
        <v>18577.028699999999</v>
      </c>
      <c r="I13" s="192">
        <f t="shared" si="0"/>
        <v>7.7407886652074612E-2</v>
      </c>
    </row>
    <row r="14" spans="1:9">
      <c r="A14" s="168" t="s">
        <v>253</v>
      </c>
      <c r="B14" t="s">
        <v>235</v>
      </c>
      <c r="C14" s="188">
        <v>2450.4349999999999</v>
      </c>
      <c r="D14">
        <v>195.4307</v>
      </c>
      <c r="E14">
        <v>147.05119999999999</v>
      </c>
      <c r="F14" s="188">
        <v>360339.36119999998</v>
      </c>
      <c r="G14" s="188">
        <v>478890.22739999997</v>
      </c>
      <c r="H14" s="188">
        <v>118550.8661</v>
      </c>
      <c r="I14" s="192">
        <f t="shared" si="0"/>
        <v>0.32899782500918751</v>
      </c>
    </row>
    <row r="15" spans="1:9">
      <c r="A15" s="168" t="s">
        <v>255</v>
      </c>
      <c r="B15" t="s">
        <v>241</v>
      </c>
      <c r="C15" s="188">
        <v>18996.168000000001</v>
      </c>
      <c r="D15">
        <v>17.761700000000001</v>
      </c>
      <c r="E15">
        <v>9.4700000000000006</v>
      </c>
      <c r="F15" s="188">
        <v>179893.71100000001</v>
      </c>
      <c r="G15" s="188">
        <v>337404.23719999997</v>
      </c>
      <c r="H15" s="188">
        <v>157510.52619999999</v>
      </c>
      <c r="I15" s="192">
        <f t="shared" si="0"/>
        <v>0.87557550135813245</v>
      </c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227696.34200000003</v>
      </c>
      <c r="D18" s="75"/>
      <c r="E18" s="75"/>
      <c r="F18" s="75">
        <f t="shared" ref="F18:H18" si="1">SUM(F2:F15)</f>
        <v>5641577.0035000006</v>
      </c>
      <c r="G18" s="75">
        <f t="shared" si="1"/>
        <v>8728174.9524999987</v>
      </c>
      <c r="H18" s="75">
        <f t="shared" si="1"/>
        <v>3086597.9485000009</v>
      </c>
      <c r="I18" s="53">
        <f t="shared" si="0"/>
        <v>0.54711616035464805</v>
      </c>
    </row>
  </sheetData>
  <hyperlinks>
    <hyperlink ref="A2" r:id="rId1" location="/mf/1831632/15690/NULL" xr:uid="{88225E64-E8CA-42AE-9DE3-975127CCF35D}"/>
    <hyperlink ref="A3" r:id="rId2" location="/mf/1831632/22335/NULL" xr:uid="{1EF58C12-34D3-4A8A-B55F-E58A220BEEC6}"/>
    <hyperlink ref="A4" r:id="rId3" location="/mf/1831632/38817/NULL" xr:uid="{6DAAAC17-DB76-4498-9BD0-6D1A83CD9E39}"/>
    <hyperlink ref="A5" r:id="rId4" location="/mf/1831632/16071/NULL" xr:uid="{D8C78383-C5EB-4957-9C7E-A8BD04EE2194}"/>
    <hyperlink ref="A6" r:id="rId5" location="/mf/1831632/16617/NULL" xr:uid="{E8D4C564-87E8-45F2-8CDF-43AD436CE0D8}"/>
    <hyperlink ref="A7" r:id="rId6" location="/mf/1831632/17134/NULL" xr:uid="{C56F0D3C-46A0-4AD7-A5E8-7F8338B85CDA}"/>
    <hyperlink ref="A8" r:id="rId7" location="/mf/1831632/38228/NULL" xr:uid="{8C12138D-AF69-4A13-9C4D-303D4DAD688D}"/>
    <hyperlink ref="A9" r:id="rId8" location="/mf/1831632/42135/NULL" xr:uid="{96BD89A8-0059-46DD-9ED0-9E6DA16836DC}"/>
    <hyperlink ref="A10" r:id="rId9" location="/mf/1831632/41574/NULL" xr:uid="{7F0EE00F-698A-4D19-BBE6-2BE449868BD5}"/>
    <hyperlink ref="A11" r:id="rId10" location="/mf/1831632/41937/NULL" xr:uid="{1C07D0EE-A8BC-49F1-A225-F8DFDA90798C}"/>
    <hyperlink ref="A12" r:id="rId11" location="/mf/1831632/19701/NULL" xr:uid="{201E0488-A290-46C9-A7C8-D9D4C3E78C63}"/>
    <hyperlink ref="A13" r:id="rId12" location="/mf/1831632/17348/NULL" xr:uid="{AEBDC4B4-5106-407D-BBE2-42DE8E113301}"/>
    <hyperlink ref="A14" r:id="rId13" location="/mf/1831632/17375/NULL" xr:uid="{965D26A8-81E1-4E6A-821A-0C80E1F1AD8E}"/>
    <hyperlink ref="A15" r:id="rId14" location="/mf/1831632/36491/NULL" xr:uid="{C5A47B64-036A-4BFC-8DDE-E53E672BFACE}"/>
  </hyperlinks>
  <pageMargins left="0.7" right="0.7" top="0.75" bottom="0.75" header="0.3" footer="0.3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57D5-800C-4740-BDA3-74331D4DD6AE}">
  <dimension ref="A1:I104"/>
  <sheetViews>
    <sheetView workbookViewId="0">
      <pane xSplit="1" ySplit="1" topLeftCell="B97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143</v>
      </c>
      <c r="B2" s="150">
        <v>100</v>
      </c>
      <c r="C2" s="150">
        <v>109.73</v>
      </c>
      <c r="D2" s="150">
        <v>104.5</v>
      </c>
      <c r="E2" s="150">
        <v>10450</v>
      </c>
      <c r="F2" s="150">
        <v>-522.5</v>
      </c>
      <c r="G2" s="151">
        <f t="shared" ref="G2:G33" si="0">E2-F2</f>
        <v>10972.5</v>
      </c>
      <c r="H2" s="191">
        <f t="shared" ref="H2:H14" si="1">F2/G2</f>
        <v>-4.7619047619047616E-2</v>
      </c>
    </row>
    <row r="3" spans="1:8" ht="15.75">
      <c r="A3" s="149" t="s">
        <v>259</v>
      </c>
      <c r="B3" s="150">
        <v>13</v>
      </c>
      <c r="C3" s="150">
        <v>133.75</v>
      </c>
      <c r="D3" s="150">
        <v>617.29999999999995</v>
      </c>
      <c r="E3" s="150">
        <v>8024.9</v>
      </c>
      <c r="F3" s="150">
        <v>6286.15</v>
      </c>
      <c r="G3" s="151">
        <f t="shared" si="0"/>
        <v>1738.75</v>
      </c>
      <c r="H3" s="191">
        <f t="shared" si="1"/>
        <v>3.6153271028037381</v>
      </c>
    </row>
    <row r="4" spans="1:8" ht="15.75">
      <c r="A4" s="149" t="s">
        <v>144</v>
      </c>
      <c r="B4" s="150">
        <v>25</v>
      </c>
      <c r="C4" s="150">
        <v>813.47</v>
      </c>
      <c r="D4" s="150">
        <v>1963</v>
      </c>
      <c r="E4" s="150">
        <v>49075</v>
      </c>
      <c r="F4" s="150">
        <v>28738.35</v>
      </c>
      <c r="G4" s="151">
        <f t="shared" si="0"/>
        <v>20336.650000000001</v>
      </c>
      <c r="H4" s="191">
        <f t="shared" si="1"/>
        <v>1.4131309728986827</v>
      </c>
    </row>
    <row r="5" spans="1:8" ht="15.75">
      <c r="A5" s="149" t="s">
        <v>145</v>
      </c>
      <c r="B5" s="150">
        <v>250</v>
      </c>
      <c r="C5" s="150">
        <v>183.59</v>
      </c>
      <c r="D5" s="150">
        <v>442.45</v>
      </c>
      <c r="E5" s="150">
        <v>110612.5</v>
      </c>
      <c r="F5" s="150">
        <v>64715</v>
      </c>
      <c r="G5" s="151">
        <f t="shared" si="0"/>
        <v>45897.5</v>
      </c>
      <c r="H5" s="191">
        <f t="shared" si="1"/>
        <v>1.409989650852443</v>
      </c>
    </row>
    <row r="6" spans="1:8" ht="15.75">
      <c r="A6" s="149" t="s">
        <v>275</v>
      </c>
      <c r="B6" s="150">
        <v>165</v>
      </c>
      <c r="C6" s="150">
        <v>160.15</v>
      </c>
      <c r="D6" s="150">
        <v>176.35</v>
      </c>
      <c r="E6" s="150">
        <v>29097.75</v>
      </c>
      <c r="F6" s="150">
        <v>2673</v>
      </c>
      <c r="G6" s="151">
        <f t="shared" si="0"/>
        <v>26424.75</v>
      </c>
      <c r="H6" s="191">
        <f t="shared" si="1"/>
        <v>0.10115516703090853</v>
      </c>
    </row>
    <row r="7" spans="1:8" ht="15.75">
      <c r="A7" s="149" t="s">
        <v>276</v>
      </c>
      <c r="B7" s="150">
        <v>28</v>
      </c>
      <c r="C7" s="150">
        <v>2757.87</v>
      </c>
      <c r="D7" s="150">
        <v>3173.4</v>
      </c>
      <c r="E7" s="150">
        <v>88855.2</v>
      </c>
      <c r="F7" s="150">
        <v>11634.8</v>
      </c>
      <c r="G7" s="151">
        <f t="shared" si="0"/>
        <v>77220.399999999994</v>
      </c>
      <c r="H7" s="191">
        <f t="shared" si="1"/>
        <v>0.15067003019927377</v>
      </c>
    </row>
    <row r="8" spans="1:8" ht="15.75">
      <c r="A8" s="149" t="s">
        <v>277</v>
      </c>
      <c r="B8" s="150">
        <v>72</v>
      </c>
      <c r="C8" s="150">
        <v>578.16999999999996</v>
      </c>
      <c r="D8" s="150">
        <v>742.45</v>
      </c>
      <c r="E8" s="150">
        <v>53456.4</v>
      </c>
      <c r="F8" s="150">
        <v>11828.2</v>
      </c>
      <c r="G8" s="151">
        <f t="shared" si="0"/>
        <v>41628.199999999997</v>
      </c>
      <c r="H8" s="191">
        <f t="shared" si="1"/>
        <v>0.28413911723302959</v>
      </c>
    </row>
    <row r="9" spans="1:8" ht="15.75">
      <c r="A9" s="149" t="s">
        <v>146</v>
      </c>
      <c r="B9" s="150">
        <v>73</v>
      </c>
      <c r="C9" s="150">
        <v>665.52</v>
      </c>
      <c r="D9" s="150">
        <v>1104.6500000000001</v>
      </c>
      <c r="E9" s="150">
        <v>80639.45</v>
      </c>
      <c r="F9" s="150">
        <v>32056.25</v>
      </c>
      <c r="G9" s="151">
        <f t="shared" si="0"/>
        <v>48583.199999999997</v>
      </c>
      <c r="H9" s="191">
        <f t="shared" si="1"/>
        <v>0.65982170791549344</v>
      </c>
    </row>
    <row r="10" spans="1:8" ht="15.75">
      <c r="A10" s="149" t="s">
        <v>147</v>
      </c>
      <c r="B10" s="150">
        <v>21</v>
      </c>
      <c r="C10" s="150">
        <v>2946.68</v>
      </c>
      <c r="D10" s="150">
        <v>6042.3</v>
      </c>
      <c r="E10" s="150">
        <v>126888.3</v>
      </c>
      <c r="F10" s="150">
        <v>65008.05</v>
      </c>
      <c r="G10" s="151">
        <f t="shared" si="0"/>
        <v>61880.25</v>
      </c>
      <c r="H10" s="191">
        <f t="shared" si="1"/>
        <v>1.0505460142775764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7259.35</v>
      </c>
      <c r="E11" s="150">
        <v>58074.8</v>
      </c>
      <c r="F11" s="150">
        <v>4226.45</v>
      </c>
      <c r="G11" s="151">
        <f t="shared" si="0"/>
        <v>53848.350000000006</v>
      </c>
      <c r="H11" s="191">
        <f t="shared" si="1"/>
        <v>7.8488013096037285E-2</v>
      </c>
    </row>
    <row r="12" spans="1:8" ht="15.75">
      <c r="A12" s="149" t="s">
        <v>149</v>
      </c>
      <c r="B12" s="150">
        <v>12</v>
      </c>
      <c r="C12" s="150">
        <v>2238.41</v>
      </c>
      <c r="D12" s="150">
        <v>2559.6999999999998</v>
      </c>
      <c r="E12" s="150">
        <v>30716.400000000001</v>
      </c>
      <c r="F12" s="150">
        <v>3855.5</v>
      </c>
      <c r="G12" s="151">
        <f t="shared" si="0"/>
        <v>26860.9</v>
      </c>
      <c r="H12" s="191">
        <f t="shared" si="1"/>
        <v>0.1435357713256071</v>
      </c>
    </row>
    <row r="13" spans="1:8" ht="15.75">
      <c r="A13" s="149" t="s">
        <v>150</v>
      </c>
      <c r="B13" s="150">
        <v>184</v>
      </c>
      <c r="C13" s="150">
        <v>185</v>
      </c>
      <c r="D13" s="150">
        <v>201.85</v>
      </c>
      <c r="E13" s="150">
        <v>37140.400000000001</v>
      </c>
      <c r="F13" s="150">
        <v>3100.4</v>
      </c>
      <c r="G13" s="151">
        <f t="shared" si="0"/>
        <v>34040</v>
      </c>
      <c r="H13" s="191">
        <f t="shared" si="1"/>
        <v>9.1081081081081081E-2</v>
      </c>
    </row>
    <row r="14" spans="1:8" ht="15.75">
      <c r="A14" s="149" t="s">
        <v>152</v>
      </c>
      <c r="B14" s="150">
        <v>180</v>
      </c>
      <c r="C14" s="150">
        <v>322.89</v>
      </c>
      <c r="D14" s="150">
        <v>1014.7</v>
      </c>
      <c r="E14" s="150">
        <v>182646</v>
      </c>
      <c r="F14" s="150">
        <v>124526</v>
      </c>
      <c r="G14" s="151">
        <f t="shared" si="0"/>
        <v>58120</v>
      </c>
      <c r="H14" s="191">
        <f t="shared" si="1"/>
        <v>2.1425671025464554</v>
      </c>
    </row>
    <row r="15" spans="1:8" ht="15.75">
      <c r="A15" s="149" t="s">
        <v>153</v>
      </c>
      <c r="B15" s="150">
        <v>61</v>
      </c>
      <c r="C15" s="150">
        <v>427.78</v>
      </c>
      <c r="D15" s="150">
        <v>838.55</v>
      </c>
      <c r="E15" s="150">
        <v>51151.55</v>
      </c>
      <c r="F15" s="150">
        <v>25056.95</v>
      </c>
      <c r="G15" s="151">
        <f t="shared" si="0"/>
        <v>26094.600000000002</v>
      </c>
      <c r="H15" s="191">
        <f t="shared" ref="H15:H17" si="2">F15/G15</f>
        <v>0.96023506779180356</v>
      </c>
    </row>
    <row r="16" spans="1:8" ht="16.5">
      <c r="A16" s="149" t="s">
        <v>304</v>
      </c>
      <c r="B16" s="150">
        <v>6</v>
      </c>
      <c r="C16" s="150">
        <v>0</v>
      </c>
      <c r="D16" s="150">
        <v>29.34</v>
      </c>
      <c r="E16" s="150">
        <v>176.04</v>
      </c>
      <c r="F16" s="150">
        <v>176.04</v>
      </c>
      <c r="G16" s="151">
        <f t="shared" si="0"/>
        <v>0</v>
      </c>
      <c r="H16" s="191"/>
    </row>
    <row r="17" spans="1:8" ht="15.75">
      <c r="A17" s="149" t="s">
        <v>154</v>
      </c>
      <c r="B17" s="150">
        <v>14</v>
      </c>
      <c r="C17" s="150">
        <v>3489.94</v>
      </c>
      <c r="D17" s="150">
        <v>4970.75</v>
      </c>
      <c r="E17" s="150">
        <v>69590.5</v>
      </c>
      <c r="F17" s="150">
        <v>20731.400000000001</v>
      </c>
      <c r="G17" s="151">
        <f t="shared" si="0"/>
        <v>48859.1</v>
      </c>
      <c r="H17" s="191">
        <f t="shared" si="2"/>
        <v>0.42430990337521574</v>
      </c>
    </row>
    <row r="18" spans="1:8" ht="15.75">
      <c r="A18" s="149" t="s">
        <v>155</v>
      </c>
      <c r="B18" s="150">
        <v>180</v>
      </c>
      <c r="C18" s="150">
        <v>155.25</v>
      </c>
      <c r="D18" s="150">
        <v>140.15</v>
      </c>
      <c r="E18" s="150">
        <v>25227</v>
      </c>
      <c r="F18" s="150">
        <v>-2718</v>
      </c>
      <c r="G18" s="151">
        <f t="shared" si="0"/>
        <v>27945</v>
      </c>
      <c r="H18" s="191">
        <f t="shared" ref="H18:H19" si="3">F18/G18</f>
        <v>-9.726247987117552E-2</v>
      </c>
    </row>
    <row r="19" spans="1:8" ht="15.75">
      <c r="A19" s="149" t="s">
        <v>156</v>
      </c>
      <c r="B19" s="150">
        <v>47</v>
      </c>
      <c r="C19" s="150">
        <v>193.53</v>
      </c>
      <c r="D19" s="150">
        <v>485</v>
      </c>
      <c r="E19" s="150">
        <v>22795</v>
      </c>
      <c r="F19" s="150">
        <v>13699.1</v>
      </c>
      <c r="G19" s="151">
        <f t="shared" si="0"/>
        <v>9095.9</v>
      </c>
      <c r="H19" s="191">
        <f t="shared" si="3"/>
        <v>1.5060741652832597</v>
      </c>
    </row>
    <row r="20" spans="1:8" ht="15.75">
      <c r="A20" s="149" t="s">
        <v>157</v>
      </c>
      <c r="B20" s="150">
        <v>35</v>
      </c>
      <c r="C20" s="150">
        <v>827.34</v>
      </c>
      <c r="D20" s="150">
        <v>1205.8499999999999</v>
      </c>
      <c r="E20" s="150">
        <v>42204.75</v>
      </c>
      <c r="F20" s="150">
        <v>13247.9</v>
      </c>
      <c r="G20" s="151">
        <f t="shared" si="0"/>
        <v>28956.85</v>
      </c>
      <c r="H20" s="191">
        <f t="shared" ref="H20:H51" si="4">F20/G20</f>
        <v>0.45750487363093706</v>
      </c>
    </row>
    <row r="21" spans="1:8" ht="15.75">
      <c r="A21" s="149" t="s">
        <v>158</v>
      </c>
      <c r="B21" s="150">
        <v>470</v>
      </c>
      <c r="C21" s="150">
        <v>194.39</v>
      </c>
      <c r="D21" s="150">
        <v>346.65</v>
      </c>
      <c r="E21" s="150">
        <v>162925.5</v>
      </c>
      <c r="F21" s="150">
        <v>71562</v>
      </c>
      <c r="G21" s="151">
        <f t="shared" si="0"/>
        <v>91363.5</v>
      </c>
      <c r="H21" s="191">
        <f t="shared" si="4"/>
        <v>0.78326684069677721</v>
      </c>
    </row>
    <row r="22" spans="1:8" ht="15.75">
      <c r="A22" s="149" t="s">
        <v>159</v>
      </c>
      <c r="B22" s="150">
        <v>10</v>
      </c>
      <c r="C22" s="150">
        <v>4083.04</v>
      </c>
      <c r="D22" s="150">
        <v>5714.6</v>
      </c>
      <c r="E22" s="150">
        <v>57146</v>
      </c>
      <c r="F22" s="150">
        <v>16315.6</v>
      </c>
      <c r="G22" s="151">
        <f t="shared" si="0"/>
        <v>40830.400000000001</v>
      </c>
      <c r="H22" s="191">
        <f t="shared" si="4"/>
        <v>0.39959441984403776</v>
      </c>
    </row>
    <row r="23" spans="1:8" ht="15.75">
      <c r="A23" s="149" t="s">
        <v>160</v>
      </c>
      <c r="B23" s="150">
        <v>32</v>
      </c>
      <c r="C23" s="150">
        <v>1549.21</v>
      </c>
      <c r="D23" s="150">
        <v>2279.25</v>
      </c>
      <c r="E23" s="150">
        <v>72936</v>
      </c>
      <c r="F23" s="150">
        <v>23361.15</v>
      </c>
      <c r="G23" s="151">
        <f t="shared" si="0"/>
        <v>49574.85</v>
      </c>
      <c r="H23" s="191">
        <f t="shared" si="4"/>
        <v>0.47122986756389584</v>
      </c>
    </row>
    <row r="24" spans="1:8" ht="15.75">
      <c r="A24" s="149" t="s">
        <v>279</v>
      </c>
      <c r="B24" s="150">
        <v>83</v>
      </c>
      <c r="C24" s="150">
        <v>560.16999999999996</v>
      </c>
      <c r="D24" s="150">
        <v>541.15</v>
      </c>
      <c r="E24" s="150">
        <v>44915.45</v>
      </c>
      <c r="F24" s="150">
        <v>-1578.6</v>
      </c>
      <c r="G24" s="151">
        <f t="shared" si="0"/>
        <v>46494.049999999996</v>
      </c>
      <c r="H24" s="191">
        <f t="shared" si="4"/>
        <v>-3.3952731586084674E-2</v>
      </c>
    </row>
    <row r="25" spans="1:8" ht="15.75">
      <c r="A25" s="149" t="s">
        <v>161</v>
      </c>
      <c r="B25" s="150">
        <v>55</v>
      </c>
      <c r="C25" s="150">
        <v>325.14</v>
      </c>
      <c r="D25" s="150">
        <v>629.25</v>
      </c>
      <c r="E25" s="150">
        <v>34608.75</v>
      </c>
      <c r="F25" s="150">
        <v>16725.849999999999</v>
      </c>
      <c r="G25" s="151">
        <f t="shared" si="0"/>
        <v>17882.900000000001</v>
      </c>
      <c r="H25" s="191">
        <f t="shared" si="4"/>
        <v>0.93529852540695291</v>
      </c>
    </row>
    <row r="26" spans="1:8" ht="15.75">
      <c r="A26" s="149" t="s">
        <v>162</v>
      </c>
      <c r="B26" s="150">
        <v>14</v>
      </c>
      <c r="C26" s="150">
        <v>3289.33</v>
      </c>
      <c r="D26" s="150">
        <v>3988.4</v>
      </c>
      <c r="E26" s="150">
        <v>55837.599999999999</v>
      </c>
      <c r="F26" s="150">
        <v>9787.0499999999993</v>
      </c>
      <c r="G26" s="151">
        <f t="shared" si="0"/>
        <v>46050.55</v>
      </c>
      <c r="H26" s="191">
        <f t="shared" si="4"/>
        <v>0.21252840628396399</v>
      </c>
    </row>
    <row r="27" spans="1:8" ht="15.75">
      <c r="A27" s="149" t="s">
        <v>163</v>
      </c>
      <c r="B27" s="150">
        <v>9</v>
      </c>
      <c r="C27" s="150">
        <v>4442.55</v>
      </c>
      <c r="D27" s="150">
        <v>5749.4</v>
      </c>
      <c r="E27" s="150">
        <v>51744.6</v>
      </c>
      <c r="F27" s="150">
        <v>11761.65</v>
      </c>
      <c r="G27" s="151">
        <f t="shared" si="0"/>
        <v>39982.949999999997</v>
      </c>
      <c r="H27" s="191">
        <f t="shared" si="4"/>
        <v>0.29416663852967329</v>
      </c>
    </row>
    <row r="28" spans="1:8" ht="15.75">
      <c r="A28" s="149" t="s">
        <v>164</v>
      </c>
      <c r="B28" s="150">
        <v>8</v>
      </c>
      <c r="C28" s="150">
        <v>2511.94</v>
      </c>
      <c r="D28" s="150">
        <v>3891.2</v>
      </c>
      <c r="E28" s="150">
        <v>31129.599999999999</v>
      </c>
      <c r="F28" s="150">
        <v>11034.1</v>
      </c>
      <c r="G28" s="151">
        <f t="shared" si="0"/>
        <v>20095.5</v>
      </c>
      <c r="H28" s="191">
        <f t="shared" si="4"/>
        <v>0.54908312806349679</v>
      </c>
    </row>
    <row r="29" spans="1:8" ht="15.75">
      <c r="A29" s="149" t="s">
        <v>270</v>
      </c>
      <c r="B29" s="150">
        <v>61</v>
      </c>
      <c r="C29" s="150">
        <v>360.97</v>
      </c>
      <c r="D29" s="150">
        <v>317.76</v>
      </c>
      <c r="E29" s="150">
        <v>19383.36</v>
      </c>
      <c r="F29" s="150">
        <v>-2635.81</v>
      </c>
      <c r="G29" s="151">
        <f t="shared" si="0"/>
        <v>22019.170000000002</v>
      </c>
      <c r="H29" s="191">
        <f t="shared" si="4"/>
        <v>-0.11970523866249272</v>
      </c>
    </row>
    <row r="30" spans="1:8" ht="15.75">
      <c r="A30" s="149" t="s">
        <v>166</v>
      </c>
      <c r="B30" s="150">
        <v>23</v>
      </c>
      <c r="C30" s="150">
        <v>1408.96</v>
      </c>
      <c r="D30" s="150">
        <v>1679.7</v>
      </c>
      <c r="E30" s="150">
        <v>38633.1</v>
      </c>
      <c r="F30" s="150">
        <v>6227.1</v>
      </c>
      <c r="G30" s="151">
        <f t="shared" si="0"/>
        <v>32406</v>
      </c>
      <c r="H30" s="191">
        <f t="shared" si="4"/>
        <v>0.19215885947046843</v>
      </c>
    </row>
    <row r="31" spans="1:8" ht="15.75">
      <c r="A31" s="149" t="s">
        <v>168</v>
      </c>
      <c r="B31" s="150">
        <v>80</v>
      </c>
      <c r="C31" s="150">
        <v>685.74</v>
      </c>
      <c r="D31" s="150">
        <v>926.25</v>
      </c>
      <c r="E31" s="150">
        <v>74100</v>
      </c>
      <c r="F31" s="150">
        <v>19241</v>
      </c>
      <c r="G31" s="151">
        <f t="shared" si="0"/>
        <v>54859</v>
      </c>
      <c r="H31" s="191">
        <f t="shared" si="4"/>
        <v>0.35073552197451646</v>
      </c>
    </row>
    <row r="32" spans="1:8" ht="15.75">
      <c r="A32" s="149" t="s">
        <v>169</v>
      </c>
      <c r="B32" s="150">
        <v>268</v>
      </c>
      <c r="C32" s="150">
        <v>181.75</v>
      </c>
      <c r="D32" s="150">
        <v>291.5</v>
      </c>
      <c r="E32" s="150">
        <v>78122</v>
      </c>
      <c r="F32" s="150">
        <v>29412.25</v>
      </c>
      <c r="G32" s="151">
        <f t="shared" si="0"/>
        <v>48709.75</v>
      </c>
      <c r="H32" s="191">
        <f t="shared" si="4"/>
        <v>0.60382674926477764</v>
      </c>
    </row>
    <row r="33" spans="1:8" ht="15.75">
      <c r="A33" s="149" t="s">
        <v>170</v>
      </c>
      <c r="B33" s="150">
        <v>387</v>
      </c>
      <c r="C33" s="150">
        <v>82.58</v>
      </c>
      <c r="D33" s="150">
        <v>148.75</v>
      </c>
      <c r="E33" s="150">
        <v>57566.25</v>
      </c>
      <c r="F33" s="150">
        <v>25606.45</v>
      </c>
      <c r="G33" s="151">
        <f t="shared" si="0"/>
        <v>31959.8</v>
      </c>
      <c r="H33" s="191">
        <f t="shared" si="4"/>
        <v>0.80120808015068934</v>
      </c>
    </row>
    <row r="34" spans="1:8" ht="15.75">
      <c r="A34" s="149" t="s">
        <v>312</v>
      </c>
      <c r="B34" s="150">
        <v>57</v>
      </c>
      <c r="C34" s="150">
        <v>217.68</v>
      </c>
      <c r="D34" s="150">
        <v>70.09</v>
      </c>
      <c r="E34" s="150">
        <v>3995.13</v>
      </c>
      <c r="F34" s="150">
        <v>-8412.57</v>
      </c>
      <c r="G34" s="151">
        <f t="shared" ref="G34:G65" si="5">E34-F34</f>
        <v>12407.7</v>
      </c>
      <c r="H34" s="191">
        <f t="shared" si="4"/>
        <v>-0.67801204091007994</v>
      </c>
    </row>
    <row r="35" spans="1:8" ht="15.75">
      <c r="A35" s="149" t="s">
        <v>172</v>
      </c>
      <c r="B35" s="150">
        <v>18</v>
      </c>
      <c r="C35" s="150">
        <v>1556.41</v>
      </c>
      <c r="D35" s="150">
        <v>1872.65</v>
      </c>
      <c r="E35" s="150">
        <v>33707.699999999997</v>
      </c>
      <c r="F35" s="150">
        <v>5692.35</v>
      </c>
      <c r="G35" s="151">
        <f t="shared" si="5"/>
        <v>28015.35</v>
      </c>
      <c r="H35" s="191">
        <f t="shared" si="4"/>
        <v>0.203186824365928</v>
      </c>
    </row>
    <row r="36" spans="1:8" ht="15.75">
      <c r="A36" s="149" t="s">
        <v>173</v>
      </c>
      <c r="B36" s="150">
        <v>33</v>
      </c>
      <c r="C36" s="150">
        <v>41.65</v>
      </c>
      <c r="D36" s="150">
        <v>53.29</v>
      </c>
      <c r="E36" s="150">
        <v>1758.57</v>
      </c>
      <c r="F36" s="150">
        <v>384.05</v>
      </c>
      <c r="G36" s="151">
        <f t="shared" si="5"/>
        <v>1374.52</v>
      </c>
      <c r="H36" s="191">
        <f t="shared" si="4"/>
        <v>0.27940662922329251</v>
      </c>
    </row>
    <row r="37" spans="1:8" ht="15.75">
      <c r="A37" s="149" t="s">
        <v>281</v>
      </c>
      <c r="B37" s="150">
        <v>124</v>
      </c>
      <c r="C37" s="150">
        <v>304.87</v>
      </c>
      <c r="D37" s="150">
        <v>392.85</v>
      </c>
      <c r="E37" s="150">
        <v>48713.4</v>
      </c>
      <c r="F37" s="150">
        <v>10910</v>
      </c>
      <c r="G37" s="151">
        <f t="shared" si="5"/>
        <v>37803.4</v>
      </c>
      <c r="H37" s="191">
        <f t="shared" si="4"/>
        <v>0.28859838003989058</v>
      </c>
    </row>
    <row r="38" spans="1:8" ht="15.75">
      <c r="A38" s="149" t="s">
        <v>174</v>
      </c>
      <c r="B38" s="150">
        <v>67</v>
      </c>
      <c r="C38" s="150">
        <v>1067.9000000000001</v>
      </c>
      <c r="D38" s="150">
        <v>1336.7</v>
      </c>
      <c r="E38" s="150">
        <v>89558.9</v>
      </c>
      <c r="F38" s="150">
        <v>18009.900000000001</v>
      </c>
      <c r="G38" s="151">
        <f t="shared" si="5"/>
        <v>71549</v>
      </c>
      <c r="H38" s="191">
        <f t="shared" si="4"/>
        <v>0.25171420984220605</v>
      </c>
    </row>
    <row r="39" spans="1:8" ht="15.75">
      <c r="A39" s="149" t="s">
        <v>175</v>
      </c>
      <c r="B39" s="150">
        <v>37</v>
      </c>
      <c r="C39" s="150">
        <v>1495.82</v>
      </c>
      <c r="D39" s="150">
        <v>1555.5</v>
      </c>
      <c r="E39" s="150">
        <v>57553.5</v>
      </c>
      <c r="F39" s="150">
        <v>2208.1</v>
      </c>
      <c r="G39" s="151">
        <f t="shared" si="5"/>
        <v>55345.4</v>
      </c>
      <c r="H39" s="191">
        <f t="shared" si="4"/>
        <v>3.9896721317399457E-2</v>
      </c>
    </row>
    <row r="40" spans="1:8" ht="15.75">
      <c r="A40" s="149" t="s">
        <v>176</v>
      </c>
      <c r="B40" s="150">
        <v>132</v>
      </c>
      <c r="C40" s="150">
        <v>585.66999999999996</v>
      </c>
      <c r="D40" s="150">
        <v>682.15</v>
      </c>
      <c r="E40" s="150">
        <v>90043.8</v>
      </c>
      <c r="F40" s="150">
        <v>12736</v>
      </c>
      <c r="G40" s="151">
        <f t="shared" si="5"/>
        <v>77307.8</v>
      </c>
      <c r="H40" s="191">
        <f t="shared" si="4"/>
        <v>0.16474404911276741</v>
      </c>
    </row>
    <row r="41" spans="1:8" ht="15.75">
      <c r="A41" s="149" t="s">
        <v>177</v>
      </c>
      <c r="B41" s="150">
        <v>10</v>
      </c>
      <c r="C41" s="150">
        <v>2735.04</v>
      </c>
      <c r="D41" s="150">
        <v>3760</v>
      </c>
      <c r="E41" s="150">
        <v>37600</v>
      </c>
      <c r="F41" s="150">
        <v>10249.6</v>
      </c>
      <c r="G41" s="151">
        <f t="shared" si="5"/>
        <v>27350.400000000001</v>
      </c>
      <c r="H41" s="191">
        <f t="shared" si="4"/>
        <v>0.37475137475137477</v>
      </c>
    </row>
    <row r="42" spans="1:8" ht="15.75">
      <c r="A42" s="149" t="s">
        <v>282</v>
      </c>
      <c r="B42" s="150">
        <v>22</v>
      </c>
      <c r="C42" s="150">
        <v>2298.5700000000002</v>
      </c>
      <c r="D42" s="150">
        <v>2563.65</v>
      </c>
      <c r="E42" s="150">
        <v>56400.3</v>
      </c>
      <c r="F42" s="150">
        <v>5831.7</v>
      </c>
      <c r="G42" s="151">
        <f t="shared" si="5"/>
        <v>50568.600000000006</v>
      </c>
      <c r="H42" s="191">
        <f t="shared" si="4"/>
        <v>0.11532255193934575</v>
      </c>
    </row>
    <row r="43" spans="1:8" ht="15.75">
      <c r="A43" s="149" t="s">
        <v>178</v>
      </c>
      <c r="B43" s="150">
        <v>73</v>
      </c>
      <c r="C43" s="150">
        <v>589.26</v>
      </c>
      <c r="D43" s="150">
        <v>946.7</v>
      </c>
      <c r="E43" s="150">
        <v>69109.100000000006</v>
      </c>
      <c r="F43" s="150">
        <v>26093.45</v>
      </c>
      <c r="G43" s="151">
        <f t="shared" si="5"/>
        <v>43015.650000000009</v>
      </c>
      <c r="H43" s="191">
        <f t="shared" si="4"/>
        <v>0.60660364309268822</v>
      </c>
    </row>
    <row r="44" spans="1:8" ht="15.75">
      <c r="A44" s="149" t="s">
        <v>179</v>
      </c>
      <c r="B44" s="150">
        <v>100</v>
      </c>
      <c r="C44" s="150">
        <v>1293.83</v>
      </c>
      <c r="D44" s="150">
        <v>1452.65</v>
      </c>
      <c r="E44" s="150">
        <v>145265</v>
      </c>
      <c r="F44" s="150">
        <v>15882.25</v>
      </c>
      <c r="G44" s="151">
        <f t="shared" si="5"/>
        <v>129382.75</v>
      </c>
      <c r="H44" s="191">
        <f t="shared" si="4"/>
        <v>0.12275399927733797</v>
      </c>
    </row>
    <row r="45" spans="1:8" ht="15.75">
      <c r="A45" s="149" t="s">
        <v>180</v>
      </c>
      <c r="B45" s="150">
        <v>152</v>
      </c>
      <c r="C45" s="150">
        <v>495.14</v>
      </c>
      <c r="D45" s="150">
        <v>558.79999999999995</v>
      </c>
      <c r="E45" s="150">
        <v>84937.600000000006</v>
      </c>
      <c r="F45" s="150">
        <v>9675.9</v>
      </c>
      <c r="G45" s="151">
        <f t="shared" si="5"/>
        <v>75261.700000000012</v>
      </c>
      <c r="H45" s="191">
        <f t="shared" si="4"/>
        <v>0.12856339944487033</v>
      </c>
    </row>
    <row r="46" spans="1:8" ht="15.75">
      <c r="A46" s="149" t="s">
        <v>284</v>
      </c>
      <c r="B46" s="150">
        <v>40</v>
      </c>
      <c r="C46" s="150">
        <v>942.87</v>
      </c>
      <c r="D46" s="150">
        <v>1461.15</v>
      </c>
      <c r="E46" s="150">
        <v>58446</v>
      </c>
      <c r="F46" s="150">
        <v>20731.349999999999</v>
      </c>
      <c r="G46" s="151">
        <f t="shared" si="5"/>
        <v>37714.65</v>
      </c>
      <c r="H46" s="191">
        <f t="shared" si="4"/>
        <v>0.54968957686204156</v>
      </c>
    </row>
    <row r="47" spans="1:8" ht="15.75">
      <c r="A47" s="149" t="s">
        <v>181</v>
      </c>
      <c r="B47" s="150">
        <v>47</v>
      </c>
      <c r="C47" s="150">
        <v>1499.22</v>
      </c>
      <c r="D47" s="150">
        <v>1452.3</v>
      </c>
      <c r="E47" s="150">
        <v>68258.100000000006</v>
      </c>
      <c r="F47" s="150">
        <v>-2205.3000000000002</v>
      </c>
      <c r="G47" s="151">
        <f t="shared" si="5"/>
        <v>70463.400000000009</v>
      </c>
      <c r="H47" s="191">
        <f t="shared" si="4"/>
        <v>-3.1297098919439027E-2</v>
      </c>
    </row>
    <row r="48" spans="1:8" ht="15.75">
      <c r="A48" s="149" t="s">
        <v>182</v>
      </c>
      <c r="B48" s="150">
        <v>735</v>
      </c>
      <c r="C48" s="150">
        <v>223.37</v>
      </c>
      <c r="D48" s="150">
        <v>449.9</v>
      </c>
      <c r="E48" s="150">
        <v>330676.5</v>
      </c>
      <c r="F48" s="150">
        <v>166502.15</v>
      </c>
      <c r="G48" s="151">
        <f t="shared" si="5"/>
        <v>164174.35</v>
      </c>
      <c r="H48" s="191">
        <f t="shared" si="4"/>
        <v>1.01417882878781</v>
      </c>
    </row>
    <row r="49" spans="1:8" ht="15.75">
      <c r="A49" s="149" t="s">
        <v>183</v>
      </c>
      <c r="B49" s="150">
        <v>28</v>
      </c>
      <c r="C49" s="150">
        <v>597.6</v>
      </c>
      <c r="D49" s="150">
        <v>1460.45</v>
      </c>
      <c r="E49" s="150">
        <v>40892.6</v>
      </c>
      <c r="F49" s="150">
        <v>24159.9</v>
      </c>
      <c r="G49" s="151">
        <f t="shared" si="5"/>
        <v>16732.699999999997</v>
      </c>
      <c r="H49" s="191">
        <f t="shared" si="4"/>
        <v>1.4438733736934271</v>
      </c>
    </row>
    <row r="50" spans="1:8" ht="15.75">
      <c r="A50" s="149" t="s">
        <v>313</v>
      </c>
      <c r="B50" s="150">
        <v>2</v>
      </c>
      <c r="C50" s="150">
        <v>447.11</v>
      </c>
      <c r="D50" s="150">
        <v>515.5</v>
      </c>
      <c r="E50" s="150">
        <v>1031</v>
      </c>
      <c r="F50" s="150">
        <v>136.78</v>
      </c>
      <c r="G50" s="151">
        <f t="shared" si="5"/>
        <v>894.22</v>
      </c>
      <c r="H50" s="191">
        <f t="shared" si="4"/>
        <v>0.15296012167028247</v>
      </c>
    </row>
    <row r="51" spans="1:8" ht="15.75">
      <c r="A51" s="149" t="s">
        <v>184</v>
      </c>
      <c r="B51" s="150">
        <v>341</v>
      </c>
      <c r="C51" s="150">
        <v>112.02</v>
      </c>
      <c r="D51" s="150">
        <v>155.5</v>
      </c>
      <c r="E51" s="150">
        <v>53025.5</v>
      </c>
      <c r="F51" s="150">
        <v>14826.75</v>
      </c>
      <c r="G51" s="151">
        <f t="shared" si="5"/>
        <v>38198.75</v>
      </c>
      <c r="H51" s="191">
        <f t="shared" si="4"/>
        <v>0.3881475179161622</v>
      </c>
    </row>
    <row r="52" spans="1:8" ht="15.75">
      <c r="A52" s="149" t="s">
        <v>185</v>
      </c>
      <c r="B52" s="150">
        <v>55</v>
      </c>
      <c r="C52" s="150">
        <v>1723.54</v>
      </c>
      <c r="D52" s="150">
        <v>1750.8</v>
      </c>
      <c r="E52" s="150">
        <v>96294</v>
      </c>
      <c r="F52" s="150">
        <v>1499.05</v>
      </c>
      <c r="G52" s="151">
        <f t="shared" si="5"/>
        <v>94794.95</v>
      </c>
      <c r="H52" s="191">
        <f t="shared" ref="H52:H83" si="6">F52/G52</f>
        <v>1.58136061045446E-2</v>
      </c>
    </row>
    <row r="53" spans="1:8" ht="15.75">
      <c r="A53" s="149" t="s">
        <v>186</v>
      </c>
      <c r="B53" s="150">
        <v>67</v>
      </c>
      <c r="C53" s="150">
        <v>676.11</v>
      </c>
      <c r="D53" s="150">
        <v>1483.05</v>
      </c>
      <c r="E53" s="150">
        <v>99364.35</v>
      </c>
      <c r="F53" s="150">
        <v>54064.95</v>
      </c>
      <c r="G53" s="151">
        <f t="shared" si="5"/>
        <v>45299.400000000009</v>
      </c>
      <c r="H53" s="191">
        <f t="shared" si="6"/>
        <v>1.1935025629478533</v>
      </c>
    </row>
    <row r="54" spans="1:8" ht="15.75">
      <c r="A54" s="149" t="s">
        <v>187</v>
      </c>
      <c r="B54" s="150">
        <v>20</v>
      </c>
      <c r="C54" s="150">
        <v>2295.38</v>
      </c>
      <c r="D54" s="150">
        <v>2743.05</v>
      </c>
      <c r="E54" s="150">
        <v>54861</v>
      </c>
      <c r="F54" s="150">
        <v>8953.4</v>
      </c>
      <c r="G54" s="151">
        <f t="shared" si="5"/>
        <v>45907.6</v>
      </c>
      <c r="H54" s="191">
        <f t="shared" si="6"/>
        <v>0.1950308881318126</v>
      </c>
    </row>
    <row r="55" spans="1:8" ht="15.75">
      <c r="A55" s="149" t="s">
        <v>314</v>
      </c>
      <c r="B55" s="150">
        <v>2</v>
      </c>
      <c r="C55" s="150">
        <v>925.37</v>
      </c>
      <c r="D55" s="150">
        <v>1000.01</v>
      </c>
      <c r="E55" s="150">
        <v>2000.02</v>
      </c>
      <c r="F55" s="150">
        <v>149.27000000000001</v>
      </c>
      <c r="G55" s="151">
        <f t="shared" si="5"/>
        <v>1850.75</v>
      </c>
      <c r="H55" s="191">
        <f t="shared" si="6"/>
        <v>8.065378900445766E-2</v>
      </c>
    </row>
    <row r="56" spans="1:8" ht="15.75">
      <c r="A56" s="149" t="s">
        <v>188</v>
      </c>
      <c r="B56" s="150">
        <v>62</v>
      </c>
      <c r="C56" s="150">
        <v>1053.22</v>
      </c>
      <c r="D56" s="150">
        <v>3190.65</v>
      </c>
      <c r="E56" s="150">
        <v>197820.3</v>
      </c>
      <c r="F56" s="150">
        <v>132520.95000000001</v>
      </c>
      <c r="G56" s="151">
        <f t="shared" si="5"/>
        <v>65299.349999999977</v>
      </c>
      <c r="H56" s="191">
        <f t="shared" si="6"/>
        <v>2.0294375058863534</v>
      </c>
    </row>
    <row r="57" spans="1:8" ht="15.75">
      <c r="A57" s="149" t="s">
        <v>286</v>
      </c>
      <c r="B57" s="150">
        <v>17</v>
      </c>
      <c r="C57" s="150">
        <v>4810.6400000000003</v>
      </c>
      <c r="D57" s="150">
        <v>5577.05</v>
      </c>
      <c r="E57" s="150">
        <v>94809.85</v>
      </c>
      <c r="F57" s="150">
        <v>13029.02</v>
      </c>
      <c r="G57" s="151">
        <f t="shared" si="5"/>
        <v>81780.83</v>
      </c>
      <c r="H57" s="191">
        <f t="shared" si="6"/>
        <v>0.15931630921329606</v>
      </c>
    </row>
    <row r="58" spans="1:8" ht="15.75">
      <c r="A58" s="149" t="s">
        <v>189</v>
      </c>
      <c r="B58" s="150">
        <v>20</v>
      </c>
      <c r="C58" s="150">
        <v>1002.87</v>
      </c>
      <c r="D58" s="150">
        <v>1626.7</v>
      </c>
      <c r="E58" s="150">
        <v>32534</v>
      </c>
      <c r="F58" s="150">
        <v>12476.7</v>
      </c>
      <c r="G58" s="151">
        <f t="shared" si="5"/>
        <v>20057.3</v>
      </c>
      <c r="H58" s="191">
        <f t="shared" si="6"/>
        <v>0.62205281867449758</v>
      </c>
    </row>
    <row r="59" spans="1:8" ht="15.75">
      <c r="A59" s="149" t="s">
        <v>191</v>
      </c>
      <c r="B59" s="150">
        <v>87</v>
      </c>
      <c r="C59" s="150">
        <v>487.39</v>
      </c>
      <c r="D59" s="150">
        <v>537</v>
      </c>
      <c r="E59" s="150">
        <v>46719</v>
      </c>
      <c r="F59" s="150">
        <v>4315.6499999999996</v>
      </c>
      <c r="G59" s="151">
        <f t="shared" si="5"/>
        <v>42403.35</v>
      </c>
      <c r="H59" s="191">
        <f t="shared" si="6"/>
        <v>0.10177615683666502</v>
      </c>
    </row>
    <row r="60" spans="1:8" ht="15.75">
      <c r="A60" s="149" t="s">
        <v>192</v>
      </c>
      <c r="B60" s="150">
        <v>91</v>
      </c>
      <c r="C60" s="150">
        <v>723.18</v>
      </c>
      <c r="D60" s="150">
        <v>1014.5</v>
      </c>
      <c r="E60" s="150">
        <v>92319.5</v>
      </c>
      <c r="F60" s="150">
        <v>26509.95</v>
      </c>
      <c r="G60" s="151">
        <f t="shared" si="5"/>
        <v>65809.55</v>
      </c>
      <c r="H60" s="191">
        <f t="shared" si="6"/>
        <v>0.40282831291203175</v>
      </c>
    </row>
    <row r="61" spans="1:8" ht="15.75">
      <c r="A61" s="149" t="s">
        <v>193</v>
      </c>
      <c r="B61" s="150">
        <v>58</v>
      </c>
      <c r="C61" s="150">
        <v>342.44</v>
      </c>
      <c r="D61" s="150">
        <v>320.58999999999997</v>
      </c>
      <c r="E61" s="150">
        <v>18594.22</v>
      </c>
      <c r="F61" s="150">
        <v>-1267.3</v>
      </c>
      <c r="G61" s="151">
        <f t="shared" si="5"/>
        <v>19861.52</v>
      </c>
      <c r="H61" s="191">
        <f t="shared" si="6"/>
        <v>-6.3806798271229995E-2</v>
      </c>
    </row>
    <row r="62" spans="1:8" ht="15.75">
      <c r="A62" s="149" t="s">
        <v>194</v>
      </c>
      <c r="B62" s="150">
        <v>255</v>
      </c>
      <c r="C62" s="150">
        <v>99.4</v>
      </c>
      <c r="D62" s="150">
        <v>93.1</v>
      </c>
      <c r="E62" s="150">
        <v>23740.5</v>
      </c>
      <c r="F62" s="150">
        <v>-1607</v>
      </c>
      <c r="G62" s="151">
        <f t="shared" si="5"/>
        <v>25347.5</v>
      </c>
      <c r="H62" s="191">
        <f t="shared" si="6"/>
        <v>-6.3398757273892895E-2</v>
      </c>
    </row>
    <row r="63" spans="1:8" ht="15.75">
      <c r="A63" s="149" t="s">
        <v>195</v>
      </c>
      <c r="B63" s="150">
        <v>25</v>
      </c>
      <c r="C63" s="150">
        <v>2212.61</v>
      </c>
      <c r="D63" s="150">
        <v>2373.9</v>
      </c>
      <c r="E63" s="150">
        <v>59347.5</v>
      </c>
      <c r="F63" s="150">
        <v>4032.35</v>
      </c>
      <c r="G63" s="151">
        <f t="shared" si="5"/>
        <v>55315.15</v>
      </c>
      <c r="H63" s="191">
        <f t="shared" si="6"/>
        <v>7.289775043545936E-2</v>
      </c>
    </row>
    <row r="64" spans="1:8" ht="15.75">
      <c r="A64" s="149" t="s">
        <v>315</v>
      </c>
      <c r="B64" s="150">
        <v>102</v>
      </c>
      <c r="C64" s="150">
        <v>14.26</v>
      </c>
      <c r="D64" s="150">
        <v>61.38</v>
      </c>
      <c r="E64" s="150">
        <v>6260.76</v>
      </c>
      <c r="F64" s="150">
        <v>4806.0600000000004</v>
      </c>
      <c r="G64" s="151">
        <f t="shared" si="5"/>
        <v>1454.6999999999998</v>
      </c>
      <c r="H64" s="191">
        <f t="shared" si="6"/>
        <v>3.3038152196329147</v>
      </c>
    </row>
    <row r="65" spans="1:8" ht="15.75">
      <c r="A65" s="149" t="s">
        <v>316</v>
      </c>
      <c r="B65" s="150">
        <v>4</v>
      </c>
      <c r="C65" s="150">
        <v>131.47999999999999</v>
      </c>
      <c r="D65" s="150">
        <v>223.75</v>
      </c>
      <c r="E65" s="150">
        <v>895</v>
      </c>
      <c r="F65" s="150">
        <v>369.08</v>
      </c>
      <c r="G65" s="151">
        <f t="shared" si="5"/>
        <v>525.92000000000007</v>
      </c>
      <c r="H65" s="191">
        <f t="shared" si="6"/>
        <v>0.70177973836324903</v>
      </c>
    </row>
    <row r="66" spans="1:8" ht="15.75">
      <c r="A66" s="149" t="s">
        <v>266</v>
      </c>
      <c r="B66" s="150">
        <v>141</v>
      </c>
      <c r="C66" s="150">
        <v>124.94</v>
      </c>
      <c r="D66" s="150">
        <v>132.91999999999999</v>
      </c>
      <c r="E66" s="150">
        <v>18741.72</v>
      </c>
      <c r="F66" s="150">
        <v>1125.78</v>
      </c>
      <c r="G66" s="151">
        <f t="shared" ref="G66:G97" si="7">E66-F66</f>
        <v>17615.940000000002</v>
      </c>
      <c r="H66" s="191">
        <f t="shared" si="6"/>
        <v>6.39068934158495E-2</v>
      </c>
    </row>
    <row r="67" spans="1:8" ht="15.75">
      <c r="A67" s="149" t="s">
        <v>198</v>
      </c>
      <c r="B67" s="150">
        <v>79</v>
      </c>
      <c r="C67" s="150">
        <v>499.72</v>
      </c>
      <c r="D67" s="150">
        <v>1413.7</v>
      </c>
      <c r="E67" s="150">
        <v>111682.3</v>
      </c>
      <c r="F67" s="150">
        <v>72204.649999999994</v>
      </c>
      <c r="G67" s="151">
        <f t="shared" si="7"/>
        <v>39477.650000000009</v>
      </c>
      <c r="H67" s="191">
        <f t="shared" si="6"/>
        <v>1.8290007130616939</v>
      </c>
    </row>
    <row r="68" spans="1:8" ht="15.75">
      <c r="A68" s="149" t="s">
        <v>199</v>
      </c>
      <c r="B68" s="150">
        <v>27</v>
      </c>
      <c r="C68" s="150">
        <v>3952.46</v>
      </c>
      <c r="D68" s="150">
        <v>4043.3</v>
      </c>
      <c r="E68" s="150">
        <v>109169.1</v>
      </c>
      <c r="F68" s="150">
        <v>2452.6999999999998</v>
      </c>
      <c r="G68" s="151">
        <f t="shared" si="7"/>
        <v>106716.40000000001</v>
      </c>
      <c r="H68" s="191">
        <f t="shared" si="6"/>
        <v>2.2983346514687523E-2</v>
      </c>
    </row>
    <row r="69" spans="1:8" ht="15.75">
      <c r="A69" s="149" t="s">
        <v>200</v>
      </c>
      <c r="B69" s="150">
        <v>300</v>
      </c>
      <c r="C69" s="150">
        <v>82.33</v>
      </c>
      <c r="D69" s="150">
        <v>194.6</v>
      </c>
      <c r="E69" s="150">
        <v>58380</v>
      </c>
      <c r="F69" s="150">
        <v>33680</v>
      </c>
      <c r="G69" s="151">
        <f t="shared" si="7"/>
        <v>24700</v>
      </c>
      <c r="H69" s="191">
        <f t="shared" si="6"/>
        <v>1.3635627530364371</v>
      </c>
    </row>
    <row r="70" spans="1:8" ht="15.75">
      <c r="A70" s="149" t="s">
        <v>201</v>
      </c>
      <c r="B70" s="150">
        <v>10</v>
      </c>
      <c r="C70" s="150">
        <v>4106.17</v>
      </c>
      <c r="D70" s="150">
        <v>6433.3</v>
      </c>
      <c r="E70" s="150">
        <v>64333</v>
      </c>
      <c r="F70" s="150">
        <v>23271.35</v>
      </c>
      <c r="G70" s="151">
        <f t="shared" si="7"/>
        <v>41061.65</v>
      </c>
      <c r="H70" s="191">
        <f t="shared" si="6"/>
        <v>0.56674171641909177</v>
      </c>
    </row>
    <row r="71" spans="1:8" ht="15.75">
      <c r="A71" s="149" t="s">
        <v>202</v>
      </c>
      <c r="B71" s="150">
        <v>22</v>
      </c>
      <c r="C71" s="150">
        <v>885.65</v>
      </c>
      <c r="D71" s="150">
        <v>2341</v>
      </c>
      <c r="E71" s="150">
        <v>51502</v>
      </c>
      <c r="F71" s="150">
        <v>32017.8</v>
      </c>
      <c r="G71" s="151">
        <f t="shared" si="7"/>
        <v>19484.2</v>
      </c>
      <c r="H71" s="191">
        <f t="shared" si="6"/>
        <v>1.6432699315342687</v>
      </c>
    </row>
    <row r="72" spans="1:8" ht="15.75">
      <c r="A72" s="149" t="s">
        <v>203</v>
      </c>
      <c r="B72" s="150">
        <v>30</v>
      </c>
      <c r="C72" s="150">
        <v>2499.15</v>
      </c>
      <c r="D72" s="150">
        <v>2562.15</v>
      </c>
      <c r="E72" s="150">
        <v>76864.5</v>
      </c>
      <c r="F72" s="150">
        <v>1890.15</v>
      </c>
      <c r="G72" s="151">
        <f t="shared" si="7"/>
        <v>74974.350000000006</v>
      </c>
      <c r="H72" s="191">
        <f t="shared" si="6"/>
        <v>2.5210622032735195E-2</v>
      </c>
    </row>
    <row r="73" spans="1:8" ht="15.75">
      <c r="A73" s="149" t="s">
        <v>204</v>
      </c>
      <c r="B73" s="150">
        <v>53</v>
      </c>
      <c r="C73" s="150">
        <v>488.83</v>
      </c>
      <c r="D73" s="150">
        <v>1039.75</v>
      </c>
      <c r="E73" s="150">
        <v>55106.75</v>
      </c>
      <c r="F73" s="150">
        <v>29198.6</v>
      </c>
      <c r="G73" s="151">
        <f t="shared" si="7"/>
        <v>25908.15</v>
      </c>
      <c r="H73" s="191">
        <f t="shared" si="6"/>
        <v>1.1270044368277934</v>
      </c>
    </row>
    <row r="74" spans="1:8" ht="15.75">
      <c r="A74" s="149" t="s">
        <v>307</v>
      </c>
      <c r="B74" s="150">
        <v>20</v>
      </c>
      <c r="C74" s="150">
        <v>1000</v>
      </c>
      <c r="D74" s="150">
        <v>1066.99</v>
      </c>
      <c r="E74" s="150">
        <v>21339.8</v>
      </c>
      <c r="F74" s="150">
        <v>0</v>
      </c>
      <c r="G74" s="151">
        <f t="shared" si="7"/>
        <v>21339.8</v>
      </c>
      <c r="H74" s="191">
        <f t="shared" si="6"/>
        <v>0</v>
      </c>
    </row>
    <row r="75" spans="1:8" ht="15.75">
      <c r="A75" s="149" t="s">
        <v>299</v>
      </c>
      <c r="B75" s="150">
        <v>49</v>
      </c>
      <c r="C75" s="150">
        <v>952.78</v>
      </c>
      <c r="D75" s="150">
        <v>915.1</v>
      </c>
      <c r="E75" s="150">
        <v>44839.9</v>
      </c>
      <c r="F75" s="150">
        <v>-1846.25</v>
      </c>
      <c r="G75" s="151">
        <f t="shared" si="7"/>
        <v>46686.15</v>
      </c>
      <c r="H75" s="191">
        <f t="shared" si="6"/>
        <v>-3.9545989549363142E-2</v>
      </c>
    </row>
    <row r="76" spans="1:8" ht="15.75">
      <c r="A76" s="149" t="s">
        <v>206</v>
      </c>
      <c r="B76" s="150">
        <v>84</v>
      </c>
      <c r="C76" s="150">
        <v>1161.6300000000001</v>
      </c>
      <c r="D76" s="150">
        <v>1423.85</v>
      </c>
      <c r="E76" s="150">
        <v>119603.4</v>
      </c>
      <c r="F76" s="150">
        <v>22026.55</v>
      </c>
      <c r="G76" s="151">
        <f t="shared" si="7"/>
        <v>97576.849999999991</v>
      </c>
      <c r="H76" s="191">
        <f t="shared" si="6"/>
        <v>0.22573540752750271</v>
      </c>
    </row>
    <row r="77" spans="1:8" ht="15.75">
      <c r="A77" s="149" t="s">
        <v>207</v>
      </c>
      <c r="B77" s="150">
        <v>105</v>
      </c>
      <c r="C77" s="150">
        <v>304.5</v>
      </c>
      <c r="D77" s="150">
        <v>571.85</v>
      </c>
      <c r="E77" s="150">
        <v>60044.25</v>
      </c>
      <c r="F77" s="150">
        <v>28071.35</v>
      </c>
      <c r="G77" s="151">
        <f t="shared" si="7"/>
        <v>31972.9</v>
      </c>
      <c r="H77" s="191">
        <f t="shared" si="6"/>
        <v>0.87797322107159492</v>
      </c>
    </row>
    <row r="78" spans="1:8" ht="15.75">
      <c r="A78" s="149" t="s">
        <v>262</v>
      </c>
      <c r="B78" s="150">
        <v>10</v>
      </c>
      <c r="C78" s="150">
        <v>5284</v>
      </c>
      <c r="D78" s="150">
        <v>6157.47</v>
      </c>
      <c r="E78" s="150">
        <v>61574.7</v>
      </c>
      <c r="F78" s="150">
        <v>8734.7000000000007</v>
      </c>
      <c r="G78" s="151">
        <f t="shared" si="7"/>
        <v>52840</v>
      </c>
      <c r="H78" s="191">
        <f t="shared" si="6"/>
        <v>0.16530469341408024</v>
      </c>
    </row>
    <row r="79" spans="1:8" ht="15.75">
      <c r="A79" s="149" t="s">
        <v>209</v>
      </c>
      <c r="B79" s="150">
        <v>5</v>
      </c>
      <c r="C79" s="150">
        <v>4802</v>
      </c>
      <c r="D79" s="150">
        <v>6147.01</v>
      </c>
      <c r="E79" s="150">
        <v>30735.05</v>
      </c>
      <c r="F79" s="150">
        <v>6725.05</v>
      </c>
      <c r="G79" s="151">
        <f t="shared" si="7"/>
        <v>24010</v>
      </c>
      <c r="H79" s="191">
        <f t="shared" si="6"/>
        <v>0.28009371095376928</v>
      </c>
    </row>
    <row r="80" spans="1:8" ht="15.75">
      <c r="A80" s="149" t="s">
        <v>311</v>
      </c>
      <c r="B80" s="150">
        <v>10</v>
      </c>
      <c r="C80" s="150">
        <v>5002.45</v>
      </c>
      <c r="D80" s="150">
        <v>6110</v>
      </c>
      <c r="E80" s="150">
        <v>61100</v>
      </c>
      <c r="F80" s="150">
        <v>11075.5</v>
      </c>
      <c r="G80" s="151">
        <f t="shared" si="7"/>
        <v>50024.5</v>
      </c>
      <c r="H80" s="191">
        <f t="shared" si="6"/>
        <v>0.22140151325850332</v>
      </c>
    </row>
    <row r="81" spans="1:8" ht="15.75">
      <c r="A81" s="149" t="s">
        <v>211</v>
      </c>
      <c r="B81" s="150">
        <v>35</v>
      </c>
      <c r="C81" s="150">
        <v>984.23</v>
      </c>
      <c r="D81" s="150">
        <v>3755.35</v>
      </c>
      <c r="E81" s="150">
        <v>131437.25</v>
      </c>
      <c r="F81" s="150">
        <v>96989.2</v>
      </c>
      <c r="G81" s="151">
        <f t="shared" si="7"/>
        <v>34448.050000000003</v>
      </c>
      <c r="H81" s="191">
        <f t="shared" si="6"/>
        <v>2.8155207624234171</v>
      </c>
    </row>
    <row r="82" spans="1:8" ht="15.75">
      <c r="A82" s="149" t="s">
        <v>290</v>
      </c>
      <c r="B82" s="150">
        <v>48</v>
      </c>
      <c r="C82" s="150">
        <v>575.6</v>
      </c>
      <c r="D82" s="150">
        <v>562.15</v>
      </c>
      <c r="E82" s="150">
        <v>26983.200000000001</v>
      </c>
      <c r="F82" s="150">
        <v>-645.75</v>
      </c>
      <c r="G82" s="151">
        <f t="shared" si="7"/>
        <v>27628.95</v>
      </c>
      <c r="H82" s="191">
        <f t="shared" si="6"/>
        <v>-2.3372223700140613E-2</v>
      </c>
    </row>
    <row r="83" spans="1:8" ht="15.75">
      <c r="A83" s="149" t="s">
        <v>292</v>
      </c>
      <c r="B83" s="150">
        <v>32</v>
      </c>
      <c r="C83" s="150">
        <v>752.33</v>
      </c>
      <c r="D83" s="150">
        <v>1248</v>
      </c>
      <c r="E83" s="150">
        <v>39936</v>
      </c>
      <c r="F83" s="150">
        <v>15861.5</v>
      </c>
      <c r="G83" s="151">
        <f t="shared" si="7"/>
        <v>24074.5</v>
      </c>
      <c r="H83" s="191">
        <f t="shared" si="6"/>
        <v>0.65885065110386509</v>
      </c>
    </row>
    <row r="84" spans="1:8" ht="15.75">
      <c r="A84" s="149" t="s">
        <v>212</v>
      </c>
      <c r="B84" s="150">
        <v>152</v>
      </c>
      <c r="C84" s="150">
        <v>574.22</v>
      </c>
      <c r="D84" s="150">
        <v>1231.25</v>
      </c>
      <c r="E84" s="150">
        <v>187150</v>
      </c>
      <c r="F84" s="150">
        <v>99867.85</v>
      </c>
      <c r="G84" s="151">
        <f t="shared" si="7"/>
        <v>87282.15</v>
      </c>
      <c r="H84" s="191">
        <f t="shared" ref="H84:H115" si="8">F84/G84</f>
        <v>1.1441955772171057</v>
      </c>
    </row>
    <row r="85" spans="1:8" ht="15.75">
      <c r="A85" s="149" t="s">
        <v>293</v>
      </c>
      <c r="B85" s="150">
        <v>69</v>
      </c>
      <c r="C85" s="150">
        <v>373.18</v>
      </c>
      <c r="D85" s="150">
        <v>379.35</v>
      </c>
      <c r="E85" s="150">
        <v>26175.15</v>
      </c>
      <c r="F85" s="150">
        <v>425.85</v>
      </c>
      <c r="G85" s="151">
        <f t="shared" si="7"/>
        <v>25749.300000000003</v>
      </c>
      <c r="H85" s="191">
        <f t="shared" si="8"/>
        <v>1.6538313662895689E-2</v>
      </c>
    </row>
    <row r="86" spans="1:8" ht="15.75">
      <c r="A86" s="149" t="s">
        <v>308</v>
      </c>
      <c r="B86" s="150">
        <v>119</v>
      </c>
      <c r="C86" s="150">
        <v>507.17</v>
      </c>
      <c r="D86" s="150">
        <v>674.35</v>
      </c>
      <c r="E86" s="150">
        <v>80247.649999999994</v>
      </c>
      <c r="F86" s="150">
        <v>19894.7</v>
      </c>
      <c r="G86" s="151">
        <f t="shared" si="7"/>
        <v>60352.95</v>
      </c>
      <c r="H86" s="191">
        <f t="shared" si="8"/>
        <v>0.32963923055956673</v>
      </c>
    </row>
    <row r="87" spans="1:8" ht="15.75">
      <c r="A87" s="149" t="s">
        <v>213</v>
      </c>
      <c r="B87" s="150">
        <v>65</v>
      </c>
      <c r="C87" s="150">
        <v>513.66</v>
      </c>
      <c r="D87" s="150">
        <v>746.7</v>
      </c>
      <c r="E87" s="150">
        <v>48535.5</v>
      </c>
      <c r="F87" s="150">
        <v>15147.4</v>
      </c>
      <c r="G87" s="151">
        <f t="shared" si="7"/>
        <v>33388.1</v>
      </c>
      <c r="H87" s="191">
        <f t="shared" si="8"/>
        <v>0.4536766093308694</v>
      </c>
    </row>
    <row r="88" spans="1:8" ht="15.75">
      <c r="A88" s="149" t="s">
        <v>214</v>
      </c>
      <c r="B88" s="150">
        <v>57</v>
      </c>
      <c r="C88" s="150">
        <v>750.26</v>
      </c>
      <c r="D88" s="150">
        <v>943.05</v>
      </c>
      <c r="E88" s="150">
        <v>53753.85</v>
      </c>
      <c r="F88" s="150">
        <v>10989.25</v>
      </c>
      <c r="G88" s="151">
        <f t="shared" si="7"/>
        <v>42764.6</v>
      </c>
      <c r="H88" s="191">
        <f t="shared" si="8"/>
        <v>0.25697071877206851</v>
      </c>
    </row>
    <row r="89" spans="1:8" ht="15.75">
      <c r="A89" s="149" t="s">
        <v>267</v>
      </c>
      <c r="B89" s="150">
        <v>37</v>
      </c>
      <c r="C89" s="150">
        <v>632.20000000000005</v>
      </c>
      <c r="D89" s="150">
        <v>705.7</v>
      </c>
      <c r="E89" s="150">
        <v>26110.9</v>
      </c>
      <c r="F89" s="150">
        <v>2719.5</v>
      </c>
      <c r="G89" s="151">
        <f t="shared" si="7"/>
        <v>23391.4</v>
      </c>
      <c r="H89" s="191">
        <f t="shared" si="8"/>
        <v>0.11626067700094905</v>
      </c>
    </row>
    <row r="90" spans="1:8" ht="15.75">
      <c r="A90" s="149" t="s">
        <v>302</v>
      </c>
      <c r="B90" s="150">
        <v>775</v>
      </c>
      <c r="C90" s="150">
        <v>99.29</v>
      </c>
      <c r="D90" s="150">
        <v>475.9</v>
      </c>
      <c r="E90" s="150">
        <v>368822.5</v>
      </c>
      <c r="F90" s="150">
        <v>291871.5</v>
      </c>
      <c r="G90" s="151">
        <f t="shared" si="7"/>
        <v>76951</v>
      </c>
      <c r="H90" s="191">
        <f t="shared" si="8"/>
        <v>3.792952658185079</v>
      </c>
    </row>
    <row r="91" spans="1:8" ht="15.75">
      <c r="A91" s="149" t="s">
        <v>215</v>
      </c>
      <c r="B91" s="150">
        <v>1050</v>
      </c>
      <c r="C91" s="150">
        <v>40.479999999999997</v>
      </c>
      <c r="D91" s="150">
        <v>130</v>
      </c>
      <c r="E91" s="150">
        <v>136500</v>
      </c>
      <c r="F91" s="150">
        <v>93999.75</v>
      </c>
      <c r="G91" s="151">
        <f t="shared" si="7"/>
        <v>42500.25</v>
      </c>
      <c r="H91" s="191">
        <f t="shared" si="8"/>
        <v>2.2117458132599221</v>
      </c>
    </row>
    <row r="92" spans="1:8" ht="15.75">
      <c r="A92" s="149" t="s">
        <v>216</v>
      </c>
      <c r="B92" s="150">
        <v>27</v>
      </c>
      <c r="C92" s="150">
        <v>3337.18</v>
      </c>
      <c r="D92" s="150">
        <v>3511.65</v>
      </c>
      <c r="E92" s="150">
        <v>94814.55</v>
      </c>
      <c r="F92" s="150">
        <v>4710.8</v>
      </c>
      <c r="G92" s="151">
        <f t="shared" si="7"/>
        <v>90103.75</v>
      </c>
      <c r="H92" s="191">
        <f t="shared" si="8"/>
        <v>5.2281952748914451E-2</v>
      </c>
    </row>
    <row r="93" spans="1:8" ht="15.75">
      <c r="A93" s="149" t="s">
        <v>217</v>
      </c>
      <c r="B93" s="150">
        <v>24</v>
      </c>
      <c r="C93" s="150">
        <v>2584.4</v>
      </c>
      <c r="D93" s="150">
        <v>3489.5</v>
      </c>
      <c r="E93" s="150">
        <v>83748</v>
      </c>
      <c r="F93" s="150">
        <v>21722.400000000001</v>
      </c>
      <c r="G93" s="151">
        <f t="shared" si="7"/>
        <v>62025.599999999999</v>
      </c>
      <c r="H93" s="191">
        <f t="shared" si="8"/>
        <v>0.35021668472372702</v>
      </c>
    </row>
    <row r="94" spans="1:8" ht="15.75">
      <c r="A94" s="149" t="s">
        <v>220</v>
      </c>
      <c r="B94" s="150">
        <v>61</v>
      </c>
      <c r="C94" s="150">
        <v>401.11</v>
      </c>
      <c r="D94" s="150">
        <v>657.6</v>
      </c>
      <c r="E94" s="150">
        <v>40113.599999999999</v>
      </c>
      <c r="F94" s="150">
        <v>15645.85</v>
      </c>
      <c r="G94" s="151">
        <f t="shared" si="7"/>
        <v>24467.75</v>
      </c>
      <c r="H94" s="191">
        <f t="shared" si="8"/>
        <v>0.63944784461178494</v>
      </c>
    </row>
    <row r="95" spans="1:8" ht="15.75">
      <c r="A95" s="149" t="s">
        <v>221</v>
      </c>
      <c r="B95" s="150">
        <v>36</v>
      </c>
      <c r="C95" s="150">
        <v>120.1</v>
      </c>
      <c r="D95" s="150">
        <v>1089.05</v>
      </c>
      <c r="E95" s="150">
        <v>39205.800000000003</v>
      </c>
      <c r="F95" s="150">
        <v>34882.15</v>
      </c>
      <c r="G95" s="151">
        <f t="shared" ref="G95:G97" si="9">E95-F95</f>
        <v>4323.6500000000015</v>
      </c>
      <c r="H95" s="191">
        <f t="shared" ref="H95:H97" si="10">F95/G95</f>
        <v>8.0677552530847763</v>
      </c>
    </row>
    <row r="96" spans="1:8" ht="15.75">
      <c r="A96" s="149" t="s">
        <v>300</v>
      </c>
      <c r="B96" s="150">
        <v>525</v>
      </c>
      <c r="C96" s="150">
        <v>38.97</v>
      </c>
      <c r="D96" s="150">
        <v>19.309999999999999</v>
      </c>
      <c r="E96" s="150">
        <v>10137.75</v>
      </c>
      <c r="F96" s="150">
        <v>-10319.75</v>
      </c>
      <c r="G96" s="151">
        <f t="shared" si="9"/>
        <v>20457.5</v>
      </c>
      <c r="H96" s="191">
        <f t="shared" si="10"/>
        <v>-0.50444824636441399</v>
      </c>
    </row>
    <row r="97" spans="1:8" ht="15.75">
      <c r="A97" s="149" t="s">
        <v>309</v>
      </c>
      <c r="B97" s="150">
        <v>43</v>
      </c>
      <c r="C97" s="150">
        <v>1818.46</v>
      </c>
      <c r="D97" s="150">
        <v>1540.5</v>
      </c>
      <c r="E97" s="150">
        <v>66241.5</v>
      </c>
      <c r="F97" s="150">
        <v>-11952.45</v>
      </c>
      <c r="G97" s="151">
        <f t="shared" si="9"/>
        <v>78193.95</v>
      </c>
      <c r="H97" s="191">
        <f t="shared" si="10"/>
        <v>-0.15285645500706899</v>
      </c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9957</v>
      </c>
      <c r="C104" s="45"/>
      <c r="D104" s="45"/>
      <c r="E104" s="45">
        <f>SUM(E2:E103)</f>
        <v>6357332.5200000014</v>
      </c>
      <c r="F104" s="45">
        <f>SUM(F2:F103)</f>
        <v>2230840.9999999995</v>
      </c>
      <c r="G104" s="45">
        <f>SUM(G2:G103)</f>
        <v>4126491.5199999996</v>
      </c>
      <c r="H104" s="176">
        <f>F104/G104</f>
        <v>0.54061446368851374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EDAC-2486-463B-BA63-A16369791C59}">
  <dimension ref="A1:I18"/>
  <sheetViews>
    <sheetView workbookViewId="0">
      <selection activeCell="E16" sqref="E16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88.07</v>
      </c>
      <c r="E2">
        <v>68.607799999999997</v>
      </c>
      <c r="F2" s="188">
        <v>279986.10960000003</v>
      </c>
      <c r="G2" s="188">
        <v>359410.67560000002</v>
      </c>
      <c r="H2" s="188">
        <v>85913.301999999996</v>
      </c>
      <c r="I2" s="192">
        <f>H2/F2</f>
        <v>0.30684844374151049</v>
      </c>
    </row>
    <row r="3" spans="1:9">
      <c r="A3" s="168" t="s">
        <v>236</v>
      </c>
      <c r="B3" t="s">
        <v>237</v>
      </c>
      <c r="C3" s="188">
        <v>14235.332</v>
      </c>
      <c r="D3">
        <v>89.11</v>
      </c>
      <c r="E3">
        <v>47.766100000000002</v>
      </c>
      <c r="F3" s="188">
        <v>679966.92570000002</v>
      </c>
      <c r="G3" s="188">
        <v>1268510.4345</v>
      </c>
      <c r="H3" s="188">
        <v>568756.39740000002</v>
      </c>
      <c r="I3" s="192">
        <f t="shared" ref="I3:I18" si="0">H3/F3</f>
        <v>0.83644715044704121</v>
      </c>
    </row>
    <row r="4" spans="1:9">
      <c r="A4" s="168" t="s">
        <v>238</v>
      </c>
      <c r="B4" t="s">
        <v>237</v>
      </c>
      <c r="C4" s="188">
        <v>16973.846000000001</v>
      </c>
      <c r="D4">
        <v>31.87</v>
      </c>
      <c r="E4">
        <v>27.982800000000001</v>
      </c>
      <c r="F4" s="188">
        <v>474976.27490000002</v>
      </c>
      <c r="G4" s="188">
        <v>540956.47199999995</v>
      </c>
      <c r="H4" s="188">
        <v>66924.100399999996</v>
      </c>
      <c r="I4" s="192">
        <f t="shared" si="0"/>
        <v>0.14089988055527611</v>
      </c>
    </row>
    <row r="5" spans="1:9">
      <c r="A5" s="168" t="s">
        <v>303</v>
      </c>
      <c r="B5" t="s">
        <v>241</v>
      </c>
      <c r="C5" s="188">
        <v>1857.5519999999999</v>
      </c>
      <c r="D5">
        <v>600.66949999999997</v>
      </c>
      <c r="E5">
        <v>366.02140000000003</v>
      </c>
      <c r="F5" s="188">
        <v>679903.69869999995</v>
      </c>
      <c r="G5" s="188">
        <v>1115774.8311000001</v>
      </c>
      <c r="H5" s="188">
        <v>459538.38819999999</v>
      </c>
      <c r="I5" s="192">
        <f t="shared" si="0"/>
        <v>0.67588746623772411</v>
      </c>
    </row>
    <row r="6" spans="1:9">
      <c r="A6" s="168" t="s">
        <v>242</v>
      </c>
      <c r="B6" t="s">
        <v>237</v>
      </c>
      <c r="C6" s="188">
        <v>4306.576</v>
      </c>
      <c r="D6">
        <v>116.286</v>
      </c>
      <c r="E6">
        <v>44.3917</v>
      </c>
      <c r="F6" s="188">
        <v>191176.2298</v>
      </c>
      <c r="G6" s="188">
        <v>500794.49670000002</v>
      </c>
      <c r="H6" s="188">
        <v>314519.15039999998</v>
      </c>
      <c r="I6" s="192">
        <f t="shared" si="0"/>
        <v>1.6451791665158153</v>
      </c>
    </row>
    <row r="7" spans="1:9">
      <c r="A7" s="168" t="s">
        <v>272</v>
      </c>
      <c r="B7" t="s">
        <v>235</v>
      </c>
      <c r="C7" s="188">
        <v>5805.7370000000001</v>
      </c>
      <c r="D7">
        <v>103.28400000000001</v>
      </c>
      <c r="E7">
        <v>41.940399999999997</v>
      </c>
      <c r="F7" s="188">
        <v>243495.1642</v>
      </c>
      <c r="G7" s="188">
        <v>599639.74029999995</v>
      </c>
      <c r="H7" s="188">
        <v>359947.33380000002</v>
      </c>
      <c r="I7" s="192">
        <f t="shared" si="0"/>
        <v>1.4782524941823876</v>
      </c>
    </row>
    <row r="8" spans="1:9">
      <c r="A8" s="168" t="s">
        <v>244</v>
      </c>
      <c r="B8" t="s">
        <v>233</v>
      </c>
      <c r="C8" s="188">
        <v>5841.7389999999996</v>
      </c>
      <c r="D8">
        <v>25.7821</v>
      </c>
      <c r="E8">
        <v>23.964300000000001</v>
      </c>
      <c r="F8" s="188">
        <v>139992.99739999999</v>
      </c>
      <c r="G8" s="188">
        <v>150612.2991</v>
      </c>
      <c r="H8" s="188">
        <v>10441.1286</v>
      </c>
      <c r="I8" s="192">
        <f t="shared" si="0"/>
        <v>7.458322054614426E-2</v>
      </c>
    </row>
    <row r="9" spans="1:9">
      <c r="A9" s="168" t="s">
        <v>273</v>
      </c>
      <c r="B9" t="s">
        <v>233</v>
      </c>
      <c r="C9" s="188">
        <v>67472.706000000006</v>
      </c>
      <c r="D9">
        <v>11.0319</v>
      </c>
      <c r="E9">
        <v>9.4107000000000003</v>
      </c>
      <c r="F9" s="188">
        <v>634968.24210000003</v>
      </c>
      <c r="G9" s="188">
        <v>744352.14529999997</v>
      </c>
      <c r="H9" s="188">
        <v>93428.195200000002</v>
      </c>
      <c r="I9" s="192">
        <f t="shared" si="0"/>
        <v>0.14713837481227315</v>
      </c>
    </row>
    <row r="10" spans="1:9">
      <c r="A10" s="168" t="s">
        <v>246</v>
      </c>
      <c r="B10" t="s">
        <v>241</v>
      </c>
      <c r="C10" s="188">
        <v>46220.9</v>
      </c>
      <c r="D10">
        <v>12.348599999999999</v>
      </c>
      <c r="E10">
        <v>11.476900000000001</v>
      </c>
      <c r="F10" s="188">
        <v>530473.47840000002</v>
      </c>
      <c r="G10" s="188">
        <v>570763.4057</v>
      </c>
      <c r="H10" s="188">
        <v>51595.559399999998</v>
      </c>
      <c r="I10" s="192">
        <f t="shared" si="0"/>
        <v>9.7263221444399348E-2</v>
      </c>
    </row>
    <row r="11" spans="1:9">
      <c r="A11" s="168" t="s">
        <v>247</v>
      </c>
      <c r="B11" t="s">
        <v>241</v>
      </c>
      <c r="C11" s="188">
        <v>8783.1219999999994</v>
      </c>
      <c r="D11">
        <v>10.571400000000001</v>
      </c>
      <c r="E11">
        <v>10.3033</v>
      </c>
      <c r="F11" s="188">
        <v>90495.4712</v>
      </c>
      <c r="G11" s="188">
        <v>92849.895900000003</v>
      </c>
      <c r="H11" s="188">
        <v>2676.7653</v>
      </c>
      <c r="I11" s="192">
        <f t="shared" si="0"/>
        <v>2.9578997318928817E-2</v>
      </c>
    </row>
    <row r="12" spans="1:9">
      <c r="A12" s="168" t="s">
        <v>250</v>
      </c>
      <c r="B12" t="s">
        <v>251</v>
      </c>
      <c r="C12" s="188">
        <v>19397.659</v>
      </c>
      <c r="D12">
        <v>63.0959</v>
      </c>
      <c r="E12">
        <v>44.640599999999999</v>
      </c>
      <c r="F12" s="188">
        <v>865923.00470000005</v>
      </c>
      <c r="G12" s="188">
        <v>1223912.7524999999</v>
      </c>
      <c r="H12" s="188">
        <v>353029.76640000002</v>
      </c>
      <c r="I12" s="192">
        <f t="shared" si="0"/>
        <v>0.40769186692563686</v>
      </c>
    </row>
    <row r="13" spans="1:9">
      <c r="A13" s="168" t="s">
        <v>274</v>
      </c>
      <c r="B13" t="s">
        <v>233</v>
      </c>
      <c r="C13" s="188">
        <v>6809.741</v>
      </c>
      <c r="D13">
        <v>35.159999999999997</v>
      </c>
      <c r="E13">
        <v>35.241999999999997</v>
      </c>
      <c r="F13" s="188">
        <v>239988.8371</v>
      </c>
      <c r="G13" s="188">
        <v>239430.49359999999</v>
      </c>
      <c r="H13" s="188">
        <v>-8525.7404999999999</v>
      </c>
      <c r="I13" s="192">
        <f t="shared" si="0"/>
        <v>-3.5525571118324321E-2</v>
      </c>
    </row>
    <row r="14" spans="1:9">
      <c r="A14" s="168" t="s">
        <v>253</v>
      </c>
      <c r="B14" t="s">
        <v>235</v>
      </c>
      <c r="C14" s="188">
        <v>2450.4349999999999</v>
      </c>
      <c r="D14">
        <v>180.4761</v>
      </c>
      <c r="E14">
        <v>147.05119999999999</v>
      </c>
      <c r="F14" s="188">
        <v>360339.36119999998</v>
      </c>
      <c r="G14" s="188">
        <v>442244.95209999999</v>
      </c>
      <c r="H14" s="188">
        <v>86426.643400000001</v>
      </c>
      <c r="I14" s="192">
        <f t="shared" si="0"/>
        <v>0.23984791201322694</v>
      </c>
    </row>
    <row r="15" spans="1:9">
      <c r="A15" s="168" t="s">
        <v>255</v>
      </c>
      <c r="B15" t="s">
        <v>241</v>
      </c>
      <c r="C15" s="188">
        <v>18996.168000000001</v>
      </c>
      <c r="D15">
        <v>16.427099999999999</v>
      </c>
      <c r="E15">
        <v>9.4700000000000006</v>
      </c>
      <c r="F15" s="188">
        <v>179893.71100000001</v>
      </c>
      <c r="G15" s="188">
        <v>312051.95140000002</v>
      </c>
      <c r="H15" s="188">
        <v>133261.9178</v>
      </c>
      <c r="I15" s="192">
        <f t="shared" si="0"/>
        <v>0.74078141508793482</v>
      </c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223232.47900000002</v>
      </c>
      <c r="D18" s="75"/>
      <c r="E18" s="75"/>
      <c r="F18" s="75">
        <f t="shared" ref="F18:H18" si="1">SUM(F2:F15)</f>
        <v>5591579.5060000001</v>
      </c>
      <c r="G18" s="75">
        <f t="shared" si="1"/>
        <v>8161304.5458000004</v>
      </c>
      <c r="H18" s="75">
        <f t="shared" si="1"/>
        <v>2577932.9077999997</v>
      </c>
      <c r="I18" s="53">
        <f t="shared" si="0"/>
        <v>0.46103840695348591</v>
      </c>
    </row>
  </sheetData>
  <hyperlinks>
    <hyperlink ref="A2" r:id="rId1" location="/mf/1831632/15690/NULL" xr:uid="{19A0FE4E-94B5-4A51-A682-CD5AAFC95E4A}"/>
    <hyperlink ref="A3" r:id="rId2" location="/mf/1831632/22335/NULL" xr:uid="{FCA42C8E-B827-49C5-9357-8E889CE12A64}"/>
    <hyperlink ref="A4" r:id="rId3" location="/mf/1831632/38817/NULL" xr:uid="{A164025F-192E-4EB5-AE72-AE4D92A620DE}"/>
    <hyperlink ref="A5" r:id="rId4" location="/mf/1831632/16071/NULL" xr:uid="{732459B7-1C4D-4D5C-8E4D-47AAB5C46A4B}"/>
    <hyperlink ref="A6" r:id="rId5" location="/mf/1831632/16617/NULL" xr:uid="{263311A6-1B92-4EEA-9FC4-6247690E5D46}"/>
    <hyperlink ref="A7" r:id="rId6" location="/mf/1831632/17134/NULL" xr:uid="{10464D57-DE5E-443E-8161-92D0534B743D}"/>
    <hyperlink ref="A8" r:id="rId7" location="/mf/1831632/38228/NULL" xr:uid="{69CABD95-0B78-4041-81EA-AA2AC46AE00C}"/>
    <hyperlink ref="A9" r:id="rId8" location="/mf/1831632/42135/NULL" xr:uid="{21C70392-E8E0-4B36-81EA-7F3E0FAFD6DD}"/>
    <hyperlink ref="A10" r:id="rId9" location="/mf/1831632/41574/NULL" xr:uid="{84BB8366-A072-4153-BC12-46795D4F9DA1}"/>
    <hyperlink ref="A11" r:id="rId10" location="/mf/1831632/41937/NULL" xr:uid="{384B7D2F-7997-4423-AB8F-43BED6F0BCD3}"/>
    <hyperlink ref="A12" r:id="rId11" location="/mf/1831632/19701/NULL" xr:uid="{396F0FB0-7E83-4EE7-B048-B210F5179526}"/>
    <hyperlink ref="A13" r:id="rId12" location="/mf/1831632/17348/NULL" xr:uid="{A0A65B71-C528-4094-8442-93B4F510DB62}"/>
    <hyperlink ref="A14" r:id="rId13" location="/mf/1831632/17375/NULL" xr:uid="{6C4376DC-2E40-48ED-9E49-DBAB825B3BBD}"/>
    <hyperlink ref="A15" r:id="rId14" location="/mf/1831632/36491/NULL" xr:uid="{E9336B7D-10E1-4FD7-B026-475D06EF0C1D}"/>
  </hyperlinks>
  <pageMargins left="0.7" right="0.7" top="0.75" bottom="0.75" header="0.3" footer="0.3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50FF-DBA1-4CB1-A046-BC9A04EB32D4}">
  <dimension ref="A1:I104"/>
  <sheetViews>
    <sheetView workbookViewId="0">
      <pane xSplit="1" ySplit="1" topLeftCell="B90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143</v>
      </c>
      <c r="B2" s="150">
        <v>100</v>
      </c>
      <c r="C2" s="150">
        <v>109.73</v>
      </c>
      <c r="D2" s="150">
        <v>101.52</v>
      </c>
      <c r="E2" s="150">
        <v>10152</v>
      </c>
      <c r="F2" s="150">
        <v>-820.5</v>
      </c>
      <c r="G2" s="151">
        <f t="shared" ref="G2:G33" si="0">E2-F2</f>
        <v>10972.5</v>
      </c>
      <c r="H2" s="191">
        <f t="shared" ref="H2:H14" si="1">F2/G2</f>
        <v>-7.4777853725222151E-2</v>
      </c>
    </row>
    <row r="3" spans="1:8" ht="15.75">
      <c r="A3" s="149" t="s">
        <v>259</v>
      </c>
      <c r="B3" s="150">
        <v>13</v>
      </c>
      <c r="C3" s="150">
        <v>133.75</v>
      </c>
      <c r="D3" s="150">
        <v>542.54999999999995</v>
      </c>
      <c r="E3" s="150">
        <v>7053.15</v>
      </c>
      <c r="F3" s="150">
        <v>5314.4</v>
      </c>
      <c r="G3" s="151">
        <f t="shared" si="0"/>
        <v>1738.75</v>
      </c>
      <c r="H3" s="191">
        <f t="shared" si="1"/>
        <v>3.0564485981308409</v>
      </c>
    </row>
    <row r="4" spans="1:8" ht="15.75">
      <c r="A4" s="149" t="s">
        <v>144</v>
      </c>
      <c r="B4" s="150">
        <v>25</v>
      </c>
      <c r="C4" s="150">
        <v>813.47</v>
      </c>
      <c r="D4" s="150">
        <v>1825.8</v>
      </c>
      <c r="E4" s="150">
        <v>45645</v>
      </c>
      <c r="F4" s="150">
        <v>25308.35</v>
      </c>
      <c r="G4" s="151">
        <f t="shared" si="0"/>
        <v>20336.650000000001</v>
      </c>
      <c r="H4" s="191">
        <f t="shared" si="1"/>
        <v>1.2444699594082602</v>
      </c>
    </row>
    <row r="5" spans="1:8" ht="15.75">
      <c r="A5" s="149" t="s">
        <v>145</v>
      </c>
      <c r="B5" s="150">
        <v>250</v>
      </c>
      <c r="C5" s="150">
        <v>183.59</v>
      </c>
      <c r="D5" s="150">
        <v>384.3</v>
      </c>
      <c r="E5" s="150">
        <v>96075</v>
      </c>
      <c r="F5" s="150">
        <v>50177.5</v>
      </c>
      <c r="G5" s="151">
        <f t="shared" si="0"/>
        <v>45897.5</v>
      </c>
      <c r="H5" s="191">
        <f t="shared" si="1"/>
        <v>1.0932512664088458</v>
      </c>
    </row>
    <row r="6" spans="1:8" ht="15.75">
      <c r="A6" s="149" t="s">
        <v>275</v>
      </c>
      <c r="B6" s="150">
        <v>165</v>
      </c>
      <c r="C6" s="150">
        <v>160.15</v>
      </c>
      <c r="D6" s="150">
        <v>168.3</v>
      </c>
      <c r="E6" s="150">
        <v>27769.5</v>
      </c>
      <c r="F6" s="150">
        <v>1344.75</v>
      </c>
      <c r="G6" s="151">
        <f t="shared" si="0"/>
        <v>26424.75</v>
      </c>
      <c r="H6" s="191">
        <f t="shared" si="1"/>
        <v>5.0889790821105216E-2</v>
      </c>
    </row>
    <row r="7" spans="1:8" ht="15.75">
      <c r="A7" s="149" t="s">
        <v>276</v>
      </c>
      <c r="B7" s="150">
        <v>28</v>
      </c>
      <c r="C7" s="150">
        <v>2757.87</v>
      </c>
      <c r="D7" s="150">
        <v>2977.85</v>
      </c>
      <c r="E7" s="150">
        <v>83379.8</v>
      </c>
      <c r="F7" s="150">
        <v>6159.4</v>
      </c>
      <c r="G7" s="151">
        <f t="shared" si="0"/>
        <v>77220.400000000009</v>
      </c>
      <c r="H7" s="191">
        <f t="shared" si="1"/>
        <v>7.9763896586912256E-2</v>
      </c>
    </row>
    <row r="8" spans="1:8" ht="15.75">
      <c r="A8" s="149" t="s">
        <v>277</v>
      </c>
      <c r="B8" s="150">
        <v>72</v>
      </c>
      <c r="C8" s="150">
        <v>578.16999999999996</v>
      </c>
      <c r="D8" s="150">
        <v>669.15</v>
      </c>
      <c r="E8" s="150">
        <v>48178.8</v>
      </c>
      <c r="F8" s="150">
        <v>6550.6</v>
      </c>
      <c r="G8" s="151">
        <f t="shared" si="0"/>
        <v>41628.200000000004</v>
      </c>
      <c r="H8" s="191">
        <f t="shared" si="1"/>
        <v>0.15735967445145357</v>
      </c>
    </row>
    <row r="9" spans="1:8" ht="15.75">
      <c r="A9" s="149" t="s">
        <v>146</v>
      </c>
      <c r="B9" s="150">
        <v>73</v>
      </c>
      <c r="C9" s="150">
        <v>665.52</v>
      </c>
      <c r="D9" s="150">
        <v>988.3</v>
      </c>
      <c r="E9" s="150">
        <v>72145.899999999994</v>
      </c>
      <c r="F9" s="150">
        <v>23562.7</v>
      </c>
      <c r="G9" s="151">
        <f t="shared" si="0"/>
        <v>48583.199999999997</v>
      </c>
      <c r="H9" s="191">
        <f t="shared" si="1"/>
        <v>0.48499687134647373</v>
      </c>
    </row>
    <row r="10" spans="1:8" ht="15.75">
      <c r="A10" s="149" t="s">
        <v>147</v>
      </c>
      <c r="B10" s="150">
        <v>21</v>
      </c>
      <c r="C10" s="150">
        <v>2946.68</v>
      </c>
      <c r="D10" s="150">
        <v>5368.95</v>
      </c>
      <c r="E10" s="150">
        <v>112747.95</v>
      </c>
      <c r="F10" s="150">
        <v>50867.7</v>
      </c>
      <c r="G10" s="151">
        <f t="shared" si="0"/>
        <v>61880.25</v>
      </c>
      <c r="H10" s="191">
        <f t="shared" si="1"/>
        <v>0.82203449404292961</v>
      </c>
    </row>
    <row r="11" spans="1:8" ht="15.75">
      <c r="A11" s="149" t="s">
        <v>148</v>
      </c>
      <c r="B11" s="150">
        <v>8</v>
      </c>
      <c r="C11" s="150">
        <v>6731.04</v>
      </c>
      <c r="D11" s="150">
        <v>7420.2</v>
      </c>
      <c r="E11" s="150">
        <v>59361.599999999999</v>
      </c>
      <c r="F11" s="150">
        <v>5513.25</v>
      </c>
      <c r="G11" s="151">
        <f t="shared" si="0"/>
        <v>53848.35</v>
      </c>
      <c r="H11" s="191">
        <f t="shared" si="1"/>
        <v>0.10238475273615627</v>
      </c>
    </row>
    <row r="12" spans="1:8" ht="15.75">
      <c r="A12" s="149" t="s">
        <v>149</v>
      </c>
      <c r="B12" s="150">
        <v>12</v>
      </c>
      <c r="C12" s="150">
        <v>2238.41</v>
      </c>
      <c r="D12" s="150">
        <v>2543.65</v>
      </c>
      <c r="E12" s="150">
        <v>30523.8</v>
      </c>
      <c r="F12" s="150">
        <v>3662.9</v>
      </c>
      <c r="G12" s="151">
        <f t="shared" si="0"/>
        <v>26860.899999999998</v>
      </c>
      <c r="H12" s="191">
        <f t="shared" si="1"/>
        <v>0.13636549780536023</v>
      </c>
    </row>
    <row r="13" spans="1:8" ht="15.75">
      <c r="A13" s="149" t="s">
        <v>150</v>
      </c>
      <c r="B13" s="150">
        <v>184</v>
      </c>
      <c r="C13" s="150">
        <v>185</v>
      </c>
      <c r="D13" s="150">
        <v>203.8</v>
      </c>
      <c r="E13" s="150">
        <v>37499.199999999997</v>
      </c>
      <c r="F13" s="150">
        <v>3459.2</v>
      </c>
      <c r="G13" s="151">
        <f t="shared" si="0"/>
        <v>34040</v>
      </c>
      <c r="H13" s="191">
        <f t="shared" si="1"/>
        <v>0.10162162162162161</v>
      </c>
    </row>
    <row r="14" spans="1:8" ht="15.75">
      <c r="A14" s="149" t="s">
        <v>152</v>
      </c>
      <c r="B14" s="150">
        <v>180</v>
      </c>
      <c r="C14" s="150">
        <v>322.89</v>
      </c>
      <c r="D14" s="150">
        <v>930.75</v>
      </c>
      <c r="E14" s="150">
        <v>167535</v>
      </c>
      <c r="F14" s="150">
        <v>109415</v>
      </c>
      <c r="G14" s="151">
        <f t="shared" si="0"/>
        <v>58120</v>
      </c>
      <c r="H14" s="191">
        <f t="shared" si="1"/>
        <v>1.8825705437026841</v>
      </c>
    </row>
    <row r="15" spans="1:8" ht="16.5">
      <c r="A15" s="149" t="s">
        <v>153</v>
      </c>
      <c r="B15" s="150">
        <v>61</v>
      </c>
      <c r="C15" s="150">
        <v>427.78</v>
      </c>
      <c r="D15" s="150">
        <v>668.75</v>
      </c>
      <c r="E15" s="150">
        <v>40793.75</v>
      </c>
      <c r="F15" s="150">
        <v>14699.15</v>
      </c>
      <c r="G15" s="151">
        <f t="shared" si="0"/>
        <v>26094.6</v>
      </c>
      <c r="H15" s="191"/>
    </row>
    <row r="16" spans="1:8" ht="15.75">
      <c r="A16" s="149" t="s">
        <v>154</v>
      </c>
      <c r="B16" s="150">
        <v>14</v>
      </c>
      <c r="C16" s="150">
        <v>3489.94</v>
      </c>
      <c r="D16" s="150">
        <v>4548.05</v>
      </c>
      <c r="E16" s="150">
        <v>63672.7</v>
      </c>
      <c r="F16" s="150">
        <v>14813.6</v>
      </c>
      <c r="G16" s="151">
        <f t="shared" si="0"/>
        <v>48859.1</v>
      </c>
      <c r="H16" s="191">
        <f t="shared" ref="H16:H19" si="2">F16/G16</f>
        <v>0.30319019384311213</v>
      </c>
    </row>
    <row r="17" spans="1:8" ht="15.75">
      <c r="A17" s="149" t="s">
        <v>304</v>
      </c>
      <c r="B17" s="150">
        <v>6</v>
      </c>
      <c r="C17" s="150">
        <v>0</v>
      </c>
      <c r="D17" s="150">
        <v>29.19</v>
      </c>
      <c r="E17" s="150">
        <v>175.14</v>
      </c>
      <c r="F17" s="150">
        <v>175.14</v>
      </c>
      <c r="G17" s="151">
        <f t="shared" si="0"/>
        <v>0</v>
      </c>
      <c r="H17" s="191" t="e">
        <f t="shared" si="2"/>
        <v>#DIV/0!</v>
      </c>
    </row>
    <row r="18" spans="1:8" ht="15.75">
      <c r="A18" s="149" t="s">
        <v>155</v>
      </c>
      <c r="B18" s="150">
        <v>180</v>
      </c>
      <c r="C18" s="150">
        <v>155.25</v>
      </c>
      <c r="D18" s="150">
        <v>133.9</v>
      </c>
      <c r="E18" s="150">
        <v>24102</v>
      </c>
      <c r="F18" s="150">
        <v>-3843</v>
      </c>
      <c r="G18" s="151">
        <f t="shared" si="0"/>
        <v>27945</v>
      </c>
      <c r="H18" s="191">
        <f t="shared" si="2"/>
        <v>-0.13752012882447665</v>
      </c>
    </row>
    <row r="19" spans="1:8" ht="15.75">
      <c r="A19" s="149" t="s">
        <v>156</v>
      </c>
      <c r="B19" s="150">
        <v>47</v>
      </c>
      <c r="C19" s="150">
        <v>193.53</v>
      </c>
      <c r="D19" s="150">
        <v>481.7</v>
      </c>
      <c r="E19" s="150">
        <v>22639.9</v>
      </c>
      <c r="F19" s="150">
        <v>13544</v>
      </c>
      <c r="G19" s="151">
        <f t="shared" si="0"/>
        <v>9095.9000000000015</v>
      </c>
      <c r="H19" s="191">
        <f t="shared" si="2"/>
        <v>1.4890225266328783</v>
      </c>
    </row>
    <row r="20" spans="1:8" ht="15.75">
      <c r="A20" s="149" t="s">
        <v>157</v>
      </c>
      <c r="B20" s="150">
        <v>35</v>
      </c>
      <c r="C20" s="150">
        <v>827.34</v>
      </c>
      <c r="D20" s="150">
        <v>1206.3499999999999</v>
      </c>
      <c r="E20" s="150">
        <v>42222.25</v>
      </c>
      <c r="F20" s="150">
        <v>13265.4</v>
      </c>
      <c r="G20" s="151">
        <f t="shared" si="0"/>
        <v>28956.85</v>
      </c>
      <c r="H20" s="191">
        <f t="shared" ref="H20:H51" si="3">F20/G20</f>
        <v>0.45810922113420488</v>
      </c>
    </row>
    <row r="21" spans="1:8" ht="15.75">
      <c r="A21" s="149" t="s">
        <v>158</v>
      </c>
      <c r="B21" s="150">
        <v>470</v>
      </c>
      <c r="C21" s="150">
        <v>194.39</v>
      </c>
      <c r="D21" s="150">
        <v>312</v>
      </c>
      <c r="E21" s="150">
        <v>146640</v>
      </c>
      <c r="F21" s="150">
        <v>55276.5</v>
      </c>
      <c r="G21" s="151">
        <f t="shared" si="0"/>
        <v>91363.5</v>
      </c>
      <c r="H21" s="191">
        <f t="shared" si="3"/>
        <v>0.6050173209213745</v>
      </c>
    </row>
    <row r="22" spans="1:8" ht="15.75">
      <c r="A22" s="149" t="s">
        <v>159</v>
      </c>
      <c r="B22" s="150">
        <v>10</v>
      </c>
      <c r="C22" s="150">
        <v>4083.04</v>
      </c>
      <c r="D22" s="150">
        <v>5083.1000000000004</v>
      </c>
      <c r="E22" s="150">
        <v>50831</v>
      </c>
      <c r="F22" s="150">
        <v>10000.6</v>
      </c>
      <c r="G22" s="151">
        <f t="shared" si="0"/>
        <v>40830.400000000001</v>
      </c>
      <c r="H22" s="191">
        <f t="shared" si="3"/>
        <v>0.2449302480504722</v>
      </c>
    </row>
    <row r="23" spans="1:8" ht="15.75">
      <c r="A23" s="149" t="s">
        <v>160</v>
      </c>
      <c r="B23" s="150">
        <v>32</v>
      </c>
      <c r="C23" s="150">
        <v>1549.21</v>
      </c>
      <c r="D23" s="150">
        <v>2104.9499999999998</v>
      </c>
      <c r="E23" s="150">
        <v>67358.399999999994</v>
      </c>
      <c r="F23" s="150">
        <v>17783.55</v>
      </c>
      <c r="G23" s="151">
        <f t="shared" si="0"/>
        <v>49574.849999999991</v>
      </c>
      <c r="H23" s="191">
        <f t="shared" si="3"/>
        <v>0.35872120641817379</v>
      </c>
    </row>
    <row r="24" spans="1:8" ht="15.75">
      <c r="A24" s="149" t="s">
        <v>279</v>
      </c>
      <c r="B24" s="150">
        <v>83</v>
      </c>
      <c r="C24" s="150">
        <v>560.16999999999996</v>
      </c>
      <c r="D24" s="150">
        <v>535.5</v>
      </c>
      <c r="E24" s="150">
        <v>44446.5</v>
      </c>
      <c r="F24" s="150">
        <v>-2047.55</v>
      </c>
      <c r="G24" s="151">
        <f t="shared" si="0"/>
        <v>46494.05</v>
      </c>
      <c r="H24" s="191">
        <f t="shared" si="3"/>
        <v>-4.4038968427142826E-2</v>
      </c>
    </row>
    <row r="25" spans="1:8" ht="15.75">
      <c r="A25" s="149" t="s">
        <v>161</v>
      </c>
      <c r="B25" s="150">
        <v>55</v>
      </c>
      <c r="C25" s="150">
        <v>325.14</v>
      </c>
      <c r="D25" s="150">
        <v>595.85</v>
      </c>
      <c r="E25" s="150">
        <v>32771.75</v>
      </c>
      <c r="F25" s="150">
        <v>14888.85</v>
      </c>
      <c r="G25" s="151">
        <f t="shared" si="0"/>
        <v>17882.900000000001</v>
      </c>
      <c r="H25" s="191">
        <f t="shared" si="3"/>
        <v>0.83257469426099784</v>
      </c>
    </row>
    <row r="26" spans="1:8" ht="15.75">
      <c r="A26" s="149" t="s">
        <v>162</v>
      </c>
      <c r="B26" s="150">
        <v>14</v>
      </c>
      <c r="C26" s="150">
        <v>3289.33</v>
      </c>
      <c r="D26" s="150">
        <v>3649.7</v>
      </c>
      <c r="E26" s="150">
        <v>51095.8</v>
      </c>
      <c r="F26" s="150">
        <v>5045.25</v>
      </c>
      <c r="G26" s="151">
        <f t="shared" si="0"/>
        <v>46050.55</v>
      </c>
      <c r="H26" s="191">
        <f t="shared" si="3"/>
        <v>0.10955895206463331</v>
      </c>
    </row>
    <row r="27" spans="1:8" ht="15.75">
      <c r="A27" s="149" t="s">
        <v>163</v>
      </c>
      <c r="B27" s="150">
        <v>9</v>
      </c>
      <c r="C27" s="150">
        <v>4442.55</v>
      </c>
      <c r="D27" s="150">
        <v>5263.05</v>
      </c>
      <c r="E27" s="150">
        <v>47367.45</v>
      </c>
      <c r="F27" s="150">
        <v>7384.5</v>
      </c>
      <c r="G27" s="151">
        <f t="shared" si="0"/>
        <v>39982.949999999997</v>
      </c>
      <c r="H27" s="191">
        <f t="shared" si="3"/>
        <v>0.18469122463450047</v>
      </c>
    </row>
    <row r="28" spans="1:8" ht="15.75">
      <c r="A28" s="149" t="s">
        <v>164</v>
      </c>
      <c r="B28" s="150">
        <v>8</v>
      </c>
      <c r="C28" s="150">
        <v>2511.94</v>
      </c>
      <c r="D28" s="150">
        <v>3430.05</v>
      </c>
      <c r="E28" s="150">
        <v>27440.400000000001</v>
      </c>
      <c r="F28" s="150">
        <v>7344.9</v>
      </c>
      <c r="G28" s="151">
        <f t="shared" si="0"/>
        <v>20095.5</v>
      </c>
      <c r="H28" s="191">
        <f t="shared" si="3"/>
        <v>0.36549973874748076</v>
      </c>
    </row>
    <row r="29" spans="1:8" ht="15.75">
      <c r="A29" s="149" t="s">
        <v>270</v>
      </c>
      <c r="B29" s="150">
        <v>61</v>
      </c>
      <c r="C29" s="150">
        <v>360.97</v>
      </c>
      <c r="D29" s="150">
        <v>313.52</v>
      </c>
      <c r="E29" s="150">
        <v>19124.72</v>
      </c>
      <c r="F29" s="150">
        <v>-2894.45</v>
      </c>
      <c r="G29" s="151">
        <f t="shared" si="0"/>
        <v>22019.170000000002</v>
      </c>
      <c r="H29" s="191">
        <f t="shared" si="3"/>
        <v>-0.1314513671496246</v>
      </c>
    </row>
    <row r="30" spans="1:8" ht="15.75">
      <c r="A30" s="149" t="s">
        <v>166</v>
      </c>
      <c r="B30" s="150">
        <v>23</v>
      </c>
      <c r="C30" s="150">
        <v>1408.96</v>
      </c>
      <c r="D30" s="150">
        <v>1669.45</v>
      </c>
      <c r="E30" s="150">
        <v>38397.35</v>
      </c>
      <c r="F30" s="150">
        <v>5991.35</v>
      </c>
      <c r="G30" s="151">
        <f t="shared" si="0"/>
        <v>32406</v>
      </c>
      <c r="H30" s="191">
        <f t="shared" si="3"/>
        <v>0.18488397210393137</v>
      </c>
    </row>
    <row r="31" spans="1:8" ht="15.75">
      <c r="A31" s="149" t="s">
        <v>168</v>
      </c>
      <c r="B31" s="150">
        <v>80</v>
      </c>
      <c r="C31" s="150">
        <v>685.74</v>
      </c>
      <c r="D31" s="150">
        <v>875.9</v>
      </c>
      <c r="E31" s="150">
        <v>70072</v>
      </c>
      <c r="F31" s="150">
        <v>15213</v>
      </c>
      <c r="G31" s="151">
        <f t="shared" si="0"/>
        <v>54859</v>
      </c>
      <c r="H31" s="191">
        <f t="shared" si="3"/>
        <v>0.27731092436974791</v>
      </c>
    </row>
    <row r="32" spans="1:8" ht="15.75">
      <c r="A32" s="149" t="s">
        <v>169</v>
      </c>
      <c r="B32" s="150">
        <v>268</v>
      </c>
      <c r="C32" s="150">
        <v>181.75</v>
      </c>
      <c r="D32" s="150">
        <v>256.10000000000002</v>
      </c>
      <c r="E32" s="150">
        <v>68634.8</v>
      </c>
      <c r="F32" s="150">
        <v>19925.05</v>
      </c>
      <c r="G32" s="151">
        <f t="shared" si="0"/>
        <v>48709.75</v>
      </c>
      <c r="H32" s="191">
        <f t="shared" si="3"/>
        <v>0.40905670835920938</v>
      </c>
    </row>
    <row r="33" spans="1:8" ht="15.75">
      <c r="A33" s="149" t="s">
        <v>170</v>
      </c>
      <c r="B33" s="150">
        <v>387</v>
      </c>
      <c r="C33" s="150">
        <v>82.58</v>
      </c>
      <c r="D33" s="150">
        <v>143.55000000000001</v>
      </c>
      <c r="E33" s="150">
        <v>55553.85</v>
      </c>
      <c r="F33" s="150">
        <v>23594.05</v>
      </c>
      <c r="G33" s="151">
        <f t="shared" si="0"/>
        <v>31959.8</v>
      </c>
      <c r="H33" s="191">
        <f t="shared" si="3"/>
        <v>0.73824147835718623</v>
      </c>
    </row>
    <row r="34" spans="1:8" ht="15.75">
      <c r="A34" s="149" t="s">
        <v>312</v>
      </c>
      <c r="B34" s="150">
        <v>57</v>
      </c>
      <c r="C34" s="150">
        <v>217.68</v>
      </c>
      <c r="D34" s="150">
        <v>74.849999999999994</v>
      </c>
      <c r="E34" s="150">
        <v>4266.45</v>
      </c>
      <c r="F34" s="150">
        <v>-8141.25</v>
      </c>
      <c r="G34" s="151">
        <f t="shared" ref="G34:G65" si="4">E34-F34</f>
        <v>12407.7</v>
      </c>
      <c r="H34" s="191">
        <f t="shared" si="3"/>
        <v>-0.65614497449164633</v>
      </c>
    </row>
    <row r="35" spans="1:8" ht="15.75">
      <c r="A35" s="149" t="s">
        <v>172</v>
      </c>
      <c r="B35" s="150">
        <v>18</v>
      </c>
      <c r="C35" s="150">
        <v>1556.41</v>
      </c>
      <c r="D35" s="150">
        <v>1784.4</v>
      </c>
      <c r="E35" s="150">
        <v>32119.200000000001</v>
      </c>
      <c r="F35" s="150">
        <v>4103.8500000000004</v>
      </c>
      <c r="G35" s="151">
        <f t="shared" si="4"/>
        <v>28015.35</v>
      </c>
      <c r="H35" s="191">
        <f t="shared" si="3"/>
        <v>0.14648576583908465</v>
      </c>
    </row>
    <row r="36" spans="1:8" ht="15.75">
      <c r="A36" s="149" t="s">
        <v>173</v>
      </c>
      <c r="B36" s="150">
        <v>33</v>
      </c>
      <c r="C36" s="150">
        <v>41.65</v>
      </c>
      <c r="D36" s="150">
        <v>51.83</v>
      </c>
      <c r="E36" s="150">
        <v>1710.39</v>
      </c>
      <c r="F36" s="150">
        <v>335.87</v>
      </c>
      <c r="G36" s="151">
        <f t="shared" si="4"/>
        <v>1374.52</v>
      </c>
      <c r="H36" s="191">
        <f t="shared" si="3"/>
        <v>0.24435439280621599</v>
      </c>
    </row>
    <row r="37" spans="1:8" ht="15.75">
      <c r="A37" s="149" t="s">
        <v>281</v>
      </c>
      <c r="B37" s="150">
        <v>124</v>
      </c>
      <c r="C37" s="150">
        <v>304.87</v>
      </c>
      <c r="D37" s="150">
        <v>351.6</v>
      </c>
      <c r="E37" s="150">
        <v>43598.400000000001</v>
      </c>
      <c r="F37" s="150">
        <v>5795</v>
      </c>
      <c r="G37" s="151">
        <f t="shared" si="4"/>
        <v>37803.4</v>
      </c>
      <c r="H37" s="191">
        <f t="shared" si="3"/>
        <v>0.15329309003952024</v>
      </c>
    </row>
    <row r="38" spans="1:8" ht="15.75">
      <c r="A38" s="149" t="s">
        <v>174</v>
      </c>
      <c r="B38" s="150">
        <v>67</v>
      </c>
      <c r="C38" s="150">
        <v>1067.9000000000001</v>
      </c>
      <c r="D38" s="150">
        <v>1267.75</v>
      </c>
      <c r="E38" s="150">
        <v>84939.25</v>
      </c>
      <c r="F38" s="150">
        <v>13390.25</v>
      </c>
      <c r="G38" s="151">
        <f t="shared" si="4"/>
        <v>71549</v>
      </c>
      <c r="H38" s="191">
        <f t="shared" si="3"/>
        <v>0.18714796852506674</v>
      </c>
    </row>
    <row r="39" spans="1:8" ht="15.75">
      <c r="A39" s="149" t="s">
        <v>175</v>
      </c>
      <c r="B39" s="150">
        <v>37</v>
      </c>
      <c r="C39" s="150">
        <v>1495.82</v>
      </c>
      <c r="D39" s="150">
        <v>1483.75</v>
      </c>
      <c r="E39" s="150">
        <v>54898.75</v>
      </c>
      <c r="F39" s="150">
        <v>-446.65</v>
      </c>
      <c r="G39" s="151">
        <f t="shared" si="4"/>
        <v>55345.4</v>
      </c>
      <c r="H39" s="191">
        <f t="shared" si="3"/>
        <v>-8.0702280587004512E-3</v>
      </c>
    </row>
    <row r="40" spans="1:8" ht="15.75">
      <c r="A40" s="149" t="s">
        <v>176</v>
      </c>
      <c r="B40" s="150">
        <v>132</v>
      </c>
      <c r="C40" s="150">
        <v>585.66999999999996</v>
      </c>
      <c r="D40" s="150">
        <v>622.85</v>
      </c>
      <c r="E40" s="150">
        <v>82216.2</v>
      </c>
      <c r="F40" s="150">
        <v>4908.3999999999996</v>
      </c>
      <c r="G40" s="151">
        <f t="shared" si="4"/>
        <v>77307.8</v>
      </c>
      <c r="H40" s="191">
        <f t="shared" si="3"/>
        <v>6.349165284744876E-2</v>
      </c>
    </row>
    <row r="41" spans="1:8" ht="15.75">
      <c r="A41" s="149" t="s">
        <v>177</v>
      </c>
      <c r="B41" s="150">
        <v>10</v>
      </c>
      <c r="C41" s="150">
        <v>2735.04</v>
      </c>
      <c r="D41" s="150">
        <v>3088.05</v>
      </c>
      <c r="E41" s="150">
        <v>30880.5</v>
      </c>
      <c r="F41" s="150">
        <v>3530.1</v>
      </c>
      <c r="G41" s="151">
        <f t="shared" si="4"/>
        <v>27350.400000000001</v>
      </c>
      <c r="H41" s="191">
        <f t="shared" si="3"/>
        <v>0.1290694103194103</v>
      </c>
    </row>
    <row r="42" spans="1:8" ht="15.75">
      <c r="A42" s="149" t="s">
        <v>282</v>
      </c>
      <c r="B42" s="150">
        <v>22</v>
      </c>
      <c r="C42" s="150">
        <v>2298.5700000000002</v>
      </c>
      <c r="D42" s="150">
        <v>2509.25</v>
      </c>
      <c r="E42" s="150">
        <v>55203.5</v>
      </c>
      <c r="F42" s="150">
        <v>4634.8999999999996</v>
      </c>
      <c r="G42" s="151">
        <f t="shared" si="4"/>
        <v>50568.6</v>
      </c>
      <c r="H42" s="191">
        <f t="shared" si="3"/>
        <v>9.1655691476528911E-2</v>
      </c>
    </row>
    <row r="43" spans="1:8" ht="15.75">
      <c r="A43" s="149" t="s">
        <v>178</v>
      </c>
      <c r="B43" s="150">
        <v>73</v>
      </c>
      <c r="C43" s="150">
        <v>589.26</v>
      </c>
      <c r="D43" s="150">
        <v>933.8</v>
      </c>
      <c r="E43" s="150">
        <v>68167.399999999994</v>
      </c>
      <c r="F43" s="150">
        <v>25151.75</v>
      </c>
      <c r="G43" s="151">
        <f t="shared" si="4"/>
        <v>43015.649999999994</v>
      </c>
      <c r="H43" s="191">
        <f t="shared" si="3"/>
        <v>0.58471161077421829</v>
      </c>
    </row>
    <row r="44" spans="1:8" ht="15.75">
      <c r="A44" s="149" t="s">
        <v>179</v>
      </c>
      <c r="B44" s="150">
        <v>100</v>
      </c>
      <c r="C44" s="150">
        <v>1293.83</v>
      </c>
      <c r="D44" s="150">
        <v>1362.7</v>
      </c>
      <c r="E44" s="150">
        <v>136270</v>
      </c>
      <c r="F44" s="150">
        <v>6887.25</v>
      </c>
      <c r="G44" s="151">
        <f t="shared" si="4"/>
        <v>129382.75</v>
      </c>
      <c r="H44" s="191">
        <f t="shared" si="3"/>
        <v>5.3231593856213441E-2</v>
      </c>
    </row>
    <row r="45" spans="1:8" ht="15.75">
      <c r="A45" s="149" t="s">
        <v>180</v>
      </c>
      <c r="B45" s="150">
        <v>152</v>
      </c>
      <c r="C45" s="150">
        <v>495.14</v>
      </c>
      <c r="D45" s="150">
        <v>520.65</v>
      </c>
      <c r="E45" s="150">
        <v>79138.8</v>
      </c>
      <c r="F45" s="150">
        <v>3877.1</v>
      </c>
      <c r="G45" s="151">
        <f t="shared" si="4"/>
        <v>75261.7</v>
      </c>
      <c r="H45" s="191">
        <f t="shared" si="3"/>
        <v>5.1514913960221467E-2</v>
      </c>
    </row>
    <row r="46" spans="1:8" ht="15.75">
      <c r="A46" s="149" t="s">
        <v>284</v>
      </c>
      <c r="B46" s="150">
        <v>40</v>
      </c>
      <c r="C46" s="150">
        <v>942.87</v>
      </c>
      <c r="D46" s="150">
        <v>1450.25</v>
      </c>
      <c r="E46" s="150">
        <v>58010</v>
      </c>
      <c r="F46" s="150">
        <v>20295.349999999999</v>
      </c>
      <c r="G46" s="151">
        <f t="shared" si="4"/>
        <v>37714.65</v>
      </c>
      <c r="H46" s="191">
        <f t="shared" si="3"/>
        <v>0.53812908246530189</v>
      </c>
    </row>
    <row r="47" spans="1:8" ht="15.75">
      <c r="A47" s="149" t="s">
        <v>181</v>
      </c>
      <c r="B47" s="150">
        <v>47</v>
      </c>
      <c r="C47" s="150">
        <v>1499.22</v>
      </c>
      <c r="D47" s="150">
        <v>1389.1</v>
      </c>
      <c r="E47" s="150">
        <v>65287.7</v>
      </c>
      <c r="F47" s="150">
        <v>-5175.7</v>
      </c>
      <c r="G47" s="151">
        <f t="shared" si="4"/>
        <v>70463.399999999994</v>
      </c>
      <c r="H47" s="191">
        <f t="shared" si="3"/>
        <v>-7.3452317089439348E-2</v>
      </c>
    </row>
    <row r="48" spans="1:8" ht="15.75">
      <c r="A48" s="149" t="s">
        <v>182</v>
      </c>
      <c r="B48" s="150">
        <v>735</v>
      </c>
      <c r="C48" s="150">
        <v>223.37</v>
      </c>
      <c r="D48" s="150">
        <v>433.55</v>
      </c>
      <c r="E48" s="150">
        <v>318659.25</v>
      </c>
      <c r="F48" s="150">
        <v>154484.9</v>
      </c>
      <c r="G48" s="151">
        <f t="shared" si="4"/>
        <v>164174.35</v>
      </c>
      <c r="H48" s="191">
        <f t="shared" si="3"/>
        <v>0.94098073176473662</v>
      </c>
    </row>
    <row r="49" spans="1:8" ht="15.75">
      <c r="A49" s="149" t="s">
        <v>183</v>
      </c>
      <c r="B49" s="150">
        <v>28</v>
      </c>
      <c r="C49" s="150">
        <v>597.6</v>
      </c>
      <c r="D49" s="150">
        <v>1402.7</v>
      </c>
      <c r="E49" s="150">
        <v>39275.599999999999</v>
      </c>
      <c r="F49" s="150">
        <v>22542.9</v>
      </c>
      <c r="G49" s="151">
        <f t="shared" si="4"/>
        <v>16732.699999999997</v>
      </c>
      <c r="H49" s="191">
        <f t="shared" si="3"/>
        <v>1.3472362499775892</v>
      </c>
    </row>
    <row r="50" spans="1:8" ht="15.75">
      <c r="A50" s="149" t="s">
        <v>313</v>
      </c>
      <c r="B50" s="150">
        <v>2</v>
      </c>
      <c r="C50" s="150">
        <v>447.11</v>
      </c>
      <c r="D50" s="150">
        <v>475.46</v>
      </c>
      <c r="E50" s="150">
        <v>950.92</v>
      </c>
      <c r="F50" s="150">
        <v>56.7</v>
      </c>
      <c r="G50" s="151">
        <f t="shared" si="4"/>
        <v>894.21999999999991</v>
      </c>
      <c r="H50" s="191">
        <f t="shared" si="3"/>
        <v>6.3407215226678013E-2</v>
      </c>
    </row>
    <row r="51" spans="1:8" ht="15.75">
      <c r="A51" s="149" t="s">
        <v>184</v>
      </c>
      <c r="B51" s="150">
        <v>341</v>
      </c>
      <c r="C51" s="150">
        <v>112.02</v>
      </c>
      <c r="D51" s="150">
        <v>150.25</v>
      </c>
      <c r="E51" s="150">
        <v>51235.25</v>
      </c>
      <c r="F51" s="150">
        <v>13036.5</v>
      </c>
      <c r="G51" s="151">
        <f t="shared" si="4"/>
        <v>38198.75</v>
      </c>
      <c r="H51" s="191">
        <f t="shared" si="3"/>
        <v>0.34128080107333353</v>
      </c>
    </row>
    <row r="52" spans="1:8" ht="15.75">
      <c r="A52" s="149" t="s">
        <v>185</v>
      </c>
      <c r="B52" s="150">
        <v>38</v>
      </c>
      <c r="C52" s="150">
        <v>1711.28</v>
      </c>
      <c r="D52" s="150">
        <v>1732</v>
      </c>
      <c r="E52" s="150">
        <v>65816</v>
      </c>
      <c r="F52" s="150">
        <v>787.2</v>
      </c>
      <c r="G52" s="151">
        <f t="shared" si="4"/>
        <v>65028.800000000003</v>
      </c>
      <c r="H52" s="191">
        <f t="shared" ref="H52:H83" si="5">F52/G52</f>
        <v>1.2105405604901214E-2</v>
      </c>
    </row>
    <row r="53" spans="1:8" ht="15.75">
      <c r="A53" s="149" t="s">
        <v>186</v>
      </c>
      <c r="B53" s="150">
        <v>67</v>
      </c>
      <c r="C53" s="150">
        <v>676.11</v>
      </c>
      <c r="D53" s="150">
        <v>1242.05</v>
      </c>
      <c r="E53" s="150">
        <v>83217.350000000006</v>
      </c>
      <c r="F53" s="150">
        <v>37917.949999999997</v>
      </c>
      <c r="G53" s="151">
        <f t="shared" si="4"/>
        <v>45299.400000000009</v>
      </c>
      <c r="H53" s="191">
        <f t="shared" si="5"/>
        <v>0.83705192563256881</v>
      </c>
    </row>
    <row r="54" spans="1:8" ht="15.75">
      <c r="A54" s="149" t="s">
        <v>187</v>
      </c>
      <c r="B54" s="150">
        <v>20</v>
      </c>
      <c r="C54" s="150">
        <v>2295.38</v>
      </c>
      <c r="D54" s="150">
        <v>2594.65</v>
      </c>
      <c r="E54" s="150">
        <v>51893</v>
      </c>
      <c r="F54" s="150">
        <v>5985.4</v>
      </c>
      <c r="G54" s="151">
        <f t="shared" si="4"/>
        <v>45907.6</v>
      </c>
      <c r="H54" s="191">
        <f t="shared" si="5"/>
        <v>0.13037928360445764</v>
      </c>
    </row>
    <row r="55" spans="1:8" ht="15.75">
      <c r="A55" s="149" t="s">
        <v>314</v>
      </c>
      <c r="B55" s="150">
        <v>2</v>
      </c>
      <c r="C55" s="150">
        <v>931.69</v>
      </c>
      <c r="D55" s="150">
        <v>1000</v>
      </c>
      <c r="E55" s="150">
        <v>2000</v>
      </c>
      <c r="F55" s="150">
        <v>136.61000000000001</v>
      </c>
      <c r="G55" s="151">
        <f t="shared" si="4"/>
        <v>1863.3899999999999</v>
      </c>
      <c r="H55" s="191">
        <f t="shared" si="5"/>
        <v>7.3312618399798232E-2</v>
      </c>
    </row>
    <row r="56" spans="1:8" ht="15.75">
      <c r="A56" s="149" t="s">
        <v>188</v>
      </c>
      <c r="B56" s="150">
        <v>62</v>
      </c>
      <c r="C56" s="150">
        <v>1053.22</v>
      </c>
      <c r="D56" s="150">
        <v>2911.25</v>
      </c>
      <c r="E56" s="150">
        <v>180497.5</v>
      </c>
      <c r="F56" s="150">
        <v>115198.15</v>
      </c>
      <c r="G56" s="151">
        <f t="shared" si="4"/>
        <v>65299.350000000006</v>
      </c>
      <c r="H56" s="191">
        <f t="shared" si="5"/>
        <v>1.7641546202220999</v>
      </c>
    </row>
    <row r="57" spans="1:8" ht="15.75">
      <c r="A57" s="149" t="s">
        <v>286</v>
      </c>
      <c r="B57" s="150">
        <v>17</v>
      </c>
      <c r="C57" s="150">
        <v>4810.6400000000003</v>
      </c>
      <c r="D57" s="150">
        <v>5134.95</v>
      </c>
      <c r="E57" s="150">
        <v>87294.15</v>
      </c>
      <c r="F57" s="150">
        <v>5513.32</v>
      </c>
      <c r="G57" s="151">
        <f t="shared" si="4"/>
        <v>81780.829999999987</v>
      </c>
      <c r="H57" s="191">
        <f t="shared" si="5"/>
        <v>6.7415799032609483E-2</v>
      </c>
    </row>
    <row r="58" spans="1:8" ht="15.75">
      <c r="A58" s="149" t="s">
        <v>189</v>
      </c>
      <c r="B58" s="150">
        <v>20</v>
      </c>
      <c r="C58" s="150">
        <v>1002.87</v>
      </c>
      <c r="D58" s="150">
        <v>1469</v>
      </c>
      <c r="E58" s="150">
        <v>29380</v>
      </c>
      <c r="F58" s="150">
        <v>9322.7000000000007</v>
      </c>
      <c r="G58" s="151">
        <f t="shared" si="4"/>
        <v>20057.3</v>
      </c>
      <c r="H58" s="191">
        <f t="shared" si="5"/>
        <v>0.46480333843538268</v>
      </c>
    </row>
    <row r="59" spans="1:8" ht="15.75">
      <c r="A59" s="149" t="s">
        <v>191</v>
      </c>
      <c r="B59" s="150">
        <v>87</v>
      </c>
      <c r="C59" s="150">
        <v>487.39</v>
      </c>
      <c r="D59" s="150">
        <v>528.04999999999995</v>
      </c>
      <c r="E59" s="150">
        <v>45940.35</v>
      </c>
      <c r="F59" s="150">
        <v>3537</v>
      </c>
      <c r="G59" s="151">
        <f t="shared" si="4"/>
        <v>42403.35</v>
      </c>
      <c r="H59" s="191">
        <f t="shared" si="5"/>
        <v>8.3413220889387282E-2</v>
      </c>
    </row>
    <row r="60" spans="1:8" ht="15.75">
      <c r="A60" s="149" t="s">
        <v>192</v>
      </c>
      <c r="B60" s="150">
        <v>91</v>
      </c>
      <c r="C60" s="150">
        <v>723.18</v>
      </c>
      <c r="D60" s="150">
        <v>890.6</v>
      </c>
      <c r="E60" s="150">
        <v>81044.600000000006</v>
      </c>
      <c r="F60" s="150">
        <v>15235.05</v>
      </c>
      <c r="G60" s="151">
        <f t="shared" si="4"/>
        <v>65809.55</v>
      </c>
      <c r="H60" s="191">
        <f t="shared" si="5"/>
        <v>0.23150211481464314</v>
      </c>
    </row>
    <row r="61" spans="1:8" ht="15.75">
      <c r="A61" s="149" t="s">
        <v>265</v>
      </c>
      <c r="B61" s="150">
        <v>58</v>
      </c>
      <c r="C61" s="150">
        <v>342.44</v>
      </c>
      <c r="D61" s="150">
        <v>311.33999999999997</v>
      </c>
      <c r="E61" s="150">
        <v>18057.72</v>
      </c>
      <c r="F61" s="150">
        <v>-1803.8</v>
      </c>
      <c r="G61" s="151">
        <f t="shared" si="4"/>
        <v>19861.52</v>
      </c>
      <c r="H61" s="191">
        <f t="shared" si="5"/>
        <v>-9.0818829575984111E-2</v>
      </c>
    </row>
    <row r="62" spans="1:8" ht="15.75">
      <c r="A62" s="149" t="s">
        <v>194</v>
      </c>
      <c r="B62" s="150">
        <v>255</v>
      </c>
      <c r="C62" s="150">
        <v>99.4</v>
      </c>
      <c r="D62" s="150">
        <v>90.65</v>
      </c>
      <c r="E62" s="150">
        <v>23115.75</v>
      </c>
      <c r="F62" s="150">
        <v>-2231.75</v>
      </c>
      <c r="G62" s="151">
        <f t="shared" si="4"/>
        <v>25347.5</v>
      </c>
      <c r="H62" s="191">
        <f t="shared" si="5"/>
        <v>-8.8046158398264129E-2</v>
      </c>
    </row>
    <row r="63" spans="1:8" ht="15.75">
      <c r="A63" s="149" t="s">
        <v>195</v>
      </c>
      <c r="B63" s="150">
        <v>25</v>
      </c>
      <c r="C63" s="150">
        <v>2212.61</v>
      </c>
      <c r="D63" s="150">
        <v>2210.1999999999998</v>
      </c>
      <c r="E63" s="150">
        <v>55255</v>
      </c>
      <c r="F63" s="150">
        <v>-60.15</v>
      </c>
      <c r="G63" s="151">
        <f t="shared" si="4"/>
        <v>55315.15</v>
      </c>
      <c r="H63" s="191">
        <f t="shared" si="5"/>
        <v>-1.0874055299497515E-3</v>
      </c>
    </row>
    <row r="64" spans="1:8" ht="15.75">
      <c r="A64" s="149" t="s">
        <v>315</v>
      </c>
      <c r="B64" s="150">
        <v>102</v>
      </c>
      <c r="C64" s="150">
        <v>14.26</v>
      </c>
      <c r="D64" s="150">
        <v>58.36</v>
      </c>
      <c r="E64" s="150">
        <v>5952.72</v>
      </c>
      <c r="F64" s="150">
        <v>4498.0200000000004</v>
      </c>
      <c r="G64" s="151">
        <f t="shared" si="4"/>
        <v>1454.6999999999998</v>
      </c>
      <c r="H64" s="191">
        <f t="shared" si="5"/>
        <v>3.092060218601774</v>
      </c>
    </row>
    <row r="65" spans="1:8" ht="15.75">
      <c r="A65" s="149" t="s">
        <v>316</v>
      </c>
      <c r="B65" s="150">
        <v>4</v>
      </c>
      <c r="C65" s="150">
        <v>131.47999999999999</v>
      </c>
      <c r="D65" s="150">
        <v>212.69</v>
      </c>
      <c r="E65" s="150">
        <v>850.76</v>
      </c>
      <c r="F65" s="150">
        <v>324.83999999999997</v>
      </c>
      <c r="G65" s="151">
        <f t="shared" si="4"/>
        <v>525.92000000000007</v>
      </c>
      <c r="H65" s="191">
        <f t="shared" si="5"/>
        <v>0.61766048068147228</v>
      </c>
    </row>
    <row r="66" spans="1:8" ht="15.75">
      <c r="A66" s="149" t="s">
        <v>266</v>
      </c>
      <c r="B66" s="150">
        <v>141</v>
      </c>
      <c r="C66" s="150">
        <v>124.94</v>
      </c>
      <c r="D66" s="150">
        <v>125.46</v>
      </c>
      <c r="E66" s="150">
        <v>17689.86</v>
      </c>
      <c r="F66" s="150">
        <v>73.92</v>
      </c>
      <c r="G66" s="151">
        <f t="shared" ref="G66:G97" si="6">E66-F66</f>
        <v>17615.940000000002</v>
      </c>
      <c r="H66" s="191">
        <f t="shared" si="5"/>
        <v>4.1961995783364381E-3</v>
      </c>
    </row>
    <row r="67" spans="1:8" ht="15.75">
      <c r="A67" s="149" t="s">
        <v>198</v>
      </c>
      <c r="B67" s="150">
        <v>79</v>
      </c>
      <c r="C67" s="150">
        <v>499.72</v>
      </c>
      <c r="D67" s="150">
        <v>1231.55</v>
      </c>
      <c r="E67" s="150">
        <v>97292.45</v>
      </c>
      <c r="F67" s="150">
        <v>57814.8</v>
      </c>
      <c r="G67" s="151">
        <f t="shared" si="6"/>
        <v>39477.649999999994</v>
      </c>
      <c r="H67" s="191">
        <f t="shared" si="5"/>
        <v>1.4644944671225366</v>
      </c>
    </row>
    <row r="68" spans="1:8" ht="15.75">
      <c r="A68" s="149" t="s">
        <v>199</v>
      </c>
      <c r="B68" s="150">
        <v>27</v>
      </c>
      <c r="C68" s="150">
        <v>3952.46</v>
      </c>
      <c r="D68" s="150">
        <v>3927.6</v>
      </c>
      <c r="E68" s="150">
        <v>106045.2</v>
      </c>
      <c r="F68" s="150">
        <v>-671.2</v>
      </c>
      <c r="G68" s="151">
        <f t="shared" si="6"/>
        <v>106716.4</v>
      </c>
      <c r="H68" s="191">
        <f t="shared" si="5"/>
        <v>-6.2895674891581804E-3</v>
      </c>
    </row>
    <row r="69" spans="1:8" ht="15.75">
      <c r="A69" s="149" t="s">
        <v>200</v>
      </c>
      <c r="B69" s="150">
        <v>300</v>
      </c>
      <c r="C69" s="150">
        <v>82.33</v>
      </c>
      <c r="D69" s="150">
        <v>190</v>
      </c>
      <c r="E69" s="150">
        <v>57000</v>
      </c>
      <c r="F69" s="150">
        <v>32300</v>
      </c>
      <c r="G69" s="151">
        <f t="shared" si="6"/>
        <v>24700</v>
      </c>
      <c r="H69" s="191">
        <f t="shared" si="5"/>
        <v>1.3076923076923077</v>
      </c>
    </row>
    <row r="70" spans="1:8" ht="15.75">
      <c r="A70" s="149" t="s">
        <v>201</v>
      </c>
      <c r="B70" s="150">
        <v>10</v>
      </c>
      <c r="C70" s="150">
        <v>4106.17</v>
      </c>
      <c r="D70" s="150">
        <v>6286.15</v>
      </c>
      <c r="E70" s="150">
        <v>62861.5</v>
      </c>
      <c r="F70" s="150">
        <v>21799.85</v>
      </c>
      <c r="G70" s="151">
        <f t="shared" si="6"/>
        <v>41061.65</v>
      </c>
      <c r="H70" s="191">
        <f t="shared" si="5"/>
        <v>0.53090535816266515</v>
      </c>
    </row>
    <row r="71" spans="1:8" ht="15.75">
      <c r="A71" s="149" t="s">
        <v>202</v>
      </c>
      <c r="B71" s="150">
        <v>22</v>
      </c>
      <c r="C71" s="150">
        <v>885.65</v>
      </c>
      <c r="D71" s="150">
        <v>2004.6</v>
      </c>
      <c r="E71" s="150">
        <v>44101.2</v>
      </c>
      <c r="F71" s="150">
        <v>24617</v>
      </c>
      <c r="G71" s="151">
        <f t="shared" si="6"/>
        <v>19484.199999999997</v>
      </c>
      <c r="H71" s="191">
        <f t="shared" si="5"/>
        <v>1.2634339618768029</v>
      </c>
    </row>
    <row r="72" spans="1:8" ht="15.75">
      <c r="A72" s="149" t="s">
        <v>203</v>
      </c>
      <c r="B72" s="150">
        <v>30</v>
      </c>
      <c r="C72" s="150">
        <v>2499.15</v>
      </c>
      <c r="D72" s="150">
        <v>2455.5</v>
      </c>
      <c r="E72" s="150">
        <v>73665</v>
      </c>
      <c r="F72" s="150">
        <v>-1309.3499999999999</v>
      </c>
      <c r="G72" s="151">
        <f t="shared" si="6"/>
        <v>74974.350000000006</v>
      </c>
      <c r="H72" s="191">
        <f t="shared" si="5"/>
        <v>-1.7463972678656098E-2</v>
      </c>
    </row>
    <row r="73" spans="1:8" ht="15.75">
      <c r="A73" s="149" t="s">
        <v>204</v>
      </c>
      <c r="B73" s="150">
        <v>53</v>
      </c>
      <c r="C73" s="150">
        <v>488.83</v>
      </c>
      <c r="D73" s="150">
        <v>777.7</v>
      </c>
      <c r="E73" s="150">
        <v>41218.1</v>
      </c>
      <c r="F73" s="150">
        <v>15309.95</v>
      </c>
      <c r="G73" s="151">
        <f t="shared" si="6"/>
        <v>25908.149999999998</v>
      </c>
      <c r="H73" s="191">
        <f t="shared" si="5"/>
        <v>0.59093181103243586</v>
      </c>
    </row>
    <row r="74" spans="1:8" ht="15.75">
      <c r="A74" s="149" t="s">
        <v>307</v>
      </c>
      <c r="B74" s="150">
        <v>20</v>
      </c>
      <c r="C74" s="150">
        <v>1000</v>
      </c>
      <c r="D74" s="150">
        <v>1135.25</v>
      </c>
      <c r="E74" s="150">
        <v>22705</v>
      </c>
      <c r="F74" s="150">
        <v>0</v>
      </c>
      <c r="G74" s="151">
        <f t="shared" si="6"/>
        <v>22705</v>
      </c>
      <c r="H74" s="191">
        <f t="shared" si="5"/>
        <v>0</v>
      </c>
    </row>
    <row r="75" spans="1:8" ht="15.75">
      <c r="A75" s="149" t="s">
        <v>299</v>
      </c>
      <c r="B75" s="150">
        <v>49</v>
      </c>
      <c r="C75" s="150">
        <v>952.78</v>
      </c>
      <c r="D75" s="150">
        <v>907.4</v>
      </c>
      <c r="E75" s="150">
        <v>44462.6</v>
      </c>
      <c r="F75" s="150">
        <v>-2223.5500000000002</v>
      </c>
      <c r="G75" s="151">
        <f t="shared" si="6"/>
        <v>46686.15</v>
      </c>
      <c r="H75" s="191">
        <f t="shared" si="5"/>
        <v>-4.7627615470541049E-2</v>
      </c>
    </row>
    <row r="76" spans="1:8" ht="15.75">
      <c r="A76" s="149" t="s">
        <v>206</v>
      </c>
      <c r="B76" s="150">
        <v>84</v>
      </c>
      <c r="C76" s="150">
        <v>1161.6300000000001</v>
      </c>
      <c r="D76" s="150">
        <v>1329.35</v>
      </c>
      <c r="E76" s="150">
        <v>111665.4</v>
      </c>
      <c r="F76" s="150">
        <v>14088.55</v>
      </c>
      <c r="G76" s="151">
        <f t="shared" si="6"/>
        <v>97576.849999999991</v>
      </c>
      <c r="H76" s="191">
        <f t="shared" si="5"/>
        <v>0.14438414439490516</v>
      </c>
    </row>
    <row r="77" spans="1:8" ht="15.75">
      <c r="A77" s="149" t="s">
        <v>207</v>
      </c>
      <c r="B77" s="150">
        <v>105</v>
      </c>
      <c r="C77" s="150">
        <v>304.5</v>
      </c>
      <c r="D77" s="150">
        <v>578.15</v>
      </c>
      <c r="E77" s="150">
        <v>60705.75</v>
      </c>
      <c r="F77" s="150">
        <v>28732.85</v>
      </c>
      <c r="G77" s="151">
        <f t="shared" si="6"/>
        <v>31972.9</v>
      </c>
      <c r="H77" s="191">
        <f t="shared" si="5"/>
        <v>0.89866261740411402</v>
      </c>
    </row>
    <row r="78" spans="1:8" ht="15.75">
      <c r="A78" s="149" t="s">
        <v>305</v>
      </c>
      <c r="B78" s="150">
        <v>10</v>
      </c>
      <c r="C78" s="150">
        <v>5284</v>
      </c>
      <c r="D78" s="150">
        <v>5965</v>
      </c>
      <c r="E78" s="150">
        <v>59650</v>
      </c>
      <c r="F78" s="150">
        <v>6810</v>
      </c>
      <c r="G78" s="151">
        <f t="shared" si="6"/>
        <v>52840</v>
      </c>
      <c r="H78" s="191">
        <f t="shared" si="5"/>
        <v>0.12887963663890992</v>
      </c>
    </row>
    <row r="79" spans="1:8" ht="15.75">
      <c r="A79" s="149" t="s">
        <v>209</v>
      </c>
      <c r="B79" s="150">
        <v>5</v>
      </c>
      <c r="C79" s="150">
        <v>4802</v>
      </c>
      <c r="D79" s="150">
        <v>5979</v>
      </c>
      <c r="E79" s="150">
        <v>29895</v>
      </c>
      <c r="F79" s="150">
        <v>5885</v>
      </c>
      <c r="G79" s="151">
        <f t="shared" si="6"/>
        <v>24010</v>
      </c>
      <c r="H79" s="191">
        <f t="shared" si="5"/>
        <v>0.24510620574760517</v>
      </c>
    </row>
    <row r="80" spans="1:8" ht="15.75">
      <c r="A80" s="149" t="s">
        <v>210</v>
      </c>
      <c r="B80" s="150">
        <v>10</v>
      </c>
      <c r="C80" s="150">
        <v>5002.45</v>
      </c>
      <c r="D80" s="150">
        <v>5960</v>
      </c>
      <c r="E80" s="150">
        <v>59600</v>
      </c>
      <c r="F80" s="150">
        <v>9575.5</v>
      </c>
      <c r="G80" s="151">
        <f t="shared" si="6"/>
        <v>50024.5</v>
      </c>
      <c r="H80" s="191">
        <f t="shared" si="5"/>
        <v>0.19141620605903106</v>
      </c>
    </row>
    <row r="81" spans="1:8" ht="15.75">
      <c r="A81" s="149" t="s">
        <v>211</v>
      </c>
      <c r="B81" s="150">
        <v>35</v>
      </c>
      <c r="C81" s="150">
        <v>984.23</v>
      </c>
      <c r="D81" s="150">
        <v>3367.55</v>
      </c>
      <c r="E81" s="150">
        <v>117864.25</v>
      </c>
      <c r="F81" s="150">
        <v>83416.2</v>
      </c>
      <c r="G81" s="151">
        <f t="shared" si="6"/>
        <v>34448.050000000003</v>
      </c>
      <c r="H81" s="191">
        <f t="shared" si="5"/>
        <v>2.4215071680399904</v>
      </c>
    </row>
    <row r="82" spans="1:8" ht="15.75">
      <c r="A82" s="149" t="s">
        <v>290</v>
      </c>
      <c r="B82" s="150">
        <v>48</v>
      </c>
      <c r="C82" s="150">
        <v>575.6</v>
      </c>
      <c r="D82" s="150">
        <v>548.1</v>
      </c>
      <c r="E82" s="150">
        <v>26308.799999999999</v>
      </c>
      <c r="F82" s="150">
        <v>-1320.15</v>
      </c>
      <c r="G82" s="151">
        <f t="shared" si="6"/>
        <v>27628.95</v>
      </c>
      <c r="H82" s="191">
        <f t="shared" si="5"/>
        <v>-4.7781403202076085E-2</v>
      </c>
    </row>
    <row r="83" spans="1:8" ht="15.75">
      <c r="A83" s="149" t="s">
        <v>292</v>
      </c>
      <c r="B83" s="150">
        <v>32</v>
      </c>
      <c r="C83" s="150">
        <v>752.33</v>
      </c>
      <c r="D83" s="150">
        <v>1270.95</v>
      </c>
      <c r="E83" s="150">
        <v>40670.400000000001</v>
      </c>
      <c r="F83" s="150">
        <v>16595.900000000001</v>
      </c>
      <c r="G83" s="151">
        <f t="shared" si="6"/>
        <v>24074.5</v>
      </c>
      <c r="H83" s="191">
        <f t="shared" si="5"/>
        <v>0.68935595754844348</v>
      </c>
    </row>
    <row r="84" spans="1:8" ht="15.75">
      <c r="A84" s="149" t="s">
        <v>212</v>
      </c>
      <c r="B84" s="150">
        <v>152</v>
      </c>
      <c r="C84" s="150">
        <v>574.22</v>
      </c>
      <c r="D84" s="150">
        <v>1141.0999999999999</v>
      </c>
      <c r="E84" s="150">
        <v>173447.2</v>
      </c>
      <c r="F84" s="150">
        <v>86165.05</v>
      </c>
      <c r="G84" s="151">
        <f t="shared" si="6"/>
        <v>87282.150000000009</v>
      </c>
      <c r="H84" s="191">
        <f t="shared" ref="H84:H115" si="7">F84/G84</f>
        <v>0.98720127769538213</v>
      </c>
    </row>
    <row r="85" spans="1:8" ht="15.75">
      <c r="A85" s="149" t="s">
        <v>293</v>
      </c>
      <c r="B85" s="150">
        <v>69</v>
      </c>
      <c r="C85" s="150">
        <v>373.18</v>
      </c>
      <c r="D85" s="150">
        <v>375.5</v>
      </c>
      <c r="E85" s="150">
        <v>25909.5</v>
      </c>
      <c r="F85" s="150">
        <v>160.19999999999999</v>
      </c>
      <c r="G85" s="151">
        <f t="shared" si="6"/>
        <v>25749.3</v>
      </c>
      <c r="H85" s="191">
        <f t="shared" si="7"/>
        <v>6.221528352227051E-3</v>
      </c>
    </row>
    <row r="86" spans="1:8" ht="15.75">
      <c r="A86" s="149" t="s">
        <v>308</v>
      </c>
      <c r="B86" s="150">
        <v>119</v>
      </c>
      <c r="C86" s="150">
        <v>507.17</v>
      </c>
      <c r="D86" s="150">
        <v>557</v>
      </c>
      <c r="E86" s="150">
        <v>66283</v>
      </c>
      <c r="F86" s="150">
        <v>5930.05</v>
      </c>
      <c r="G86" s="151">
        <f t="shared" si="6"/>
        <v>60352.95</v>
      </c>
      <c r="H86" s="191">
        <f t="shared" si="7"/>
        <v>9.8256174718882844E-2</v>
      </c>
    </row>
    <row r="87" spans="1:8" ht="15.75">
      <c r="A87" s="149" t="s">
        <v>213</v>
      </c>
      <c r="B87" s="150">
        <v>65</v>
      </c>
      <c r="C87" s="150">
        <v>513.66</v>
      </c>
      <c r="D87" s="150">
        <v>693.6</v>
      </c>
      <c r="E87" s="150">
        <v>45084</v>
      </c>
      <c r="F87" s="150">
        <v>11695.9</v>
      </c>
      <c r="G87" s="151">
        <f t="shared" si="6"/>
        <v>33388.1</v>
      </c>
      <c r="H87" s="191">
        <f t="shared" si="7"/>
        <v>0.35030145470991164</v>
      </c>
    </row>
    <row r="88" spans="1:8" ht="15.75">
      <c r="A88" s="149" t="s">
        <v>214</v>
      </c>
      <c r="B88" s="150">
        <v>57</v>
      </c>
      <c r="C88" s="150">
        <v>750.26</v>
      </c>
      <c r="D88" s="150">
        <v>913.7</v>
      </c>
      <c r="E88" s="150">
        <v>52080.9</v>
      </c>
      <c r="F88" s="150">
        <v>9316.2999999999993</v>
      </c>
      <c r="G88" s="151">
        <f t="shared" si="6"/>
        <v>42764.600000000006</v>
      </c>
      <c r="H88" s="191">
        <f t="shared" si="7"/>
        <v>0.21785074571023694</v>
      </c>
    </row>
    <row r="89" spans="1:8" ht="15.75">
      <c r="A89" s="149" t="s">
        <v>267</v>
      </c>
      <c r="B89" s="150">
        <v>37</v>
      </c>
      <c r="C89" s="150">
        <v>632.20000000000005</v>
      </c>
      <c r="D89" s="150">
        <v>647.79999999999995</v>
      </c>
      <c r="E89" s="150">
        <v>23968.6</v>
      </c>
      <c r="F89" s="150">
        <v>577.20000000000005</v>
      </c>
      <c r="G89" s="151">
        <f t="shared" si="6"/>
        <v>23391.399999999998</v>
      </c>
      <c r="H89" s="191">
        <f t="shared" si="7"/>
        <v>2.4675735526732051E-2</v>
      </c>
    </row>
    <row r="90" spans="1:8" ht="15.75">
      <c r="A90" s="149" t="s">
        <v>302</v>
      </c>
      <c r="B90" s="150">
        <v>775</v>
      </c>
      <c r="C90" s="150">
        <v>99.29</v>
      </c>
      <c r="D90" s="150">
        <v>441.5</v>
      </c>
      <c r="E90" s="150">
        <v>342162.5</v>
      </c>
      <c r="F90" s="150">
        <v>265211.5</v>
      </c>
      <c r="G90" s="151">
        <f t="shared" si="6"/>
        <v>76951</v>
      </c>
      <c r="H90" s="191">
        <f t="shared" si="7"/>
        <v>3.4464984210731506</v>
      </c>
    </row>
    <row r="91" spans="1:8" ht="15.75">
      <c r="A91" s="149" t="s">
        <v>215</v>
      </c>
      <c r="B91" s="150">
        <v>1050</v>
      </c>
      <c r="C91" s="150">
        <v>40.479999999999997</v>
      </c>
      <c r="D91" s="150">
        <v>117.3</v>
      </c>
      <c r="E91" s="150">
        <v>123165</v>
      </c>
      <c r="F91" s="150">
        <v>80664.75</v>
      </c>
      <c r="G91" s="151">
        <f t="shared" si="6"/>
        <v>42500.25</v>
      </c>
      <c r="H91" s="191">
        <f t="shared" si="7"/>
        <v>1.8979829530414527</v>
      </c>
    </row>
    <row r="92" spans="1:8" ht="15.75">
      <c r="A92" s="149" t="s">
        <v>216</v>
      </c>
      <c r="B92" s="150">
        <v>27</v>
      </c>
      <c r="C92" s="150">
        <v>3337.18</v>
      </c>
      <c r="D92" s="150">
        <v>3350.9</v>
      </c>
      <c r="E92" s="150">
        <v>90474.3</v>
      </c>
      <c r="F92" s="150">
        <v>370.55</v>
      </c>
      <c r="G92" s="151">
        <f t="shared" si="6"/>
        <v>90103.75</v>
      </c>
      <c r="H92" s="191">
        <f t="shared" si="7"/>
        <v>4.1124814450009019E-3</v>
      </c>
    </row>
    <row r="93" spans="1:8" ht="15.75">
      <c r="A93" s="149" t="s">
        <v>217</v>
      </c>
      <c r="B93" s="150">
        <v>24</v>
      </c>
      <c r="C93" s="150">
        <v>2584.4</v>
      </c>
      <c r="D93" s="150">
        <v>3274.5</v>
      </c>
      <c r="E93" s="150">
        <v>78588</v>
      </c>
      <c r="F93" s="150">
        <v>16562.400000000001</v>
      </c>
      <c r="G93" s="151">
        <f t="shared" si="6"/>
        <v>62025.599999999999</v>
      </c>
      <c r="H93" s="191">
        <f t="shared" si="7"/>
        <v>0.26702522829283398</v>
      </c>
    </row>
    <row r="94" spans="1:8" ht="15.75">
      <c r="A94" s="149" t="s">
        <v>220</v>
      </c>
      <c r="B94" s="150">
        <v>61</v>
      </c>
      <c r="C94" s="150">
        <v>401.11</v>
      </c>
      <c r="D94" s="150">
        <v>578.6</v>
      </c>
      <c r="E94" s="150">
        <v>35294.6</v>
      </c>
      <c r="F94" s="150">
        <v>10826.85</v>
      </c>
      <c r="G94" s="151">
        <f t="shared" si="6"/>
        <v>24467.75</v>
      </c>
      <c r="H94" s="191">
        <f t="shared" si="7"/>
        <v>0.44249471242758326</v>
      </c>
    </row>
    <row r="95" spans="1:8" ht="15.75">
      <c r="A95" s="149" t="s">
        <v>221</v>
      </c>
      <c r="B95" s="150">
        <v>36</v>
      </c>
      <c r="C95" s="150">
        <v>120.1</v>
      </c>
      <c r="D95" s="150">
        <v>951.85</v>
      </c>
      <c r="E95" s="150">
        <v>34266.6</v>
      </c>
      <c r="F95" s="150">
        <v>29942.95</v>
      </c>
      <c r="G95" s="151">
        <f t="shared" ref="G95:G97" si="8">E95-F95</f>
        <v>4323.6499999999978</v>
      </c>
      <c r="H95" s="191">
        <f t="shared" ref="H95:H97" si="9">F95/G95</f>
        <v>6.9253871150532573</v>
      </c>
    </row>
    <row r="96" spans="1:8" ht="15.75">
      <c r="A96" s="149" t="s">
        <v>300</v>
      </c>
      <c r="B96" s="150">
        <v>525</v>
      </c>
      <c r="C96" s="150">
        <v>38.97</v>
      </c>
      <c r="D96" s="150">
        <v>16.46</v>
      </c>
      <c r="E96" s="150">
        <v>8641.5</v>
      </c>
      <c r="F96" s="150">
        <v>-11816</v>
      </c>
      <c r="G96" s="151">
        <f t="shared" si="8"/>
        <v>20457.5</v>
      </c>
      <c r="H96" s="191">
        <f t="shared" si="9"/>
        <v>-0.57758768177929853</v>
      </c>
    </row>
    <row r="97" spans="1:8" ht="15.75">
      <c r="A97" s="149" t="s">
        <v>309</v>
      </c>
      <c r="B97" s="150">
        <v>43</v>
      </c>
      <c r="C97" s="150">
        <v>1818.46</v>
      </c>
      <c r="D97" s="150">
        <v>1548.6</v>
      </c>
      <c r="E97" s="150">
        <v>66589.8</v>
      </c>
      <c r="F97" s="150">
        <v>-11604.15</v>
      </c>
      <c r="G97" s="151">
        <f t="shared" si="8"/>
        <v>78193.95</v>
      </c>
      <c r="H97" s="191">
        <f t="shared" si="9"/>
        <v>-0.14840214620184811</v>
      </c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9940</v>
      </c>
      <c r="C104" s="45"/>
      <c r="D104" s="45"/>
      <c r="E104" s="45">
        <f>SUM(E2:E103)</f>
        <v>5887904.9299999997</v>
      </c>
      <c r="F104" s="45">
        <f>SUM(F2:F103)</f>
        <v>1789801.72</v>
      </c>
      <c r="G104" s="45">
        <f>SUM(G2:G103)</f>
        <v>4098103.2099999995</v>
      </c>
      <c r="H104" s="176">
        <f>F104/G104</f>
        <v>0.43673905421235115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E28E-55E4-4939-B9FD-A27C02AD72A4}">
  <dimension ref="A1:I18"/>
  <sheetViews>
    <sheetView workbookViewId="0">
      <selection activeCell="I2" sqref="I2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89.66</v>
      </c>
      <c r="E2">
        <v>68.607799999999997</v>
      </c>
      <c r="F2" s="188">
        <v>279986.10960000003</v>
      </c>
      <c r="G2" s="188">
        <v>365899.41159999999</v>
      </c>
      <c r="H2" s="188">
        <v>85913.301999999996</v>
      </c>
      <c r="I2" s="192">
        <f>H2/F2</f>
        <v>0.30684844374151049</v>
      </c>
    </row>
    <row r="3" spans="1:9">
      <c r="A3" s="168" t="s">
        <v>236</v>
      </c>
      <c r="B3" t="s">
        <v>237</v>
      </c>
      <c r="C3" s="188">
        <v>14235.332</v>
      </c>
      <c r="D3">
        <v>87.72</v>
      </c>
      <c r="E3">
        <v>47.766100000000002</v>
      </c>
      <c r="F3" s="188">
        <v>679966.92570000002</v>
      </c>
      <c r="G3" s="188">
        <v>1248723.3230000001</v>
      </c>
      <c r="H3" s="188">
        <v>568756.39740000002</v>
      </c>
      <c r="I3" s="192">
        <f t="shared" ref="I3:I18" si="0">H3/F3</f>
        <v>0.83644715044704121</v>
      </c>
    </row>
    <row r="4" spans="1:9">
      <c r="A4" s="168" t="s">
        <v>238</v>
      </c>
      <c r="B4" t="s">
        <v>237</v>
      </c>
      <c r="C4" s="188">
        <v>15415.32</v>
      </c>
      <c r="D4">
        <v>31.91</v>
      </c>
      <c r="E4">
        <v>27.5686</v>
      </c>
      <c r="F4" s="188">
        <v>424978.76079999999</v>
      </c>
      <c r="G4" s="188">
        <v>491902.86119999998</v>
      </c>
      <c r="H4" s="188">
        <v>66924.100399999996</v>
      </c>
      <c r="I4" s="192">
        <f t="shared" si="0"/>
        <v>0.15747634134472727</v>
      </c>
    </row>
    <row r="5" spans="1:9">
      <c r="A5" s="168" t="s">
        <v>303</v>
      </c>
      <c r="B5" t="s">
        <v>241</v>
      </c>
      <c r="C5" s="188">
        <v>1857.5519999999999</v>
      </c>
      <c r="D5">
        <v>613.41060000000004</v>
      </c>
      <c r="E5">
        <v>366.02140000000003</v>
      </c>
      <c r="F5" s="188">
        <v>679903.69869999995</v>
      </c>
      <c r="G5" s="188">
        <v>1139442.0869</v>
      </c>
      <c r="H5" s="188">
        <v>459538.38819999999</v>
      </c>
      <c r="I5" s="192">
        <f t="shared" si="0"/>
        <v>0.67588746623772411</v>
      </c>
    </row>
    <row r="6" spans="1:9">
      <c r="A6" s="168" t="s">
        <v>242</v>
      </c>
      <c r="B6" t="s">
        <v>237</v>
      </c>
      <c r="C6" s="188">
        <v>4306.576</v>
      </c>
      <c r="D6">
        <v>117.42400000000001</v>
      </c>
      <c r="E6">
        <v>44.3917</v>
      </c>
      <c r="F6" s="188">
        <v>191176.2298</v>
      </c>
      <c r="G6" s="188">
        <v>505695.38020000001</v>
      </c>
      <c r="H6" s="188">
        <v>314519.15039999998</v>
      </c>
      <c r="I6" s="192">
        <f t="shared" si="0"/>
        <v>1.6451791665158153</v>
      </c>
    </row>
    <row r="7" spans="1:9">
      <c r="A7" s="168" t="s">
        <v>272</v>
      </c>
      <c r="B7" t="s">
        <v>235</v>
      </c>
      <c r="C7" s="188">
        <v>5805.7370000000001</v>
      </c>
      <c r="D7">
        <v>103.93899999999999</v>
      </c>
      <c r="E7">
        <v>41.940399999999997</v>
      </c>
      <c r="F7" s="188">
        <v>243495.1642</v>
      </c>
      <c r="G7" s="188">
        <v>603442.49800000002</v>
      </c>
      <c r="H7" s="188">
        <v>359947.33380000002</v>
      </c>
      <c r="I7" s="192">
        <f t="shared" si="0"/>
        <v>1.4782524941823876</v>
      </c>
    </row>
    <row r="8" spans="1:9">
      <c r="A8" s="168" t="s">
        <v>244</v>
      </c>
      <c r="B8" t="s">
        <v>233</v>
      </c>
      <c r="C8" s="188">
        <v>5841.7389999999996</v>
      </c>
      <c r="D8">
        <v>25.7516</v>
      </c>
      <c r="E8">
        <v>23.964300000000001</v>
      </c>
      <c r="F8" s="188">
        <v>139992.99739999999</v>
      </c>
      <c r="G8" s="188">
        <v>150434.12599999999</v>
      </c>
      <c r="H8" s="188">
        <v>10441.1286</v>
      </c>
      <c r="I8" s="192">
        <f t="shared" si="0"/>
        <v>7.458322054614426E-2</v>
      </c>
    </row>
    <row r="9" spans="1:9">
      <c r="A9" s="168" t="s">
        <v>273</v>
      </c>
      <c r="B9" t="s">
        <v>233</v>
      </c>
      <c r="C9" s="188">
        <v>62955.199999999997</v>
      </c>
      <c r="D9">
        <v>10.7759</v>
      </c>
      <c r="E9">
        <v>9.2919</v>
      </c>
      <c r="F9" s="188">
        <v>584970.74439999997</v>
      </c>
      <c r="G9" s="188">
        <v>678398.93969999999</v>
      </c>
      <c r="H9" s="188">
        <v>93428.195200000002</v>
      </c>
      <c r="I9" s="192">
        <f t="shared" si="0"/>
        <v>0.15971430382527693</v>
      </c>
    </row>
    <row r="10" spans="1:9">
      <c r="A10" s="168" t="s">
        <v>246</v>
      </c>
      <c r="B10" t="s">
        <v>241</v>
      </c>
      <c r="C10" s="188">
        <v>46220.9</v>
      </c>
      <c r="D10">
        <v>12.5932</v>
      </c>
      <c r="E10">
        <v>11.476900000000001</v>
      </c>
      <c r="F10" s="188">
        <v>530473.47840000002</v>
      </c>
      <c r="G10" s="188">
        <v>582069.0379</v>
      </c>
      <c r="H10" s="188">
        <v>51595.559399999998</v>
      </c>
      <c r="I10" s="192">
        <f t="shared" si="0"/>
        <v>9.7263221444399348E-2</v>
      </c>
    </row>
    <row r="11" spans="1:9">
      <c r="A11" s="168" t="s">
        <v>247</v>
      </c>
      <c r="B11" t="s">
        <v>241</v>
      </c>
      <c r="C11" s="188">
        <v>8783.1219999999994</v>
      </c>
      <c r="D11">
        <v>10.6081</v>
      </c>
      <c r="E11">
        <v>10.3033</v>
      </c>
      <c r="F11" s="188">
        <v>90495.4712</v>
      </c>
      <c r="G11" s="188">
        <v>93172.236499999999</v>
      </c>
      <c r="H11" s="188">
        <v>2676.7653</v>
      </c>
      <c r="I11" s="192">
        <f t="shared" si="0"/>
        <v>2.9578997318928817E-2</v>
      </c>
    </row>
    <row r="12" spans="1:9">
      <c r="A12" s="168" t="s">
        <v>250</v>
      </c>
      <c r="B12" t="s">
        <v>251</v>
      </c>
      <c r="C12" s="188">
        <v>19397.659</v>
      </c>
      <c r="D12">
        <v>62.840200000000003</v>
      </c>
      <c r="E12">
        <v>44.640599999999999</v>
      </c>
      <c r="F12" s="188">
        <v>865923.00470000005</v>
      </c>
      <c r="G12" s="188">
        <v>1218952.7711</v>
      </c>
      <c r="H12" s="188">
        <v>353029.76640000002</v>
      </c>
      <c r="I12" s="192">
        <f t="shared" si="0"/>
        <v>0.40769186692563686</v>
      </c>
    </row>
    <row r="13" spans="1:9">
      <c r="A13" s="168" t="s">
        <v>274</v>
      </c>
      <c r="B13" t="s">
        <v>233</v>
      </c>
      <c r="C13" s="188">
        <v>6809.741</v>
      </c>
      <c r="D13">
        <v>33.99</v>
      </c>
      <c r="E13">
        <v>35.241999999999997</v>
      </c>
      <c r="F13" s="188">
        <v>239988.8371</v>
      </c>
      <c r="G13" s="188">
        <v>231463.09659999999</v>
      </c>
      <c r="H13" s="188">
        <v>-8525.7404999999999</v>
      </c>
      <c r="I13" s="192">
        <f t="shared" si="0"/>
        <v>-3.5525571118324321E-2</v>
      </c>
    </row>
    <row r="14" spans="1:9">
      <c r="A14" s="168" t="s">
        <v>253</v>
      </c>
      <c r="B14" t="s">
        <v>235</v>
      </c>
      <c r="C14" s="188">
        <v>2450.4349999999999</v>
      </c>
      <c r="D14">
        <v>182.3211</v>
      </c>
      <c r="E14">
        <v>147.05119999999999</v>
      </c>
      <c r="F14" s="188">
        <v>360339.36119999998</v>
      </c>
      <c r="G14" s="188">
        <v>446766.00469999999</v>
      </c>
      <c r="H14" s="188">
        <v>86426.643400000001</v>
      </c>
      <c r="I14" s="192">
        <f t="shared" si="0"/>
        <v>0.23984791201322694</v>
      </c>
    </row>
    <row r="15" spans="1:9">
      <c r="A15" s="168" t="s">
        <v>255</v>
      </c>
      <c r="B15" t="s">
        <v>241</v>
      </c>
      <c r="C15" s="188">
        <v>18996.168000000001</v>
      </c>
      <c r="D15">
        <v>16.485199999999999</v>
      </c>
      <c r="E15">
        <v>9.4700000000000006</v>
      </c>
      <c r="F15" s="188">
        <v>179893.71100000001</v>
      </c>
      <c r="G15" s="188">
        <v>313155.6287</v>
      </c>
      <c r="H15" s="188">
        <v>133261.9178</v>
      </c>
      <c r="I15" s="192">
        <f t="shared" si="0"/>
        <v>0.74078141508793482</v>
      </c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217156.44700000001</v>
      </c>
      <c r="D18" s="75"/>
      <c r="E18" s="75"/>
      <c r="F18" s="75">
        <f t="shared" ref="F18:H18" si="1">SUM(F2:F15)</f>
        <v>5491584.4942000005</v>
      </c>
      <c r="G18" s="75">
        <f t="shared" si="1"/>
        <v>8069517.4021000005</v>
      </c>
      <c r="H18" s="75">
        <f t="shared" si="1"/>
        <v>2577932.9077999997</v>
      </c>
      <c r="I18" s="53">
        <f t="shared" si="0"/>
        <v>0.46943335034227607</v>
      </c>
    </row>
  </sheetData>
  <hyperlinks>
    <hyperlink ref="A2" r:id="rId1" location="/mf/1831632/15690/NULL" xr:uid="{1B834583-10B5-4014-AB81-0732EC8D8C78}"/>
    <hyperlink ref="A3" r:id="rId2" location="/mf/1831632/22335/NULL" xr:uid="{51FD9E0F-54A6-4807-9B3B-608CC3A0C6A8}"/>
    <hyperlink ref="A4" r:id="rId3" location="/mf/1831632/38817/NULL" xr:uid="{0D620B6A-AF57-4342-96FE-F343B815E9A6}"/>
    <hyperlink ref="A5" r:id="rId4" location="/mf/1831632/16071/NULL" xr:uid="{DCB57FC3-D347-41BF-B790-E5281EC11089}"/>
    <hyperlink ref="A6" r:id="rId5" location="/mf/1831632/16617/NULL" xr:uid="{57ED6693-5BCD-4EE1-8172-1E245E56F58D}"/>
    <hyperlink ref="A7" r:id="rId6" location="/mf/1831632/17134/NULL" xr:uid="{C95CC486-0B8D-42BC-A9F1-90EAB6BB8AAF}"/>
    <hyperlink ref="A8" r:id="rId7" location="/mf/1831632/38228/NULL" xr:uid="{9CCA0188-94EC-4AE8-8E35-32383AF8FBA5}"/>
    <hyperlink ref="A9" r:id="rId8" location="/mf/1831632/42135/NULL" xr:uid="{E5115CFA-D713-4618-9161-976248E14EB1}"/>
    <hyperlink ref="A10" r:id="rId9" location="/mf/1831632/41574/NULL" xr:uid="{88972AA0-1C0C-4E04-972D-9E53609063A4}"/>
    <hyperlink ref="A11" r:id="rId10" location="/mf/1831632/41937/NULL" xr:uid="{6FB86DFE-DA97-494B-BAF7-0F280F4642DB}"/>
    <hyperlink ref="A12" r:id="rId11" location="/mf/1831632/19701/NULL" xr:uid="{F411B357-42E5-4C4B-8DD2-D0C01B57BC9D}"/>
    <hyperlink ref="A13" r:id="rId12" location="/mf/1831632/17348/NULL" xr:uid="{B1A19F1D-9BA1-43B4-8B11-1D02B0EE3CEE}"/>
    <hyperlink ref="A14" r:id="rId13" location="/mf/1831632/17375/NULL" xr:uid="{94BFD40C-34A1-43CD-BE48-5E615FAC3F2B}"/>
    <hyperlink ref="A15" r:id="rId14" location="/mf/1831632/36491/NULL" xr:uid="{6CF51705-BAA5-4F11-836C-8CF387A6EBCC}"/>
  </hyperlinks>
  <pageMargins left="0.7" right="0.7" top="0.75" bottom="0.75" header="0.3" footer="0.3"/>
  <pageSetup paperSize="9"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D014-5D78-4E1B-ABD1-2FDF7CC1EC97}">
  <dimension ref="A1:I104"/>
  <sheetViews>
    <sheetView workbookViewId="0">
      <pane xSplit="1" ySplit="1" topLeftCell="B11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143</v>
      </c>
      <c r="B2" s="150">
        <v>100</v>
      </c>
      <c r="C2" s="151">
        <v>109.73</v>
      </c>
      <c r="D2" s="151">
        <v>105.82</v>
      </c>
      <c r="E2" s="151">
        <v>10582</v>
      </c>
      <c r="F2" s="151">
        <v>-390.5</v>
      </c>
      <c r="G2" s="151">
        <f t="shared" ref="G2:G14" si="0">E2-F2</f>
        <v>10972.5</v>
      </c>
      <c r="H2" s="191">
        <f t="shared" ref="H2:H14" si="1">F2/G2</f>
        <v>-3.5588972431077691E-2</v>
      </c>
    </row>
    <row r="3" spans="1:8" ht="15.75">
      <c r="A3" s="149" t="s">
        <v>259</v>
      </c>
      <c r="B3" s="150">
        <v>13</v>
      </c>
      <c r="C3" s="151">
        <v>133.75</v>
      </c>
      <c r="D3" s="151">
        <v>533.70000000000005</v>
      </c>
      <c r="E3" s="151">
        <v>6938.1</v>
      </c>
      <c r="F3" s="151">
        <v>5199.3500000000004</v>
      </c>
      <c r="G3" s="151">
        <f t="shared" si="0"/>
        <v>1738.75</v>
      </c>
      <c r="H3" s="191">
        <f t="shared" si="1"/>
        <v>2.990280373831776</v>
      </c>
    </row>
    <row r="4" spans="1:8" ht="15.75">
      <c r="A4" s="149" t="s">
        <v>144</v>
      </c>
      <c r="B4" s="150">
        <v>25</v>
      </c>
      <c r="C4" s="151">
        <v>813.47</v>
      </c>
      <c r="D4" s="151">
        <v>1798.9</v>
      </c>
      <c r="E4" s="151">
        <v>44972.5</v>
      </c>
      <c r="F4" s="151">
        <v>24635.85</v>
      </c>
      <c r="G4" s="151">
        <f t="shared" si="0"/>
        <v>20336.650000000001</v>
      </c>
      <c r="H4" s="191">
        <f t="shared" si="1"/>
        <v>1.2114015828565667</v>
      </c>
    </row>
    <row r="5" spans="1:8" ht="15.75">
      <c r="A5" s="149" t="s">
        <v>145</v>
      </c>
      <c r="B5" s="150">
        <v>250</v>
      </c>
      <c r="C5" s="151">
        <v>183.59</v>
      </c>
      <c r="D5" s="151">
        <v>368.55</v>
      </c>
      <c r="E5" s="151">
        <v>92137.5</v>
      </c>
      <c r="F5" s="151">
        <v>46240</v>
      </c>
      <c r="G5" s="151">
        <f t="shared" si="0"/>
        <v>45897.5</v>
      </c>
      <c r="H5" s="191">
        <f t="shared" si="1"/>
        <v>1.0074622800806143</v>
      </c>
    </row>
    <row r="6" spans="1:8" ht="15.75">
      <c r="A6" s="149" t="s">
        <v>275</v>
      </c>
      <c r="B6" s="150">
        <v>165</v>
      </c>
      <c r="C6" s="151">
        <v>160.15</v>
      </c>
      <c r="D6" s="151">
        <v>177</v>
      </c>
      <c r="E6" s="151">
        <v>29205</v>
      </c>
      <c r="F6" s="151">
        <v>2780.25</v>
      </c>
      <c r="G6" s="151">
        <f t="shared" si="0"/>
        <v>26424.75</v>
      </c>
      <c r="H6" s="191">
        <f t="shared" si="1"/>
        <v>0.1052138620043709</v>
      </c>
    </row>
    <row r="7" spans="1:8" ht="15.75">
      <c r="A7" s="149" t="s">
        <v>276</v>
      </c>
      <c r="B7" s="150">
        <v>28</v>
      </c>
      <c r="C7" s="151">
        <v>2757.87</v>
      </c>
      <c r="D7" s="151">
        <v>3161.35</v>
      </c>
      <c r="E7" s="151">
        <v>88517.8</v>
      </c>
      <c r="F7" s="151">
        <v>11297.4</v>
      </c>
      <c r="G7" s="151">
        <f t="shared" si="0"/>
        <v>77220.400000000009</v>
      </c>
      <c r="H7" s="191">
        <f t="shared" si="1"/>
        <v>0.1463007184629968</v>
      </c>
    </row>
    <row r="8" spans="1:8" ht="15.75">
      <c r="A8" s="149" t="s">
        <v>277</v>
      </c>
      <c r="B8" s="150">
        <v>72</v>
      </c>
      <c r="C8" s="151">
        <v>578.16999999999996</v>
      </c>
      <c r="D8" s="151">
        <v>713.5</v>
      </c>
      <c r="E8" s="151">
        <v>51372</v>
      </c>
      <c r="F8" s="151">
        <v>9743.7999999999993</v>
      </c>
      <c r="G8" s="151">
        <f t="shared" si="0"/>
        <v>41628.199999999997</v>
      </c>
      <c r="H8" s="191">
        <f t="shared" si="1"/>
        <v>0.23406729092298009</v>
      </c>
    </row>
    <row r="9" spans="1:8" ht="15.75">
      <c r="A9" s="149" t="s">
        <v>146</v>
      </c>
      <c r="B9" s="150">
        <v>73</v>
      </c>
      <c r="C9" s="151">
        <v>665.52</v>
      </c>
      <c r="D9" s="151">
        <v>1036.75</v>
      </c>
      <c r="E9" s="151">
        <v>75682.75</v>
      </c>
      <c r="F9" s="151">
        <v>27099.55</v>
      </c>
      <c r="G9" s="151">
        <f t="shared" si="0"/>
        <v>48583.199999999997</v>
      </c>
      <c r="H9" s="191">
        <f t="shared" si="1"/>
        <v>0.55779672808707537</v>
      </c>
    </row>
    <row r="10" spans="1:8" ht="15.75">
      <c r="A10" s="149" t="s">
        <v>147</v>
      </c>
      <c r="B10" s="150">
        <v>21</v>
      </c>
      <c r="C10" s="151">
        <v>2946.68</v>
      </c>
      <c r="D10" s="151">
        <v>5063.7</v>
      </c>
      <c r="E10" s="151">
        <v>106337.7</v>
      </c>
      <c r="F10" s="151">
        <v>44457.45</v>
      </c>
      <c r="G10" s="151">
        <f t="shared" si="0"/>
        <v>61880.25</v>
      </c>
      <c r="H10" s="191">
        <f t="shared" si="1"/>
        <v>0.71844328360017928</v>
      </c>
    </row>
    <row r="11" spans="1:8" ht="15.75">
      <c r="A11" s="149" t="s">
        <v>148</v>
      </c>
      <c r="B11" s="150">
        <v>8</v>
      </c>
      <c r="C11" s="151">
        <v>6731.04</v>
      </c>
      <c r="D11" s="151">
        <v>7810.75</v>
      </c>
      <c r="E11" s="151">
        <v>62486</v>
      </c>
      <c r="F11" s="151">
        <v>8637.65</v>
      </c>
      <c r="G11" s="151">
        <f t="shared" si="0"/>
        <v>53848.35</v>
      </c>
      <c r="H11" s="191">
        <f t="shared" si="1"/>
        <v>0.16040695768765431</v>
      </c>
    </row>
    <row r="12" spans="1:8" ht="15.75">
      <c r="A12" s="149" t="s">
        <v>149</v>
      </c>
      <c r="B12" s="150">
        <v>12</v>
      </c>
      <c r="C12" s="151">
        <v>2238.41</v>
      </c>
      <c r="D12" s="151">
        <v>2557.8000000000002</v>
      </c>
      <c r="E12" s="151">
        <v>30693.599999999999</v>
      </c>
      <c r="F12" s="151">
        <v>3832.7</v>
      </c>
      <c r="G12" s="151">
        <f t="shared" si="0"/>
        <v>26860.899999999998</v>
      </c>
      <c r="H12" s="191">
        <f t="shared" si="1"/>
        <v>0.14268695389953429</v>
      </c>
    </row>
    <row r="13" spans="1:8" ht="15.75">
      <c r="A13" s="149" t="s">
        <v>150</v>
      </c>
      <c r="B13" s="150">
        <v>184</v>
      </c>
      <c r="C13" s="151">
        <v>185</v>
      </c>
      <c r="D13" s="151">
        <v>213.95</v>
      </c>
      <c r="E13" s="151">
        <v>39366.800000000003</v>
      </c>
      <c r="F13" s="151">
        <v>5326.8</v>
      </c>
      <c r="G13" s="151">
        <f t="shared" si="0"/>
        <v>34040</v>
      </c>
      <c r="H13" s="191">
        <f t="shared" si="1"/>
        <v>0.1564864864864865</v>
      </c>
    </row>
    <row r="14" spans="1:8" ht="15.75">
      <c r="A14" s="149" t="s">
        <v>152</v>
      </c>
      <c r="B14" s="150">
        <v>180</v>
      </c>
      <c r="C14" s="151">
        <v>322.89</v>
      </c>
      <c r="D14" s="151">
        <v>927.3</v>
      </c>
      <c r="E14" s="151">
        <v>166914</v>
      </c>
      <c r="F14" s="151">
        <v>108794</v>
      </c>
      <c r="G14" s="151">
        <f t="shared" si="0"/>
        <v>58120</v>
      </c>
      <c r="H14" s="191">
        <f t="shared" si="1"/>
        <v>1.8718857536132141</v>
      </c>
    </row>
    <row r="15" spans="1:8" ht="16.5">
      <c r="A15" s="149" t="s">
        <v>310</v>
      </c>
      <c r="B15" s="150">
        <v>6</v>
      </c>
      <c r="C15" s="151">
        <v>1</v>
      </c>
      <c r="D15" s="151">
        <v>28.96</v>
      </c>
      <c r="E15" s="151">
        <v>173.76</v>
      </c>
      <c r="F15" s="151">
        <v>173.76</v>
      </c>
      <c r="G15" s="151">
        <v>1</v>
      </c>
      <c r="H15" s="191"/>
    </row>
    <row r="16" spans="1:8" ht="15.75">
      <c r="A16" s="149" t="s">
        <v>153</v>
      </c>
      <c r="B16" s="150">
        <v>61</v>
      </c>
      <c r="C16" s="151">
        <v>427.78</v>
      </c>
      <c r="D16" s="151">
        <v>566.54999999999995</v>
      </c>
      <c r="E16" s="151">
        <v>34559.550000000003</v>
      </c>
      <c r="F16" s="151">
        <v>8464.9500000000007</v>
      </c>
      <c r="G16" s="151">
        <f t="shared" ref="G16:G47" si="2">E16-F16</f>
        <v>26094.600000000002</v>
      </c>
      <c r="H16" s="191">
        <f t="shared" ref="H16:H19" si="3">F16/G16</f>
        <v>0.3243947023522108</v>
      </c>
    </row>
    <row r="17" spans="1:8" ht="15.75">
      <c r="A17" s="149" t="s">
        <v>154</v>
      </c>
      <c r="B17" s="150">
        <v>14</v>
      </c>
      <c r="C17" s="151">
        <v>3489.94</v>
      </c>
      <c r="D17" s="151">
        <v>4537.1499999999996</v>
      </c>
      <c r="E17" s="151">
        <v>63520.1</v>
      </c>
      <c r="F17" s="151">
        <v>14661</v>
      </c>
      <c r="G17" s="151">
        <f t="shared" si="2"/>
        <v>48859.1</v>
      </c>
      <c r="H17" s="191">
        <f t="shared" si="3"/>
        <v>0.30006692714356181</v>
      </c>
    </row>
    <row r="18" spans="1:8" ht="15.75">
      <c r="A18" s="149" t="s">
        <v>155</v>
      </c>
      <c r="B18" s="150">
        <v>180</v>
      </c>
      <c r="C18" s="151">
        <v>155.25</v>
      </c>
      <c r="D18" s="151">
        <v>138.65</v>
      </c>
      <c r="E18" s="151">
        <v>24957</v>
      </c>
      <c r="F18" s="151">
        <v>-2988</v>
      </c>
      <c r="G18" s="151">
        <f t="shared" si="2"/>
        <v>27945</v>
      </c>
      <c r="H18" s="191">
        <f t="shared" si="3"/>
        <v>-0.10692431561996779</v>
      </c>
    </row>
    <row r="19" spans="1:8" ht="15.75">
      <c r="A19" s="149" t="s">
        <v>156</v>
      </c>
      <c r="B19" s="150">
        <v>47</v>
      </c>
      <c r="C19" s="151">
        <v>193.53</v>
      </c>
      <c r="D19" s="151">
        <v>480.75</v>
      </c>
      <c r="E19" s="151">
        <v>22595.25</v>
      </c>
      <c r="F19" s="151">
        <v>13499.35</v>
      </c>
      <c r="G19" s="151">
        <f t="shared" si="2"/>
        <v>9095.9</v>
      </c>
      <c r="H19" s="191">
        <f t="shared" si="3"/>
        <v>1.4841137215668598</v>
      </c>
    </row>
    <row r="20" spans="1:8" ht="15.75">
      <c r="A20" s="149" t="s">
        <v>157</v>
      </c>
      <c r="B20" s="150">
        <v>35</v>
      </c>
      <c r="C20" s="151">
        <v>827.34</v>
      </c>
      <c r="D20" s="151">
        <v>1189.75</v>
      </c>
      <c r="E20" s="151">
        <v>41641.25</v>
      </c>
      <c r="F20" s="151">
        <v>12684.4</v>
      </c>
      <c r="G20" s="151">
        <f t="shared" si="2"/>
        <v>28956.85</v>
      </c>
      <c r="H20" s="191">
        <f t="shared" ref="H20:H51" si="4">F20/G20</f>
        <v>0.43804488402571412</v>
      </c>
    </row>
    <row r="21" spans="1:8" ht="15.75">
      <c r="A21" s="149" t="s">
        <v>158</v>
      </c>
      <c r="B21" s="150">
        <v>470</v>
      </c>
      <c r="C21" s="151">
        <v>194.39</v>
      </c>
      <c r="D21" s="151">
        <v>295.2</v>
      </c>
      <c r="E21" s="151">
        <v>138744</v>
      </c>
      <c r="F21" s="151">
        <v>47380.5</v>
      </c>
      <c r="G21" s="151">
        <f t="shared" si="2"/>
        <v>91363.5</v>
      </c>
      <c r="H21" s="191">
        <f t="shared" si="4"/>
        <v>0.51859331133330044</v>
      </c>
    </row>
    <row r="22" spans="1:8" ht="15.75">
      <c r="A22" s="149" t="s">
        <v>159</v>
      </c>
      <c r="B22" s="150">
        <v>10</v>
      </c>
      <c r="C22" s="151">
        <v>4083.04</v>
      </c>
      <c r="D22" s="151">
        <v>5104.45</v>
      </c>
      <c r="E22" s="151">
        <v>51044.5</v>
      </c>
      <c r="F22" s="151">
        <v>10214.1</v>
      </c>
      <c r="G22" s="151">
        <f t="shared" si="2"/>
        <v>40830.400000000001</v>
      </c>
      <c r="H22" s="191">
        <f t="shared" si="4"/>
        <v>0.25015919510952622</v>
      </c>
    </row>
    <row r="23" spans="1:8" ht="15.75">
      <c r="A23" s="149" t="s">
        <v>160</v>
      </c>
      <c r="B23" s="150">
        <v>32</v>
      </c>
      <c r="C23" s="151">
        <v>1549.21</v>
      </c>
      <c r="D23" s="151">
        <v>2008.3</v>
      </c>
      <c r="E23" s="151">
        <v>64265.599999999999</v>
      </c>
      <c r="F23" s="151">
        <v>14690.75</v>
      </c>
      <c r="G23" s="151">
        <f t="shared" si="2"/>
        <v>49574.85</v>
      </c>
      <c r="H23" s="191">
        <f t="shared" si="4"/>
        <v>0.29633473424528767</v>
      </c>
    </row>
    <row r="24" spans="1:8" ht="15.75">
      <c r="A24" s="149" t="s">
        <v>279</v>
      </c>
      <c r="B24" s="150">
        <v>83</v>
      </c>
      <c r="C24" s="151">
        <v>560.16999999999996</v>
      </c>
      <c r="D24" s="151">
        <v>551.6</v>
      </c>
      <c r="E24" s="151">
        <v>45782.8</v>
      </c>
      <c r="F24" s="151">
        <v>-711.25</v>
      </c>
      <c r="G24" s="151">
        <f t="shared" si="2"/>
        <v>46494.05</v>
      </c>
      <c r="H24" s="191">
        <f t="shared" si="4"/>
        <v>-1.5297656366782415E-2</v>
      </c>
    </row>
    <row r="25" spans="1:8" ht="15.75">
      <c r="A25" s="149" t="s">
        <v>161</v>
      </c>
      <c r="B25" s="150">
        <v>55</v>
      </c>
      <c r="C25" s="151">
        <v>325.14</v>
      </c>
      <c r="D25" s="151">
        <v>530.9</v>
      </c>
      <c r="E25" s="151">
        <v>29199.5</v>
      </c>
      <c r="F25" s="151">
        <v>11316.6</v>
      </c>
      <c r="G25" s="151">
        <f t="shared" si="2"/>
        <v>17882.900000000001</v>
      </c>
      <c r="H25" s="191">
        <f t="shared" si="4"/>
        <v>0.63281682501160319</v>
      </c>
    </row>
    <row r="26" spans="1:8" ht="15.75">
      <c r="A26" s="149" t="s">
        <v>162</v>
      </c>
      <c r="B26" s="150">
        <v>14</v>
      </c>
      <c r="C26" s="151">
        <v>3289.33</v>
      </c>
      <c r="D26" s="151">
        <v>3675.6</v>
      </c>
      <c r="E26" s="151">
        <v>51458.400000000001</v>
      </c>
      <c r="F26" s="151">
        <v>5407.85</v>
      </c>
      <c r="G26" s="151">
        <f t="shared" si="2"/>
        <v>46050.55</v>
      </c>
      <c r="H26" s="191">
        <f t="shared" si="4"/>
        <v>0.11743290796744013</v>
      </c>
    </row>
    <row r="27" spans="1:8" ht="15.75">
      <c r="A27" s="149" t="s">
        <v>163</v>
      </c>
      <c r="B27" s="150">
        <v>9</v>
      </c>
      <c r="C27" s="151">
        <v>4442.55</v>
      </c>
      <c r="D27" s="151">
        <v>5587</v>
      </c>
      <c r="E27" s="151">
        <v>50283</v>
      </c>
      <c r="F27" s="151">
        <v>10300.049999999999</v>
      </c>
      <c r="G27" s="151">
        <f t="shared" si="2"/>
        <v>39982.949999999997</v>
      </c>
      <c r="H27" s="191">
        <f t="shared" si="4"/>
        <v>0.25761105671292389</v>
      </c>
    </row>
    <row r="28" spans="1:8" ht="15.75">
      <c r="A28" s="149" t="s">
        <v>164</v>
      </c>
      <c r="B28" s="150">
        <v>8</v>
      </c>
      <c r="C28" s="151">
        <v>2511.94</v>
      </c>
      <c r="D28" s="151">
        <v>3456.05</v>
      </c>
      <c r="E28" s="151">
        <v>27648.400000000001</v>
      </c>
      <c r="F28" s="151">
        <v>7552.9</v>
      </c>
      <c r="G28" s="151">
        <f t="shared" si="2"/>
        <v>20095.5</v>
      </c>
      <c r="H28" s="191">
        <f t="shared" si="4"/>
        <v>0.37585031474708264</v>
      </c>
    </row>
    <row r="29" spans="1:8" ht="15.75">
      <c r="A29" s="149" t="s">
        <v>165</v>
      </c>
      <c r="B29" s="150">
        <v>61</v>
      </c>
      <c r="C29" s="151">
        <v>360.97</v>
      </c>
      <c r="D29" s="151">
        <v>300.61</v>
      </c>
      <c r="E29" s="151">
        <v>18337.21</v>
      </c>
      <c r="F29" s="151">
        <v>-3681.96</v>
      </c>
      <c r="G29" s="151">
        <f t="shared" si="2"/>
        <v>22019.17</v>
      </c>
      <c r="H29" s="191">
        <f t="shared" si="4"/>
        <v>-0.1672161121422833</v>
      </c>
    </row>
    <row r="30" spans="1:8" ht="15.75">
      <c r="A30" s="149" t="s">
        <v>166</v>
      </c>
      <c r="B30" s="150">
        <v>23</v>
      </c>
      <c r="C30" s="151">
        <v>1408.96</v>
      </c>
      <c r="D30" s="151">
        <v>1593.9</v>
      </c>
      <c r="E30" s="151">
        <v>36659.699999999997</v>
      </c>
      <c r="F30" s="151">
        <v>4253.7</v>
      </c>
      <c r="G30" s="151">
        <f t="shared" si="2"/>
        <v>32405.999999999996</v>
      </c>
      <c r="H30" s="191">
        <f t="shared" si="4"/>
        <v>0.13126272912423625</v>
      </c>
    </row>
    <row r="31" spans="1:8" ht="15.75">
      <c r="A31" s="149" t="s">
        <v>168</v>
      </c>
      <c r="B31" s="150">
        <v>80</v>
      </c>
      <c r="C31" s="151">
        <v>685.74</v>
      </c>
      <c r="D31" s="151">
        <v>877.05</v>
      </c>
      <c r="E31" s="151">
        <v>70164</v>
      </c>
      <c r="F31" s="151">
        <v>15305</v>
      </c>
      <c r="G31" s="151">
        <f t="shared" si="2"/>
        <v>54859</v>
      </c>
      <c r="H31" s="191">
        <f t="shared" si="4"/>
        <v>0.27898795092874462</v>
      </c>
    </row>
    <row r="32" spans="1:8" ht="15.75">
      <c r="A32" s="149" t="s">
        <v>169</v>
      </c>
      <c r="B32" s="150">
        <v>268</v>
      </c>
      <c r="C32" s="151">
        <v>181.75</v>
      </c>
      <c r="D32" s="151">
        <v>261.14999999999998</v>
      </c>
      <c r="E32" s="151">
        <v>69988.2</v>
      </c>
      <c r="F32" s="151">
        <v>21278.45</v>
      </c>
      <c r="G32" s="151">
        <f t="shared" si="2"/>
        <v>48709.75</v>
      </c>
      <c r="H32" s="191">
        <f t="shared" si="4"/>
        <v>0.43684170007031448</v>
      </c>
    </row>
    <row r="33" spans="1:8" ht="15.75">
      <c r="A33" s="149" t="s">
        <v>170</v>
      </c>
      <c r="B33" s="150">
        <v>387</v>
      </c>
      <c r="C33" s="151">
        <v>82.58</v>
      </c>
      <c r="D33" s="151">
        <v>147.19999999999999</v>
      </c>
      <c r="E33" s="151">
        <v>56966.400000000001</v>
      </c>
      <c r="F33" s="151">
        <v>25006.6</v>
      </c>
      <c r="G33" s="151">
        <f t="shared" si="2"/>
        <v>31959.800000000003</v>
      </c>
      <c r="H33" s="191">
        <f t="shared" si="4"/>
        <v>0.78243918923147193</v>
      </c>
    </row>
    <row r="34" spans="1:8" ht="15.75">
      <c r="A34" s="149" t="s">
        <v>312</v>
      </c>
      <c r="B34" s="150">
        <v>57</v>
      </c>
      <c r="C34" s="151">
        <v>217.68</v>
      </c>
      <c r="D34" s="151">
        <v>80</v>
      </c>
      <c r="E34" s="151">
        <v>4560</v>
      </c>
      <c r="F34" s="151">
        <v>-7847.7</v>
      </c>
      <c r="G34" s="151">
        <f t="shared" si="2"/>
        <v>12407.7</v>
      </c>
      <c r="H34" s="191">
        <f t="shared" si="4"/>
        <v>-0.63248627868178631</v>
      </c>
    </row>
    <row r="35" spans="1:8" ht="15.75">
      <c r="A35" s="149" t="s">
        <v>172</v>
      </c>
      <c r="B35" s="150">
        <v>18</v>
      </c>
      <c r="C35" s="151">
        <v>1556.41</v>
      </c>
      <c r="D35" s="151">
        <v>1558.4</v>
      </c>
      <c r="E35" s="151">
        <v>28051.200000000001</v>
      </c>
      <c r="F35" s="151">
        <v>35.85</v>
      </c>
      <c r="G35" s="151">
        <f t="shared" si="2"/>
        <v>28015.350000000002</v>
      </c>
      <c r="H35" s="191">
        <f t="shared" si="4"/>
        <v>1.2796556173669078E-3</v>
      </c>
    </row>
    <row r="36" spans="1:8" ht="15.75">
      <c r="A36" s="149" t="s">
        <v>173</v>
      </c>
      <c r="B36" s="150">
        <v>33</v>
      </c>
      <c r="C36" s="151">
        <v>41.65</v>
      </c>
      <c r="D36" s="151">
        <v>49.3</v>
      </c>
      <c r="E36" s="151">
        <v>1626.9</v>
      </c>
      <c r="F36" s="151">
        <v>252.38</v>
      </c>
      <c r="G36" s="151">
        <f t="shared" si="2"/>
        <v>1374.52</v>
      </c>
      <c r="H36" s="191">
        <f t="shared" si="4"/>
        <v>0.18361318860402176</v>
      </c>
    </row>
    <row r="37" spans="1:8" ht="15.75">
      <c r="A37" s="149" t="s">
        <v>281</v>
      </c>
      <c r="B37" s="150">
        <v>124</v>
      </c>
      <c r="C37" s="151">
        <v>304.87</v>
      </c>
      <c r="D37" s="151">
        <v>354.75</v>
      </c>
      <c r="E37" s="151">
        <v>43989</v>
      </c>
      <c r="F37" s="151">
        <v>6185.6</v>
      </c>
      <c r="G37" s="151">
        <f t="shared" si="2"/>
        <v>37803.4</v>
      </c>
      <c r="H37" s="191">
        <f t="shared" si="4"/>
        <v>0.16362549400318491</v>
      </c>
    </row>
    <row r="38" spans="1:8" ht="15.75">
      <c r="A38" s="149" t="s">
        <v>174</v>
      </c>
      <c r="B38" s="150">
        <v>67</v>
      </c>
      <c r="C38" s="151">
        <v>1067.9000000000001</v>
      </c>
      <c r="D38" s="151">
        <v>1236.2</v>
      </c>
      <c r="E38" s="151">
        <v>82825.399999999994</v>
      </c>
      <c r="F38" s="151">
        <v>11276.4</v>
      </c>
      <c r="G38" s="151">
        <f t="shared" si="2"/>
        <v>71549</v>
      </c>
      <c r="H38" s="191">
        <f t="shared" si="4"/>
        <v>0.15760387985855848</v>
      </c>
    </row>
    <row r="39" spans="1:8" ht="15.75">
      <c r="A39" s="149" t="s">
        <v>175</v>
      </c>
      <c r="B39" s="150">
        <v>37</v>
      </c>
      <c r="C39" s="151">
        <v>1495.82</v>
      </c>
      <c r="D39" s="151">
        <v>1526.55</v>
      </c>
      <c r="E39" s="151">
        <v>56482.35</v>
      </c>
      <c r="F39" s="151">
        <v>1136.95</v>
      </c>
      <c r="G39" s="151">
        <f t="shared" si="2"/>
        <v>55345.4</v>
      </c>
      <c r="H39" s="191">
        <f t="shared" si="4"/>
        <v>2.0542809339168206E-2</v>
      </c>
    </row>
    <row r="40" spans="1:8" ht="15.75">
      <c r="A40" s="149" t="s">
        <v>176</v>
      </c>
      <c r="B40" s="150">
        <v>132</v>
      </c>
      <c r="C40" s="151">
        <v>585.66999999999996</v>
      </c>
      <c r="D40" s="151">
        <v>638.70000000000005</v>
      </c>
      <c r="E40" s="151">
        <v>84308.4</v>
      </c>
      <c r="F40" s="151">
        <v>7000.6</v>
      </c>
      <c r="G40" s="151">
        <f t="shared" si="2"/>
        <v>77307.799999999988</v>
      </c>
      <c r="H40" s="191">
        <f t="shared" si="4"/>
        <v>9.0554898729494321E-2</v>
      </c>
    </row>
    <row r="41" spans="1:8" ht="15.75">
      <c r="A41" s="149" t="s">
        <v>177</v>
      </c>
      <c r="B41" s="150">
        <v>10</v>
      </c>
      <c r="C41" s="151">
        <v>2735.04</v>
      </c>
      <c r="D41" s="151">
        <v>3057.25</v>
      </c>
      <c r="E41" s="151">
        <v>30572.5</v>
      </c>
      <c r="F41" s="151">
        <v>3222.1</v>
      </c>
      <c r="G41" s="151">
        <f t="shared" si="2"/>
        <v>27350.400000000001</v>
      </c>
      <c r="H41" s="191">
        <f t="shared" si="4"/>
        <v>0.11780814905814904</v>
      </c>
    </row>
    <row r="42" spans="1:8" ht="15.75">
      <c r="A42" s="149" t="s">
        <v>282</v>
      </c>
      <c r="B42" s="150">
        <v>22</v>
      </c>
      <c r="C42" s="151">
        <v>2298.5700000000002</v>
      </c>
      <c r="D42" s="151">
        <v>2467.9499999999998</v>
      </c>
      <c r="E42" s="151">
        <v>54294.9</v>
      </c>
      <c r="F42" s="151">
        <v>3726.3</v>
      </c>
      <c r="G42" s="151">
        <f t="shared" si="2"/>
        <v>50568.6</v>
      </c>
      <c r="H42" s="191">
        <f t="shared" si="4"/>
        <v>7.3688019838397747E-2</v>
      </c>
    </row>
    <row r="43" spans="1:8" ht="15.75">
      <c r="A43" s="149" t="s">
        <v>178</v>
      </c>
      <c r="B43" s="150">
        <v>73</v>
      </c>
      <c r="C43" s="151">
        <v>589.26</v>
      </c>
      <c r="D43" s="151">
        <v>952.05</v>
      </c>
      <c r="E43" s="151">
        <v>69499.649999999994</v>
      </c>
      <c r="F43" s="151">
        <v>26484</v>
      </c>
      <c r="G43" s="151">
        <f t="shared" si="2"/>
        <v>43015.649999999994</v>
      </c>
      <c r="H43" s="191">
        <f t="shared" si="4"/>
        <v>0.61568289680616251</v>
      </c>
    </row>
    <row r="44" spans="1:8" ht="15.75">
      <c r="A44" s="149" t="s">
        <v>179</v>
      </c>
      <c r="B44" s="150">
        <v>100</v>
      </c>
      <c r="C44" s="151">
        <v>1293.83</v>
      </c>
      <c r="D44" s="151">
        <v>1309.55</v>
      </c>
      <c r="E44" s="151">
        <v>130955</v>
      </c>
      <c r="F44" s="151">
        <v>1572.25</v>
      </c>
      <c r="G44" s="151">
        <f t="shared" si="2"/>
        <v>129382.75</v>
      </c>
      <c r="H44" s="191">
        <f t="shared" si="4"/>
        <v>1.2151929063186554E-2</v>
      </c>
    </row>
    <row r="45" spans="1:8" ht="15.75">
      <c r="A45" s="149" t="s">
        <v>180</v>
      </c>
      <c r="B45" s="150">
        <v>152</v>
      </c>
      <c r="C45" s="151">
        <v>495.14</v>
      </c>
      <c r="D45" s="151">
        <v>566.20000000000005</v>
      </c>
      <c r="E45" s="151">
        <v>86062.399999999994</v>
      </c>
      <c r="F45" s="151">
        <v>10800.7</v>
      </c>
      <c r="G45" s="151">
        <f t="shared" si="2"/>
        <v>75261.7</v>
      </c>
      <c r="H45" s="191">
        <f t="shared" si="4"/>
        <v>0.1435085840473973</v>
      </c>
    </row>
    <row r="46" spans="1:8" ht="15.75">
      <c r="A46" s="149" t="s">
        <v>284</v>
      </c>
      <c r="B46" s="150">
        <v>40</v>
      </c>
      <c r="C46" s="151">
        <v>942.87</v>
      </c>
      <c r="D46" s="151">
        <v>1428.85</v>
      </c>
      <c r="E46" s="151">
        <v>57154</v>
      </c>
      <c r="F46" s="151">
        <v>19439.349999999999</v>
      </c>
      <c r="G46" s="151">
        <f t="shared" si="2"/>
        <v>37714.65</v>
      </c>
      <c r="H46" s="191">
        <f t="shared" si="4"/>
        <v>0.51543233199830829</v>
      </c>
    </row>
    <row r="47" spans="1:8" ht="15.75">
      <c r="A47" s="149" t="s">
        <v>181</v>
      </c>
      <c r="B47" s="150">
        <v>47</v>
      </c>
      <c r="C47" s="151">
        <v>1499.22</v>
      </c>
      <c r="D47" s="151">
        <v>1435.45</v>
      </c>
      <c r="E47" s="151">
        <v>67466.149999999994</v>
      </c>
      <c r="F47" s="151">
        <v>-2997.25</v>
      </c>
      <c r="G47" s="151">
        <f t="shared" si="2"/>
        <v>70463.399999999994</v>
      </c>
      <c r="H47" s="191">
        <f t="shared" si="4"/>
        <v>-4.2536267054953357E-2</v>
      </c>
    </row>
    <row r="48" spans="1:8" ht="15.75">
      <c r="A48" s="149" t="s">
        <v>182</v>
      </c>
      <c r="B48" s="150">
        <v>735</v>
      </c>
      <c r="C48" s="151">
        <v>223.37</v>
      </c>
      <c r="D48" s="151">
        <v>444.4</v>
      </c>
      <c r="E48" s="151">
        <v>326634</v>
      </c>
      <c r="F48" s="151">
        <v>162459.65</v>
      </c>
      <c r="G48" s="151">
        <f t="shared" ref="G48:G79" si="5">E48-F48</f>
        <v>164174.35</v>
      </c>
      <c r="H48" s="191">
        <f t="shared" si="4"/>
        <v>0.98955561572194428</v>
      </c>
    </row>
    <row r="49" spans="1:8" ht="15.75">
      <c r="A49" s="149" t="s">
        <v>183</v>
      </c>
      <c r="B49" s="150">
        <v>28</v>
      </c>
      <c r="C49" s="151">
        <v>597.6</v>
      </c>
      <c r="D49" s="151">
        <v>1482.9</v>
      </c>
      <c r="E49" s="151">
        <v>41521.199999999997</v>
      </c>
      <c r="F49" s="151">
        <v>24788.5</v>
      </c>
      <c r="G49" s="151">
        <f t="shared" si="5"/>
        <v>16732.699999999997</v>
      </c>
      <c r="H49" s="191">
        <f t="shared" si="4"/>
        <v>1.4814405326098001</v>
      </c>
    </row>
    <row r="50" spans="1:8" ht="15.75">
      <c r="A50" s="149" t="s">
        <v>313</v>
      </c>
      <c r="B50" s="150">
        <v>4</v>
      </c>
      <c r="C50" s="151">
        <v>396.21</v>
      </c>
      <c r="D50" s="151">
        <v>478.93</v>
      </c>
      <c r="E50" s="151">
        <v>1915.72</v>
      </c>
      <c r="F50" s="151">
        <v>330.88</v>
      </c>
      <c r="G50" s="151">
        <f t="shared" si="5"/>
        <v>1584.8400000000001</v>
      </c>
      <c r="H50" s="191">
        <f t="shared" si="4"/>
        <v>0.20877817319098455</v>
      </c>
    </row>
    <row r="51" spans="1:8" ht="15.75">
      <c r="A51" s="149" t="s">
        <v>184</v>
      </c>
      <c r="B51" s="150">
        <v>341</v>
      </c>
      <c r="C51" s="151">
        <v>112.02</v>
      </c>
      <c r="D51" s="151">
        <v>134.4</v>
      </c>
      <c r="E51" s="151">
        <v>45830.400000000001</v>
      </c>
      <c r="F51" s="151">
        <v>7631.65</v>
      </c>
      <c r="G51" s="151">
        <f t="shared" si="5"/>
        <v>38198.75</v>
      </c>
      <c r="H51" s="191">
        <f t="shared" si="4"/>
        <v>0.19978795117641282</v>
      </c>
    </row>
    <row r="52" spans="1:8" ht="15.75">
      <c r="A52" s="149" t="s">
        <v>185</v>
      </c>
      <c r="B52" s="150">
        <v>38</v>
      </c>
      <c r="C52" s="151">
        <v>1711.28</v>
      </c>
      <c r="D52" s="151">
        <v>1735.7</v>
      </c>
      <c r="E52" s="151">
        <v>65956.600000000006</v>
      </c>
      <c r="F52" s="151">
        <v>927.8</v>
      </c>
      <c r="G52" s="151">
        <f t="shared" si="5"/>
        <v>65028.800000000003</v>
      </c>
      <c r="H52" s="191">
        <f t="shared" ref="H52:H83" si="6">F52/G52</f>
        <v>1.4267524542971729E-2</v>
      </c>
    </row>
    <row r="53" spans="1:8" ht="15.75">
      <c r="A53" s="149" t="s">
        <v>186</v>
      </c>
      <c r="B53" s="150">
        <v>67</v>
      </c>
      <c r="C53" s="151">
        <v>676.11</v>
      </c>
      <c r="D53" s="151">
        <v>1152.3</v>
      </c>
      <c r="E53" s="151">
        <v>77204.100000000006</v>
      </c>
      <c r="F53" s="151">
        <v>31904.7</v>
      </c>
      <c r="G53" s="151">
        <f t="shared" si="5"/>
        <v>45299.400000000009</v>
      </c>
      <c r="H53" s="191">
        <f t="shared" si="6"/>
        <v>0.70430734181909682</v>
      </c>
    </row>
    <row r="54" spans="1:8" ht="15.75">
      <c r="A54" s="149" t="s">
        <v>187</v>
      </c>
      <c r="B54" s="150">
        <v>20</v>
      </c>
      <c r="C54" s="151">
        <v>2295.38</v>
      </c>
      <c r="D54" s="151">
        <v>2524.35</v>
      </c>
      <c r="E54" s="151">
        <v>50487</v>
      </c>
      <c r="F54" s="151">
        <v>4579.3999999999996</v>
      </c>
      <c r="G54" s="151">
        <f t="shared" si="5"/>
        <v>45907.6</v>
      </c>
      <c r="H54" s="191">
        <f t="shared" si="6"/>
        <v>9.9752546419329263E-2</v>
      </c>
    </row>
    <row r="55" spans="1:8" ht="15.75">
      <c r="A55" s="149" t="s">
        <v>314</v>
      </c>
      <c r="B55" s="150">
        <v>1</v>
      </c>
      <c r="C55" s="151">
        <v>883.45</v>
      </c>
      <c r="D55" s="151">
        <v>1000.02</v>
      </c>
      <c r="E55" s="151">
        <v>1000.02</v>
      </c>
      <c r="F55" s="151">
        <v>116.57</v>
      </c>
      <c r="G55" s="151">
        <f t="shared" si="5"/>
        <v>883.45</v>
      </c>
      <c r="H55" s="191">
        <f t="shared" si="6"/>
        <v>0.13194861056086932</v>
      </c>
    </row>
    <row r="56" spans="1:8" ht="15.75">
      <c r="A56" s="149" t="s">
        <v>188</v>
      </c>
      <c r="B56" s="150">
        <v>62</v>
      </c>
      <c r="C56" s="151">
        <v>1053.22</v>
      </c>
      <c r="D56" s="151">
        <v>3023.55</v>
      </c>
      <c r="E56" s="151">
        <v>187460.1</v>
      </c>
      <c r="F56" s="151">
        <v>122160.75</v>
      </c>
      <c r="G56" s="151">
        <f t="shared" si="5"/>
        <v>65299.350000000006</v>
      </c>
      <c r="H56" s="191">
        <f t="shared" si="6"/>
        <v>1.8707804901580183</v>
      </c>
    </row>
    <row r="57" spans="1:8" ht="15.75">
      <c r="A57" s="149" t="s">
        <v>286</v>
      </c>
      <c r="B57" s="150">
        <v>17</v>
      </c>
      <c r="C57" s="151">
        <v>4810.6400000000003</v>
      </c>
      <c r="D57" s="151">
        <v>5210.1499999999996</v>
      </c>
      <c r="E57" s="151">
        <v>88572.55</v>
      </c>
      <c r="F57" s="151">
        <v>6791.72</v>
      </c>
      <c r="G57" s="151">
        <f t="shared" si="5"/>
        <v>81780.83</v>
      </c>
      <c r="H57" s="191">
        <f t="shared" si="6"/>
        <v>8.3047824288405972E-2</v>
      </c>
    </row>
    <row r="58" spans="1:8" ht="15.75">
      <c r="A58" s="149" t="s">
        <v>189</v>
      </c>
      <c r="B58" s="150">
        <v>20</v>
      </c>
      <c r="C58" s="151">
        <v>1002.87</v>
      </c>
      <c r="D58" s="151">
        <v>1554.25</v>
      </c>
      <c r="E58" s="151">
        <v>31085</v>
      </c>
      <c r="F58" s="151">
        <v>11027.7</v>
      </c>
      <c r="G58" s="151">
        <f t="shared" si="5"/>
        <v>20057.3</v>
      </c>
      <c r="H58" s="191">
        <f t="shared" si="6"/>
        <v>0.54980979493750415</v>
      </c>
    </row>
    <row r="59" spans="1:8" ht="15.75">
      <c r="A59" s="149" t="s">
        <v>191</v>
      </c>
      <c r="B59" s="150">
        <v>87</v>
      </c>
      <c r="C59" s="151">
        <v>487.39</v>
      </c>
      <c r="D59" s="151">
        <v>561.65</v>
      </c>
      <c r="E59" s="151">
        <v>48863.55</v>
      </c>
      <c r="F59" s="151">
        <v>6460.2</v>
      </c>
      <c r="G59" s="151">
        <f t="shared" si="5"/>
        <v>42403.350000000006</v>
      </c>
      <c r="H59" s="191">
        <f t="shared" si="6"/>
        <v>0.15235117036743556</v>
      </c>
    </row>
    <row r="60" spans="1:8" ht="15.75">
      <c r="A60" s="149" t="s">
        <v>192</v>
      </c>
      <c r="B60" s="150">
        <v>91</v>
      </c>
      <c r="C60" s="151">
        <v>723.18</v>
      </c>
      <c r="D60" s="151">
        <v>913.15</v>
      </c>
      <c r="E60" s="151">
        <v>83096.649999999994</v>
      </c>
      <c r="F60" s="151">
        <v>17287.099999999999</v>
      </c>
      <c r="G60" s="151">
        <f t="shared" si="5"/>
        <v>65809.549999999988</v>
      </c>
      <c r="H60" s="191">
        <f t="shared" si="6"/>
        <v>0.26268375942397421</v>
      </c>
    </row>
    <row r="61" spans="1:8" ht="15.75">
      <c r="A61" s="149" t="s">
        <v>265</v>
      </c>
      <c r="B61" s="150">
        <v>58</v>
      </c>
      <c r="C61" s="151">
        <v>342.44</v>
      </c>
      <c r="D61" s="151">
        <v>311.43</v>
      </c>
      <c r="E61" s="151">
        <v>18062.939999999999</v>
      </c>
      <c r="F61" s="151">
        <v>-1798.58</v>
      </c>
      <c r="G61" s="151">
        <f t="shared" si="5"/>
        <v>19861.519999999997</v>
      </c>
      <c r="H61" s="191">
        <f t="shared" si="6"/>
        <v>-9.0556009811937871E-2</v>
      </c>
    </row>
    <row r="62" spans="1:8" ht="15.75">
      <c r="A62" s="149" t="s">
        <v>194</v>
      </c>
      <c r="B62" s="150">
        <v>255</v>
      </c>
      <c r="C62" s="151">
        <v>99.4</v>
      </c>
      <c r="D62" s="151">
        <v>96</v>
      </c>
      <c r="E62" s="151">
        <v>24480</v>
      </c>
      <c r="F62" s="151">
        <v>-867.5</v>
      </c>
      <c r="G62" s="151">
        <f t="shared" si="5"/>
        <v>25347.5</v>
      </c>
      <c r="H62" s="191">
        <f t="shared" si="6"/>
        <v>-3.4224282473616731E-2</v>
      </c>
    </row>
    <row r="63" spans="1:8" ht="15.75">
      <c r="A63" s="149" t="s">
        <v>195</v>
      </c>
      <c r="B63" s="150">
        <v>25</v>
      </c>
      <c r="C63" s="151">
        <v>2212.61</v>
      </c>
      <c r="D63" s="151">
        <v>2376.6</v>
      </c>
      <c r="E63" s="151">
        <v>59415</v>
      </c>
      <c r="F63" s="151">
        <v>4099.8500000000004</v>
      </c>
      <c r="G63" s="151">
        <f t="shared" si="5"/>
        <v>55315.15</v>
      </c>
      <c r="H63" s="191">
        <f t="shared" si="6"/>
        <v>7.4118030955353104E-2</v>
      </c>
    </row>
    <row r="64" spans="1:8" ht="15.75">
      <c r="A64" s="149" t="s">
        <v>315</v>
      </c>
      <c r="B64" s="150">
        <v>102</v>
      </c>
      <c r="C64" s="151">
        <v>14.26</v>
      </c>
      <c r="D64" s="151">
        <v>64.459999999999994</v>
      </c>
      <c r="E64" s="151">
        <v>6574.92</v>
      </c>
      <c r="F64" s="151">
        <v>5120.22</v>
      </c>
      <c r="G64" s="151">
        <f t="shared" si="5"/>
        <v>1454.6999999999998</v>
      </c>
      <c r="H64" s="191">
        <f t="shared" si="6"/>
        <v>3.5197772736646735</v>
      </c>
    </row>
    <row r="65" spans="1:8" ht="15.75">
      <c r="A65" s="149" t="s">
        <v>316</v>
      </c>
      <c r="B65" s="150">
        <v>4</v>
      </c>
      <c r="C65" s="151">
        <v>131.47999999999999</v>
      </c>
      <c r="D65" s="151">
        <v>217.06</v>
      </c>
      <c r="E65" s="151">
        <v>868.24</v>
      </c>
      <c r="F65" s="151">
        <v>342.32</v>
      </c>
      <c r="G65" s="151">
        <f t="shared" si="5"/>
        <v>525.92000000000007</v>
      </c>
      <c r="H65" s="191">
        <f t="shared" si="6"/>
        <v>0.65089747490112559</v>
      </c>
    </row>
    <row r="66" spans="1:8" ht="15.75">
      <c r="A66" s="149" t="s">
        <v>266</v>
      </c>
      <c r="B66" s="150">
        <v>141</v>
      </c>
      <c r="C66" s="151">
        <v>124.94</v>
      </c>
      <c r="D66" s="151">
        <v>124.1</v>
      </c>
      <c r="E66" s="151">
        <v>17498.099999999999</v>
      </c>
      <c r="F66" s="151">
        <v>-117.84</v>
      </c>
      <c r="G66" s="151">
        <f t="shared" si="5"/>
        <v>17615.939999999999</v>
      </c>
      <c r="H66" s="191">
        <f t="shared" si="6"/>
        <v>-6.6893960810493229E-3</v>
      </c>
    </row>
    <row r="67" spans="1:8" ht="15.75">
      <c r="A67" s="149" t="s">
        <v>198</v>
      </c>
      <c r="B67" s="150">
        <v>79</v>
      </c>
      <c r="C67" s="151">
        <v>499.72</v>
      </c>
      <c r="D67" s="151">
        <v>1154.3499999999999</v>
      </c>
      <c r="E67" s="151">
        <v>91193.65</v>
      </c>
      <c r="F67" s="151">
        <v>51716</v>
      </c>
      <c r="G67" s="151">
        <f t="shared" si="5"/>
        <v>39477.649999999994</v>
      </c>
      <c r="H67" s="191">
        <f t="shared" si="6"/>
        <v>1.310007054624579</v>
      </c>
    </row>
    <row r="68" spans="1:8" ht="15.75">
      <c r="A68" s="149" t="s">
        <v>199</v>
      </c>
      <c r="B68" s="150">
        <v>27</v>
      </c>
      <c r="C68" s="151">
        <v>3952.46</v>
      </c>
      <c r="D68" s="151">
        <v>4123.55</v>
      </c>
      <c r="E68" s="151">
        <v>111335.85</v>
      </c>
      <c r="F68" s="151">
        <v>4619.45</v>
      </c>
      <c r="G68" s="151">
        <f t="shared" si="5"/>
        <v>106716.40000000001</v>
      </c>
      <c r="H68" s="191">
        <f t="shared" si="6"/>
        <v>4.3287161111131928E-2</v>
      </c>
    </row>
    <row r="69" spans="1:8" ht="15.75">
      <c r="A69" s="149" t="s">
        <v>200</v>
      </c>
      <c r="B69" s="150">
        <v>300</v>
      </c>
      <c r="C69" s="151">
        <v>82.33</v>
      </c>
      <c r="D69" s="151">
        <v>191.85</v>
      </c>
      <c r="E69" s="151">
        <v>57555</v>
      </c>
      <c r="F69" s="151">
        <v>32855</v>
      </c>
      <c r="G69" s="151">
        <f t="shared" si="5"/>
        <v>24700</v>
      </c>
      <c r="H69" s="191">
        <f t="shared" si="6"/>
        <v>1.3301619433198379</v>
      </c>
    </row>
    <row r="70" spans="1:8" ht="15.75">
      <c r="A70" s="149" t="s">
        <v>201</v>
      </c>
      <c r="B70" s="150">
        <v>10</v>
      </c>
      <c r="C70" s="151">
        <v>4106.17</v>
      </c>
      <c r="D70" s="151">
        <v>5796.7</v>
      </c>
      <c r="E70" s="151">
        <v>57967</v>
      </c>
      <c r="F70" s="151">
        <v>16905.349999999999</v>
      </c>
      <c r="G70" s="151">
        <f t="shared" si="5"/>
        <v>41061.65</v>
      </c>
      <c r="H70" s="191">
        <f t="shared" si="6"/>
        <v>0.4117065436970993</v>
      </c>
    </row>
    <row r="71" spans="1:8" ht="15.75">
      <c r="A71" s="149" t="s">
        <v>202</v>
      </c>
      <c r="B71" s="150">
        <v>22</v>
      </c>
      <c r="C71" s="151">
        <v>885.65</v>
      </c>
      <c r="D71" s="151">
        <v>1814.35</v>
      </c>
      <c r="E71" s="151">
        <v>39915.699999999997</v>
      </c>
      <c r="F71" s="151">
        <v>20431.5</v>
      </c>
      <c r="G71" s="151">
        <f t="shared" si="5"/>
        <v>19484.199999999997</v>
      </c>
      <c r="H71" s="191">
        <f t="shared" si="6"/>
        <v>1.0486188809394279</v>
      </c>
    </row>
    <row r="72" spans="1:8" ht="15.75">
      <c r="A72" s="149" t="s">
        <v>203</v>
      </c>
      <c r="B72" s="150">
        <v>30</v>
      </c>
      <c r="C72" s="151">
        <v>2499.15</v>
      </c>
      <c r="D72" s="151">
        <v>2445.9</v>
      </c>
      <c r="E72" s="151">
        <v>73377</v>
      </c>
      <c r="F72" s="151">
        <v>-1597.35</v>
      </c>
      <c r="G72" s="151">
        <f t="shared" si="5"/>
        <v>74974.350000000006</v>
      </c>
      <c r="H72" s="191">
        <f t="shared" si="6"/>
        <v>-2.1305286407951516E-2</v>
      </c>
    </row>
    <row r="73" spans="1:8" ht="15.75">
      <c r="A73" s="149" t="s">
        <v>204</v>
      </c>
      <c r="B73" s="150">
        <v>53</v>
      </c>
      <c r="C73" s="151">
        <v>488.83</v>
      </c>
      <c r="D73" s="151">
        <v>602</v>
      </c>
      <c r="E73" s="151">
        <v>31906</v>
      </c>
      <c r="F73" s="151">
        <v>5997.85</v>
      </c>
      <c r="G73" s="151">
        <f t="shared" si="5"/>
        <v>25908.15</v>
      </c>
      <c r="H73" s="191">
        <f t="shared" si="6"/>
        <v>0.23150437217632289</v>
      </c>
    </row>
    <row r="74" spans="1:8" ht="15.75">
      <c r="A74" s="149" t="s">
        <v>307</v>
      </c>
      <c r="B74" s="150">
        <v>20</v>
      </c>
      <c r="C74" s="151">
        <v>1000</v>
      </c>
      <c r="D74" s="151">
        <v>1135</v>
      </c>
      <c r="E74" s="151">
        <v>22700</v>
      </c>
      <c r="F74" s="151">
        <v>0</v>
      </c>
      <c r="G74" s="151">
        <f t="shared" si="5"/>
        <v>22700</v>
      </c>
      <c r="H74" s="191">
        <f t="shared" si="6"/>
        <v>0</v>
      </c>
    </row>
    <row r="75" spans="1:8" ht="15.75">
      <c r="A75" s="149" t="s">
        <v>299</v>
      </c>
      <c r="B75" s="150">
        <v>49</v>
      </c>
      <c r="C75" s="151">
        <v>952.78</v>
      </c>
      <c r="D75" s="151">
        <v>901.85</v>
      </c>
      <c r="E75" s="151">
        <v>44190.65</v>
      </c>
      <c r="F75" s="151">
        <v>-2495.5</v>
      </c>
      <c r="G75" s="151">
        <f t="shared" si="5"/>
        <v>46686.15</v>
      </c>
      <c r="H75" s="191">
        <f t="shared" si="6"/>
        <v>-5.3452683504636812E-2</v>
      </c>
    </row>
    <row r="76" spans="1:8" ht="15.75">
      <c r="A76" s="149" t="s">
        <v>206</v>
      </c>
      <c r="B76" s="150">
        <v>84</v>
      </c>
      <c r="C76" s="151">
        <v>1161.6300000000001</v>
      </c>
      <c r="D76" s="151">
        <v>1311.9</v>
      </c>
      <c r="E76" s="151">
        <v>110199.6</v>
      </c>
      <c r="F76" s="151">
        <v>12622.75</v>
      </c>
      <c r="G76" s="151">
        <f t="shared" si="5"/>
        <v>97576.85</v>
      </c>
      <c r="H76" s="191">
        <f t="shared" si="6"/>
        <v>0.1293621386630128</v>
      </c>
    </row>
    <row r="77" spans="1:8" ht="15.75">
      <c r="A77" s="149" t="s">
        <v>207</v>
      </c>
      <c r="B77" s="150">
        <v>105</v>
      </c>
      <c r="C77" s="151">
        <v>304.5</v>
      </c>
      <c r="D77" s="151">
        <v>598.70000000000005</v>
      </c>
      <c r="E77" s="151">
        <v>62863.5</v>
      </c>
      <c r="F77" s="151">
        <v>30890.6</v>
      </c>
      <c r="G77" s="151">
        <f t="shared" si="5"/>
        <v>31972.9</v>
      </c>
      <c r="H77" s="191">
        <f t="shared" si="6"/>
        <v>0.96614945782209305</v>
      </c>
    </row>
    <row r="78" spans="1:8" ht="15.75">
      <c r="A78" s="149" t="s">
        <v>262</v>
      </c>
      <c r="B78" s="150">
        <v>10</v>
      </c>
      <c r="C78" s="151">
        <v>5284</v>
      </c>
      <c r="D78" s="151">
        <v>5882.58</v>
      </c>
      <c r="E78" s="151">
        <v>58825.8</v>
      </c>
      <c r="F78" s="151">
        <v>5985.8</v>
      </c>
      <c r="G78" s="151">
        <f t="shared" si="5"/>
        <v>52840</v>
      </c>
      <c r="H78" s="191">
        <f t="shared" si="6"/>
        <v>0.11328160484481453</v>
      </c>
    </row>
    <row r="79" spans="1:8" ht="15.75">
      <c r="A79" s="149" t="s">
        <v>209</v>
      </c>
      <c r="B79" s="150">
        <v>5</v>
      </c>
      <c r="C79" s="151">
        <v>4802</v>
      </c>
      <c r="D79" s="151">
        <v>5860</v>
      </c>
      <c r="E79" s="151">
        <v>29300</v>
      </c>
      <c r="F79" s="151">
        <v>5290</v>
      </c>
      <c r="G79" s="151">
        <f t="shared" si="5"/>
        <v>24010</v>
      </c>
      <c r="H79" s="191">
        <f t="shared" si="6"/>
        <v>0.22032486463973344</v>
      </c>
    </row>
    <row r="80" spans="1:8" ht="15.75">
      <c r="A80" s="149" t="s">
        <v>210</v>
      </c>
      <c r="B80" s="150">
        <v>10</v>
      </c>
      <c r="C80" s="151">
        <v>5002.45</v>
      </c>
      <c r="D80" s="151">
        <v>5874.99</v>
      </c>
      <c r="E80" s="151">
        <v>58749.9</v>
      </c>
      <c r="F80" s="151">
        <v>8725.4</v>
      </c>
      <c r="G80" s="151">
        <f t="shared" ref="G80:G111" si="7">E80-F80</f>
        <v>50024.5</v>
      </c>
      <c r="H80" s="191">
        <f t="shared" si="6"/>
        <v>0.17442253295885016</v>
      </c>
    </row>
    <row r="81" spans="1:8" ht="15.75">
      <c r="A81" s="149" t="s">
        <v>211</v>
      </c>
      <c r="B81" s="150">
        <v>35</v>
      </c>
      <c r="C81" s="151">
        <v>984.23</v>
      </c>
      <c r="D81" s="151">
        <v>3668.35</v>
      </c>
      <c r="E81" s="151">
        <v>128392.25</v>
      </c>
      <c r="F81" s="151">
        <v>93944.2</v>
      </c>
      <c r="G81" s="151">
        <f t="shared" si="7"/>
        <v>34448.050000000003</v>
      </c>
      <c r="H81" s="191">
        <f t="shared" si="6"/>
        <v>2.7271267894699407</v>
      </c>
    </row>
    <row r="82" spans="1:8" ht="15.75">
      <c r="A82" s="149" t="s">
        <v>290</v>
      </c>
      <c r="B82" s="150">
        <v>48</v>
      </c>
      <c r="C82" s="151">
        <v>575.6</v>
      </c>
      <c r="D82" s="151">
        <v>583.4</v>
      </c>
      <c r="E82" s="151">
        <v>28003.200000000001</v>
      </c>
      <c r="F82" s="151">
        <v>374.25</v>
      </c>
      <c r="G82" s="151">
        <f t="shared" si="7"/>
        <v>27628.95</v>
      </c>
      <c r="H82" s="191">
        <f t="shared" si="6"/>
        <v>1.3545574478943282E-2</v>
      </c>
    </row>
    <row r="83" spans="1:8" ht="15.75">
      <c r="A83" s="149" t="s">
        <v>292</v>
      </c>
      <c r="B83" s="150">
        <v>32</v>
      </c>
      <c r="C83" s="151">
        <v>752.33</v>
      </c>
      <c r="D83" s="151">
        <v>1263.75</v>
      </c>
      <c r="E83" s="151">
        <v>40440</v>
      </c>
      <c r="F83" s="151">
        <v>16365.5</v>
      </c>
      <c r="G83" s="151">
        <f t="shared" si="7"/>
        <v>24074.5</v>
      </c>
      <c r="H83" s="191">
        <f t="shared" si="6"/>
        <v>0.67978566533053641</v>
      </c>
    </row>
    <row r="84" spans="1:8" ht="15.75">
      <c r="A84" s="149" t="s">
        <v>212</v>
      </c>
      <c r="B84" s="150">
        <v>152</v>
      </c>
      <c r="C84" s="151">
        <v>574.22</v>
      </c>
      <c r="D84" s="151">
        <v>1159.0999999999999</v>
      </c>
      <c r="E84" s="151">
        <v>176183.2</v>
      </c>
      <c r="F84" s="151">
        <v>88901.05</v>
      </c>
      <c r="G84" s="151">
        <f t="shared" si="7"/>
        <v>87282.150000000009</v>
      </c>
      <c r="H84" s="191">
        <f t="shared" ref="H84:H115" si="8">F84/G84</f>
        <v>1.018547893240485</v>
      </c>
    </row>
    <row r="85" spans="1:8" ht="15.75">
      <c r="A85" s="149" t="s">
        <v>293</v>
      </c>
      <c r="B85" s="150">
        <v>69</v>
      </c>
      <c r="C85" s="151">
        <v>373.18</v>
      </c>
      <c r="D85" s="151">
        <v>386.4</v>
      </c>
      <c r="E85" s="151">
        <v>26661.599999999999</v>
      </c>
      <c r="F85" s="151">
        <v>912.3</v>
      </c>
      <c r="G85" s="151">
        <f t="shared" si="7"/>
        <v>25749.3</v>
      </c>
      <c r="H85" s="191">
        <f t="shared" si="8"/>
        <v>3.5430089361652546E-2</v>
      </c>
    </row>
    <row r="86" spans="1:8" ht="15.75">
      <c r="A86" s="149" t="s">
        <v>308</v>
      </c>
      <c r="B86" s="150">
        <v>119</v>
      </c>
      <c r="C86" s="151">
        <v>507.17</v>
      </c>
      <c r="D86" s="151">
        <v>561.35</v>
      </c>
      <c r="E86" s="151">
        <v>66800.649999999994</v>
      </c>
      <c r="F86" s="151">
        <v>6447.7</v>
      </c>
      <c r="G86" s="151">
        <f t="shared" si="7"/>
        <v>60352.95</v>
      </c>
      <c r="H86" s="191">
        <f t="shared" si="8"/>
        <v>0.10683322024855454</v>
      </c>
    </row>
    <row r="87" spans="1:8" ht="15.75">
      <c r="A87" s="149" t="s">
        <v>213</v>
      </c>
      <c r="B87" s="150">
        <v>65</v>
      </c>
      <c r="C87" s="151">
        <v>513.66</v>
      </c>
      <c r="D87" s="151">
        <v>804.15</v>
      </c>
      <c r="E87" s="151">
        <v>52269.75</v>
      </c>
      <c r="F87" s="151">
        <v>18881.650000000001</v>
      </c>
      <c r="G87" s="151">
        <f t="shared" si="7"/>
        <v>33388.1</v>
      </c>
      <c r="H87" s="191">
        <f t="shared" si="8"/>
        <v>0.56552035006484358</v>
      </c>
    </row>
    <row r="88" spans="1:8" ht="15.75">
      <c r="A88" s="149" t="s">
        <v>214</v>
      </c>
      <c r="B88" s="150">
        <v>57</v>
      </c>
      <c r="C88" s="151">
        <v>750.26</v>
      </c>
      <c r="D88" s="151">
        <v>876.9</v>
      </c>
      <c r="E88" s="151">
        <v>49983.3</v>
      </c>
      <c r="F88" s="151">
        <v>7218.7</v>
      </c>
      <c r="G88" s="151">
        <f t="shared" si="7"/>
        <v>42764.600000000006</v>
      </c>
      <c r="H88" s="191">
        <f t="shared" si="8"/>
        <v>0.16880083059352827</v>
      </c>
    </row>
    <row r="89" spans="1:8" ht="15.75">
      <c r="A89" s="149" t="s">
        <v>267</v>
      </c>
      <c r="B89" s="150">
        <v>37</v>
      </c>
      <c r="C89" s="151">
        <v>632.20000000000005</v>
      </c>
      <c r="D89" s="151">
        <v>630.35</v>
      </c>
      <c r="E89" s="151">
        <v>23322.95</v>
      </c>
      <c r="F89" s="151">
        <v>-68.45</v>
      </c>
      <c r="G89" s="151">
        <f t="shared" si="7"/>
        <v>23391.4</v>
      </c>
      <c r="H89" s="191">
        <f t="shared" si="8"/>
        <v>-2.92628914900348E-3</v>
      </c>
    </row>
    <row r="90" spans="1:8" ht="15.75">
      <c r="A90" s="149" t="s">
        <v>302</v>
      </c>
      <c r="B90" s="150">
        <v>775</v>
      </c>
      <c r="C90" s="151">
        <v>99.29</v>
      </c>
      <c r="D90" s="151">
        <v>428.05</v>
      </c>
      <c r="E90" s="151">
        <v>331738.75</v>
      </c>
      <c r="F90" s="151">
        <v>254787.75</v>
      </c>
      <c r="G90" s="151">
        <f t="shared" si="7"/>
        <v>76951</v>
      </c>
      <c r="H90" s="191">
        <f t="shared" si="8"/>
        <v>3.3110388429000275</v>
      </c>
    </row>
    <row r="91" spans="1:8" ht="15.75">
      <c r="A91" s="149" t="s">
        <v>215</v>
      </c>
      <c r="B91" s="150">
        <v>1050</v>
      </c>
      <c r="C91" s="151">
        <v>40.479999999999997</v>
      </c>
      <c r="D91" s="151">
        <v>129</v>
      </c>
      <c r="E91" s="151">
        <v>135450</v>
      </c>
      <c r="F91" s="151">
        <v>92949.75</v>
      </c>
      <c r="G91" s="151">
        <f t="shared" si="7"/>
        <v>42500.25</v>
      </c>
      <c r="H91" s="191">
        <f t="shared" si="8"/>
        <v>2.1870400762348456</v>
      </c>
    </row>
    <row r="92" spans="1:8" ht="15.75">
      <c r="A92" s="149" t="s">
        <v>216</v>
      </c>
      <c r="B92" s="150">
        <v>27</v>
      </c>
      <c r="C92" s="151">
        <v>3337.18</v>
      </c>
      <c r="D92" s="151">
        <v>3530.75</v>
      </c>
      <c r="E92" s="151">
        <v>95330.25</v>
      </c>
      <c r="F92" s="151">
        <v>5226.5</v>
      </c>
      <c r="G92" s="151">
        <f t="shared" si="7"/>
        <v>90103.75</v>
      </c>
      <c r="H92" s="191">
        <f t="shared" si="8"/>
        <v>5.8005354938057516E-2</v>
      </c>
    </row>
    <row r="93" spans="1:8" ht="15.75">
      <c r="A93" s="149" t="s">
        <v>217</v>
      </c>
      <c r="B93" s="150">
        <v>24</v>
      </c>
      <c r="C93" s="151">
        <v>2584.4</v>
      </c>
      <c r="D93" s="151">
        <v>3149.6</v>
      </c>
      <c r="E93" s="151">
        <v>75590.399999999994</v>
      </c>
      <c r="F93" s="151">
        <v>13564.8</v>
      </c>
      <c r="G93" s="151">
        <f t="shared" si="7"/>
        <v>62025.599999999991</v>
      </c>
      <c r="H93" s="191">
        <f t="shared" si="8"/>
        <v>0.21869679616158491</v>
      </c>
    </row>
    <row r="94" spans="1:8" ht="15.75">
      <c r="A94" s="149" t="s">
        <v>220</v>
      </c>
      <c r="B94" s="150">
        <v>61</v>
      </c>
      <c r="C94" s="151">
        <v>401.11</v>
      </c>
      <c r="D94" s="151">
        <v>601.29999999999995</v>
      </c>
      <c r="E94" s="151">
        <v>36679.300000000003</v>
      </c>
      <c r="F94" s="151">
        <v>12211.55</v>
      </c>
      <c r="G94" s="151">
        <f t="shared" si="7"/>
        <v>24467.750000000004</v>
      </c>
      <c r="H94" s="191">
        <f t="shared" si="8"/>
        <v>0.49908757446025881</v>
      </c>
    </row>
    <row r="95" spans="1:8" ht="15.75">
      <c r="A95" s="149" t="s">
        <v>221</v>
      </c>
      <c r="B95" s="150">
        <v>36</v>
      </c>
      <c r="C95" s="151">
        <v>120.1</v>
      </c>
      <c r="D95" s="151">
        <v>946.1</v>
      </c>
      <c r="E95" s="151">
        <v>34059.599999999999</v>
      </c>
      <c r="F95" s="151">
        <v>29735.95</v>
      </c>
      <c r="G95" s="151">
        <f t="shared" ref="G95:G97" si="9">E95-F95</f>
        <v>4323.6499999999978</v>
      </c>
      <c r="H95" s="191">
        <f t="shared" ref="H95:H97" si="10">F95/G95</f>
        <v>6.8775108993558716</v>
      </c>
    </row>
    <row r="96" spans="1:8" ht="15.75">
      <c r="A96" s="149" t="s">
        <v>300</v>
      </c>
      <c r="B96" s="150">
        <v>525</v>
      </c>
      <c r="C96" s="151">
        <v>38.97</v>
      </c>
      <c r="D96" s="151">
        <v>17.25</v>
      </c>
      <c r="E96" s="151">
        <v>9056.25</v>
      </c>
      <c r="F96" s="151">
        <v>-11401.25</v>
      </c>
      <c r="G96" s="151">
        <f t="shared" si="9"/>
        <v>20457.5</v>
      </c>
      <c r="H96" s="191">
        <f t="shared" si="10"/>
        <v>-0.55731394354148844</v>
      </c>
    </row>
    <row r="97" spans="1:8" ht="15.75">
      <c r="A97" s="149" t="s">
        <v>309</v>
      </c>
      <c r="B97" s="150">
        <v>43</v>
      </c>
      <c r="C97" s="151">
        <v>1818.46</v>
      </c>
      <c r="D97" s="151">
        <v>1564</v>
      </c>
      <c r="E97" s="151">
        <v>67252</v>
      </c>
      <c r="F97" s="151">
        <v>-10941.95</v>
      </c>
      <c r="G97" s="151">
        <f t="shared" si="9"/>
        <v>78193.95</v>
      </c>
      <c r="H97" s="191">
        <f t="shared" si="10"/>
        <v>-0.13993346032525536</v>
      </c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9941</v>
      </c>
      <c r="C104" s="45"/>
      <c r="D104" s="45"/>
      <c r="E104" s="45">
        <f>SUM(E2:E103)</f>
        <v>5904861.4100000001</v>
      </c>
      <c r="F104" s="45">
        <f>SUM(F2:F103)</f>
        <v>1807052.5199999998</v>
      </c>
      <c r="G104" s="45">
        <f>SUM(G2:G103)</f>
        <v>4097809.8899999997</v>
      </c>
      <c r="H104" s="176">
        <f>F104/G104</f>
        <v>0.44098007679902396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77D2-6684-4EC0-BB26-4CE994D86536}">
  <dimension ref="A1:I18"/>
  <sheetViews>
    <sheetView workbookViewId="0">
      <selection activeCell="F9" sqref="F9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89.66</v>
      </c>
      <c r="E2">
        <v>68.607799999999997</v>
      </c>
      <c r="F2" s="188">
        <v>279986.10960000003</v>
      </c>
      <c r="G2" s="188">
        <v>365899.41159999999</v>
      </c>
      <c r="H2" s="188">
        <v>85913.301999999996</v>
      </c>
      <c r="I2" s="147">
        <f>H2/F2</f>
        <v>0.30684844374151049</v>
      </c>
    </row>
    <row r="3" spans="1:9">
      <c r="A3" s="168" t="s">
        <v>236</v>
      </c>
      <c r="B3" t="s">
        <v>237</v>
      </c>
      <c r="C3" s="188">
        <v>14235.332</v>
      </c>
      <c r="D3">
        <v>87.29</v>
      </c>
      <c r="E3">
        <v>47.766100000000002</v>
      </c>
      <c r="F3" s="188">
        <v>679966.92570000002</v>
      </c>
      <c r="G3" s="188">
        <v>1242602.1303000001</v>
      </c>
      <c r="H3" s="188">
        <v>562635.20460000006</v>
      </c>
      <c r="I3" s="147">
        <f t="shared" ref="I3:I18" si="0">H3/F3</f>
        <v>0.82744495847469135</v>
      </c>
    </row>
    <row r="4" spans="1:9">
      <c r="A4" s="168" t="s">
        <v>238</v>
      </c>
      <c r="B4" t="s">
        <v>237</v>
      </c>
      <c r="C4" s="188">
        <v>13837.614</v>
      </c>
      <c r="D4">
        <v>31.57</v>
      </c>
      <c r="E4">
        <v>27.098700000000001</v>
      </c>
      <c r="F4" s="188">
        <v>374981.25770000002</v>
      </c>
      <c r="G4" s="188">
        <v>436853.47399999999</v>
      </c>
      <c r="H4" s="188">
        <v>61872.2163</v>
      </c>
      <c r="I4" s="147">
        <f t="shared" si="0"/>
        <v>0.16500082345315575</v>
      </c>
    </row>
    <row r="5" spans="1:9">
      <c r="A5" s="168" t="s">
        <v>303</v>
      </c>
      <c r="B5" t="s">
        <v>241</v>
      </c>
      <c r="C5" s="188">
        <v>1857.5519999999999</v>
      </c>
      <c r="D5">
        <v>609.4203</v>
      </c>
      <c r="E5">
        <v>366.02140000000003</v>
      </c>
      <c r="F5" s="188">
        <v>679903.69869999995</v>
      </c>
      <c r="G5" s="188">
        <v>1132029.8970999999</v>
      </c>
      <c r="H5" s="188">
        <v>452126.19839999999</v>
      </c>
      <c r="I5" s="147">
        <f t="shared" si="0"/>
        <v>0.66498564320870934</v>
      </c>
    </row>
    <row r="6" spans="1:9">
      <c r="A6" s="168" t="s">
        <v>242</v>
      </c>
      <c r="B6" t="s">
        <v>237</v>
      </c>
      <c r="C6" s="188">
        <v>4306.576</v>
      </c>
      <c r="D6">
        <v>116.639</v>
      </c>
      <c r="E6">
        <v>44.3917</v>
      </c>
      <c r="F6" s="188">
        <v>191176.2298</v>
      </c>
      <c r="G6" s="188">
        <v>502314.7181</v>
      </c>
      <c r="H6" s="188">
        <v>311138.48820000002</v>
      </c>
      <c r="I6" s="147">
        <f t="shared" si="0"/>
        <v>1.6274956804279441</v>
      </c>
    </row>
    <row r="7" spans="1:9">
      <c r="A7" s="168" t="s">
        <v>272</v>
      </c>
      <c r="B7" t="s">
        <v>235</v>
      </c>
      <c r="C7" s="188">
        <v>5805.7370000000001</v>
      </c>
      <c r="D7">
        <v>102.98699999999999</v>
      </c>
      <c r="E7">
        <v>41.940399999999997</v>
      </c>
      <c r="F7" s="188">
        <v>243495.1642</v>
      </c>
      <c r="G7" s="188">
        <v>597915.43640000001</v>
      </c>
      <c r="H7" s="188">
        <v>354420.27220000001</v>
      </c>
      <c r="I7" s="147">
        <f t="shared" si="0"/>
        <v>1.4555536384652357</v>
      </c>
    </row>
    <row r="8" spans="1:9">
      <c r="A8" s="168" t="s">
        <v>244</v>
      </c>
      <c r="B8" t="s">
        <v>233</v>
      </c>
      <c r="C8" s="188">
        <v>5841.7389999999996</v>
      </c>
      <c r="D8">
        <v>26.6113</v>
      </c>
      <c r="E8">
        <v>23.964300000000001</v>
      </c>
      <c r="F8" s="188">
        <v>139992.99739999999</v>
      </c>
      <c r="G8" s="188">
        <v>155456.2691</v>
      </c>
      <c r="H8" s="188">
        <v>15463.2716</v>
      </c>
      <c r="I8" s="147">
        <f t="shared" si="0"/>
        <v>0.11045746492459915</v>
      </c>
    </row>
    <row r="9" spans="1:9">
      <c r="A9" s="168" t="s">
        <v>273</v>
      </c>
      <c r="B9" t="s">
        <v>233</v>
      </c>
      <c r="C9" s="188">
        <v>58583.718999999997</v>
      </c>
      <c r="D9">
        <v>11.3939</v>
      </c>
      <c r="E9">
        <v>9.1318000000000001</v>
      </c>
      <c r="F9" s="188">
        <v>534973.24190000002</v>
      </c>
      <c r="G9" s="188">
        <v>667497.03590000002</v>
      </c>
      <c r="H9" s="188">
        <v>132523.79399999999</v>
      </c>
      <c r="I9" s="147">
        <f t="shared" si="0"/>
        <v>0.24772041593955466</v>
      </c>
    </row>
    <row r="10" spans="1:9">
      <c r="A10" s="168" t="s">
        <v>246</v>
      </c>
      <c r="B10" t="s">
        <v>241</v>
      </c>
      <c r="C10" s="188">
        <v>46220.9</v>
      </c>
      <c r="D10">
        <v>12.467000000000001</v>
      </c>
      <c r="E10">
        <v>11.476900000000001</v>
      </c>
      <c r="F10" s="188">
        <v>530473.47840000002</v>
      </c>
      <c r="G10" s="188">
        <v>576235.96030000004</v>
      </c>
      <c r="H10" s="188">
        <v>45762.481899999999</v>
      </c>
      <c r="I10" s="147">
        <f t="shared" si="0"/>
        <v>8.6267238162457391E-2</v>
      </c>
    </row>
    <row r="11" spans="1:9">
      <c r="A11" s="168" t="s">
        <v>247</v>
      </c>
      <c r="B11" t="s">
        <v>241</v>
      </c>
      <c r="C11" s="188">
        <v>8783.1219999999994</v>
      </c>
      <c r="D11">
        <v>10.5596</v>
      </c>
      <c r="E11">
        <v>10.3033</v>
      </c>
      <c r="F11" s="188">
        <v>90495.4712</v>
      </c>
      <c r="G11" s="188">
        <v>92746.255099999995</v>
      </c>
      <c r="H11" s="188">
        <v>2250.7838000000002</v>
      </c>
      <c r="I11" s="147">
        <f t="shared" si="0"/>
        <v>2.4871783860052437E-2</v>
      </c>
    </row>
    <row r="12" spans="1:9">
      <c r="A12" s="168" t="s">
        <v>250</v>
      </c>
      <c r="B12" t="s">
        <v>251</v>
      </c>
      <c r="C12" s="188">
        <v>19397.659</v>
      </c>
      <c r="D12">
        <v>61.323099999999997</v>
      </c>
      <c r="E12">
        <v>44.640599999999999</v>
      </c>
      <c r="F12" s="188">
        <v>865923.00470000005</v>
      </c>
      <c r="G12" s="188">
        <v>1189524.5826000001</v>
      </c>
      <c r="H12" s="188">
        <v>323601.57799999998</v>
      </c>
      <c r="I12" s="147">
        <f t="shared" si="0"/>
        <v>0.37370710356876602</v>
      </c>
    </row>
    <row r="13" spans="1:9">
      <c r="A13" s="168" t="s">
        <v>274</v>
      </c>
      <c r="B13" t="s">
        <v>233</v>
      </c>
      <c r="C13" s="188">
        <v>6809.741</v>
      </c>
      <c r="D13">
        <v>36.29</v>
      </c>
      <c r="E13">
        <v>35.241999999999997</v>
      </c>
      <c r="F13" s="188">
        <v>239988.8371</v>
      </c>
      <c r="G13" s="188">
        <v>247125.50090000001</v>
      </c>
      <c r="H13" s="188">
        <v>7136.6638000000003</v>
      </c>
      <c r="I13" s="147">
        <f t="shared" si="0"/>
        <v>2.9737482318922408E-2</v>
      </c>
    </row>
    <row r="14" spans="1:9">
      <c r="A14" s="168" t="s">
        <v>253</v>
      </c>
      <c r="B14" t="s">
        <v>235</v>
      </c>
      <c r="C14" s="188">
        <v>2450.4349999999999</v>
      </c>
      <c r="D14">
        <v>175.35290000000001</v>
      </c>
      <c r="E14">
        <v>147.05119999999999</v>
      </c>
      <c r="F14" s="188">
        <v>360339.36119999998</v>
      </c>
      <c r="G14" s="188">
        <v>429690.8835</v>
      </c>
      <c r="H14" s="188">
        <v>69351.522299999997</v>
      </c>
      <c r="I14" s="147">
        <f t="shared" si="0"/>
        <v>0.19246168963902799</v>
      </c>
    </row>
    <row r="15" spans="1:9">
      <c r="A15" s="168" t="s">
        <v>255</v>
      </c>
      <c r="B15" t="s">
        <v>241</v>
      </c>
      <c r="C15" s="188">
        <v>18996.168000000001</v>
      </c>
      <c r="D15">
        <v>16.4056</v>
      </c>
      <c r="E15">
        <v>9.4700000000000006</v>
      </c>
      <c r="F15" s="188">
        <v>179893.71100000001</v>
      </c>
      <c r="G15" s="188">
        <v>311643.53370000003</v>
      </c>
      <c r="H15" s="188">
        <v>131749.82279999999</v>
      </c>
      <c r="I15" s="147">
        <f t="shared" si="0"/>
        <v>0.73237592391431616</v>
      </c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211207.26000000004</v>
      </c>
      <c r="D18" s="75"/>
      <c r="E18" s="75"/>
      <c r="F18" s="75">
        <f t="shared" ref="F18:H18" si="1">SUM(F2:F15)</f>
        <v>5391589.4886000007</v>
      </c>
      <c r="G18" s="75">
        <f t="shared" si="1"/>
        <v>7947535.0886000022</v>
      </c>
      <c r="H18" s="75">
        <f t="shared" si="1"/>
        <v>2555945.5999000003</v>
      </c>
      <c r="I18" s="53">
        <f t="shared" si="0"/>
        <v>0.474061611200983</v>
      </c>
    </row>
  </sheetData>
  <hyperlinks>
    <hyperlink ref="A15" r:id="rId1" location="/mf/1831632/36491/NULL" xr:uid="{C3069201-E637-4620-86AA-43F3BFBCF859}"/>
    <hyperlink ref="A14" r:id="rId2" location="/mf/1831632/17375/NULL" xr:uid="{3A138051-39F3-44F4-B9CC-F983C22A945E}"/>
    <hyperlink ref="A13" r:id="rId3" location="/mf/1831632/17348/NULL" xr:uid="{5393E6A3-09FA-4EAC-BCEA-E4580FEEDFD7}"/>
    <hyperlink ref="A12" r:id="rId4" location="/mf/1831632/19701/NULL" xr:uid="{72C947B8-69AD-4831-833F-BBEFB62AC92A}"/>
    <hyperlink ref="A11" r:id="rId5" location="/mf/1831632/41937/NULL" xr:uid="{734D85DF-8201-4DDE-8B51-E12F9967B275}"/>
    <hyperlink ref="A10" r:id="rId6" location="/mf/1831632/41574/NULL" xr:uid="{93D01FC2-3E58-4CFC-A0B3-D79110929E04}"/>
    <hyperlink ref="A9" r:id="rId7" location="/mf/1831632/42135/NULL" xr:uid="{622C8BD9-F331-4BF4-A748-CFA3FF48FACD}"/>
    <hyperlink ref="A8" r:id="rId8" location="/mf/1831632/38228/NULL" xr:uid="{9B1C9AF5-3F81-4E6D-81BE-74F082E04306}"/>
    <hyperlink ref="A7" r:id="rId9" location="/mf/1831632/17134/NULL" xr:uid="{C500D33A-0937-4B73-BE87-4022128C3927}"/>
    <hyperlink ref="A6" r:id="rId10" location="/mf/1831632/16617/NULL" xr:uid="{7A3F334F-C15C-4E58-A5F8-A54E93DFC35D}"/>
    <hyperlink ref="A5" r:id="rId11" location="/mf/1831632/16071/NULL" xr:uid="{032F9D4D-0DCB-45B8-B1A8-F03742240CA5}"/>
    <hyperlink ref="A4" r:id="rId12" location="/mf/1831632/38817/NULL" xr:uid="{6057B362-B848-431B-B1DC-3D4684CE1809}"/>
    <hyperlink ref="A3" r:id="rId13" location="/mf/1831632/22335/NULL" xr:uid="{9677227E-050A-4A48-B44A-B63AE2538698}"/>
    <hyperlink ref="A2" r:id="rId14" location="/mf/1831632/15690/NULL" xr:uid="{579FBDEC-E7F2-4124-83C7-10E1A95C6AFF}"/>
  </hyperlinks>
  <pageMargins left="0.7" right="0.7" top="0.75" bottom="0.75" header="0.3" footer="0.3"/>
  <pageSetup paperSize="9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7E22-F601-4D09-9306-C1D529A73703}">
  <dimension ref="A1:I104"/>
  <sheetViews>
    <sheetView workbookViewId="0">
      <pane xSplit="1" ySplit="1" topLeftCell="B88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49" t="s">
        <v>143</v>
      </c>
      <c r="B2" s="151">
        <v>100</v>
      </c>
      <c r="C2" s="151">
        <v>109.73</v>
      </c>
      <c r="D2" s="151">
        <v>105</v>
      </c>
      <c r="E2" s="151">
        <v>10500</v>
      </c>
      <c r="F2" s="151">
        <v>-472.5</v>
      </c>
      <c r="G2" s="151">
        <f t="shared" ref="G2:G33" si="0">E2-F2</f>
        <v>10972.5</v>
      </c>
      <c r="H2" s="191">
        <f t="shared" ref="H2:H15" si="1">F2/G2</f>
        <v>-4.3062200956937802E-2</v>
      </c>
    </row>
    <row r="3" spans="1:8" ht="15.75">
      <c r="A3" s="149" t="s">
        <v>264</v>
      </c>
      <c r="B3" s="151">
        <v>13</v>
      </c>
      <c r="C3" s="151">
        <v>133.75</v>
      </c>
      <c r="D3" s="151">
        <v>489.95</v>
      </c>
      <c r="E3" s="151">
        <v>6369.35</v>
      </c>
      <c r="F3" s="151">
        <v>4630.6000000000004</v>
      </c>
      <c r="G3" s="151">
        <f t="shared" si="0"/>
        <v>1738.75</v>
      </c>
      <c r="H3" s="191">
        <f t="shared" si="1"/>
        <v>2.6631775700934583</v>
      </c>
    </row>
    <row r="4" spans="1:8" ht="15.75">
      <c r="A4" s="149" t="s">
        <v>144</v>
      </c>
      <c r="B4" s="151">
        <v>34</v>
      </c>
      <c r="C4" s="151">
        <v>1047.74</v>
      </c>
      <c r="D4" s="151">
        <v>1747</v>
      </c>
      <c r="E4" s="151">
        <v>59398</v>
      </c>
      <c r="F4" s="151">
        <v>23774.85</v>
      </c>
      <c r="G4" s="151">
        <f t="shared" si="0"/>
        <v>35623.15</v>
      </c>
      <c r="H4" s="191">
        <f t="shared" si="1"/>
        <v>0.66739886843246587</v>
      </c>
    </row>
    <row r="5" spans="1:8" ht="15.75">
      <c r="A5" s="149" t="s">
        <v>317</v>
      </c>
      <c r="B5" s="151">
        <v>13</v>
      </c>
      <c r="C5" s="151">
        <v>2592.56</v>
      </c>
      <c r="D5" s="151">
        <v>4099</v>
      </c>
      <c r="E5" s="151">
        <v>53287</v>
      </c>
      <c r="F5" s="151">
        <v>19583.75</v>
      </c>
      <c r="G5" s="151">
        <f t="shared" si="0"/>
        <v>33703.25</v>
      </c>
      <c r="H5" s="191">
        <f t="shared" si="1"/>
        <v>0.58106414069859735</v>
      </c>
    </row>
    <row r="6" spans="1:8" ht="15.75">
      <c r="A6" s="149" t="s">
        <v>145</v>
      </c>
      <c r="B6" s="151">
        <v>250</v>
      </c>
      <c r="C6" s="151">
        <v>183.59</v>
      </c>
      <c r="D6" s="151">
        <v>436</v>
      </c>
      <c r="E6" s="151">
        <v>109000</v>
      </c>
      <c r="F6" s="151">
        <v>63102.5</v>
      </c>
      <c r="G6" s="151">
        <f t="shared" si="0"/>
        <v>45897.5</v>
      </c>
      <c r="H6" s="191">
        <f t="shared" si="1"/>
        <v>1.3748570183561195</v>
      </c>
    </row>
    <row r="7" spans="1:8" ht="15.75">
      <c r="A7" s="149" t="s">
        <v>275</v>
      </c>
      <c r="B7" s="151">
        <v>165</v>
      </c>
      <c r="C7" s="151">
        <v>160.15</v>
      </c>
      <c r="D7" s="151">
        <v>182.5</v>
      </c>
      <c r="E7" s="151">
        <v>30112.5</v>
      </c>
      <c r="F7" s="151">
        <v>3687.75</v>
      </c>
      <c r="G7" s="151">
        <f t="shared" si="0"/>
        <v>26424.75</v>
      </c>
      <c r="H7" s="191">
        <f t="shared" si="1"/>
        <v>0.13955666562597566</v>
      </c>
    </row>
    <row r="8" spans="1:8" ht="15.75">
      <c r="A8" s="149" t="s">
        <v>276</v>
      </c>
      <c r="B8" s="151">
        <v>26</v>
      </c>
      <c r="C8" s="151">
        <v>2723.46</v>
      </c>
      <c r="D8" s="151">
        <v>3339.9</v>
      </c>
      <c r="E8" s="151">
        <v>86837.4</v>
      </c>
      <c r="F8" s="151">
        <v>16027.35</v>
      </c>
      <c r="G8" s="151">
        <f t="shared" si="0"/>
        <v>70810.049999999988</v>
      </c>
      <c r="H8" s="191">
        <f t="shared" si="1"/>
        <v>0.22634287082130294</v>
      </c>
    </row>
    <row r="9" spans="1:8" ht="15.75">
      <c r="A9" s="149" t="s">
        <v>277</v>
      </c>
      <c r="B9" s="151">
        <v>72</v>
      </c>
      <c r="C9" s="151">
        <v>578.16999999999996</v>
      </c>
      <c r="D9" s="151">
        <v>738.9</v>
      </c>
      <c r="E9" s="151">
        <v>53200.800000000003</v>
      </c>
      <c r="F9" s="151">
        <v>11572.6</v>
      </c>
      <c r="G9" s="151">
        <f t="shared" si="0"/>
        <v>41628.200000000004</v>
      </c>
      <c r="H9" s="191">
        <f t="shared" si="1"/>
        <v>0.27799904872177994</v>
      </c>
    </row>
    <row r="10" spans="1:8" ht="15.75">
      <c r="A10" s="149" t="s">
        <v>146</v>
      </c>
      <c r="B10" s="151">
        <v>73</v>
      </c>
      <c r="C10" s="151">
        <v>665.52</v>
      </c>
      <c r="D10" s="151">
        <v>952.25</v>
      </c>
      <c r="E10" s="151">
        <v>69514.25</v>
      </c>
      <c r="F10" s="151">
        <v>20931.05</v>
      </c>
      <c r="G10" s="151">
        <f t="shared" si="0"/>
        <v>48583.199999999997</v>
      </c>
      <c r="H10" s="191">
        <f t="shared" si="1"/>
        <v>0.43082896968499401</v>
      </c>
    </row>
    <row r="11" spans="1:8" ht="15.75">
      <c r="A11" s="149" t="s">
        <v>147</v>
      </c>
      <c r="B11" s="151">
        <v>21</v>
      </c>
      <c r="C11" s="151">
        <v>2946.68</v>
      </c>
      <c r="D11" s="151">
        <v>4712</v>
      </c>
      <c r="E11" s="151">
        <v>98952</v>
      </c>
      <c r="F11" s="151">
        <v>37071.75</v>
      </c>
      <c r="G11" s="151">
        <f t="shared" si="0"/>
        <v>61880.25</v>
      </c>
      <c r="H11" s="191">
        <f t="shared" si="1"/>
        <v>0.59908856218260265</v>
      </c>
    </row>
    <row r="12" spans="1:8" ht="15.75">
      <c r="A12" s="149" t="s">
        <v>148</v>
      </c>
      <c r="B12" s="151">
        <v>7</v>
      </c>
      <c r="C12" s="151">
        <v>6695.89</v>
      </c>
      <c r="D12" s="151">
        <v>7148.7</v>
      </c>
      <c r="E12" s="151">
        <v>50040.9</v>
      </c>
      <c r="F12" s="151">
        <v>3169.65</v>
      </c>
      <c r="G12" s="151">
        <f t="shared" si="0"/>
        <v>46871.25</v>
      </c>
      <c r="H12" s="191">
        <f t="shared" si="1"/>
        <v>6.7624609968797503E-2</v>
      </c>
    </row>
    <row r="13" spans="1:8" ht="15.75">
      <c r="A13" s="149" t="s">
        <v>149</v>
      </c>
      <c r="B13" s="151">
        <v>16</v>
      </c>
      <c r="C13" s="151">
        <v>2060.92</v>
      </c>
      <c r="D13" s="151">
        <v>2482.5500000000002</v>
      </c>
      <c r="E13" s="151">
        <v>39720.800000000003</v>
      </c>
      <c r="F13" s="151">
        <v>6746.15</v>
      </c>
      <c r="G13" s="151">
        <f t="shared" si="0"/>
        <v>32974.65</v>
      </c>
      <c r="H13" s="191">
        <f t="shared" si="1"/>
        <v>0.20458594708359298</v>
      </c>
    </row>
    <row r="14" spans="1:8" ht="15.75">
      <c r="A14" s="149" t="s">
        <v>150</v>
      </c>
      <c r="B14" s="151">
        <v>184</v>
      </c>
      <c r="C14" s="151">
        <v>185</v>
      </c>
      <c r="D14" s="151">
        <v>191.45</v>
      </c>
      <c r="E14" s="151">
        <v>35226.800000000003</v>
      </c>
      <c r="F14" s="151">
        <v>1186.8</v>
      </c>
      <c r="G14" s="151">
        <f t="shared" si="0"/>
        <v>34040</v>
      </c>
      <c r="H14" s="191">
        <f t="shared" si="1"/>
        <v>3.4864864864864863E-2</v>
      </c>
    </row>
    <row r="15" spans="1:8" ht="15.75">
      <c r="A15" s="149" t="s">
        <v>152</v>
      </c>
      <c r="B15" s="151">
        <v>180</v>
      </c>
      <c r="C15" s="151">
        <v>322.89</v>
      </c>
      <c r="D15" s="151">
        <v>889.6</v>
      </c>
      <c r="E15" s="151">
        <v>160128</v>
      </c>
      <c r="F15" s="151">
        <v>102008</v>
      </c>
      <c r="G15" s="151">
        <f t="shared" si="0"/>
        <v>58120</v>
      </c>
      <c r="H15" s="191">
        <f t="shared" si="1"/>
        <v>1.7551273227804542</v>
      </c>
    </row>
    <row r="16" spans="1:8" ht="15.75">
      <c r="A16" s="149" t="s">
        <v>153</v>
      </c>
      <c r="B16" s="151">
        <v>61</v>
      </c>
      <c r="C16" s="151">
        <v>427.78</v>
      </c>
      <c r="D16" s="151">
        <v>597.29999999999995</v>
      </c>
      <c r="E16" s="151">
        <v>36435.300000000003</v>
      </c>
      <c r="F16" s="151">
        <v>10340.700000000001</v>
      </c>
      <c r="G16" s="151">
        <f t="shared" si="0"/>
        <v>26094.600000000002</v>
      </c>
      <c r="H16" s="191">
        <v>0</v>
      </c>
    </row>
    <row r="17" spans="1:8" ht="15.75">
      <c r="A17" s="149" t="s">
        <v>154</v>
      </c>
      <c r="B17" s="151">
        <v>14</v>
      </c>
      <c r="C17" s="151">
        <v>3489.94</v>
      </c>
      <c r="D17" s="151">
        <v>4798.5</v>
      </c>
      <c r="E17" s="151">
        <v>67179</v>
      </c>
      <c r="F17" s="151">
        <v>18319.900000000001</v>
      </c>
      <c r="G17" s="151">
        <f t="shared" si="0"/>
        <v>48859.1</v>
      </c>
      <c r="H17" s="191">
        <f>F17/G17</f>
        <v>0.37495369337544082</v>
      </c>
    </row>
    <row r="18" spans="1:8" ht="15.75">
      <c r="A18" s="149" t="s">
        <v>304</v>
      </c>
      <c r="B18" s="151">
        <v>6</v>
      </c>
      <c r="C18" s="151">
        <v>0</v>
      </c>
      <c r="D18" s="151">
        <v>28.44</v>
      </c>
      <c r="E18" s="151">
        <v>170.64</v>
      </c>
      <c r="F18" s="151">
        <v>170.64</v>
      </c>
      <c r="G18" s="151">
        <f t="shared" si="0"/>
        <v>0</v>
      </c>
      <c r="H18" s="191">
        <v>0</v>
      </c>
    </row>
    <row r="19" spans="1:8" ht="15.75">
      <c r="A19" s="149" t="s">
        <v>155</v>
      </c>
      <c r="B19" s="151">
        <v>180</v>
      </c>
      <c r="C19" s="151">
        <v>155.25</v>
      </c>
      <c r="D19" s="151">
        <v>151.94999999999999</v>
      </c>
      <c r="E19" s="151">
        <v>27351</v>
      </c>
      <c r="F19" s="151">
        <v>-594</v>
      </c>
      <c r="G19" s="151">
        <f t="shared" si="0"/>
        <v>27945</v>
      </c>
      <c r="H19" s="191">
        <f t="shared" ref="H19:H50" si="2">F19/G19</f>
        <v>-2.1256038647342997E-2</v>
      </c>
    </row>
    <row r="20" spans="1:8" ht="15.75">
      <c r="A20" s="149" t="s">
        <v>156</v>
      </c>
      <c r="B20" s="151">
        <v>47</v>
      </c>
      <c r="C20" s="151">
        <v>193.53</v>
      </c>
      <c r="D20" s="151">
        <v>495.85</v>
      </c>
      <c r="E20" s="151">
        <v>23304.95</v>
      </c>
      <c r="F20" s="151">
        <v>14209.05</v>
      </c>
      <c r="G20" s="151">
        <f t="shared" si="0"/>
        <v>9095.9000000000015</v>
      </c>
      <c r="H20" s="191">
        <f t="shared" si="2"/>
        <v>1.5621378863004207</v>
      </c>
    </row>
    <row r="21" spans="1:8" ht="15.75">
      <c r="A21" s="149" t="s">
        <v>157</v>
      </c>
      <c r="B21" s="151">
        <v>35</v>
      </c>
      <c r="C21" s="151">
        <v>827.34</v>
      </c>
      <c r="D21" s="151">
        <v>1209.75</v>
      </c>
      <c r="E21" s="151">
        <v>42341.25</v>
      </c>
      <c r="F21" s="151">
        <v>13384.4</v>
      </c>
      <c r="G21" s="151">
        <f t="shared" si="0"/>
        <v>28956.85</v>
      </c>
      <c r="H21" s="191">
        <f t="shared" si="2"/>
        <v>0.46221878415642587</v>
      </c>
    </row>
    <row r="22" spans="1:8" ht="15.75">
      <c r="A22" s="149" t="s">
        <v>158</v>
      </c>
      <c r="B22" s="151">
        <v>470</v>
      </c>
      <c r="C22" s="151">
        <v>194.39</v>
      </c>
      <c r="D22" s="151">
        <v>233.75</v>
      </c>
      <c r="E22" s="151">
        <v>109862.5</v>
      </c>
      <c r="F22" s="151">
        <v>18499</v>
      </c>
      <c r="G22" s="151">
        <f t="shared" si="0"/>
        <v>91363.5</v>
      </c>
      <c r="H22" s="191">
        <f t="shared" si="2"/>
        <v>0.20247691911977977</v>
      </c>
    </row>
    <row r="23" spans="1:8" ht="15.75">
      <c r="A23" s="149" t="s">
        <v>159</v>
      </c>
      <c r="B23" s="151">
        <v>10</v>
      </c>
      <c r="C23" s="151">
        <v>4083.04</v>
      </c>
      <c r="D23" s="151">
        <v>4888.1499999999996</v>
      </c>
      <c r="E23" s="151">
        <v>48881.5</v>
      </c>
      <c r="F23" s="151">
        <v>8051.1</v>
      </c>
      <c r="G23" s="151">
        <f t="shared" si="0"/>
        <v>40830.400000000001</v>
      </c>
      <c r="H23" s="191">
        <f t="shared" si="2"/>
        <v>0.19718396097025745</v>
      </c>
    </row>
    <row r="24" spans="1:8" ht="15.75">
      <c r="A24" s="149" t="s">
        <v>160</v>
      </c>
      <c r="B24" s="151">
        <v>35</v>
      </c>
      <c r="C24" s="151">
        <v>1545.44</v>
      </c>
      <c r="D24" s="151">
        <v>1995.45</v>
      </c>
      <c r="E24" s="151">
        <v>69840.75</v>
      </c>
      <c r="F24" s="151">
        <v>15750.25</v>
      </c>
      <c r="G24" s="151">
        <f t="shared" si="0"/>
        <v>54090.5</v>
      </c>
      <c r="H24" s="191">
        <f t="shared" si="2"/>
        <v>0.29118329466357307</v>
      </c>
    </row>
    <row r="25" spans="1:8" ht="15.75">
      <c r="A25" s="149" t="s">
        <v>279</v>
      </c>
      <c r="B25" s="151">
        <v>72</v>
      </c>
      <c r="C25" s="151">
        <v>559.89</v>
      </c>
      <c r="D25" s="151">
        <v>569.70000000000005</v>
      </c>
      <c r="E25" s="151">
        <v>41018.400000000001</v>
      </c>
      <c r="F25" s="151">
        <v>706.35</v>
      </c>
      <c r="G25" s="151">
        <f t="shared" si="0"/>
        <v>40312.050000000003</v>
      </c>
      <c r="H25" s="191">
        <f t="shared" si="2"/>
        <v>1.7522056060160669E-2</v>
      </c>
    </row>
    <row r="26" spans="1:8" ht="15.75">
      <c r="A26" s="149" t="s">
        <v>161</v>
      </c>
      <c r="B26" s="151">
        <v>55</v>
      </c>
      <c r="C26" s="151">
        <v>325.14</v>
      </c>
      <c r="D26" s="151">
        <v>489.65</v>
      </c>
      <c r="E26" s="151">
        <v>26930.75</v>
      </c>
      <c r="F26" s="151">
        <v>9047.85</v>
      </c>
      <c r="G26" s="151">
        <f t="shared" si="0"/>
        <v>17882.900000000001</v>
      </c>
      <c r="H26" s="191">
        <f t="shared" si="2"/>
        <v>0.50594981798254191</v>
      </c>
    </row>
    <row r="27" spans="1:8" ht="15.75">
      <c r="A27" s="149" t="s">
        <v>162</v>
      </c>
      <c r="B27" s="151">
        <v>12</v>
      </c>
      <c r="C27" s="151">
        <v>3205.4</v>
      </c>
      <c r="D27" s="151">
        <v>3652.4</v>
      </c>
      <c r="E27" s="151">
        <v>43828.800000000003</v>
      </c>
      <c r="F27" s="151">
        <v>5364.05</v>
      </c>
      <c r="G27" s="151">
        <f t="shared" si="0"/>
        <v>38464.75</v>
      </c>
      <c r="H27" s="191">
        <f t="shared" si="2"/>
        <v>0.13945365561975576</v>
      </c>
    </row>
    <row r="28" spans="1:8" ht="15.75">
      <c r="A28" s="149" t="s">
        <v>163</v>
      </c>
      <c r="B28" s="151">
        <v>9</v>
      </c>
      <c r="C28" s="151">
        <v>4442.55</v>
      </c>
      <c r="D28" s="151">
        <v>5649.55</v>
      </c>
      <c r="E28" s="151">
        <v>50845.95</v>
      </c>
      <c r="F28" s="151">
        <v>10863</v>
      </c>
      <c r="G28" s="151">
        <f t="shared" si="0"/>
        <v>39982.949999999997</v>
      </c>
      <c r="H28" s="191">
        <f t="shared" si="2"/>
        <v>0.27169080820699826</v>
      </c>
    </row>
    <row r="29" spans="1:8" ht="15.75">
      <c r="A29" s="149" t="s">
        <v>164</v>
      </c>
      <c r="B29" s="151">
        <v>8</v>
      </c>
      <c r="C29" s="151">
        <v>2511.94</v>
      </c>
      <c r="D29" s="151">
        <v>3359.8</v>
      </c>
      <c r="E29" s="151">
        <v>26878.400000000001</v>
      </c>
      <c r="F29" s="151">
        <v>6782.9</v>
      </c>
      <c r="G29" s="151">
        <f t="shared" si="0"/>
        <v>20095.5</v>
      </c>
      <c r="H29" s="191">
        <f t="shared" si="2"/>
        <v>0.33753327859471022</v>
      </c>
    </row>
    <row r="30" spans="1:8" ht="15.75">
      <c r="A30" s="149" t="s">
        <v>270</v>
      </c>
      <c r="B30" s="151">
        <v>61</v>
      </c>
      <c r="C30" s="151">
        <v>360.97</v>
      </c>
      <c r="D30" s="151">
        <v>304.29000000000002</v>
      </c>
      <c r="E30" s="151">
        <v>18561.689999999999</v>
      </c>
      <c r="F30" s="151">
        <v>-3457.48</v>
      </c>
      <c r="G30" s="151">
        <f t="shared" si="0"/>
        <v>22019.17</v>
      </c>
      <c r="H30" s="191">
        <f t="shared" si="2"/>
        <v>-0.15702135911571599</v>
      </c>
    </row>
    <row r="31" spans="1:8" ht="15.75">
      <c r="A31" s="149" t="s">
        <v>166</v>
      </c>
      <c r="B31" s="151">
        <v>23</v>
      </c>
      <c r="C31" s="151">
        <v>1408.96</v>
      </c>
      <c r="D31" s="151">
        <v>1680.85</v>
      </c>
      <c r="E31" s="151">
        <v>38659.550000000003</v>
      </c>
      <c r="F31" s="151">
        <v>6253.55</v>
      </c>
      <c r="G31" s="151">
        <f t="shared" si="0"/>
        <v>32406.000000000004</v>
      </c>
      <c r="H31" s="191">
        <f t="shared" si="2"/>
        <v>0.19297506634573844</v>
      </c>
    </row>
    <row r="32" spans="1:8" ht="15.75">
      <c r="A32" s="149" t="s">
        <v>168</v>
      </c>
      <c r="B32" s="151">
        <v>80</v>
      </c>
      <c r="C32" s="151">
        <v>685.74</v>
      </c>
      <c r="D32" s="151">
        <v>800.55</v>
      </c>
      <c r="E32" s="151">
        <v>64044</v>
      </c>
      <c r="F32" s="151">
        <v>9185</v>
      </c>
      <c r="G32" s="151">
        <f t="shared" si="0"/>
        <v>54859</v>
      </c>
      <c r="H32" s="191">
        <f t="shared" si="2"/>
        <v>0.16742922765635537</v>
      </c>
    </row>
    <row r="33" spans="1:8" ht="15.75">
      <c r="A33" s="149" t="s">
        <v>169</v>
      </c>
      <c r="B33" s="151">
        <v>306</v>
      </c>
      <c r="C33" s="151">
        <v>184.89</v>
      </c>
      <c r="D33" s="151">
        <v>256.7</v>
      </c>
      <c r="E33" s="151">
        <v>78550.2</v>
      </c>
      <c r="F33" s="151">
        <v>21974.45</v>
      </c>
      <c r="G33" s="151">
        <f t="shared" si="0"/>
        <v>56575.75</v>
      </c>
      <c r="H33" s="191">
        <f t="shared" si="2"/>
        <v>0.38840757745146992</v>
      </c>
    </row>
    <row r="34" spans="1:8" ht="15.75">
      <c r="A34" s="149" t="s">
        <v>170</v>
      </c>
      <c r="B34" s="151">
        <v>387</v>
      </c>
      <c r="C34" s="151">
        <v>82.58</v>
      </c>
      <c r="D34" s="151">
        <v>134.6</v>
      </c>
      <c r="E34" s="151">
        <v>52090.2</v>
      </c>
      <c r="F34" s="151">
        <v>20130.400000000001</v>
      </c>
      <c r="G34" s="151">
        <f t="shared" ref="G34:G65" si="3">E34-F34</f>
        <v>31959.799999999996</v>
      </c>
      <c r="H34" s="191">
        <f t="shared" si="2"/>
        <v>0.62986626950106084</v>
      </c>
    </row>
    <row r="35" spans="1:8" ht="15.75">
      <c r="A35" s="149" t="s">
        <v>312</v>
      </c>
      <c r="B35" s="151">
        <v>57</v>
      </c>
      <c r="C35" s="151">
        <v>217.68</v>
      </c>
      <c r="D35" s="151">
        <v>76.599999999999994</v>
      </c>
      <c r="E35" s="151">
        <v>4366.2</v>
      </c>
      <c r="F35" s="151">
        <v>-8041.5</v>
      </c>
      <c r="G35" s="151">
        <f t="shared" si="3"/>
        <v>12407.7</v>
      </c>
      <c r="H35" s="191">
        <f t="shared" si="2"/>
        <v>-0.64810561183781035</v>
      </c>
    </row>
    <row r="36" spans="1:8" ht="15.75">
      <c r="A36" s="149" t="s">
        <v>172</v>
      </c>
      <c r="B36" s="151">
        <v>18</v>
      </c>
      <c r="C36" s="151">
        <v>1556.41</v>
      </c>
      <c r="D36" s="151">
        <v>1536.7</v>
      </c>
      <c r="E36" s="151">
        <v>27660.6</v>
      </c>
      <c r="F36" s="151">
        <v>-354.75</v>
      </c>
      <c r="G36" s="151">
        <f t="shared" si="3"/>
        <v>28015.35</v>
      </c>
      <c r="H36" s="191">
        <f t="shared" si="2"/>
        <v>-1.2662700983567938E-2</v>
      </c>
    </row>
    <row r="37" spans="1:8" ht="15.75">
      <c r="A37" s="149" t="s">
        <v>173</v>
      </c>
      <c r="B37" s="151">
        <v>33</v>
      </c>
      <c r="C37" s="151">
        <v>41.65</v>
      </c>
      <c r="D37" s="151">
        <v>50.5</v>
      </c>
      <c r="E37" s="151">
        <v>1666.5</v>
      </c>
      <c r="F37" s="151">
        <v>291.98</v>
      </c>
      <c r="G37" s="151">
        <f t="shared" si="3"/>
        <v>1374.52</v>
      </c>
      <c r="H37" s="191">
        <f t="shared" si="2"/>
        <v>0.21242324593312575</v>
      </c>
    </row>
    <row r="38" spans="1:8" ht="15.75">
      <c r="A38" s="149" t="s">
        <v>281</v>
      </c>
      <c r="B38" s="151">
        <v>77</v>
      </c>
      <c r="C38" s="151">
        <v>285.64999999999998</v>
      </c>
      <c r="D38" s="151">
        <v>318.3</v>
      </c>
      <c r="E38" s="151">
        <v>24509.1</v>
      </c>
      <c r="F38" s="151">
        <v>2514.15</v>
      </c>
      <c r="G38" s="151">
        <f t="shared" si="3"/>
        <v>21994.949999999997</v>
      </c>
      <c r="H38" s="191">
        <f t="shared" si="2"/>
        <v>0.11430578382765137</v>
      </c>
    </row>
    <row r="39" spans="1:8" ht="15.75">
      <c r="A39" s="149" t="s">
        <v>174</v>
      </c>
      <c r="B39" s="151">
        <v>65</v>
      </c>
      <c r="C39" s="151">
        <v>1064.92</v>
      </c>
      <c r="D39" s="151">
        <v>1144.3499999999999</v>
      </c>
      <c r="E39" s="151">
        <v>74382.75</v>
      </c>
      <c r="F39" s="151">
        <v>5162.75</v>
      </c>
      <c r="G39" s="151">
        <f t="shared" si="3"/>
        <v>69220</v>
      </c>
      <c r="H39" s="191">
        <f t="shared" si="2"/>
        <v>7.4584657613406533E-2</v>
      </c>
    </row>
    <row r="40" spans="1:8" ht="15.75">
      <c r="A40" s="149" t="s">
        <v>175</v>
      </c>
      <c r="B40" s="151">
        <v>37</v>
      </c>
      <c r="C40" s="151">
        <v>1495.82</v>
      </c>
      <c r="D40" s="151">
        <v>1652.8</v>
      </c>
      <c r="E40" s="151">
        <v>61153.599999999999</v>
      </c>
      <c r="F40" s="151">
        <v>5808.2</v>
      </c>
      <c r="G40" s="151">
        <f t="shared" si="3"/>
        <v>55345.4</v>
      </c>
      <c r="H40" s="191">
        <f t="shared" si="2"/>
        <v>0.10494458437376909</v>
      </c>
    </row>
    <row r="41" spans="1:8" ht="15.75">
      <c r="A41" s="149" t="s">
        <v>176</v>
      </c>
      <c r="B41" s="151">
        <v>130</v>
      </c>
      <c r="C41" s="151">
        <v>589.1</v>
      </c>
      <c r="D41" s="151">
        <v>642.20000000000005</v>
      </c>
      <c r="E41" s="151">
        <v>83486</v>
      </c>
      <c r="F41" s="151">
        <v>6903.15</v>
      </c>
      <c r="G41" s="151">
        <f t="shared" si="3"/>
        <v>76582.850000000006</v>
      </c>
      <c r="H41" s="191">
        <f t="shared" si="2"/>
        <v>9.0139633090176183E-2</v>
      </c>
    </row>
    <row r="42" spans="1:8" ht="15.75">
      <c r="A42" s="149" t="s">
        <v>177</v>
      </c>
      <c r="B42" s="151">
        <v>8</v>
      </c>
      <c r="C42" s="151">
        <v>2664.38</v>
      </c>
      <c r="D42" s="151">
        <v>2944.7</v>
      </c>
      <c r="E42" s="151">
        <v>23557.599999999999</v>
      </c>
      <c r="F42" s="151">
        <v>2242.6</v>
      </c>
      <c r="G42" s="151">
        <f t="shared" si="3"/>
        <v>21315</v>
      </c>
      <c r="H42" s="191">
        <f t="shared" si="2"/>
        <v>0.10521229181327703</v>
      </c>
    </row>
    <row r="43" spans="1:8" ht="15.75">
      <c r="A43" s="149" t="s">
        <v>282</v>
      </c>
      <c r="B43" s="151">
        <v>19</v>
      </c>
      <c r="C43" s="151">
        <v>2270.19</v>
      </c>
      <c r="D43" s="151">
        <v>2546.4</v>
      </c>
      <c r="E43" s="151">
        <v>48381.599999999999</v>
      </c>
      <c r="F43" s="151">
        <v>5248.05</v>
      </c>
      <c r="G43" s="151">
        <f t="shared" si="3"/>
        <v>43133.549999999996</v>
      </c>
      <c r="H43" s="191">
        <f t="shared" si="2"/>
        <v>0.12166979068497726</v>
      </c>
    </row>
    <row r="44" spans="1:8" ht="15.75">
      <c r="A44" s="149" t="s">
        <v>178</v>
      </c>
      <c r="B44" s="151">
        <v>73</v>
      </c>
      <c r="C44" s="151">
        <v>589.26</v>
      </c>
      <c r="D44" s="151">
        <v>970.75</v>
      </c>
      <c r="E44" s="151">
        <v>70864.75</v>
      </c>
      <c r="F44" s="151">
        <v>27849.1</v>
      </c>
      <c r="G44" s="151">
        <f t="shared" si="3"/>
        <v>43015.65</v>
      </c>
      <c r="H44" s="191">
        <f t="shared" si="2"/>
        <v>0.64741785838409971</v>
      </c>
    </row>
    <row r="45" spans="1:8" ht="15.75">
      <c r="A45" s="149" t="s">
        <v>179</v>
      </c>
      <c r="B45" s="151">
        <v>81</v>
      </c>
      <c r="C45" s="151">
        <v>1275.45</v>
      </c>
      <c r="D45" s="151">
        <v>1360.6</v>
      </c>
      <c r="E45" s="151">
        <v>110208.6</v>
      </c>
      <c r="F45" s="151">
        <v>6897.3</v>
      </c>
      <c r="G45" s="151">
        <f t="shared" si="3"/>
        <v>103311.3</v>
      </c>
      <c r="H45" s="191">
        <f t="shared" si="2"/>
        <v>6.6762299961378863E-2</v>
      </c>
    </row>
    <row r="46" spans="1:8" ht="15.75">
      <c r="A46" s="149" t="s">
        <v>180</v>
      </c>
      <c r="B46" s="151">
        <v>153</v>
      </c>
      <c r="C46" s="151">
        <v>490.27</v>
      </c>
      <c r="D46" s="151">
        <v>579</v>
      </c>
      <c r="E46" s="151">
        <v>88587</v>
      </c>
      <c r="F46" s="151">
        <v>13575.55</v>
      </c>
      <c r="G46" s="151">
        <f t="shared" si="3"/>
        <v>75011.45</v>
      </c>
      <c r="H46" s="191">
        <f t="shared" si="2"/>
        <v>0.18097970376522518</v>
      </c>
    </row>
    <row r="47" spans="1:8" ht="15.75">
      <c r="A47" s="149" t="s">
        <v>284</v>
      </c>
      <c r="B47" s="151">
        <v>40</v>
      </c>
      <c r="C47" s="151">
        <v>942.87</v>
      </c>
      <c r="D47" s="151">
        <v>1409.6</v>
      </c>
      <c r="E47" s="151">
        <v>56384</v>
      </c>
      <c r="F47" s="151">
        <v>18669.349999999999</v>
      </c>
      <c r="G47" s="151">
        <f t="shared" si="3"/>
        <v>37714.65</v>
      </c>
      <c r="H47" s="191">
        <f t="shared" si="2"/>
        <v>0.49501586253617619</v>
      </c>
    </row>
    <row r="48" spans="1:8" ht="15.75">
      <c r="A48" s="149" t="s">
        <v>181</v>
      </c>
      <c r="B48" s="151">
        <v>51</v>
      </c>
      <c r="C48" s="151">
        <v>1526.23</v>
      </c>
      <c r="D48" s="151">
        <v>1378.4</v>
      </c>
      <c r="E48" s="151">
        <v>70298.399999999994</v>
      </c>
      <c r="F48" s="151">
        <v>-7539.15</v>
      </c>
      <c r="G48" s="151">
        <f t="shared" si="3"/>
        <v>77837.549999999988</v>
      </c>
      <c r="H48" s="191">
        <f t="shared" si="2"/>
        <v>-9.6857493587606508E-2</v>
      </c>
    </row>
    <row r="49" spans="1:8" ht="15.75">
      <c r="A49" s="149" t="s">
        <v>182</v>
      </c>
      <c r="B49" s="151">
        <v>770</v>
      </c>
      <c r="C49" s="151">
        <v>227.34</v>
      </c>
      <c r="D49" s="151">
        <v>454.95</v>
      </c>
      <c r="E49" s="151">
        <v>350311.5</v>
      </c>
      <c r="F49" s="151">
        <v>175257.15</v>
      </c>
      <c r="G49" s="151">
        <f t="shared" si="3"/>
        <v>175054.35</v>
      </c>
      <c r="H49" s="191">
        <f t="shared" si="2"/>
        <v>1.0011584973466812</v>
      </c>
    </row>
    <row r="50" spans="1:8" ht="15.75">
      <c r="A50" s="149" t="s">
        <v>183</v>
      </c>
      <c r="B50" s="151">
        <v>17</v>
      </c>
      <c r="C50" s="151">
        <v>1141.79</v>
      </c>
      <c r="D50" s="151">
        <v>2644.9</v>
      </c>
      <c r="E50" s="151">
        <v>44963.3</v>
      </c>
      <c r="F50" s="151">
        <v>25552.9</v>
      </c>
      <c r="G50" s="151">
        <f t="shared" si="3"/>
        <v>19410.400000000001</v>
      </c>
      <c r="H50" s="191">
        <f t="shared" si="2"/>
        <v>1.3164540658616</v>
      </c>
    </row>
    <row r="51" spans="1:8" ht="15.75">
      <c r="A51" s="149" t="s">
        <v>313</v>
      </c>
      <c r="B51" s="151">
        <v>4</v>
      </c>
      <c r="C51" s="151">
        <v>396.21</v>
      </c>
      <c r="D51" s="151">
        <v>475.14</v>
      </c>
      <c r="E51" s="151">
        <v>1900.56</v>
      </c>
      <c r="F51" s="151">
        <v>315.72000000000003</v>
      </c>
      <c r="G51" s="151">
        <f t="shared" si="3"/>
        <v>1584.84</v>
      </c>
      <c r="H51" s="191">
        <f t="shared" ref="H51:H82" si="4">F51/G51</f>
        <v>0.19921253880517911</v>
      </c>
    </row>
    <row r="52" spans="1:8" ht="15.75">
      <c r="A52" s="149" t="s">
        <v>184</v>
      </c>
      <c r="B52" s="151">
        <v>341</v>
      </c>
      <c r="C52" s="151">
        <v>112.02</v>
      </c>
      <c r="D52" s="151">
        <v>124.75</v>
      </c>
      <c r="E52" s="151">
        <v>42539.75</v>
      </c>
      <c r="F52" s="151">
        <v>4341</v>
      </c>
      <c r="G52" s="151">
        <f t="shared" si="3"/>
        <v>38198.75</v>
      </c>
      <c r="H52" s="191">
        <f t="shared" si="4"/>
        <v>0.11364246212245165</v>
      </c>
    </row>
    <row r="53" spans="1:8" ht="15.75">
      <c r="A53" s="149" t="s">
        <v>185</v>
      </c>
      <c r="B53" s="151">
        <v>38</v>
      </c>
      <c r="C53" s="151">
        <v>1711.28</v>
      </c>
      <c r="D53" s="151">
        <v>1839.25</v>
      </c>
      <c r="E53" s="151">
        <v>69891.5</v>
      </c>
      <c r="F53" s="151">
        <v>4862.7</v>
      </c>
      <c r="G53" s="151">
        <f t="shared" si="3"/>
        <v>65028.800000000003</v>
      </c>
      <c r="H53" s="191">
        <f t="shared" si="4"/>
        <v>7.4777636985458751E-2</v>
      </c>
    </row>
    <row r="54" spans="1:8" ht="15.75">
      <c r="A54" s="149" t="s">
        <v>186</v>
      </c>
      <c r="B54" s="151">
        <v>56</v>
      </c>
      <c r="C54" s="151">
        <v>577.29999999999995</v>
      </c>
      <c r="D54" s="151">
        <v>1146.45</v>
      </c>
      <c r="E54" s="151">
        <v>64201.2</v>
      </c>
      <c r="F54" s="151">
        <v>31872.45</v>
      </c>
      <c r="G54" s="151">
        <f t="shared" si="3"/>
        <v>32328.749999999996</v>
      </c>
      <c r="H54" s="191">
        <f t="shared" si="4"/>
        <v>0.98588562811738789</v>
      </c>
    </row>
    <row r="55" spans="1:8" ht="15.75">
      <c r="A55" s="149" t="s">
        <v>187</v>
      </c>
      <c r="B55" s="151">
        <v>18</v>
      </c>
      <c r="C55" s="151">
        <v>2304.23</v>
      </c>
      <c r="D55" s="151">
        <v>2349.9499999999998</v>
      </c>
      <c r="E55" s="151">
        <v>42299.1</v>
      </c>
      <c r="F55" s="151">
        <v>823</v>
      </c>
      <c r="G55" s="151">
        <f t="shared" si="3"/>
        <v>41476.1</v>
      </c>
      <c r="H55" s="191">
        <f t="shared" si="4"/>
        <v>1.9842752814271353E-2</v>
      </c>
    </row>
    <row r="56" spans="1:8" ht="15.75">
      <c r="A56" s="149" t="s">
        <v>314</v>
      </c>
      <c r="B56" s="151">
        <v>1</v>
      </c>
      <c r="C56" s="151">
        <v>889.46</v>
      </c>
      <c r="D56" s="151">
        <v>1000.01</v>
      </c>
      <c r="E56" s="151">
        <v>1000.01</v>
      </c>
      <c r="F56" s="151">
        <v>110.55</v>
      </c>
      <c r="G56" s="151">
        <f t="shared" si="3"/>
        <v>889.46</v>
      </c>
      <c r="H56" s="191">
        <f t="shared" si="4"/>
        <v>0.1242888943853574</v>
      </c>
    </row>
    <row r="57" spans="1:8" ht="15.75">
      <c r="A57" s="149" t="s">
        <v>188</v>
      </c>
      <c r="B57" s="151">
        <v>62</v>
      </c>
      <c r="C57" s="151">
        <v>1053.22</v>
      </c>
      <c r="D57" s="151">
        <v>2626.9</v>
      </c>
      <c r="E57" s="151">
        <v>162867.79999999999</v>
      </c>
      <c r="F57" s="151">
        <v>97568.45</v>
      </c>
      <c r="G57" s="151">
        <f t="shared" si="3"/>
        <v>65299.349999999991</v>
      </c>
      <c r="H57" s="191">
        <f t="shared" si="4"/>
        <v>1.49417184091419</v>
      </c>
    </row>
    <row r="58" spans="1:8" ht="15.75">
      <c r="A58" s="149" t="s">
        <v>286</v>
      </c>
      <c r="B58" s="151">
        <v>14</v>
      </c>
      <c r="C58" s="151">
        <v>4653.7</v>
      </c>
      <c r="D58" s="151">
        <v>4933.8500000000004</v>
      </c>
      <c r="E58" s="151">
        <v>69073.899999999994</v>
      </c>
      <c r="F58" s="151">
        <v>3922.07</v>
      </c>
      <c r="G58" s="151">
        <f t="shared" si="3"/>
        <v>65151.829999999994</v>
      </c>
      <c r="H58" s="191">
        <f t="shared" si="4"/>
        <v>6.0198923038692856E-2</v>
      </c>
    </row>
    <row r="59" spans="1:8" ht="15.75">
      <c r="A59" s="149" t="s">
        <v>189</v>
      </c>
      <c r="B59" s="151">
        <v>15</v>
      </c>
      <c r="C59" s="151">
        <v>810.29</v>
      </c>
      <c r="D59" s="151">
        <v>1465.05</v>
      </c>
      <c r="E59" s="151">
        <v>21975.75</v>
      </c>
      <c r="F59" s="151">
        <v>9821.4500000000007</v>
      </c>
      <c r="G59" s="151">
        <f t="shared" si="3"/>
        <v>12154.3</v>
      </c>
      <c r="H59" s="191">
        <f t="shared" si="4"/>
        <v>0.80806381280699024</v>
      </c>
    </row>
    <row r="60" spans="1:8" ht="15.75">
      <c r="A60" s="149" t="s">
        <v>191</v>
      </c>
      <c r="B60" s="151">
        <v>72</v>
      </c>
      <c r="C60" s="151">
        <v>468.01</v>
      </c>
      <c r="D60" s="151">
        <v>576.20000000000005</v>
      </c>
      <c r="E60" s="151">
        <v>41486.400000000001</v>
      </c>
      <c r="F60" s="151">
        <v>7789.8</v>
      </c>
      <c r="G60" s="151">
        <f t="shared" si="3"/>
        <v>33696.6</v>
      </c>
      <c r="H60" s="191">
        <f t="shared" si="4"/>
        <v>0.23117465857089442</v>
      </c>
    </row>
    <row r="61" spans="1:8" ht="15.75">
      <c r="A61" s="149" t="s">
        <v>192</v>
      </c>
      <c r="B61" s="151">
        <v>109</v>
      </c>
      <c r="C61" s="151">
        <v>737.26</v>
      </c>
      <c r="D61" s="151">
        <v>771.1</v>
      </c>
      <c r="E61" s="151">
        <v>84049.9</v>
      </c>
      <c r="F61" s="151">
        <v>3688.25</v>
      </c>
      <c r="G61" s="151">
        <f t="shared" si="3"/>
        <v>80361.649999999994</v>
      </c>
      <c r="H61" s="191">
        <f t="shared" si="4"/>
        <v>4.5895647986321834E-2</v>
      </c>
    </row>
    <row r="62" spans="1:8" ht="15.75">
      <c r="A62" s="149" t="s">
        <v>193</v>
      </c>
      <c r="B62" s="151">
        <v>58</v>
      </c>
      <c r="C62" s="151">
        <v>342.44</v>
      </c>
      <c r="D62" s="151">
        <v>306.37</v>
      </c>
      <c r="E62" s="151">
        <v>17769.46</v>
      </c>
      <c r="F62" s="151">
        <v>-2092.06</v>
      </c>
      <c r="G62" s="151">
        <f t="shared" si="3"/>
        <v>19861.52</v>
      </c>
      <c r="H62" s="191">
        <f t="shared" si="4"/>
        <v>-0.10533232099053848</v>
      </c>
    </row>
    <row r="63" spans="1:8" ht="15.75">
      <c r="A63" s="149" t="s">
        <v>194</v>
      </c>
      <c r="B63" s="151">
        <v>255</v>
      </c>
      <c r="C63" s="151">
        <v>99.4</v>
      </c>
      <c r="D63" s="151">
        <v>96.7</v>
      </c>
      <c r="E63" s="151">
        <v>24658.5</v>
      </c>
      <c r="F63" s="151">
        <v>-689</v>
      </c>
      <c r="G63" s="151">
        <f t="shared" si="3"/>
        <v>25347.5</v>
      </c>
      <c r="H63" s="191">
        <f t="shared" si="4"/>
        <v>-2.7182167866653516E-2</v>
      </c>
    </row>
    <row r="64" spans="1:8" ht="15.75">
      <c r="A64" s="149" t="s">
        <v>195</v>
      </c>
      <c r="B64" s="151">
        <v>25</v>
      </c>
      <c r="C64" s="151">
        <v>2212.61</v>
      </c>
      <c r="D64" s="151">
        <v>2263.65</v>
      </c>
      <c r="E64" s="151">
        <v>56591.25</v>
      </c>
      <c r="F64" s="151">
        <v>1276.0999999999999</v>
      </c>
      <c r="G64" s="151">
        <f t="shared" si="3"/>
        <v>55315.15</v>
      </c>
      <c r="H64" s="191">
        <f t="shared" si="4"/>
        <v>2.3069629206465134E-2</v>
      </c>
    </row>
    <row r="65" spans="1:8" ht="15.75">
      <c r="A65" s="149" t="s">
        <v>315</v>
      </c>
      <c r="B65" s="151">
        <v>102</v>
      </c>
      <c r="C65" s="151">
        <v>14.26</v>
      </c>
      <c r="D65" s="151">
        <v>60.5</v>
      </c>
      <c r="E65" s="151">
        <v>6171</v>
      </c>
      <c r="F65" s="151">
        <v>4716.3</v>
      </c>
      <c r="G65" s="151">
        <f t="shared" si="3"/>
        <v>1454.6999999999998</v>
      </c>
      <c r="H65" s="191">
        <f t="shared" si="4"/>
        <v>3.2421117756238407</v>
      </c>
    </row>
    <row r="66" spans="1:8" ht="15.75">
      <c r="A66" s="149" t="s">
        <v>316</v>
      </c>
      <c r="B66" s="151">
        <v>4</v>
      </c>
      <c r="C66" s="151">
        <v>131.47999999999999</v>
      </c>
      <c r="D66" s="151">
        <v>215.04</v>
      </c>
      <c r="E66" s="151">
        <v>860.16</v>
      </c>
      <c r="F66" s="151">
        <v>334.24</v>
      </c>
      <c r="G66" s="151">
        <f t="shared" ref="G66:G97" si="5">E66-F66</f>
        <v>525.91999999999996</v>
      </c>
      <c r="H66" s="191">
        <f t="shared" si="4"/>
        <v>0.63553392150897481</v>
      </c>
    </row>
    <row r="67" spans="1:8" ht="15.75">
      <c r="A67" s="149" t="s">
        <v>198</v>
      </c>
      <c r="B67" s="151">
        <v>79</v>
      </c>
      <c r="C67" s="151">
        <v>499.72</v>
      </c>
      <c r="D67" s="151">
        <v>1121.9000000000001</v>
      </c>
      <c r="E67" s="151">
        <v>88630.1</v>
      </c>
      <c r="F67" s="151">
        <v>49152.45</v>
      </c>
      <c r="G67" s="151">
        <f t="shared" si="5"/>
        <v>39477.650000000009</v>
      </c>
      <c r="H67" s="191">
        <f t="shared" si="4"/>
        <v>1.2450703119359938</v>
      </c>
    </row>
    <row r="68" spans="1:8" ht="15.75">
      <c r="A68" s="149" t="s">
        <v>199</v>
      </c>
      <c r="B68" s="151">
        <v>17</v>
      </c>
      <c r="C68" s="151">
        <v>3722.98</v>
      </c>
      <c r="D68" s="151">
        <v>3883.3</v>
      </c>
      <c r="E68" s="151">
        <v>66016.100000000006</v>
      </c>
      <c r="F68" s="151">
        <v>2725.4</v>
      </c>
      <c r="G68" s="151">
        <f t="shared" si="5"/>
        <v>63290.700000000004</v>
      </c>
      <c r="H68" s="191">
        <f t="shared" si="4"/>
        <v>4.3061618847634799E-2</v>
      </c>
    </row>
    <row r="69" spans="1:8" ht="15.75">
      <c r="A69" s="149" t="s">
        <v>200</v>
      </c>
      <c r="B69" s="151">
        <v>300</v>
      </c>
      <c r="C69" s="151">
        <v>82.33</v>
      </c>
      <c r="D69" s="151">
        <v>173</v>
      </c>
      <c r="E69" s="151">
        <v>51900</v>
      </c>
      <c r="F69" s="151">
        <v>27200</v>
      </c>
      <c r="G69" s="151">
        <f t="shared" si="5"/>
        <v>24700</v>
      </c>
      <c r="H69" s="191">
        <f t="shared" si="4"/>
        <v>1.1012145748987854</v>
      </c>
    </row>
    <row r="70" spans="1:8" ht="15.75">
      <c r="A70" s="149" t="s">
        <v>201</v>
      </c>
      <c r="B70" s="151">
        <v>11</v>
      </c>
      <c r="C70" s="151">
        <v>3831.22</v>
      </c>
      <c r="D70" s="151">
        <v>4785.8999999999996</v>
      </c>
      <c r="E70" s="151">
        <v>52644.9</v>
      </c>
      <c r="F70" s="151">
        <v>10501.5</v>
      </c>
      <c r="G70" s="151">
        <f t="shared" si="5"/>
        <v>42143.4</v>
      </c>
      <c r="H70" s="191">
        <f t="shared" si="4"/>
        <v>0.24918492575349876</v>
      </c>
    </row>
    <row r="71" spans="1:8" ht="15.75">
      <c r="A71" s="149" t="s">
        <v>202</v>
      </c>
      <c r="B71" s="151">
        <v>25</v>
      </c>
      <c r="C71" s="151">
        <v>869.04</v>
      </c>
      <c r="D71" s="151">
        <v>1700.4</v>
      </c>
      <c r="E71" s="151">
        <v>42510</v>
      </c>
      <c r="F71" s="151">
        <v>20783.95</v>
      </c>
      <c r="G71" s="151">
        <f t="shared" si="5"/>
        <v>21726.05</v>
      </c>
      <c r="H71" s="191">
        <f t="shared" si="4"/>
        <v>0.95663730866862595</v>
      </c>
    </row>
    <row r="72" spans="1:8" ht="15.75">
      <c r="A72" s="149" t="s">
        <v>203</v>
      </c>
      <c r="B72" s="151">
        <v>26</v>
      </c>
      <c r="C72" s="151">
        <v>2498.4899999999998</v>
      </c>
      <c r="D72" s="151">
        <v>2610</v>
      </c>
      <c r="E72" s="151">
        <v>67860</v>
      </c>
      <c r="F72" s="151">
        <v>2899.25</v>
      </c>
      <c r="G72" s="151">
        <f t="shared" si="5"/>
        <v>64960.75</v>
      </c>
      <c r="H72" s="191">
        <f t="shared" si="4"/>
        <v>4.463079628852807E-2</v>
      </c>
    </row>
    <row r="73" spans="1:8" ht="15.75">
      <c r="A73" s="149" t="s">
        <v>204</v>
      </c>
      <c r="B73" s="151">
        <v>61</v>
      </c>
      <c r="C73" s="151">
        <v>488.84</v>
      </c>
      <c r="D73" s="151">
        <v>573.95000000000005</v>
      </c>
      <c r="E73" s="151">
        <v>35010.949999999997</v>
      </c>
      <c r="F73" s="151">
        <v>5192</v>
      </c>
      <c r="G73" s="151">
        <f t="shared" si="5"/>
        <v>29818.949999999997</v>
      </c>
      <c r="H73" s="191">
        <f t="shared" si="4"/>
        <v>0.17411746557139002</v>
      </c>
    </row>
    <row r="74" spans="1:8" ht="15.75">
      <c r="A74" s="149" t="s">
        <v>307</v>
      </c>
      <c r="B74" s="151">
        <v>20</v>
      </c>
      <c r="C74" s="151">
        <v>1000</v>
      </c>
      <c r="D74" s="151">
        <v>1127</v>
      </c>
      <c r="E74" s="151">
        <v>22540</v>
      </c>
      <c r="F74" s="151">
        <v>0</v>
      </c>
      <c r="G74" s="151">
        <f t="shared" si="5"/>
        <v>22540</v>
      </c>
      <c r="H74" s="191">
        <f t="shared" si="4"/>
        <v>0</v>
      </c>
    </row>
    <row r="75" spans="1:8" ht="15.75">
      <c r="A75" s="149" t="s">
        <v>299</v>
      </c>
      <c r="B75" s="151">
        <v>44</v>
      </c>
      <c r="C75" s="151">
        <v>956.87</v>
      </c>
      <c r="D75" s="151">
        <v>933.75</v>
      </c>
      <c r="E75" s="151">
        <v>41085</v>
      </c>
      <c r="F75" s="151">
        <v>-1017.2</v>
      </c>
      <c r="G75" s="151">
        <f t="shared" si="5"/>
        <v>42102.2</v>
      </c>
      <c r="H75" s="191">
        <f t="shared" si="4"/>
        <v>-2.4160257658744678E-2</v>
      </c>
    </row>
    <row r="76" spans="1:8" ht="15.75">
      <c r="A76" s="149" t="s">
        <v>206</v>
      </c>
      <c r="B76" s="151">
        <v>76</v>
      </c>
      <c r="C76" s="151">
        <v>1144.01</v>
      </c>
      <c r="D76" s="151">
        <v>1267.9000000000001</v>
      </c>
      <c r="E76" s="151">
        <v>96360.4</v>
      </c>
      <c r="F76" s="151">
        <v>9416</v>
      </c>
      <c r="G76" s="151">
        <f t="shared" si="5"/>
        <v>86944.4</v>
      </c>
      <c r="H76" s="191">
        <f t="shared" si="4"/>
        <v>0.10829909689410705</v>
      </c>
    </row>
    <row r="77" spans="1:8" ht="15.75">
      <c r="A77" s="149" t="s">
        <v>207</v>
      </c>
      <c r="B77" s="151">
        <v>105</v>
      </c>
      <c r="C77" s="151">
        <v>304.5</v>
      </c>
      <c r="D77" s="151">
        <v>573.29999999999995</v>
      </c>
      <c r="E77" s="151">
        <v>60196.5</v>
      </c>
      <c r="F77" s="151">
        <v>28223.599999999999</v>
      </c>
      <c r="G77" s="151">
        <f t="shared" si="5"/>
        <v>31972.9</v>
      </c>
      <c r="H77" s="191">
        <f t="shared" si="4"/>
        <v>0.88273506625923825</v>
      </c>
    </row>
    <row r="78" spans="1:8" ht="15.75">
      <c r="A78" s="149" t="s">
        <v>262</v>
      </c>
      <c r="B78" s="151">
        <v>10</v>
      </c>
      <c r="C78" s="151">
        <v>5284</v>
      </c>
      <c r="D78" s="151">
        <v>5960.89</v>
      </c>
      <c r="E78" s="151">
        <v>59608.9</v>
      </c>
      <c r="F78" s="151">
        <v>6768.9</v>
      </c>
      <c r="G78" s="151">
        <f t="shared" si="5"/>
        <v>52840</v>
      </c>
      <c r="H78" s="191">
        <f t="shared" si="4"/>
        <v>0.12810181680545041</v>
      </c>
    </row>
    <row r="79" spans="1:8" ht="15.75">
      <c r="A79" s="149" t="s">
        <v>209</v>
      </c>
      <c r="B79" s="151">
        <v>5</v>
      </c>
      <c r="C79" s="151">
        <v>4802</v>
      </c>
      <c r="D79" s="151">
        <v>5869.62</v>
      </c>
      <c r="E79" s="151">
        <v>29348.1</v>
      </c>
      <c r="F79" s="151">
        <v>5338.1</v>
      </c>
      <c r="G79" s="151">
        <f t="shared" si="5"/>
        <v>24010</v>
      </c>
      <c r="H79" s="191">
        <f t="shared" si="4"/>
        <v>0.22232819658475636</v>
      </c>
    </row>
    <row r="80" spans="1:8" ht="15.75">
      <c r="A80" s="149" t="s">
        <v>210</v>
      </c>
      <c r="B80" s="151">
        <v>10</v>
      </c>
      <c r="C80" s="151">
        <v>5002.45</v>
      </c>
      <c r="D80" s="151">
        <v>5912.7</v>
      </c>
      <c r="E80" s="151">
        <v>59127</v>
      </c>
      <c r="F80" s="151">
        <v>9102.5</v>
      </c>
      <c r="G80" s="151">
        <f t="shared" si="5"/>
        <v>50024.5</v>
      </c>
      <c r="H80" s="191">
        <f t="shared" si="4"/>
        <v>0.18196083918879749</v>
      </c>
    </row>
    <row r="81" spans="1:8" ht="15.75">
      <c r="A81" s="149" t="s">
        <v>211</v>
      </c>
      <c r="B81" s="151">
        <v>35</v>
      </c>
      <c r="C81" s="151">
        <v>984.23</v>
      </c>
      <c r="D81" s="151">
        <v>3776</v>
      </c>
      <c r="E81" s="151">
        <v>132160</v>
      </c>
      <c r="F81" s="151">
        <v>97711.95</v>
      </c>
      <c r="G81" s="151">
        <f t="shared" si="5"/>
        <v>34448.050000000003</v>
      </c>
      <c r="H81" s="191">
        <f t="shared" si="4"/>
        <v>2.836501630716397</v>
      </c>
    </row>
    <row r="82" spans="1:8" ht="15.75">
      <c r="A82" s="149" t="s">
        <v>290</v>
      </c>
      <c r="B82" s="151">
        <v>48</v>
      </c>
      <c r="C82" s="151">
        <v>575.6</v>
      </c>
      <c r="D82" s="151">
        <v>557.9</v>
      </c>
      <c r="E82" s="151">
        <v>26779.200000000001</v>
      </c>
      <c r="F82" s="151">
        <v>-849.75</v>
      </c>
      <c r="G82" s="151">
        <f t="shared" si="5"/>
        <v>27628.95</v>
      </c>
      <c r="H82" s="191">
        <f t="shared" si="4"/>
        <v>-3.0755783335957392E-2</v>
      </c>
    </row>
    <row r="83" spans="1:8" ht="15.75">
      <c r="A83" s="149" t="s">
        <v>292</v>
      </c>
      <c r="B83" s="151">
        <v>32</v>
      </c>
      <c r="C83" s="151">
        <v>752.33</v>
      </c>
      <c r="D83" s="151">
        <v>1235.8499999999999</v>
      </c>
      <c r="E83" s="151">
        <v>39547.199999999997</v>
      </c>
      <c r="F83" s="151">
        <v>15472.7</v>
      </c>
      <c r="G83" s="151">
        <f t="shared" si="5"/>
        <v>24074.499999999996</v>
      </c>
      <c r="H83" s="191">
        <f t="shared" ref="H83:H114" si="6">F83/G83</f>
        <v>0.6427007829861473</v>
      </c>
    </row>
    <row r="84" spans="1:8" ht="15.75">
      <c r="A84" s="149" t="s">
        <v>212</v>
      </c>
      <c r="B84" s="151">
        <v>135</v>
      </c>
      <c r="C84" s="151">
        <v>501.84</v>
      </c>
      <c r="D84" s="151">
        <v>1138.95</v>
      </c>
      <c r="E84" s="151">
        <v>153758.25</v>
      </c>
      <c r="F84" s="151">
        <v>86009.95</v>
      </c>
      <c r="G84" s="151">
        <f t="shared" si="5"/>
        <v>67748.3</v>
      </c>
      <c r="H84" s="191">
        <f t="shared" si="6"/>
        <v>1.2695514130981884</v>
      </c>
    </row>
    <row r="85" spans="1:8" ht="15.75">
      <c r="A85" s="149" t="s">
        <v>293</v>
      </c>
      <c r="B85" s="151">
        <v>94</v>
      </c>
      <c r="C85" s="151">
        <v>333.22</v>
      </c>
      <c r="D85" s="151">
        <v>410.4</v>
      </c>
      <c r="E85" s="151">
        <v>38577.599999999999</v>
      </c>
      <c r="F85" s="151">
        <v>7254.8</v>
      </c>
      <c r="G85" s="151">
        <f t="shared" si="5"/>
        <v>31322.799999999999</v>
      </c>
      <c r="H85" s="191">
        <f t="shared" si="6"/>
        <v>0.23161403195116656</v>
      </c>
    </row>
    <row r="86" spans="1:8" ht="15.75">
      <c r="A86" s="149" t="s">
        <v>308</v>
      </c>
      <c r="B86" s="151">
        <v>61</v>
      </c>
      <c r="C86" s="151">
        <v>481.95</v>
      </c>
      <c r="D86" s="151">
        <v>489.4</v>
      </c>
      <c r="E86" s="151">
        <v>29853.4</v>
      </c>
      <c r="F86" s="151">
        <v>454.45</v>
      </c>
      <c r="G86" s="151">
        <f t="shared" si="5"/>
        <v>29398.95</v>
      </c>
      <c r="H86" s="191">
        <f t="shared" si="6"/>
        <v>1.5458035065878202E-2</v>
      </c>
    </row>
    <row r="87" spans="1:8" ht="15.75">
      <c r="A87" s="149" t="s">
        <v>213</v>
      </c>
      <c r="B87" s="151">
        <v>57</v>
      </c>
      <c r="C87" s="151">
        <v>468.04</v>
      </c>
      <c r="D87" s="151">
        <v>810.85</v>
      </c>
      <c r="E87" s="151">
        <v>46218.45</v>
      </c>
      <c r="F87" s="151">
        <v>19539.95</v>
      </c>
      <c r="G87" s="151">
        <f t="shared" si="5"/>
        <v>26678.499999999996</v>
      </c>
      <c r="H87" s="191">
        <f t="shared" si="6"/>
        <v>0.73242311224394185</v>
      </c>
    </row>
    <row r="88" spans="1:8" ht="15.75">
      <c r="A88" s="149" t="s">
        <v>214</v>
      </c>
      <c r="B88" s="151">
        <v>38</v>
      </c>
      <c r="C88" s="151">
        <v>684.41</v>
      </c>
      <c r="D88" s="151">
        <v>834.8</v>
      </c>
      <c r="E88" s="151">
        <v>31722.400000000001</v>
      </c>
      <c r="F88" s="151">
        <v>5714.85</v>
      </c>
      <c r="G88" s="151">
        <f t="shared" si="5"/>
        <v>26007.550000000003</v>
      </c>
      <c r="H88" s="191">
        <f t="shared" si="6"/>
        <v>0.219738114509056</v>
      </c>
    </row>
    <row r="89" spans="1:8" ht="15.75">
      <c r="A89" s="149" t="s">
        <v>302</v>
      </c>
      <c r="B89" s="151">
        <v>775</v>
      </c>
      <c r="C89" s="151">
        <v>99.29</v>
      </c>
      <c r="D89" s="151">
        <v>401.8</v>
      </c>
      <c r="E89" s="151">
        <v>311395</v>
      </c>
      <c r="F89" s="151">
        <v>234444</v>
      </c>
      <c r="G89" s="151">
        <f t="shared" si="5"/>
        <v>76951</v>
      </c>
      <c r="H89" s="191">
        <f t="shared" si="6"/>
        <v>3.0466660602201401</v>
      </c>
    </row>
    <row r="90" spans="1:8" ht="15.75">
      <c r="A90" s="149" t="s">
        <v>215</v>
      </c>
      <c r="B90" s="151">
        <v>1050</v>
      </c>
      <c r="C90" s="151">
        <v>40.479999999999997</v>
      </c>
      <c r="D90" s="151">
        <v>119</v>
      </c>
      <c r="E90" s="151">
        <v>124950</v>
      </c>
      <c r="F90" s="151">
        <v>82449.75</v>
      </c>
      <c r="G90" s="151">
        <f t="shared" si="5"/>
        <v>42500.25</v>
      </c>
      <c r="H90" s="191">
        <f t="shared" si="6"/>
        <v>1.9399827059840824</v>
      </c>
    </row>
    <row r="91" spans="1:8" ht="15.75">
      <c r="A91" s="149" t="s">
        <v>216</v>
      </c>
      <c r="B91" s="151">
        <v>25</v>
      </c>
      <c r="C91" s="151">
        <v>3332.45</v>
      </c>
      <c r="D91" s="151">
        <v>3443.55</v>
      </c>
      <c r="E91" s="151">
        <v>86088.75</v>
      </c>
      <c r="F91" s="151">
        <v>2777.5</v>
      </c>
      <c r="G91" s="151">
        <f t="shared" si="5"/>
        <v>83311.25</v>
      </c>
      <c r="H91" s="191">
        <f t="shared" si="6"/>
        <v>3.3338834791219671E-2</v>
      </c>
    </row>
    <row r="92" spans="1:8" ht="15.75">
      <c r="A92" s="149" t="s">
        <v>318</v>
      </c>
      <c r="B92" s="151">
        <v>45</v>
      </c>
      <c r="C92" s="151">
        <v>1162.8399999999999</v>
      </c>
      <c r="D92" s="151">
        <v>1175.5</v>
      </c>
      <c r="E92" s="151">
        <v>52897.5</v>
      </c>
      <c r="F92" s="151">
        <v>569.65</v>
      </c>
      <c r="G92" s="151">
        <f t="shared" si="5"/>
        <v>52327.85</v>
      </c>
      <c r="H92" s="191">
        <f t="shared" si="6"/>
        <v>1.0886172468389204E-2</v>
      </c>
    </row>
    <row r="93" spans="1:8" ht="15.75">
      <c r="A93" s="149" t="s">
        <v>217</v>
      </c>
      <c r="B93" s="151">
        <v>22</v>
      </c>
      <c r="C93" s="151">
        <v>2537.61</v>
      </c>
      <c r="D93" s="151">
        <v>2904.4</v>
      </c>
      <c r="E93" s="151">
        <v>63896.800000000003</v>
      </c>
      <c r="F93" s="151">
        <v>8069.3</v>
      </c>
      <c r="G93" s="151">
        <f t="shared" si="5"/>
        <v>55827.5</v>
      </c>
      <c r="H93" s="191">
        <f t="shared" si="6"/>
        <v>0.14453987730061349</v>
      </c>
    </row>
    <row r="94" spans="1:8" ht="15.75">
      <c r="A94" s="149" t="s">
        <v>220</v>
      </c>
      <c r="B94" s="151">
        <v>61</v>
      </c>
      <c r="C94" s="151">
        <v>401.11</v>
      </c>
      <c r="D94" s="151">
        <v>575</v>
      </c>
      <c r="E94" s="151">
        <v>35075</v>
      </c>
      <c r="F94" s="151">
        <v>10607.25</v>
      </c>
      <c r="G94" s="151">
        <f t="shared" si="5"/>
        <v>24467.75</v>
      </c>
      <c r="H94" s="191">
        <f t="shared" si="6"/>
        <v>0.43351963298627788</v>
      </c>
    </row>
    <row r="95" spans="1:8" ht="15.75">
      <c r="A95" s="149" t="s">
        <v>221</v>
      </c>
      <c r="B95" s="151">
        <v>80</v>
      </c>
      <c r="C95" s="151">
        <v>223.81</v>
      </c>
      <c r="D95" s="151">
        <v>825.3</v>
      </c>
      <c r="E95" s="151">
        <v>66024</v>
      </c>
      <c r="F95" s="151">
        <v>48119</v>
      </c>
      <c r="G95" s="151">
        <f t="shared" ref="G95:G96" si="7">E95-F95</f>
        <v>17905</v>
      </c>
      <c r="H95" s="191">
        <f t="shared" ref="H95:H96" si="8">F95/G95</f>
        <v>2.6874616029042167</v>
      </c>
    </row>
    <row r="96" spans="1:8" ht="15.75">
      <c r="A96" s="149" t="s">
        <v>300</v>
      </c>
      <c r="B96" s="151">
        <v>525</v>
      </c>
      <c r="C96" s="151">
        <v>38.97</v>
      </c>
      <c r="D96" s="151">
        <v>16.97</v>
      </c>
      <c r="E96" s="151">
        <v>8909.25</v>
      </c>
      <c r="F96" s="151">
        <v>-11548.25</v>
      </c>
      <c r="G96" s="151">
        <f t="shared" si="7"/>
        <v>20457.5</v>
      </c>
      <c r="H96" s="191">
        <f t="shared" si="8"/>
        <v>-0.56449957228400338</v>
      </c>
    </row>
    <row r="97" spans="1:8">
      <c r="A97" s="149"/>
      <c r="B97" s="150"/>
      <c r="C97" s="150"/>
      <c r="D97" s="150"/>
      <c r="E97" s="150"/>
      <c r="F97" s="150"/>
      <c r="G97" s="151"/>
      <c r="H97" s="174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9700</v>
      </c>
      <c r="C104" s="45"/>
      <c r="D104" s="45"/>
      <c r="E104" s="45">
        <f>SUM(E2:E103)</f>
        <v>5597871.120000001</v>
      </c>
      <c r="F104" s="45">
        <f>SUM(F2:F103)</f>
        <v>1729782.8099999998</v>
      </c>
      <c r="G104" s="45">
        <f>SUM(G2:G103)</f>
        <v>3868088.3099999996</v>
      </c>
      <c r="H104" s="176">
        <f>F104/G104</f>
        <v>0.44719320536919177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B081-A6C1-431A-872B-FC165D9F38EF}">
  <dimension ref="A1:I18"/>
  <sheetViews>
    <sheetView workbookViewId="0">
      <selection activeCell="F9" sqref="F9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86.28</v>
      </c>
      <c r="E2">
        <v>68.607799999999997</v>
      </c>
      <c r="F2" s="188">
        <v>279986.10960000003</v>
      </c>
      <c r="G2" s="188">
        <v>352105.74650000001</v>
      </c>
      <c r="H2" s="188">
        <v>72119.636899999998</v>
      </c>
      <c r="I2" s="147">
        <f>H2/F2</f>
        <v>0.257582910105909</v>
      </c>
    </row>
    <row r="3" spans="1:9">
      <c r="A3" s="168" t="s">
        <v>236</v>
      </c>
      <c r="B3" t="s">
        <v>237</v>
      </c>
      <c r="C3" s="188">
        <v>14235.332</v>
      </c>
      <c r="D3">
        <v>84.08</v>
      </c>
      <c r="E3">
        <v>47.766100000000002</v>
      </c>
      <c r="F3" s="188">
        <v>679966.92570000002</v>
      </c>
      <c r="G3" s="188">
        <v>1196906.7146000001</v>
      </c>
      <c r="H3" s="188">
        <v>516939.78889999999</v>
      </c>
      <c r="I3" s="147">
        <f t="shared" ref="I3:I18" si="0">H3/F3</f>
        <v>0.7602425491031497</v>
      </c>
    </row>
    <row r="4" spans="1:9">
      <c r="A4" s="168" t="s">
        <v>238</v>
      </c>
      <c r="B4" t="s">
        <v>237</v>
      </c>
      <c r="C4" s="188">
        <v>13837.614</v>
      </c>
      <c r="D4">
        <v>30.36</v>
      </c>
      <c r="E4">
        <v>27.098700000000001</v>
      </c>
      <c r="F4" s="188">
        <v>374981.25770000002</v>
      </c>
      <c r="G4" s="188">
        <v>420109.96100000001</v>
      </c>
      <c r="H4" s="188">
        <v>45128.703399999999</v>
      </c>
      <c r="I4" s="147">
        <f t="shared" si="0"/>
        <v>0.12034922405669876</v>
      </c>
    </row>
    <row r="5" spans="1:9">
      <c r="A5" s="168" t="s">
        <v>303</v>
      </c>
      <c r="B5" t="s">
        <v>241</v>
      </c>
      <c r="C5" s="188">
        <v>1857.5519999999999</v>
      </c>
      <c r="D5">
        <v>611.61559999999997</v>
      </c>
      <c r="E5">
        <v>366.02140000000003</v>
      </c>
      <c r="F5" s="188">
        <v>679903.69869999995</v>
      </c>
      <c r="G5" s="188">
        <v>1136107.781</v>
      </c>
      <c r="H5" s="188">
        <v>456204.08230000001</v>
      </c>
      <c r="I5" s="147">
        <f t="shared" si="0"/>
        <v>0.6709833806938813</v>
      </c>
    </row>
    <row r="6" spans="1:9">
      <c r="A6" s="168" t="s">
        <v>242</v>
      </c>
      <c r="B6" t="s">
        <v>237</v>
      </c>
      <c r="C6" s="188">
        <v>4306.576</v>
      </c>
      <c r="D6">
        <v>111.133</v>
      </c>
      <c r="E6">
        <v>44.3917</v>
      </c>
      <c r="F6" s="188">
        <v>191176.2298</v>
      </c>
      <c r="G6" s="188">
        <v>478602.71059999999</v>
      </c>
      <c r="H6" s="188">
        <v>287426.48080000002</v>
      </c>
      <c r="I6" s="147">
        <f t="shared" si="0"/>
        <v>1.5034634855007483</v>
      </c>
    </row>
    <row r="7" spans="1:9">
      <c r="A7" s="168" t="s">
        <v>272</v>
      </c>
      <c r="B7" t="s">
        <v>235</v>
      </c>
      <c r="C7" s="188">
        <v>5805.7370000000001</v>
      </c>
      <c r="D7">
        <v>98.686000000000007</v>
      </c>
      <c r="E7">
        <v>41.940399999999997</v>
      </c>
      <c r="F7" s="188">
        <v>243495.1642</v>
      </c>
      <c r="G7" s="188">
        <v>572944.96160000004</v>
      </c>
      <c r="H7" s="188">
        <v>329449.79739999998</v>
      </c>
      <c r="I7" s="147">
        <f t="shared" si="0"/>
        <v>1.3530034507354705</v>
      </c>
    </row>
    <row r="8" spans="1:9">
      <c r="A8" s="168" t="s">
        <v>244</v>
      </c>
      <c r="B8" t="s">
        <v>233</v>
      </c>
      <c r="C8" s="188">
        <v>5841.7389999999996</v>
      </c>
      <c r="D8">
        <v>26.529800000000002</v>
      </c>
      <c r="E8">
        <v>23.964300000000001</v>
      </c>
      <c r="F8" s="188">
        <v>139992.99739999999</v>
      </c>
      <c r="G8" s="188">
        <v>154980.1673</v>
      </c>
      <c r="H8" s="188">
        <v>14987.169900000001</v>
      </c>
      <c r="I8" s="147">
        <f t="shared" si="0"/>
        <v>0.1070565683880414</v>
      </c>
    </row>
    <row r="9" spans="1:9">
      <c r="A9" s="168" t="s">
        <v>273</v>
      </c>
      <c r="B9" t="s">
        <v>233</v>
      </c>
      <c r="C9" s="188">
        <v>54129.123</v>
      </c>
      <c r="D9">
        <v>11.2636</v>
      </c>
      <c r="E9">
        <v>8.9596</v>
      </c>
      <c r="F9" s="188">
        <v>484975.74739999999</v>
      </c>
      <c r="G9" s="188">
        <v>609688.78980000003</v>
      </c>
      <c r="H9" s="188">
        <v>124713.0425</v>
      </c>
      <c r="I9" s="147">
        <f t="shared" si="0"/>
        <v>0.25715315285062851</v>
      </c>
    </row>
    <row r="10" spans="1:9">
      <c r="A10" s="168" t="s">
        <v>246</v>
      </c>
      <c r="B10" t="s">
        <v>241</v>
      </c>
      <c r="C10" s="188">
        <v>42228.51</v>
      </c>
      <c r="D10">
        <v>12.498799999999999</v>
      </c>
      <c r="E10">
        <v>11.378</v>
      </c>
      <c r="F10" s="188">
        <v>480475.98</v>
      </c>
      <c r="G10" s="188">
        <v>527805.70079999999</v>
      </c>
      <c r="H10" s="188">
        <v>47329.720800000003</v>
      </c>
      <c r="I10" s="147">
        <f t="shared" si="0"/>
        <v>9.8505904082863846E-2</v>
      </c>
    </row>
    <row r="11" spans="1:9">
      <c r="A11" s="168" t="s">
        <v>247</v>
      </c>
      <c r="B11" t="s">
        <v>241</v>
      </c>
      <c r="C11" s="188">
        <v>8783.1219999999994</v>
      </c>
      <c r="D11">
        <v>10.5459</v>
      </c>
      <c r="E11">
        <v>10.3033</v>
      </c>
      <c r="F11" s="188">
        <v>90495.4712</v>
      </c>
      <c r="G11" s="188">
        <v>92625.926300000006</v>
      </c>
      <c r="H11" s="188">
        <v>2130.4551000000001</v>
      </c>
      <c r="I11" s="147">
        <f t="shared" si="0"/>
        <v>2.3542118425921851E-2</v>
      </c>
    </row>
    <row r="12" spans="1:9">
      <c r="A12" s="168" t="s">
        <v>250</v>
      </c>
      <c r="B12" t="s">
        <v>251</v>
      </c>
      <c r="C12" s="188">
        <v>18576.047999999999</v>
      </c>
      <c r="D12">
        <v>60.649000000000001</v>
      </c>
      <c r="E12">
        <v>43.923499999999997</v>
      </c>
      <c r="F12" s="188">
        <v>815925.51049999997</v>
      </c>
      <c r="G12" s="188">
        <v>1126618.7352</v>
      </c>
      <c r="H12" s="188">
        <v>310693.22470000002</v>
      </c>
      <c r="I12" s="147">
        <f t="shared" si="0"/>
        <v>0.3807862613703632</v>
      </c>
    </row>
    <row r="13" spans="1:9">
      <c r="A13" s="168" t="s">
        <v>274</v>
      </c>
      <c r="B13" t="s">
        <v>233</v>
      </c>
      <c r="C13" s="188">
        <v>6809.741</v>
      </c>
      <c r="D13">
        <v>35.630000000000003</v>
      </c>
      <c r="E13">
        <v>35.241999999999997</v>
      </c>
      <c r="F13" s="188">
        <v>239988.8371</v>
      </c>
      <c r="G13" s="188">
        <v>242631.07180000001</v>
      </c>
      <c r="H13" s="188">
        <v>2642.2347</v>
      </c>
      <c r="I13" s="147">
        <f t="shared" si="0"/>
        <v>1.1009823339820667E-2</v>
      </c>
    </row>
    <row r="14" spans="1:9">
      <c r="A14" s="168" t="s">
        <v>253</v>
      </c>
      <c r="B14" t="s">
        <v>235</v>
      </c>
      <c r="C14" s="188">
        <v>2450.4349999999999</v>
      </c>
      <c r="D14">
        <v>168.0284</v>
      </c>
      <c r="E14">
        <v>147.05119999999999</v>
      </c>
      <c r="F14" s="188">
        <v>360339.36119999998</v>
      </c>
      <c r="G14" s="188">
        <v>411742.67239999998</v>
      </c>
      <c r="H14" s="188">
        <v>51403.311099999999</v>
      </c>
      <c r="I14" s="147">
        <f t="shared" si="0"/>
        <v>0.14265250104461805</v>
      </c>
    </row>
    <row r="15" spans="1:9">
      <c r="A15" s="168" t="s">
        <v>255</v>
      </c>
      <c r="B15" t="s">
        <v>241</v>
      </c>
      <c r="C15" s="188">
        <v>18996.168000000001</v>
      </c>
      <c r="D15">
        <v>16.3843</v>
      </c>
      <c r="E15">
        <v>9.4700000000000006</v>
      </c>
      <c r="F15" s="188">
        <v>179893.71100000001</v>
      </c>
      <c r="G15" s="188">
        <v>311238.9154</v>
      </c>
      <c r="H15" s="188">
        <v>131345.20439999999</v>
      </c>
      <c r="I15" s="147">
        <f t="shared" si="0"/>
        <v>0.73012671576940225</v>
      </c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201938.66300000003</v>
      </c>
      <c r="D18" s="75"/>
      <c r="E18" s="75"/>
      <c r="F18" s="75">
        <f t="shared" ref="F18:H18" si="1">SUM(F2:F15)</f>
        <v>5241597.0015000002</v>
      </c>
      <c r="G18" s="75">
        <f t="shared" si="1"/>
        <v>7634109.8543000007</v>
      </c>
      <c r="H18" s="75">
        <f t="shared" si="1"/>
        <v>2392512.8529000003</v>
      </c>
      <c r="I18" s="53">
        <f t="shared" si="0"/>
        <v>0.45644731027878127</v>
      </c>
    </row>
  </sheetData>
  <hyperlinks>
    <hyperlink ref="A2" r:id="rId1" location="/mf/1831632/15690/NULL" xr:uid="{D0AB0295-A5EA-4D11-A2F5-8C4CDF450586}"/>
    <hyperlink ref="A3" r:id="rId2" location="/mf/1831632/22335/NULL" xr:uid="{4342AFCD-D8FA-4D0E-B310-8BEB0ED91BB8}"/>
    <hyperlink ref="A4" r:id="rId3" location="/mf/1831632/38817/NULL" xr:uid="{960F9263-AA06-41F1-8CED-31D4292220AD}"/>
    <hyperlink ref="A5" r:id="rId4" location="/mf/1831632/16071/NULL" xr:uid="{6CE83EDC-8782-4034-9B16-83909C2ADA51}"/>
    <hyperlink ref="A6" r:id="rId5" location="/mf/1831632/16617/NULL" xr:uid="{01C3C220-5AB2-4C74-81B6-D994C8432395}"/>
    <hyperlink ref="A7" r:id="rId6" location="/mf/1831632/17134/NULL" xr:uid="{61A5BCEB-F8B3-476C-AB89-8DFBD281841E}"/>
    <hyperlink ref="A8" r:id="rId7" location="/mf/1831632/38228/NULL" xr:uid="{B1BDC0F4-9583-4F74-85D2-120F7E0D7FB3}"/>
    <hyperlink ref="A9" r:id="rId8" location="/mf/1831632/42135/NULL" xr:uid="{BFAFBE79-00C6-45BD-9BA4-A3B70EF32456}"/>
    <hyperlink ref="A10" r:id="rId9" location="/mf/1831632/41574/NULL" xr:uid="{7BB936AD-0ADC-4B22-AA6F-14E4A67094DE}"/>
    <hyperlink ref="A11" r:id="rId10" location="/mf/1831632/41937/NULL" xr:uid="{1CB94A55-5A7D-4BD0-847A-906443CE8333}"/>
    <hyperlink ref="A12" r:id="rId11" location="/mf/1831632/19701/NULL" xr:uid="{63AEF097-8D44-4784-9EBB-BC056357127B}"/>
    <hyperlink ref="A13" r:id="rId12" location="/mf/1831632/17348/NULL" xr:uid="{F55EB3AA-1FD2-4441-9BDF-5E682EA483F3}"/>
    <hyperlink ref="A14" r:id="rId13" location="/mf/1831632/17375/NULL" xr:uid="{7901D8BD-E96C-4991-8323-041E934F65EA}"/>
    <hyperlink ref="A15" r:id="rId14" location="/mf/1831632/36491/NULL" xr:uid="{4B9C6361-9CAC-4849-B7AC-22C51E457A81}"/>
  </hyperlinks>
  <pageMargins left="0.7" right="0.7" top="0.75" bottom="0.75" header="0.3" footer="0.3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18F5-7D97-4F6F-BFA0-A065F9BF2DE7}">
  <dimension ref="A1:I104"/>
  <sheetViews>
    <sheetView workbookViewId="0">
      <pane xSplit="1" ySplit="1" topLeftCell="D93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 ht="30.75">
      <c r="A1" s="189" t="s">
        <v>114</v>
      </c>
      <c r="B1" s="189" t="s">
        <v>136</v>
      </c>
      <c r="C1" s="189" t="s">
        <v>137</v>
      </c>
      <c r="D1" s="189" t="s">
        <v>138</v>
      </c>
      <c r="E1" s="189" t="s">
        <v>140</v>
      </c>
      <c r="F1" s="189" t="s">
        <v>141</v>
      </c>
      <c r="G1" s="189" t="s">
        <v>129</v>
      </c>
      <c r="H1" s="191" t="s">
        <v>142</v>
      </c>
    </row>
    <row r="2" spans="1:8" ht="15.75">
      <c r="A2" s="189" t="s">
        <v>143</v>
      </c>
      <c r="B2" s="189">
        <v>100</v>
      </c>
      <c r="C2" s="189">
        <v>109.72</v>
      </c>
      <c r="D2" s="189">
        <v>103</v>
      </c>
      <c r="E2" s="190">
        <v>10300</v>
      </c>
      <c r="F2" s="189">
        <v>-672.5</v>
      </c>
      <c r="G2" s="190">
        <f t="shared" ref="G2:G33" si="0">E2-F2</f>
        <v>10972.5</v>
      </c>
      <c r="H2" s="191">
        <f t="shared" ref="H2:H15" si="1">F2/G2</f>
        <v>-6.1289587605377081E-2</v>
      </c>
    </row>
    <row r="3" spans="1:8" ht="15.75">
      <c r="A3" s="189" t="s">
        <v>259</v>
      </c>
      <c r="B3" s="189">
        <v>13</v>
      </c>
      <c r="C3" s="189">
        <v>133.75</v>
      </c>
      <c r="D3" s="189">
        <v>485.85</v>
      </c>
      <c r="E3" s="190">
        <v>6316.05</v>
      </c>
      <c r="F3" s="190">
        <v>4577.3</v>
      </c>
      <c r="G3" s="190">
        <f t="shared" si="0"/>
        <v>1738.75</v>
      </c>
      <c r="H3" s="191">
        <f t="shared" si="1"/>
        <v>2.6325233644859813</v>
      </c>
    </row>
    <row r="4" spans="1:8" ht="15.75">
      <c r="A4" s="189" t="s">
        <v>144</v>
      </c>
      <c r="B4" s="189">
        <v>34</v>
      </c>
      <c r="C4" s="190">
        <v>1047.74</v>
      </c>
      <c r="D4" s="190">
        <v>1479.15</v>
      </c>
      <c r="E4" s="190">
        <v>50291.1</v>
      </c>
      <c r="F4" s="190">
        <v>14667.95</v>
      </c>
      <c r="G4" s="190">
        <f t="shared" si="0"/>
        <v>35623.149999999994</v>
      </c>
      <c r="H4" s="191">
        <f t="shared" si="1"/>
        <v>0.41175331210182153</v>
      </c>
    </row>
    <row r="5" spans="1:8" ht="15.75">
      <c r="A5" s="189" t="s">
        <v>317</v>
      </c>
      <c r="B5" s="189">
        <v>13</v>
      </c>
      <c r="C5" s="190">
        <v>2592.56</v>
      </c>
      <c r="D5" s="190">
        <v>3512.85</v>
      </c>
      <c r="E5" s="190">
        <v>45667.05</v>
      </c>
      <c r="F5" s="190">
        <v>11963.8</v>
      </c>
      <c r="G5" s="190">
        <f t="shared" si="0"/>
        <v>33703.25</v>
      </c>
      <c r="H5" s="191">
        <f t="shared" si="1"/>
        <v>0.35497466861504451</v>
      </c>
    </row>
    <row r="6" spans="1:8" ht="15.75">
      <c r="A6" s="189" t="s">
        <v>145</v>
      </c>
      <c r="B6" s="189">
        <v>250</v>
      </c>
      <c r="C6" s="189">
        <v>183.59</v>
      </c>
      <c r="D6" s="189">
        <v>405.3</v>
      </c>
      <c r="E6" s="190">
        <v>101325</v>
      </c>
      <c r="F6" s="190">
        <v>55427.5</v>
      </c>
      <c r="G6" s="190">
        <f t="shared" si="0"/>
        <v>45897.5</v>
      </c>
      <c r="H6" s="191">
        <f t="shared" si="1"/>
        <v>1.2076365815131542</v>
      </c>
    </row>
    <row r="7" spans="1:8" ht="15.75">
      <c r="A7" s="189" t="s">
        <v>275</v>
      </c>
      <c r="B7" s="189">
        <v>165</v>
      </c>
      <c r="C7" s="189">
        <v>160.15</v>
      </c>
      <c r="D7" s="189">
        <v>167.4</v>
      </c>
      <c r="E7" s="190">
        <v>27621</v>
      </c>
      <c r="F7" s="190">
        <v>1196.25</v>
      </c>
      <c r="G7" s="190">
        <f t="shared" si="0"/>
        <v>26424.75</v>
      </c>
      <c r="H7" s="191">
        <f t="shared" si="1"/>
        <v>4.5270059319388073E-2</v>
      </c>
    </row>
    <row r="8" spans="1:8" ht="15.75">
      <c r="A8" s="189" t="s">
        <v>276</v>
      </c>
      <c r="B8" s="189">
        <v>25</v>
      </c>
      <c r="C8" s="190">
        <v>2696.05</v>
      </c>
      <c r="D8" s="190">
        <v>3362.05</v>
      </c>
      <c r="E8" s="190">
        <v>84051.25</v>
      </c>
      <c r="F8" s="190">
        <v>16650.05</v>
      </c>
      <c r="G8" s="190">
        <f t="shared" si="0"/>
        <v>67401.2</v>
      </c>
      <c r="H8" s="191">
        <f t="shared" si="1"/>
        <v>0.24702898464715761</v>
      </c>
    </row>
    <row r="9" spans="1:8" ht="15.75">
      <c r="A9" s="189" t="s">
        <v>277</v>
      </c>
      <c r="B9" s="189">
        <v>72</v>
      </c>
      <c r="C9" s="189">
        <v>578.16999999999996</v>
      </c>
      <c r="D9" s="189">
        <v>754.1</v>
      </c>
      <c r="E9" s="190">
        <v>54295.199999999997</v>
      </c>
      <c r="F9" s="190">
        <v>12667</v>
      </c>
      <c r="G9" s="190">
        <f t="shared" si="0"/>
        <v>41628.199999999997</v>
      </c>
      <c r="H9" s="191">
        <f t="shared" si="1"/>
        <v>0.30428891953051057</v>
      </c>
    </row>
    <row r="10" spans="1:8" ht="15.75">
      <c r="A10" s="189" t="s">
        <v>146</v>
      </c>
      <c r="B10" s="189">
        <v>73</v>
      </c>
      <c r="C10" s="189">
        <v>665.52</v>
      </c>
      <c r="D10" s="189">
        <v>987.8</v>
      </c>
      <c r="E10" s="190">
        <v>72109.399999999994</v>
      </c>
      <c r="F10" s="190">
        <v>23526.2</v>
      </c>
      <c r="G10" s="190">
        <f t="shared" si="0"/>
        <v>48583.199999999997</v>
      </c>
      <c r="H10" s="191">
        <f t="shared" si="1"/>
        <v>0.48424558283521879</v>
      </c>
    </row>
    <row r="11" spans="1:8" ht="15.75">
      <c r="A11" s="189" t="s">
        <v>319</v>
      </c>
      <c r="B11" s="189">
        <v>21</v>
      </c>
      <c r="C11" s="190">
        <v>2946.68</v>
      </c>
      <c r="D11" s="190">
        <v>4685.6000000000004</v>
      </c>
      <c r="E11" s="190">
        <v>98397.6</v>
      </c>
      <c r="F11" s="190">
        <v>36517.35</v>
      </c>
      <c r="G11" s="190">
        <f t="shared" si="0"/>
        <v>61880.250000000007</v>
      </c>
      <c r="H11" s="191">
        <f t="shared" si="1"/>
        <v>0.59012932236052684</v>
      </c>
    </row>
    <row r="12" spans="1:8" ht="15.75">
      <c r="A12" s="189" t="s">
        <v>320</v>
      </c>
      <c r="B12" s="189">
        <v>7</v>
      </c>
      <c r="C12" s="190">
        <v>6695.89</v>
      </c>
      <c r="D12" s="190">
        <v>7160.6</v>
      </c>
      <c r="E12" s="190">
        <v>50124.2</v>
      </c>
      <c r="F12" s="190">
        <v>3252.95</v>
      </c>
      <c r="G12" s="190">
        <f t="shared" si="0"/>
        <v>46871.25</v>
      </c>
      <c r="H12" s="191">
        <f t="shared" si="1"/>
        <v>6.940181881217164E-2</v>
      </c>
    </row>
    <row r="13" spans="1:8" ht="15.75">
      <c r="A13" s="189" t="s">
        <v>149</v>
      </c>
      <c r="B13" s="189">
        <v>16</v>
      </c>
      <c r="C13" s="190">
        <v>2060.92</v>
      </c>
      <c r="D13" s="190">
        <v>2370.4</v>
      </c>
      <c r="E13" s="190">
        <v>37926.400000000001</v>
      </c>
      <c r="F13" s="190">
        <v>4951.75</v>
      </c>
      <c r="G13" s="189">
        <f t="shared" si="0"/>
        <v>32974.65</v>
      </c>
      <c r="H13" s="191">
        <f t="shared" si="1"/>
        <v>0.15016838692753373</v>
      </c>
    </row>
    <row r="14" spans="1:8" ht="15.75">
      <c r="A14" s="189" t="s">
        <v>321</v>
      </c>
      <c r="B14" s="189">
        <v>184</v>
      </c>
      <c r="C14" s="189">
        <v>185</v>
      </c>
      <c r="D14" s="189">
        <v>190.35</v>
      </c>
      <c r="E14" s="190">
        <v>35024.400000000001</v>
      </c>
      <c r="F14" s="189">
        <v>984.4</v>
      </c>
      <c r="G14" s="190">
        <f t="shared" si="0"/>
        <v>34040</v>
      </c>
      <c r="H14" s="191">
        <f t="shared" si="1"/>
        <v>2.8918918918918918E-2</v>
      </c>
    </row>
    <row r="15" spans="1:8" ht="15.75">
      <c r="A15" s="189" t="s">
        <v>152</v>
      </c>
      <c r="B15" s="189">
        <v>180</v>
      </c>
      <c r="C15" s="189">
        <v>322.89</v>
      </c>
      <c r="D15" s="189">
        <v>878.75</v>
      </c>
      <c r="E15" s="190">
        <v>158175</v>
      </c>
      <c r="F15" s="190">
        <v>100055</v>
      </c>
      <c r="G15" s="190">
        <f t="shared" si="0"/>
        <v>58120</v>
      </c>
      <c r="H15" s="191">
        <f t="shared" si="1"/>
        <v>1.7215244322092222</v>
      </c>
    </row>
    <row r="16" spans="1:8" ht="15.75">
      <c r="A16" s="189" t="s">
        <v>153</v>
      </c>
      <c r="B16" s="189">
        <v>61</v>
      </c>
      <c r="C16" s="189">
        <v>427.78</v>
      </c>
      <c r="D16" s="189">
        <v>575.20000000000005</v>
      </c>
      <c r="E16" s="190">
        <v>35087.199999999997</v>
      </c>
      <c r="F16" s="190">
        <v>8992.6</v>
      </c>
      <c r="G16" s="190">
        <f t="shared" si="0"/>
        <v>26094.6</v>
      </c>
      <c r="H16" s="191">
        <v>0</v>
      </c>
    </row>
    <row r="17" spans="1:8" ht="15.75">
      <c r="A17" s="189" t="s">
        <v>154</v>
      </c>
      <c r="B17" s="189">
        <v>14</v>
      </c>
      <c r="C17" s="190">
        <v>3489.94</v>
      </c>
      <c r="D17" s="190">
        <v>5024.55</v>
      </c>
      <c r="E17" s="190">
        <v>70343.7</v>
      </c>
      <c r="F17" s="190">
        <v>21484.6</v>
      </c>
      <c r="G17" s="189">
        <f t="shared" si="0"/>
        <v>48859.1</v>
      </c>
      <c r="H17" s="191">
        <f>F17/G17</f>
        <v>0.43972566011244579</v>
      </c>
    </row>
    <row r="18" spans="1:8" ht="15.75">
      <c r="A18" s="189" t="s">
        <v>304</v>
      </c>
      <c r="B18" s="189">
        <v>6</v>
      </c>
      <c r="C18" s="189">
        <v>0</v>
      </c>
      <c r="D18" s="189">
        <v>28.27</v>
      </c>
      <c r="E18" s="189">
        <v>169.62</v>
      </c>
      <c r="F18" s="189">
        <v>169.62</v>
      </c>
      <c r="G18" s="190">
        <f t="shared" si="0"/>
        <v>0</v>
      </c>
      <c r="H18" s="191">
        <v>0</v>
      </c>
    </row>
    <row r="19" spans="1:8" ht="15.75">
      <c r="A19" s="189" t="s">
        <v>155</v>
      </c>
      <c r="B19" s="189">
        <v>180</v>
      </c>
      <c r="C19" s="189">
        <v>155.25</v>
      </c>
      <c r="D19" s="189">
        <v>120.8</v>
      </c>
      <c r="E19" s="190">
        <v>21744</v>
      </c>
      <c r="F19" s="190">
        <v>-6201</v>
      </c>
      <c r="G19" s="190">
        <f t="shared" si="0"/>
        <v>27945</v>
      </c>
      <c r="H19" s="191">
        <f t="shared" ref="H19:H50" si="2">F19/G19</f>
        <v>-0.22190016103059582</v>
      </c>
    </row>
    <row r="20" spans="1:8" ht="15.75">
      <c r="A20" s="189" t="s">
        <v>156</v>
      </c>
      <c r="B20" s="189">
        <v>47</v>
      </c>
      <c r="C20" s="189">
        <v>193.53</v>
      </c>
      <c r="D20" s="189">
        <v>515.5</v>
      </c>
      <c r="E20" s="190">
        <v>24228.5</v>
      </c>
      <c r="F20" s="190">
        <v>15132.6</v>
      </c>
      <c r="G20" s="190">
        <f t="shared" si="0"/>
        <v>9095.9</v>
      </c>
      <c r="H20" s="191">
        <f t="shared" si="2"/>
        <v>1.6636726437185987</v>
      </c>
    </row>
    <row r="21" spans="1:8" ht="15.75">
      <c r="A21" s="189" t="s">
        <v>157</v>
      </c>
      <c r="B21" s="189">
        <v>35</v>
      </c>
      <c r="C21" s="189">
        <v>827.34</v>
      </c>
      <c r="D21" s="190">
        <v>1015</v>
      </c>
      <c r="E21" s="190">
        <v>35525</v>
      </c>
      <c r="F21" s="190">
        <v>6568.15</v>
      </c>
      <c r="G21" s="190">
        <f t="shared" si="0"/>
        <v>28956.85</v>
      </c>
      <c r="H21" s="191">
        <f t="shared" si="2"/>
        <v>0.22682543163362037</v>
      </c>
    </row>
    <row r="22" spans="1:8" ht="15.75">
      <c r="A22" s="189" t="s">
        <v>158</v>
      </c>
      <c r="B22" s="189">
        <v>250</v>
      </c>
      <c r="C22" s="189">
        <v>163.66999999999999</v>
      </c>
      <c r="D22" s="189">
        <v>231</v>
      </c>
      <c r="E22" s="190">
        <v>57750</v>
      </c>
      <c r="F22" s="190">
        <v>16832.5</v>
      </c>
      <c r="G22" s="190">
        <f t="shared" si="0"/>
        <v>40917.5</v>
      </c>
      <c r="H22" s="191">
        <f t="shared" si="2"/>
        <v>0.4113765503757561</v>
      </c>
    </row>
    <row r="23" spans="1:8" ht="15.75">
      <c r="A23" s="189" t="s">
        <v>159</v>
      </c>
      <c r="B23" s="189">
        <v>10</v>
      </c>
      <c r="C23" s="190">
        <v>4083.04</v>
      </c>
      <c r="D23" s="190">
        <v>4711.3</v>
      </c>
      <c r="E23" s="190">
        <v>47113</v>
      </c>
      <c r="F23" s="190">
        <v>6282.6</v>
      </c>
      <c r="G23" s="190">
        <f t="shared" si="0"/>
        <v>40830.400000000001</v>
      </c>
      <c r="H23" s="191">
        <f t="shared" si="2"/>
        <v>0.15387064540146558</v>
      </c>
    </row>
    <row r="24" spans="1:8" ht="15.75">
      <c r="A24" s="189" t="s">
        <v>160</v>
      </c>
      <c r="B24" s="189">
        <v>35</v>
      </c>
      <c r="C24" s="190">
        <v>1545.44</v>
      </c>
      <c r="D24" s="190">
        <v>1693.55</v>
      </c>
      <c r="E24" s="190">
        <v>59274.25</v>
      </c>
      <c r="F24" s="190">
        <v>5183.75</v>
      </c>
      <c r="G24" s="189">
        <f t="shared" si="0"/>
        <v>54090.5</v>
      </c>
      <c r="H24" s="191">
        <f t="shared" si="2"/>
        <v>9.5834758414139271E-2</v>
      </c>
    </row>
    <row r="25" spans="1:8" ht="15.75">
      <c r="A25" s="189" t="s">
        <v>279</v>
      </c>
      <c r="B25" s="189">
        <v>72</v>
      </c>
      <c r="C25" s="189">
        <v>559.89</v>
      </c>
      <c r="D25" s="189">
        <v>572.95000000000005</v>
      </c>
      <c r="E25" s="190">
        <v>41252.400000000001</v>
      </c>
      <c r="F25" s="189">
        <v>940.35</v>
      </c>
      <c r="G25" s="190">
        <f t="shared" si="0"/>
        <v>40312.050000000003</v>
      </c>
      <c r="H25" s="191">
        <f t="shared" si="2"/>
        <v>2.3326772019780683E-2</v>
      </c>
    </row>
    <row r="26" spans="1:8" ht="15.75">
      <c r="A26" s="189" t="s">
        <v>161</v>
      </c>
      <c r="B26" s="189">
        <v>55</v>
      </c>
      <c r="C26" s="189">
        <v>325.14</v>
      </c>
      <c r="D26" s="189">
        <v>490.55</v>
      </c>
      <c r="E26" s="190">
        <v>26980.25</v>
      </c>
      <c r="F26" s="190">
        <v>9097.35</v>
      </c>
      <c r="G26" s="190">
        <f t="shared" si="0"/>
        <v>17882.900000000001</v>
      </c>
      <c r="H26" s="191">
        <f t="shared" si="2"/>
        <v>0.50871782540863053</v>
      </c>
    </row>
    <row r="27" spans="1:8" ht="15.75">
      <c r="A27" s="189" t="s">
        <v>162</v>
      </c>
      <c r="B27" s="189">
        <v>12</v>
      </c>
      <c r="C27" s="190">
        <v>3205.4</v>
      </c>
      <c r="D27" s="190">
        <v>3889.8</v>
      </c>
      <c r="E27" s="190">
        <v>46677.599999999999</v>
      </c>
      <c r="F27" s="190">
        <v>8212.85</v>
      </c>
      <c r="G27" s="190">
        <f t="shared" si="0"/>
        <v>38464.75</v>
      </c>
      <c r="H27" s="191">
        <f t="shared" si="2"/>
        <v>0.21351627139133883</v>
      </c>
    </row>
    <row r="28" spans="1:8" ht="15.75">
      <c r="A28" s="189" t="s">
        <v>163</v>
      </c>
      <c r="B28" s="189">
        <v>9</v>
      </c>
      <c r="C28" s="190">
        <v>4442.55</v>
      </c>
      <c r="D28" s="190">
        <v>5159.6000000000004</v>
      </c>
      <c r="E28" s="190">
        <v>46436.4</v>
      </c>
      <c r="F28" s="190">
        <v>6453.45</v>
      </c>
      <c r="G28" s="190">
        <f t="shared" si="0"/>
        <v>39982.950000000004</v>
      </c>
      <c r="H28" s="191">
        <f t="shared" si="2"/>
        <v>0.16140504890209451</v>
      </c>
    </row>
    <row r="29" spans="1:8" ht="15.75">
      <c r="A29" s="189" t="s">
        <v>164</v>
      </c>
      <c r="B29" s="189">
        <v>8</v>
      </c>
      <c r="C29" s="190">
        <v>2511.94</v>
      </c>
      <c r="D29" s="190">
        <v>3582.45</v>
      </c>
      <c r="E29" s="190">
        <v>28659.599999999999</v>
      </c>
      <c r="F29" s="190">
        <v>8564.1</v>
      </c>
      <c r="G29" s="190">
        <f t="shared" si="0"/>
        <v>20095.5</v>
      </c>
      <c r="H29" s="191">
        <f t="shared" si="2"/>
        <v>0.42617003806822423</v>
      </c>
    </row>
    <row r="30" spans="1:8" ht="15.75">
      <c r="A30" s="189" t="s">
        <v>165</v>
      </c>
      <c r="B30" s="189">
        <v>61</v>
      </c>
      <c r="C30" s="189">
        <v>360.97</v>
      </c>
      <c r="D30" s="189">
        <v>291.66000000000003</v>
      </c>
      <c r="E30" s="190">
        <v>17791.259999999998</v>
      </c>
      <c r="F30" s="190">
        <v>-4227.91</v>
      </c>
      <c r="G30" s="190">
        <f t="shared" si="0"/>
        <v>22019.17</v>
      </c>
      <c r="H30" s="191">
        <f t="shared" si="2"/>
        <v>-0.19201041637809238</v>
      </c>
    </row>
    <row r="31" spans="1:8" ht="15.75">
      <c r="A31" s="189" t="s">
        <v>166</v>
      </c>
      <c r="B31" s="189">
        <v>23</v>
      </c>
      <c r="C31" s="190">
        <v>1408.96</v>
      </c>
      <c r="D31" s="190">
        <v>1579.5</v>
      </c>
      <c r="E31" s="190">
        <v>36328.5</v>
      </c>
      <c r="F31" s="190">
        <v>3922.5</v>
      </c>
      <c r="G31" s="190">
        <f t="shared" si="0"/>
        <v>32406</v>
      </c>
      <c r="H31" s="191">
        <f t="shared" si="2"/>
        <v>0.12104239955563785</v>
      </c>
    </row>
    <row r="32" spans="1:8" ht="15.75">
      <c r="A32" s="189" t="s">
        <v>168</v>
      </c>
      <c r="B32" s="189">
        <v>80</v>
      </c>
      <c r="C32" s="189">
        <v>685.74</v>
      </c>
      <c r="D32" s="189">
        <v>698.9</v>
      </c>
      <c r="E32" s="190">
        <v>55912</v>
      </c>
      <c r="F32" s="190">
        <v>1053</v>
      </c>
      <c r="G32" s="190">
        <f t="shared" si="0"/>
        <v>54859</v>
      </c>
      <c r="H32" s="191">
        <f t="shared" si="2"/>
        <v>1.9194662680690498E-2</v>
      </c>
    </row>
    <row r="33" spans="1:8" ht="15.75">
      <c r="A33" s="189" t="s">
        <v>169</v>
      </c>
      <c r="B33" s="189">
        <v>306</v>
      </c>
      <c r="C33" s="189">
        <v>184.89</v>
      </c>
      <c r="D33" s="189">
        <v>236.75</v>
      </c>
      <c r="E33" s="190">
        <v>72445.5</v>
      </c>
      <c r="F33" s="190">
        <v>15869.75</v>
      </c>
      <c r="G33" s="190">
        <f t="shared" si="0"/>
        <v>56575.75</v>
      </c>
      <c r="H33" s="191">
        <f t="shared" si="2"/>
        <v>0.28050445641462995</v>
      </c>
    </row>
    <row r="34" spans="1:8" ht="15.75">
      <c r="A34" s="189" t="s">
        <v>170</v>
      </c>
      <c r="B34" s="189">
        <v>387</v>
      </c>
      <c r="C34" s="189">
        <v>82.58</v>
      </c>
      <c r="D34" s="189">
        <v>126.15</v>
      </c>
      <c r="E34" s="190">
        <v>48820.05</v>
      </c>
      <c r="F34" s="190">
        <v>16860.25</v>
      </c>
      <c r="G34" s="190">
        <f t="shared" ref="G34:G65" si="3">E34-F34</f>
        <v>31959.800000000003</v>
      </c>
      <c r="H34" s="191">
        <f t="shared" si="2"/>
        <v>0.52754554158661815</v>
      </c>
    </row>
    <row r="35" spans="1:8" ht="15.75">
      <c r="A35" s="189" t="s">
        <v>312</v>
      </c>
      <c r="B35" s="189">
        <v>57</v>
      </c>
      <c r="C35" s="189">
        <v>217.68</v>
      </c>
      <c r="D35" s="189">
        <v>73.2</v>
      </c>
      <c r="E35" s="190">
        <v>4172.3999999999996</v>
      </c>
      <c r="F35" s="190">
        <v>-8235.2999999999993</v>
      </c>
      <c r="G35" s="189">
        <f t="shared" si="3"/>
        <v>12407.699999999999</v>
      </c>
      <c r="H35" s="191">
        <f t="shared" si="2"/>
        <v>-0.6637249449938345</v>
      </c>
    </row>
    <row r="36" spans="1:8" ht="15.75">
      <c r="A36" s="189" t="s">
        <v>172</v>
      </c>
      <c r="B36" s="189">
        <v>18</v>
      </c>
      <c r="C36" s="190">
        <v>1556.41</v>
      </c>
      <c r="D36" s="190">
        <v>1568.45</v>
      </c>
      <c r="E36" s="190">
        <v>28232.1</v>
      </c>
      <c r="F36" s="189">
        <v>216.75</v>
      </c>
      <c r="G36" s="189">
        <f t="shared" si="3"/>
        <v>28015.35</v>
      </c>
      <c r="H36" s="191">
        <f t="shared" si="2"/>
        <v>7.7368299878459489E-3</v>
      </c>
    </row>
    <row r="37" spans="1:8" ht="15.75">
      <c r="A37" s="189" t="s">
        <v>173</v>
      </c>
      <c r="B37" s="189">
        <v>33</v>
      </c>
      <c r="C37" s="189">
        <v>41.65</v>
      </c>
      <c r="D37" s="189">
        <v>49.33</v>
      </c>
      <c r="E37" s="190">
        <v>1627.89</v>
      </c>
      <c r="F37" s="189">
        <v>253.37</v>
      </c>
      <c r="G37" s="189">
        <f t="shared" si="3"/>
        <v>1374.52</v>
      </c>
      <c r="H37" s="191">
        <f t="shared" si="2"/>
        <v>0.18433344003724939</v>
      </c>
    </row>
    <row r="38" spans="1:8" ht="15.75">
      <c r="A38" s="189" t="s">
        <v>281</v>
      </c>
      <c r="B38" s="189">
        <v>77</v>
      </c>
      <c r="C38" s="189">
        <v>285.64999999999998</v>
      </c>
      <c r="D38" s="189">
        <v>297.5</v>
      </c>
      <c r="E38" s="190">
        <v>22907.5</v>
      </c>
      <c r="F38" s="189">
        <v>912.55</v>
      </c>
      <c r="G38" s="190">
        <f t="shared" si="3"/>
        <v>21994.95</v>
      </c>
      <c r="H38" s="191">
        <f t="shared" si="2"/>
        <v>4.1489069081766493E-2</v>
      </c>
    </row>
    <row r="39" spans="1:8" ht="15.75">
      <c r="A39" s="189" t="s">
        <v>174</v>
      </c>
      <c r="B39" s="189">
        <v>58</v>
      </c>
      <c r="C39" s="190">
        <v>1054.7</v>
      </c>
      <c r="D39" s="190">
        <v>1187.95</v>
      </c>
      <c r="E39" s="190">
        <v>68901.100000000006</v>
      </c>
      <c r="F39" s="190">
        <v>7728.65</v>
      </c>
      <c r="G39" s="190">
        <f t="shared" si="3"/>
        <v>61172.450000000004</v>
      </c>
      <c r="H39" s="191">
        <f t="shared" si="2"/>
        <v>0.1263420052654422</v>
      </c>
    </row>
    <row r="40" spans="1:8" ht="15.75">
      <c r="A40" s="189" t="s">
        <v>175</v>
      </c>
      <c r="B40" s="189">
        <v>37</v>
      </c>
      <c r="C40" s="190">
        <v>1495.82</v>
      </c>
      <c r="D40" s="190">
        <v>1701.75</v>
      </c>
      <c r="E40" s="190">
        <v>62964.75</v>
      </c>
      <c r="F40" s="190">
        <v>7619.35</v>
      </c>
      <c r="G40" s="190">
        <f t="shared" si="3"/>
        <v>55345.4</v>
      </c>
      <c r="H40" s="191">
        <f t="shared" si="2"/>
        <v>0.13766907457530347</v>
      </c>
    </row>
    <row r="41" spans="1:8" ht="15.75">
      <c r="A41" s="189" t="s">
        <v>176</v>
      </c>
      <c r="B41" s="189">
        <v>124</v>
      </c>
      <c r="C41" s="189">
        <v>585.26</v>
      </c>
      <c r="D41" s="189">
        <v>651.20000000000005</v>
      </c>
      <c r="E41" s="190">
        <v>80748.800000000003</v>
      </c>
      <c r="F41" s="190">
        <v>8176.35</v>
      </c>
      <c r="G41" s="190">
        <f t="shared" si="3"/>
        <v>72572.45</v>
      </c>
      <c r="H41" s="191">
        <f t="shared" si="2"/>
        <v>0.11266465442464738</v>
      </c>
    </row>
    <row r="42" spans="1:8" ht="15.75">
      <c r="A42" s="189" t="s">
        <v>177</v>
      </c>
      <c r="B42" s="189">
        <v>8</v>
      </c>
      <c r="C42" s="190">
        <v>2664.38</v>
      </c>
      <c r="D42" s="190">
        <v>2910.1</v>
      </c>
      <c r="E42" s="190">
        <v>23280.799999999999</v>
      </c>
      <c r="F42" s="190">
        <v>1965.8</v>
      </c>
      <c r="G42" s="190">
        <f t="shared" si="3"/>
        <v>21315</v>
      </c>
      <c r="H42" s="191">
        <f t="shared" si="2"/>
        <v>9.2226131832043159E-2</v>
      </c>
    </row>
    <row r="43" spans="1:8" ht="15.75">
      <c r="A43" s="189" t="s">
        <v>282</v>
      </c>
      <c r="B43" s="189">
        <v>19</v>
      </c>
      <c r="C43" s="190">
        <v>2270.19</v>
      </c>
      <c r="D43" s="190">
        <v>2678.4</v>
      </c>
      <c r="E43" s="190">
        <v>50889.599999999999</v>
      </c>
      <c r="F43" s="190">
        <v>7756.05</v>
      </c>
      <c r="G43" s="190">
        <f t="shared" si="3"/>
        <v>43133.549999999996</v>
      </c>
      <c r="H43" s="191">
        <f t="shared" si="2"/>
        <v>0.17981478454706373</v>
      </c>
    </row>
    <row r="44" spans="1:8" ht="15.75">
      <c r="A44" s="189" t="s">
        <v>178</v>
      </c>
      <c r="B44" s="189">
        <v>73</v>
      </c>
      <c r="C44" s="189">
        <v>589.26</v>
      </c>
      <c r="D44" s="189">
        <v>934.6</v>
      </c>
      <c r="E44" s="190">
        <v>68225.8</v>
      </c>
      <c r="F44" s="190">
        <v>25210.15</v>
      </c>
      <c r="G44" s="190">
        <f t="shared" si="3"/>
        <v>43015.65</v>
      </c>
      <c r="H44" s="191">
        <f t="shared" si="2"/>
        <v>0.58606925618931716</v>
      </c>
    </row>
    <row r="45" spans="1:8" ht="15.75">
      <c r="A45" s="189" t="s">
        <v>179</v>
      </c>
      <c r="B45" s="189">
        <v>76</v>
      </c>
      <c r="C45" s="190">
        <v>1268.71</v>
      </c>
      <c r="D45" s="190">
        <v>1344.45</v>
      </c>
      <c r="E45" s="190">
        <v>102178.2</v>
      </c>
      <c r="F45" s="190">
        <v>5756.4</v>
      </c>
      <c r="G45" s="190">
        <f t="shared" si="3"/>
        <v>96421.8</v>
      </c>
      <c r="H45" s="191">
        <f t="shared" si="2"/>
        <v>5.9700192280169005E-2</v>
      </c>
    </row>
    <row r="46" spans="1:8" ht="15.75">
      <c r="A46" s="189" t="s">
        <v>180</v>
      </c>
      <c r="B46" s="189">
        <v>153</v>
      </c>
      <c r="C46" s="189">
        <v>490.27</v>
      </c>
      <c r="D46" s="189">
        <v>572.5</v>
      </c>
      <c r="E46" s="190">
        <v>87592.5</v>
      </c>
      <c r="F46" s="190">
        <v>12581.05</v>
      </c>
      <c r="G46" s="190">
        <f t="shared" si="3"/>
        <v>75011.45</v>
      </c>
      <c r="H46" s="191">
        <f t="shared" si="2"/>
        <v>0.16772172781622005</v>
      </c>
    </row>
    <row r="47" spans="1:8" ht="15.75">
      <c r="A47" s="189" t="s">
        <v>284</v>
      </c>
      <c r="B47" s="189">
        <v>40</v>
      </c>
      <c r="C47" s="189">
        <v>942.87</v>
      </c>
      <c r="D47" s="190">
        <v>1375.05</v>
      </c>
      <c r="E47" s="190">
        <v>55002</v>
      </c>
      <c r="F47" s="190">
        <v>17287.349999999999</v>
      </c>
      <c r="G47" s="190">
        <f t="shared" si="3"/>
        <v>37714.65</v>
      </c>
      <c r="H47" s="191">
        <f t="shared" si="2"/>
        <v>0.4583722770859599</v>
      </c>
    </row>
    <row r="48" spans="1:8" ht="15.75">
      <c r="A48" s="189" t="s">
        <v>181</v>
      </c>
      <c r="B48" s="189">
        <v>51</v>
      </c>
      <c r="C48" s="190">
        <v>1526.23</v>
      </c>
      <c r="D48" s="190">
        <v>1335.5</v>
      </c>
      <c r="E48" s="190">
        <v>68110.5</v>
      </c>
      <c r="F48" s="190">
        <v>-9727.0499999999993</v>
      </c>
      <c r="G48" s="190">
        <f t="shared" si="3"/>
        <v>77837.55</v>
      </c>
      <c r="H48" s="191">
        <f t="shared" si="2"/>
        <v>-0.12496603503065036</v>
      </c>
    </row>
    <row r="49" spans="1:8" ht="15.75">
      <c r="A49" s="189" t="s">
        <v>182</v>
      </c>
      <c r="B49" s="189">
        <v>770</v>
      </c>
      <c r="C49" s="189">
        <v>227.34</v>
      </c>
      <c r="D49" s="189">
        <v>451.65</v>
      </c>
      <c r="E49" s="190">
        <v>347770.5</v>
      </c>
      <c r="F49" s="190">
        <v>172716.15</v>
      </c>
      <c r="G49" s="190">
        <f t="shared" si="3"/>
        <v>175054.35</v>
      </c>
      <c r="H49" s="191">
        <f t="shared" si="2"/>
        <v>0.98664300544373784</v>
      </c>
    </row>
    <row r="50" spans="1:8" ht="15.75">
      <c r="A50" s="189" t="s">
        <v>183</v>
      </c>
      <c r="B50" s="189">
        <v>17</v>
      </c>
      <c r="C50" s="190">
        <v>1141.79</v>
      </c>
      <c r="D50" s="190">
        <v>2366.9499999999998</v>
      </c>
      <c r="E50" s="190">
        <v>40238.15</v>
      </c>
      <c r="F50" s="190">
        <v>20827.75</v>
      </c>
      <c r="G50" s="189">
        <f t="shared" si="3"/>
        <v>19410.400000000001</v>
      </c>
      <c r="H50" s="191">
        <f t="shared" si="2"/>
        <v>1.0730201335366607</v>
      </c>
    </row>
    <row r="51" spans="1:8" ht="15.75">
      <c r="A51" s="189" t="s">
        <v>313</v>
      </c>
      <c r="B51" s="189">
        <v>4</v>
      </c>
      <c r="C51" s="189">
        <v>396.21</v>
      </c>
      <c r="D51" s="189">
        <v>464.26</v>
      </c>
      <c r="E51" s="190">
        <v>1857.04</v>
      </c>
      <c r="F51" s="189">
        <v>272.2</v>
      </c>
      <c r="G51" s="190">
        <f t="shared" si="3"/>
        <v>1584.84</v>
      </c>
      <c r="H51" s="191">
        <f t="shared" ref="H51:H82" si="4">F51/G51</f>
        <v>0.17175235354988516</v>
      </c>
    </row>
    <row r="52" spans="1:8" ht="15.75">
      <c r="A52" s="189" t="s">
        <v>184</v>
      </c>
      <c r="B52" s="189">
        <v>341</v>
      </c>
      <c r="C52" s="189">
        <v>112.02</v>
      </c>
      <c r="D52" s="189">
        <v>124.65</v>
      </c>
      <c r="E52" s="190">
        <v>42505.65</v>
      </c>
      <c r="F52" s="190">
        <v>4306.8999999999996</v>
      </c>
      <c r="G52" s="190">
        <f t="shared" si="3"/>
        <v>38198.75</v>
      </c>
      <c r="H52" s="191">
        <f t="shared" si="4"/>
        <v>0.11274976275401681</v>
      </c>
    </row>
    <row r="53" spans="1:8" ht="15.75">
      <c r="A53" s="189" t="s">
        <v>185</v>
      </c>
      <c r="B53" s="189">
        <v>38</v>
      </c>
      <c r="C53" s="190">
        <v>1711.28</v>
      </c>
      <c r="D53" s="190">
        <v>1847.2</v>
      </c>
      <c r="E53" s="190">
        <v>70193.600000000006</v>
      </c>
      <c r="F53" s="190">
        <v>5164.8</v>
      </c>
      <c r="G53" s="190">
        <f t="shared" si="3"/>
        <v>65028.800000000003</v>
      </c>
      <c r="H53" s="191">
        <f t="shared" si="4"/>
        <v>7.9423270919961611E-2</v>
      </c>
    </row>
    <row r="54" spans="1:8" ht="15.75">
      <c r="A54" s="189" t="s">
        <v>186</v>
      </c>
      <c r="B54" s="189">
        <v>56</v>
      </c>
      <c r="C54" s="189">
        <v>577.29999999999995</v>
      </c>
      <c r="D54" s="190">
        <v>1089.8</v>
      </c>
      <c r="E54" s="190">
        <v>61028.800000000003</v>
      </c>
      <c r="F54" s="190">
        <v>28700.05</v>
      </c>
      <c r="G54" s="189">
        <f t="shared" si="3"/>
        <v>32328.750000000004</v>
      </c>
      <c r="H54" s="191">
        <f t="shared" si="4"/>
        <v>0.88775625410818526</v>
      </c>
    </row>
    <row r="55" spans="1:8" ht="15.75">
      <c r="A55" s="189" t="s">
        <v>187</v>
      </c>
      <c r="B55" s="189">
        <v>18</v>
      </c>
      <c r="C55" s="190">
        <v>2304.23</v>
      </c>
      <c r="D55" s="190">
        <v>2259.4</v>
      </c>
      <c r="E55" s="190">
        <v>40669.199999999997</v>
      </c>
      <c r="F55" s="189">
        <v>-806.9</v>
      </c>
      <c r="G55" s="189">
        <f t="shared" si="3"/>
        <v>41476.1</v>
      </c>
      <c r="H55" s="191">
        <f t="shared" si="4"/>
        <v>-1.9454577455450248E-2</v>
      </c>
    </row>
    <row r="56" spans="1:8" ht="15.75">
      <c r="A56" s="189" t="s">
        <v>314</v>
      </c>
      <c r="B56" s="189">
        <v>1</v>
      </c>
      <c r="C56" s="189">
        <v>893.25</v>
      </c>
      <c r="D56" s="190">
        <v>1000</v>
      </c>
      <c r="E56" s="190">
        <v>1000</v>
      </c>
      <c r="F56" s="189">
        <v>106.75</v>
      </c>
      <c r="G56" s="190">
        <f t="shared" si="3"/>
        <v>893.25</v>
      </c>
      <c r="H56" s="191">
        <f t="shared" si="4"/>
        <v>0.11950741673663588</v>
      </c>
    </row>
    <row r="57" spans="1:8" ht="15.75">
      <c r="A57" s="189" t="s">
        <v>188</v>
      </c>
      <c r="B57" s="189">
        <v>62</v>
      </c>
      <c r="C57" s="190">
        <v>1053.22</v>
      </c>
      <c r="D57" s="190">
        <v>2475.5500000000002</v>
      </c>
      <c r="E57" s="190">
        <v>153484.1</v>
      </c>
      <c r="F57" s="190">
        <v>88184.75</v>
      </c>
      <c r="G57" s="190">
        <f t="shared" si="3"/>
        <v>65299.350000000006</v>
      </c>
      <c r="H57" s="191">
        <f t="shared" si="4"/>
        <v>1.3504690322338582</v>
      </c>
    </row>
    <row r="58" spans="1:8" ht="15.75">
      <c r="A58" s="189" t="s">
        <v>286</v>
      </c>
      <c r="B58" s="189">
        <v>13</v>
      </c>
      <c r="C58" s="190">
        <v>4629.46</v>
      </c>
      <c r="D58" s="190">
        <v>5198.2</v>
      </c>
      <c r="E58" s="190">
        <v>67576.600000000006</v>
      </c>
      <c r="F58" s="190">
        <v>7393.67</v>
      </c>
      <c r="G58" s="190">
        <f t="shared" si="3"/>
        <v>60182.930000000008</v>
      </c>
      <c r="H58" s="191">
        <f t="shared" si="4"/>
        <v>0.12285327417591664</v>
      </c>
    </row>
    <row r="59" spans="1:8" ht="15.75">
      <c r="A59" s="189" t="s">
        <v>189</v>
      </c>
      <c r="B59" s="189">
        <v>15</v>
      </c>
      <c r="C59" s="189">
        <v>810.29</v>
      </c>
      <c r="D59" s="190">
        <v>1453.75</v>
      </c>
      <c r="E59" s="190">
        <v>21806.25</v>
      </c>
      <c r="F59" s="190">
        <v>9651.9500000000007</v>
      </c>
      <c r="G59" s="190">
        <f t="shared" si="3"/>
        <v>12154.3</v>
      </c>
      <c r="H59" s="191">
        <f t="shared" si="4"/>
        <v>0.79411813103181605</v>
      </c>
    </row>
    <row r="60" spans="1:8" ht="15.75">
      <c r="A60" s="189" t="s">
        <v>191</v>
      </c>
      <c r="B60" s="189">
        <v>72</v>
      </c>
      <c r="C60" s="189">
        <v>468.01</v>
      </c>
      <c r="D60" s="189">
        <v>530.95000000000005</v>
      </c>
      <c r="E60" s="190">
        <v>38228.400000000001</v>
      </c>
      <c r="F60" s="190">
        <v>4531.8</v>
      </c>
      <c r="G60" s="190">
        <f t="shared" si="3"/>
        <v>33696.6</v>
      </c>
      <c r="H60" s="191">
        <f t="shared" si="4"/>
        <v>0.13448834600523496</v>
      </c>
    </row>
    <row r="61" spans="1:8" ht="15.75">
      <c r="A61" s="189" t="s">
        <v>192</v>
      </c>
      <c r="B61" s="189">
        <v>109</v>
      </c>
      <c r="C61" s="189">
        <v>737.26</v>
      </c>
      <c r="D61" s="189">
        <v>810.15</v>
      </c>
      <c r="E61" s="190">
        <v>88306.35</v>
      </c>
      <c r="F61" s="190">
        <v>7944.7</v>
      </c>
      <c r="G61" s="190">
        <f t="shared" si="3"/>
        <v>80361.650000000009</v>
      </c>
      <c r="H61" s="191">
        <f t="shared" si="4"/>
        <v>9.886183272742656E-2</v>
      </c>
    </row>
    <row r="62" spans="1:8" ht="15.75">
      <c r="A62" s="189" t="s">
        <v>265</v>
      </c>
      <c r="B62" s="189">
        <v>58</v>
      </c>
      <c r="C62" s="189">
        <v>342.44</v>
      </c>
      <c r="D62" s="189">
        <v>311.25</v>
      </c>
      <c r="E62" s="190">
        <v>18052.5</v>
      </c>
      <c r="F62" s="190">
        <v>-1809.02</v>
      </c>
      <c r="G62" s="190">
        <f t="shared" si="3"/>
        <v>19861.52</v>
      </c>
      <c r="H62" s="191">
        <f t="shared" si="4"/>
        <v>-9.1081649340030366E-2</v>
      </c>
    </row>
    <row r="63" spans="1:8" ht="15.75">
      <c r="A63" s="189" t="s">
        <v>194</v>
      </c>
      <c r="B63" s="189">
        <v>255</v>
      </c>
      <c r="C63" s="189">
        <v>99.4</v>
      </c>
      <c r="D63" s="189">
        <v>85.75</v>
      </c>
      <c r="E63" s="190">
        <v>21866.25</v>
      </c>
      <c r="F63" s="190">
        <v>-3481.25</v>
      </c>
      <c r="G63" s="190">
        <f t="shared" si="3"/>
        <v>25347.5</v>
      </c>
      <c r="H63" s="191">
        <f t="shared" si="4"/>
        <v>-0.1373409606470066</v>
      </c>
    </row>
    <row r="64" spans="1:8" ht="15.75">
      <c r="A64" s="189" t="s">
        <v>195</v>
      </c>
      <c r="B64" s="189">
        <v>25</v>
      </c>
      <c r="C64" s="190">
        <v>2212.61</v>
      </c>
      <c r="D64" s="190">
        <v>1895.05</v>
      </c>
      <c r="E64" s="190">
        <v>47376.25</v>
      </c>
      <c r="F64" s="190">
        <v>-7938.9</v>
      </c>
      <c r="G64" s="190">
        <f t="shared" si="3"/>
        <v>55315.15</v>
      </c>
      <c r="H64" s="191">
        <f t="shared" si="4"/>
        <v>-0.14352125954643527</v>
      </c>
    </row>
    <row r="65" spans="1:8" ht="15.75">
      <c r="A65" s="189" t="s">
        <v>315</v>
      </c>
      <c r="B65" s="189">
        <v>102</v>
      </c>
      <c r="C65" s="189">
        <v>14.26</v>
      </c>
      <c r="D65" s="189">
        <v>57.7</v>
      </c>
      <c r="E65" s="190">
        <v>5885.4</v>
      </c>
      <c r="F65" s="190">
        <v>4430.7</v>
      </c>
      <c r="G65" s="189">
        <f t="shared" si="3"/>
        <v>1454.6999999999998</v>
      </c>
      <c r="H65" s="191">
        <f t="shared" si="4"/>
        <v>3.0457826355949682</v>
      </c>
    </row>
    <row r="66" spans="1:8" ht="15.75">
      <c r="A66" s="189" t="s">
        <v>316</v>
      </c>
      <c r="B66" s="189">
        <v>4</v>
      </c>
      <c r="C66" s="189">
        <v>131.47999999999999</v>
      </c>
      <c r="D66" s="189">
        <v>210.61</v>
      </c>
      <c r="E66" s="189">
        <v>842.44</v>
      </c>
      <c r="F66" s="189">
        <v>316.52</v>
      </c>
      <c r="G66" s="190">
        <f t="shared" ref="G66:G97" si="5">E66-F66</f>
        <v>525.92000000000007</v>
      </c>
      <c r="H66" s="191">
        <f t="shared" si="4"/>
        <v>0.60184058411925756</v>
      </c>
    </row>
    <row r="67" spans="1:8" ht="15.75">
      <c r="A67" s="189" t="s">
        <v>198</v>
      </c>
      <c r="B67" s="189">
        <v>79</v>
      </c>
      <c r="C67" s="189">
        <v>499.72</v>
      </c>
      <c r="D67" s="189">
        <v>985.6</v>
      </c>
      <c r="E67" s="190">
        <v>77862.399999999994</v>
      </c>
      <c r="F67" s="190">
        <v>38384.75</v>
      </c>
      <c r="G67" s="190">
        <f t="shared" si="5"/>
        <v>39477.649999999994</v>
      </c>
      <c r="H67" s="191">
        <f t="shared" si="4"/>
        <v>0.97231598132107677</v>
      </c>
    </row>
    <row r="68" spans="1:8" ht="15.75">
      <c r="A68" s="189" t="s">
        <v>199</v>
      </c>
      <c r="B68" s="189">
        <v>16</v>
      </c>
      <c r="C68" s="190">
        <v>3709.52</v>
      </c>
      <c r="D68" s="190">
        <v>3859.15</v>
      </c>
      <c r="E68" s="190">
        <v>61746.400000000001</v>
      </c>
      <c r="F68" s="190">
        <v>2394.15</v>
      </c>
      <c r="G68" s="190">
        <f t="shared" si="5"/>
        <v>59352.25</v>
      </c>
      <c r="H68" s="191">
        <f t="shared" si="4"/>
        <v>4.0337982132101144E-2</v>
      </c>
    </row>
    <row r="69" spans="1:8" ht="15.75">
      <c r="A69" s="189" t="s">
        <v>200</v>
      </c>
      <c r="B69" s="189">
        <v>300</v>
      </c>
      <c r="C69" s="189">
        <v>82.33</v>
      </c>
      <c r="D69" s="189">
        <v>160.30000000000001</v>
      </c>
      <c r="E69" s="190">
        <v>48090</v>
      </c>
      <c r="F69" s="190">
        <v>23390</v>
      </c>
      <c r="G69" s="190">
        <f t="shared" si="5"/>
        <v>24700</v>
      </c>
      <c r="H69" s="191">
        <f t="shared" si="4"/>
        <v>0.94696356275303639</v>
      </c>
    </row>
    <row r="70" spans="1:8" ht="15.75">
      <c r="A70" s="189" t="s">
        <v>201</v>
      </c>
      <c r="B70" s="189">
        <v>10</v>
      </c>
      <c r="C70" s="190">
        <v>3719.2</v>
      </c>
      <c r="D70" s="190">
        <v>5011.05</v>
      </c>
      <c r="E70" s="190">
        <v>50110.5</v>
      </c>
      <c r="F70" s="190">
        <v>12918.5</v>
      </c>
      <c r="G70" s="190">
        <f t="shared" si="5"/>
        <v>37192</v>
      </c>
      <c r="H70" s="191">
        <f t="shared" si="4"/>
        <v>0.34734620348462036</v>
      </c>
    </row>
    <row r="71" spans="1:8" ht="15.75">
      <c r="A71" s="189" t="s">
        <v>202</v>
      </c>
      <c r="B71" s="189">
        <v>25</v>
      </c>
      <c r="C71" s="189">
        <v>869.04</v>
      </c>
      <c r="D71" s="190">
        <v>1560.05</v>
      </c>
      <c r="E71" s="190">
        <v>39001.25</v>
      </c>
      <c r="F71" s="190">
        <v>17275.2</v>
      </c>
      <c r="G71" s="190">
        <f t="shared" si="5"/>
        <v>21726.05</v>
      </c>
      <c r="H71" s="191">
        <f t="shared" si="4"/>
        <v>0.79513763431456719</v>
      </c>
    </row>
    <row r="72" spans="1:8" ht="15.75">
      <c r="A72" s="189" t="s">
        <v>203</v>
      </c>
      <c r="B72" s="189">
        <v>22</v>
      </c>
      <c r="C72" s="190">
        <v>2471.85</v>
      </c>
      <c r="D72" s="190">
        <v>2597.65</v>
      </c>
      <c r="E72" s="190">
        <v>57148.3</v>
      </c>
      <c r="F72" s="190">
        <v>2767.55</v>
      </c>
      <c r="G72" s="190">
        <f t="shared" si="5"/>
        <v>54380.75</v>
      </c>
      <c r="H72" s="191">
        <f t="shared" si="4"/>
        <v>5.08920895721372E-2</v>
      </c>
    </row>
    <row r="73" spans="1:8" ht="15.75">
      <c r="A73" s="189" t="s">
        <v>204</v>
      </c>
      <c r="B73" s="189">
        <v>61</v>
      </c>
      <c r="C73" s="189">
        <v>488.84</v>
      </c>
      <c r="D73" s="189">
        <v>574.85</v>
      </c>
      <c r="E73" s="190">
        <v>35065.85</v>
      </c>
      <c r="F73" s="190">
        <v>5246.9</v>
      </c>
      <c r="G73" s="189">
        <f t="shared" si="5"/>
        <v>29818.949999999997</v>
      </c>
      <c r="H73" s="191">
        <f t="shared" si="4"/>
        <v>0.17595857667691184</v>
      </c>
    </row>
    <row r="74" spans="1:8" ht="15.75">
      <c r="A74" s="189" t="s">
        <v>307</v>
      </c>
      <c r="B74" s="189">
        <v>20</v>
      </c>
      <c r="C74" s="189">
        <v>1000</v>
      </c>
      <c r="D74" s="190">
        <v>1125.3800000000001</v>
      </c>
      <c r="E74" s="190">
        <v>22507.599999999999</v>
      </c>
      <c r="F74" s="189">
        <v>0</v>
      </c>
      <c r="G74" s="190">
        <f t="shared" si="5"/>
        <v>22507.599999999999</v>
      </c>
      <c r="H74" s="191">
        <f t="shared" si="4"/>
        <v>0</v>
      </c>
    </row>
    <row r="75" spans="1:8" ht="15.75">
      <c r="A75" s="189" t="s">
        <v>299</v>
      </c>
      <c r="B75" s="189">
        <v>39</v>
      </c>
      <c r="C75" s="189">
        <v>963.42</v>
      </c>
      <c r="D75" s="189">
        <v>905.5</v>
      </c>
      <c r="E75" s="190">
        <v>35314.5</v>
      </c>
      <c r="F75" s="190">
        <v>-2258.6999999999998</v>
      </c>
      <c r="G75" s="190">
        <f t="shared" si="5"/>
        <v>37573.199999999997</v>
      </c>
      <c r="H75" s="191">
        <f t="shared" si="4"/>
        <v>-6.0114656191114946E-2</v>
      </c>
    </row>
    <row r="76" spans="1:8" ht="15.75">
      <c r="A76" s="189" t="s">
        <v>206</v>
      </c>
      <c r="B76" s="189">
        <v>68</v>
      </c>
      <c r="C76" s="190">
        <v>1122.83</v>
      </c>
      <c r="D76" s="190">
        <v>1308</v>
      </c>
      <c r="E76" s="190">
        <v>88944</v>
      </c>
      <c r="F76" s="190">
        <v>12591.6</v>
      </c>
      <c r="G76" s="190">
        <f t="shared" si="5"/>
        <v>76352.399999999994</v>
      </c>
      <c r="H76" s="191">
        <f t="shared" si="4"/>
        <v>0.16491426595627645</v>
      </c>
    </row>
    <row r="77" spans="1:8" ht="15.75">
      <c r="A77" s="189" t="s">
        <v>207</v>
      </c>
      <c r="B77" s="189">
        <v>105</v>
      </c>
      <c r="C77" s="189">
        <v>304.5</v>
      </c>
      <c r="D77" s="189">
        <v>572.85</v>
      </c>
      <c r="E77" s="190">
        <v>60149.25</v>
      </c>
      <c r="F77" s="190">
        <v>28176.35</v>
      </c>
      <c r="G77" s="190">
        <f t="shared" si="5"/>
        <v>31972.9</v>
      </c>
      <c r="H77" s="191">
        <f t="shared" si="4"/>
        <v>0.88125725223548679</v>
      </c>
    </row>
    <row r="78" spans="1:8" ht="15.75">
      <c r="A78" s="189" t="s">
        <v>262</v>
      </c>
      <c r="B78" s="189">
        <v>10</v>
      </c>
      <c r="C78" s="190">
        <v>5284</v>
      </c>
      <c r="D78" s="190">
        <v>5919.84</v>
      </c>
      <c r="E78" s="190">
        <v>59198.400000000001</v>
      </c>
      <c r="F78" s="190">
        <v>6358.4</v>
      </c>
      <c r="G78" s="190">
        <f t="shared" si="5"/>
        <v>52840</v>
      </c>
      <c r="H78" s="191">
        <f t="shared" si="4"/>
        <v>0.12033308099924299</v>
      </c>
    </row>
    <row r="79" spans="1:8" ht="15.75">
      <c r="A79" s="189" t="s">
        <v>306</v>
      </c>
      <c r="B79" s="189">
        <v>5</v>
      </c>
      <c r="C79" s="190">
        <v>4802</v>
      </c>
      <c r="D79" s="190">
        <v>5879</v>
      </c>
      <c r="E79" s="190">
        <v>29395</v>
      </c>
      <c r="F79" s="190">
        <v>5385</v>
      </c>
      <c r="G79" s="190">
        <f t="shared" si="5"/>
        <v>24010</v>
      </c>
      <c r="H79" s="191">
        <f t="shared" si="4"/>
        <v>0.22428154935443564</v>
      </c>
    </row>
    <row r="80" spans="1:8" ht="15.75">
      <c r="A80" s="189" t="s">
        <v>210</v>
      </c>
      <c r="B80" s="189">
        <v>10</v>
      </c>
      <c r="C80" s="190">
        <v>5002.45</v>
      </c>
      <c r="D80" s="190">
        <v>5876.6</v>
      </c>
      <c r="E80" s="190">
        <v>58766</v>
      </c>
      <c r="F80" s="190">
        <v>8741.5</v>
      </c>
      <c r="G80" s="190">
        <f t="shared" si="5"/>
        <v>50024.5</v>
      </c>
      <c r="H80" s="191">
        <f t="shared" si="4"/>
        <v>0.17474437525612449</v>
      </c>
    </row>
    <row r="81" spans="1:8" ht="15.75">
      <c r="A81" s="189" t="s">
        <v>211</v>
      </c>
      <c r="B81" s="189">
        <v>35</v>
      </c>
      <c r="C81" s="189">
        <v>984.23</v>
      </c>
      <c r="D81" s="190">
        <v>3766.45</v>
      </c>
      <c r="E81" s="190">
        <v>131825.75</v>
      </c>
      <c r="F81" s="190">
        <v>97377.7</v>
      </c>
      <c r="G81" s="190">
        <f t="shared" si="5"/>
        <v>34448.050000000003</v>
      </c>
      <c r="H81" s="191">
        <f t="shared" si="4"/>
        <v>2.8267986141450674</v>
      </c>
    </row>
    <row r="82" spans="1:8" ht="15.75">
      <c r="A82" s="189" t="s">
        <v>322</v>
      </c>
      <c r="B82" s="189">
        <v>48</v>
      </c>
      <c r="C82" s="189">
        <v>575.6</v>
      </c>
      <c r="D82" s="189">
        <v>515.85</v>
      </c>
      <c r="E82" s="190">
        <v>24760.799999999999</v>
      </c>
      <c r="F82" s="190">
        <v>-2868.15</v>
      </c>
      <c r="G82" s="190">
        <f t="shared" si="5"/>
        <v>27628.95</v>
      </c>
      <c r="H82" s="191">
        <f t="shared" si="4"/>
        <v>-0.10380959102680341</v>
      </c>
    </row>
    <row r="83" spans="1:8" ht="15.75">
      <c r="A83" s="189" t="s">
        <v>292</v>
      </c>
      <c r="B83" s="189">
        <v>32</v>
      </c>
      <c r="C83" s="189">
        <v>752.33</v>
      </c>
      <c r="D83" s="190">
        <v>1216.95</v>
      </c>
      <c r="E83" s="190">
        <v>38942.400000000001</v>
      </c>
      <c r="F83" s="190">
        <v>14867.9</v>
      </c>
      <c r="G83" s="190">
        <f t="shared" si="5"/>
        <v>24074.5</v>
      </c>
      <c r="H83" s="191">
        <f t="shared" ref="H83:H114" si="6">F83/G83</f>
        <v>0.61757876591414151</v>
      </c>
    </row>
    <row r="84" spans="1:8" ht="15.75">
      <c r="A84" s="189" t="s">
        <v>212</v>
      </c>
      <c r="B84" s="189">
        <v>135</v>
      </c>
      <c r="C84" s="189">
        <v>501.84</v>
      </c>
      <c r="D84" s="190">
        <v>1051.5999999999999</v>
      </c>
      <c r="E84" s="190">
        <v>141966</v>
      </c>
      <c r="F84" s="190">
        <v>74217.7</v>
      </c>
      <c r="G84" s="190">
        <f t="shared" si="5"/>
        <v>67748.3</v>
      </c>
      <c r="H84" s="191">
        <f t="shared" si="6"/>
        <v>1.0954916949945606</v>
      </c>
    </row>
    <row r="85" spans="1:8" ht="15.75">
      <c r="A85" s="189" t="s">
        <v>293</v>
      </c>
      <c r="B85" s="189">
        <v>94</v>
      </c>
      <c r="C85" s="189">
        <v>333.22</v>
      </c>
      <c r="D85" s="189">
        <v>407.2</v>
      </c>
      <c r="E85" s="190">
        <v>38276.800000000003</v>
      </c>
      <c r="F85" s="190">
        <v>6954</v>
      </c>
      <c r="G85" s="189">
        <f t="shared" si="5"/>
        <v>31322.800000000003</v>
      </c>
      <c r="H85" s="191">
        <f t="shared" si="6"/>
        <v>0.22201080363185921</v>
      </c>
    </row>
    <row r="86" spans="1:8" ht="15.75">
      <c r="A86" s="189" t="s">
        <v>308</v>
      </c>
      <c r="B86" s="189">
        <v>61</v>
      </c>
      <c r="C86" s="189">
        <v>481.95</v>
      </c>
      <c r="D86" s="189">
        <v>485.85</v>
      </c>
      <c r="E86" s="190">
        <v>29636.85</v>
      </c>
      <c r="F86" s="189">
        <v>237.9</v>
      </c>
      <c r="G86" s="190">
        <f t="shared" si="5"/>
        <v>29398.949999999997</v>
      </c>
      <c r="H86" s="191">
        <f t="shared" si="6"/>
        <v>8.0921257391845629E-3</v>
      </c>
    </row>
    <row r="87" spans="1:8" ht="15.75">
      <c r="A87" s="189" t="s">
        <v>323</v>
      </c>
      <c r="B87" s="189">
        <v>57</v>
      </c>
      <c r="C87" s="189">
        <v>468.04</v>
      </c>
      <c r="D87" s="189">
        <v>763.55</v>
      </c>
      <c r="E87" s="190">
        <v>43522.35</v>
      </c>
      <c r="F87" s="190">
        <v>16843.849999999999</v>
      </c>
      <c r="G87" s="190">
        <f t="shared" si="5"/>
        <v>26678.5</v>
      </c>
      <c r="H87" s="191">
        <f t="shared" si="6"/>
        <v>0.63136420713308461</v>
      </c>
    </row>
    <row r="88" spans="1:8" ht="15.75">
      <c r="A88" s="189" t="s">
        <v>214</v>
      </c>
      <c r="B88" s="189">
        <v>38</v>
      </c>
      <c r="C88" s="189">
        <v>684.41</v>
      </c>
      <c r="D88" s="189">
        <v>860.9</v>
      </c>
      <c r="E88" s="190">
        <v>32714.2</v>
      </c>
      <c r="F88" s="190">
        <v>6706.65</v>
      </c>
      <c r="G88" s="190">
        <f t="shared" si="5"/>
        <v>26007.550000000003</v>
      </c>
      <c r="H88" s="191">
        <f t="shared" si="6"/>
        <v>0.25787319451466972</v>
      </c>
    </row>
    <row r="89" spans="1:8" ht="15.75">
      <c r="A89" s="189" t="s">
        <v>302</v>
      </c>
      <c r="B89" s="189">
        <v>775</v>
      </c>
      <c r="C89" s="189">
        <v>99.29</v>
      </c>
      <c r="D89" s="189">
        <v>312.05</v>
      </c>
      <c r="E89" s="190">
        <v>241838.75</v>
      </c>
      <c r="F89" s="190">
        <v>164887.75</v>
      </c>
      <c r="G89" s="190">
        <f t="shared" si="5"/>
        <v>76951</v>
      </c>
      <c r="H89" s="191">
        <f t="shared" si="6"/>
        <v>2.1427629270574782</v>
      </c>
    </row>
    <row r="90" spans="1:8" ht="15.75">
      <c r="A90" s="189" t="s">
        <v>215</v>
      </c>
      <c r="B90" s="189">
        <v>1050</v>
      </c>
      <c r="C90" s="189">
        <v>40.479999999999997</v>
      </c>
      <c r="D90" s="189">
        <v>112</v>
      </c>
      <c r="E90" s="190">
        <v>117600</v>
      </c>
      <c r="F90" s="190">
        <v>75099.75</v>
      </c>
      <c r="G90" s="189">
        <f t="shared" si="5"/>
        <v>42500.25</v>
      </c>
      <c r="H90" s="191">
        <f t="shared" si="6"/>
        <v>1.7670425468085482</v>
      </c>
    </row>
    <row r="91" spans="1:8" ht="15.75">
      <c r="A91" s="189" t="s">
        <v>216</v>
      </c>
      <c r="B91" s="189">
        <v>25</v>
      </c>
      <c r="C91" s="190">
        <v>3332.45</v>
      </c>
      <c r="D91" s="190">
        <v>3302.25</v>
      </c>
      <c r="E91" s="190">
        <v>82556.25</v>
      </c>
      <c r="F91" s="189">
        <v>-755</v>
      </c>
      <c r="G91" s="190">
        <f t="shared" si="5"/>
        <v>83311.25</v>
      </c>
      <c r="H91" s="191">
        <f t="shared" si="6"/>
        <v>-9.0624015364071473E-3</v>
      </c>
    </row>
    <row r="92" spans="1:8" ht="15.75">
      <c r="A92" s="189" t="s">
        <v>318</v>
      </c>
      <c r="B92" s="189">
        <v>45</v>
      </c>
      <c r="C92" s="190">
        <v>1162.8399999999999</v>
      </c>
      <c r="D92" s="190">
        <v>1130.8499999999999</v>
      </c>
      <c r="E92" s="190">
        <v>50888.25</v>
      </c>
      <c r="F92" s="190">
        <v>-1439.6</v>
      </c>
      <c r="G92" s="190">
        <f t="shared" si="5"/>
        <v>52327.85</v>
      </c>
      <c r="H92" s="191">
        <f t="shared" si="6"/>
        <v>-2.7511162793808649E-2</v>
      </c>
    </row>
    <row r="93" spans="1:8" ht="15.75">
      <c r="A93" s="189" t="s">
        <v>217</v>
      </c>
      <c r="B93" s="189">
        <v>21</v>
      </c>
      <c r="C93" s="190">
        <v>2510.58</v>
      </c>
      <c r="D93" s="190">
        <v>3048.6</v>
      </c>
      <c r="E93" s="190">
        <v>64020.6</v>
      </c>
      <c r="F93" s="190">
        <v>11298.35</v>
      </c>
      <c r="G93" s="190">
        <f t="shared" si="5"/>
        <v>52722.25</v>
      </c>
      <c r="H93" s="191">
        <f t="shared" si="6"/>
        <v>0.21429946559564511</v>
      </c>
    </row>
    <row r="94" spans="1:8" ht="15.75">
      <c r="A94" s="189" t="s">
        <v>220</v>
      </c>
      <c r="B94" s="189">
        <v>61</v>
      </c>
      <c r="C94" s="189">
        <v>401.11</v>
      </c>
      <c r="D94" s="189">
        <v>581.79999999999995</v>
      </c>
      <c r="E94" s="190">
        <v>35489.800000000003</v>
      </c>
      <c r="F94" s="190">
        <v>11022.05</v>
      </c>
      <c r="G94" s="190">
        <f t="shared" si="5"/>
        <v>24467.750000000004</v>
      </c>
      <c r="H94" s="191">
        <f t="shared" si="6"/>
        <v>0.45047256081985459</v>
      </c>
    </row>
    <row r="95" spans="1:8" ht="15.75">
      <c r="A95" s="189" t="s">
        <v>221</v>
      </c>
      <c r="B95" s="189">
        <v>80</v>
      </c>
      <c r="C95" s="189">
        <v>223.81</v>
      </c>
      <c r="D95" s="189">
        <v>802.55</v>
      </c>
      <c r="E95" s="190">
        <v>64204</v>
      </c>
      <c r="F95" s="190">
        <v>46299</v>
      </c>
      <c r="G95" s="190">
        <f t="shared" ref="G95:G96" si="7">E95-F95</f>
        <v>17905</v>
      </c>
      <c r="H95" s="191">
        <f t="shared" ref="H95:H96" si="8">F95/G95</f>
        <v>2.585814018430606</v>
      </c>
    </row>
    <row r="96" spans="1:8" ht="15.75">
      <c r="A96" s="189" t="s">
        <v>300</v>
      </c>
      <c r="B96" s="189">
        <v>525</v>
      </c>
      <c r="C96" s="189">
        <v>38.97</v>
      </c>
      <c r="D96" s="189">
        <v>16.25</v>
      </c>
      <c r="E96" s="190">
        <v>8531.25</v>
      </c>
      <c r="F96" s="190">
        <v>-11926.25</v>
      </c>
      <c r="G96" s="190">
        <f t="shared" si="7"/>
        <v>20457.5</v>
      </c>
      <c r="H96" s="191">
        <f t="shared" si="8"/>
        <v>-0.58297690333618479</v>
      </c>
    </row>
    <row r="97" spans="1:8">
      <c r="A97" s="149"/>
      <c r="B97" s="150"/>
      <c r="C97" s="150"/>
      <c r="D97" s="150"/>
      <c r="E97" s="150"/>
      <c r="F97" s="150"/>
      <c r="G97" s="151"/>
      <c r="H97" s="174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9440</v>
      </c>
      <c r="C104" s="45"/>
      <c r="D104" s="45"/>
      <c r="E104" s="45">
        <f>SUM(E2:E103)</f>
        <v>5267757.3999999985</v>
      </c>
      <c r="F104" s="45">
        <f>SUM(F2:F103)</f>
        <v>1515164.9999999998</v>
      </c>
      <c r="G104" s="45">
        <f>SUM(G2:G103)</f>
        <v>3752592.4</v>
      </c>
      <c r="H104" s="176">
        <f>F104/G104</f>
        <v>0.40376487465038829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2757-D4F4-4C60-BD03-A8563E068D67}">
  <dimension ref="A1:I18"/>
  <sheetViews>
    <sheetView workbookViewId="0">
      <selection activeCell="C16" sqref="C16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39" t="s">
        <v>234</v>
      </c>
      <c r="B2" s="140" t="s">
        <v>235</v>
      </c>
      <c r="C2" s="141">
        <v>4080.9659999999999</v>
      </c>
      <c r="D2" s="140">
        <v>85.05</v>
      </c>
      <c r="E2" s="140">
        <v>68.607799999999997</v>
      </c>
      <c r="F2" s="141">
        <v>279986.10960000003</v>
      </c>
      <c r="G2" s="141">
        <v>347086.15830000001</v>
      </c>
      <c r="H2" s="141">
        <v>67100.048699999999</v>
      </c>
      <c r="I2" s="147">
        <f>H2/F2</f>
        <v>0.23965492000964606</v>
      </c>
    </row>
    <row r="3" spans="1:9">
      <c r="A3" s="139" t="s">
        <v>236</v>
      </c>
      <c r="B3" s="140" t="s">
        <v>237</v>
      </c>
      <c r="C3" s="141">
        <v>14235.332</v>
      </c>
      <c r="D3" s="140">
        <v>81.28</v>
      </c>
      <c r="E3" s="140">
        <v>47.766100000000002</v>
      </c>
      <c r="F3" s="141">
        <v>679966.92570000002</v>
      </c>
      <c r="G3" s="141">
        <v>1157047.7849999999</v>
      </c>
      <c r="H3" s="141">
        <v>477080.85930000001</v>
      </c>
      <c r="I3" s="147">
        <f t="shared" ref="I3:I18" si="0">H3/F3</f>
        <v>0.70162362501508946</v>
      </c>
    </row>
    <row r="4" spans="1:9">
      <c r="A4" s="139" t="s">
        <v>238</v>
      </c>
      <c r="B4" s="140" t="s">
        <v>237</v>
      </c>
      <c r="C4" s="141">
        <v>10832.837</v>
      </c>
      <c r="D4" s="140">
        <v>29.21</v>
      </c>
      <c r="E4" s="140">
        <v>26.307600000000001</v>
      </c>
      <c r="F4" s="141">
        <v>284985.75540000002</v>
      </c>
      <c r="G4" s="141">
        <v>316427.16879999998</v>
      </c>
      <c r="H4" s="141">
        <v>31441.413400000001</v>
      </c>
      <c r="I4" s="147">
        <f t="shared" si="0"/>
        <v>0.1103262629946872</v>
      </c>
    </row>
    <row r="5" spans="1:9">
      <c r="A5" s="139" t="s">
        <v>303</v>
      </c>
      <c r="B5" s="140" t="s">
        <v>241</v>
      </c>
      <c r="C5" s="141">
        <v>1857.5519999999999</v>
      </c>
      <c r="D5" s="140">
        <v>601.32680000000005</v>
      </c>
      <c r="E5" s="140">
        <v>366.02140000000003</v>
      </c>
      <c r="F5" s="141">
        <v>679903.69869999995</v>
      </c>
      <c r="G5" s="141">
        <v>1116995.8</v>
      </c>
      <c r="H5" s="141">
        <v>437092.10129999998</v>
      </c>
      <c r="I5" s="147">
        <f t="shared" si="0"/>
        <v>0.6428735453796407</v>
      </c>
    </row>
    <row r="6" spans="1:9">
      <c r="A6" s="139" t="s">
        <v>242</v>
      </c>
      <c r="B6" s="140" t="s">
        <v>237</v>
      </c>
      <c r="C6" s="141">
        <v>4306.576</v>
      </c>
      <c r="D6" s="140">
        <v>104.68600000000001</v>
      </c>
      <c r="E6" s="140">
        <v>44.3917</v>
      </c>
      <c r="F6" s="141">
        <v>191176.2298</v>
      </c>
      <c r="G6" s="141">
        <v>450838.21509999997</v>
      </c>
      <c r="H6" s="141">
        <v>259661.9853</v>
      </c>
      <c r="I6" s="147">
        <f t="shared" si="0"/>
        <v>1.358233633813402</v>
      </c>
    </row>
    <row r="7" spans="1:9">
      <c r="A7" s="139" t="s">
        <v>272</v>
      </c>
      <c r="B7" s="140" t="s">
        <v>235</v>
      </c>
      <c r="C7" s="141">
        <v>5805.7370000000001</v>
      </c>
      <c r="D7" s="140">
        <v>95.149000000000001</v>
      </c>
      <c r="E7" s="140">
        <v>41.940399999999997</v>
      </c>
      <c r="F7" s="141">
        <v>243495.1642</v>
      </c>
      <c r="G7" s="141">
        <v>552410.06980000006</v>
      </c>
      <c r="H7" s="141">
        <v>308914.9056</v>
      </c>
      <c r="I7" s="147">
        <f t="shared" si="0"/>
        <v>1.2686695713852703</v>
      </c>
    </row>
    <row r="8" spans="1:9">
      <c r="A8" s="139" t="s">
        <v>244</v>
      </c>
      <c r="B8" s="140" t="s">
        <v>233</v>
      </c>
      <c r="C8" s="141">
        <v>5841.7389999999996</v>
      </c>
      <c r="D8" s="140">
        <v>25.529599999999999</v>
      </c>
      <c r="E8" s="140">
        <v>23.964300000000001</v>
      </c>
      <c r="F8" s="141">
        <v>139992.99739999999</v>
      </c>
      <c r="G8" s="141">
        <v>149137.26</v>
      </c>
      <c r="H8" s="141">
        <v>9144.2625000000007</v>
      </c>
      <c r="I8" s="147">
        <f t="shared" si="0"/>
        <v>6.531942789875575E-2</v>
      </c>
    </row>
    <row r="9" spans="1:9">
      <c r="A9" s="139" t="s">
        <v>273</v>
      </c>
      <c r="B9" s="140" t="s">
        <v>233</v>
      </c>
      <c r="C9" s="141">
        <v>50507.591999999997</v>
      </c>
      <c r="D9" s="140">
        <v>10.9009</v>
      </c>
      <c r="E9" s="140">
        <v>8.8101000000000003</v>
      </c>
      <c r="F9" s="141">
        <v>444977.74819999997</v>
      </c>
      <c r="G9" s="141">
        <v>550578.20959999994</v>
      </c>
      <c r="H9" s="141">
        <v>105600.4614</v>
      </c>
      <c r="I9" s="147">
        <f t="shared" si="0"/>
        <v>0.23731627441410116</v>
      </c>
    </row>
    <row r="10" spans="1:9">
      <c r="A10" s="139" t="s">
        <v>246</v>
      </c>
      <c r="B10" s="140" t="s">
        <v>241</v>
      </c>
      <c r="C10" s="141">
        <v>38996.008999999998</v>
      </c>
      <c r="D10" s="140">
        <v>12.2677</v>
      </c>
      <c r="E10" s="140">
        <v>11.295500000000001</v>
      </c>
      <c r="F10" s="141">
        <v>440477.98239999998</v>
      </c>
      <c r="G10" s="141">
        <v>478391.33960000001</v>
      </c>
      <c r="H10" s="141">
        <v>37913.357199999999</v>
      </c>
      <c r="I10" s="147">
        <f t="shared" si="0"/>
        <v>8.6073217538421051E-2</v>
      </c>
    </row>
    <row r="11" spans="1:9">
      <c r="A11" s="139" t="s">
        <v>247</v>
      </c>
      <c r="B11" s="140" t="s">
        <v>241</v>
      </c>
      <c r="C11" s="141">
        <v>4001.9209999999998</v>
      </c>
      <c r="D11" s="140">
        <v>10.2949</v>
      </c>
      <c r="E11" s="140">
        <v>10.1196</v>
      </c>
      <c r="F11" s="141">
        <v>40497.974300000002</v>
      </c>
      <c r="G11" s="141">
        <v>41199.376499999998</v>
      </c>
      <c r="H11" s="140">
        <v>701.40219999999999</v>
      </c>
      <c r="I11" s="147">
        <f t="shared" si="0"/>
        <v>1.7319439110810044E-2</v>
      </c>
    </row>
    <row r="12" spans="1:9">
      <c r="A12" s="139" t="s">
        <v>250</v>
      </c>
      <c r="B12" s="140" t="s">
        <v>251</v>
      </c>
      <c r="C12" s="141">
        <v>18576.047999999999</v>
      </c>
      <c r="D12" s="140">
        <v>59.631999999999998</v>
      </c>
      <c r="E12" s="140">
        <v>43.923499999999997</v>
      </c>
      <c r="F12" s="141">
        <v>815925.51049999997</v>
      </c>
      <c r="G12" s="141">
        <v>1107726.8943</v>
      </c>
      <c r="H12" s="141">
        <v>291801.38380000001</v>
      </c>
      <c r="I12" s="147">
        <f t="shared" si="0"/>
        <v>0.35763238193298286</v>
      </c>
    </row>
    <row r="13" spans="1:9">
      <c r="A13" s="139" t="s">
        <v>274</v>
      </c>
      <c r="B13" s="140" t="s">
        <v>233</v>
      </c>
      <c r="C13" s="141">
        <v>6809.741</v>
      </c>
      <c r="D13" s="140">
        <v>35.130000000000003</v>
      </c>
      <c r="E13" s="140">
        <v>35.241999999999997</v>
      </c>
      <c r="F13" s="141">
        <v>239988.8371</v>
      </c>
      <c r="G13" s="141">
        <v>239226.20129999999</v>
      </c>
      <c r="H13" s="140">
        <v>-762.63580000000002</v>
      </c>
      <c r="I13" s="147">
        <f t="shared" si="0"/>
        <v>-3.1777969726242737E-3</v>
      </c>
    </row>
    <row r="14" spans="1:9">
      <c r="A14" s="139" t="s">
        <v>253</v>
      </c>
      <c r="B14" s="140" t="s">
        <v>235</v>
      </c>
      <c r="C14" s="141">
        <v>2207.7739999999999</v>
      </c>
      <c r="D14" s="140">
        <v>156.8776</v>
      </c>
      <c r="E14" s="140">
        <v>145.09700000000001</v>
      </c>
      <c r="F14" s="141">
        <v>320341.30589999998</v>
      </c>
      <c r="G14" s="141">
        <v>346350.28649999999</v>
      </c>
      <c r="H14" s="141">
        <v>26008.980500000001</v>
      </c>
      <c r="I14" s="147">
        <f t="shared" si="0"/>
        <v>8.1191466791732281E-2</v>
      </c>
    </row>
    <row r="15" spans="1:9">
      <c r="A15" s="142" t="s">
        <v>255</v>
      </c>
      <c r="B15" s="143" t="s">
        <v>241</v>
      </c>
      <c r="C15" s="144">
        <v>18996.168000000001</v>
      </c>
      <c r="D15" s="143">
        <v>15.9968</v>
      </c>
      <c r="E15" s="143">
        <v>9.4700000000000006</v>
      </c>
      <c r="F15" s="144">
        <v>179893.71100000001</v>
      </c>
      <c r="G15" s="144">
        <v>303877.90029999998</v>
      </c>
      <c r="H15" s="144">
        <v>123984.1893</v>
      </c>
      <c r="I15" s="147">
        <f t="shared" si="0"/>
        <v>0.68920802517659996</v>
      </c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187055.99200000003</v>
      </c>
      <c r="D18" s="75"/>
      <c r="E18" s="75"/>
      <c r="F18" s="75">
        <f t="shared" ref="F18:H18" si="1">SUM(F2:F15)</f>
        <v>4981609.9502000008</v>
      </c>
      <c r="G18" s="75">
        <f t="shared" si="1"/>
        <v>7157292.6650999999</v>
      </c>
      <c r="H18" s="75">
        <f t="shared" si="1"/>
        <v>2175682.7146999999</v>
      </c>
      <c r="I18" s="53">
        <f t="shared" si="0"/>
        <v>0.43674288763066466</v>
      </c>
    </row>
  </sheetData>
  <hyperlinks>
    <hyperlink ref="A2" r:id="rId1" location="/mf/1831632/15690/NULL" xr:uid="{79758487-ABFE-48D1-A8DA-B13195857CD3}"/>
    <hyperlink ref="A3" r:id="rId2" location="/mf/1831632/22335/NULL" xr:uid="{1FE50FD0-DAFA-4A5F-86DE-27C4E0F56148}"/>
    <hyperlink ref="A4" r:id="rId3" location="/mf/1831632/38817/NULL" xr:uid="{A0F8ED2F-CFD6-4388-99C9-079473B756C3}"/>
    <hyperlink ref="A5" r:id="rId4" location="/mf/1831632/16071/NULL" xr:uid="{916B6357-8224-4AEA-9BC2-272372F37FC4}"/>
    <hyperlink ref="A6" r:id="rId5" location="/mf/1831632/16617/NULL" xr:uid="{DC6A38F9-A823-4179-9322-20502BD7210D}"/>
    <hyperlink ref="A7" r:id="rId6" location="/mf/1831632/17134/NULL" xr:uid="{E2FA1BE5-08A3-4FFF-8022-C999DF22D5D2}"/>
    <hyperlink ref="A8" r:id="rId7" location="/mf/1831632/38228/NULL" xr:uid="{69BF535A-2FB6-4954-A6DC-A4DD719A7C16}"/>
    <hyperlink ref="A9" r:id="rId8" location="/mf/1831632/42135/NULL" xr:uid="{55F27ED3-513D-4765-96A0-09CCDC7E4C5D}"/>
    <hyperlink ref="A10" r:id="rId9" location="/mf/1831632/41574/NULL" xr:uid="{A5D850D3-17A9-46CF-AD1E-DAEC5F3D92C4}"/>
    <hyperlink ref="A11" r:id="rId10" location="/mf/1831632/41937/NULL" xr:uid="{757C0848-6D19-456F-ACC1-85E5CECF5FC2}"/>
    <hyperlink ref="A12" r:id="rId11" location="/mf/1831632/19701/NULL" xr:uid="{91461427-BC81-48ED-9A97-CDAFDC97788C}"/>
    <hyperlink ref="A13" r:id="rId12" location="/mf/1831632/17348/NULL" xr:uid="{131C8990-2D9A-423A-A6D2-DA6C4E633A42}"/>
    <hyperlink ref="A14" r:id="rId13" location="/mf/1831632/17375/NULL" xr:uid="{1EBF5378-B0AE-4C57-AB0B-A627497A86D7}"/>
    <hyperlink ref="A15" r:id="rId14" location="/mf/1831632/36491/NULL" xr:uid="{E448CA93-5250-4C48-9BE0-76BD55B96665}"/>
  </hyperlinks>
  <pageMargins left="0.7" right="0.7" top="0.75" bottom="0.75" header="0.3" footer="0.3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2223-DEC0-409D-9C15-E3005DFB3AF2}">
  <dimension ref="A1:I104"/>
  <sheetViews>
    <sheetView workbookViewId="0">
      <pane xSplit="1" ySplit="1" topLeftCell="B92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78" t="s">
        <v>137</v>
      </c>
      <c r="D1" s="178" t="s">
        <v>138</v>
      </c>
      <c r="E1" s="178" t="s">
        <v>140</v>
      </c>
      <c r="F1" s="178" t="s">
        <v>141</v>
      </c>
      <c r="G1" s="148" t="s">
        <v>129</v>
      </c>
      <c r="H1" s="173" t="s">
        <v>142</v>
      </c>
    </row>
    <row r="2" spans="1:8">
      <c r="A2" s="149" t="s">
        <v>143</v>
      </c>
      <c r="B2" s="150">
        <v>100</v>
      </c>
      <c r="C2" s="150">
        <v>109.73</v>
      </c>
      <c r="D2" s="150">
        <v>103</v>
      </c>
      <c r="E2" s="150">
        <v>10300</v>
      </c>
      <c r="F2" s="150">
        <v>-672.5</v>
      </c>
      <c r="G2" s="151">
        <f t="shared" ref="G2:G33" si="0">E2-F2</f>
        <v>10972.5</v>
      </c>
      <c r="H2" s="174">
        <f t="shared" ref="H2:H13" si="1">F2/G2</f>
        <v>-6.1289587605377081E-2</v>
      </c>
    </row>
    <row r="3" spans="1:8">
      <c r="A3" s="149" t="s">
        <v>264</v>
      </c>
      <c r="B3" s="150">
        <v>13</v>
      </c>
      <c r="C3" s="150">
        <v>133.75</v>
      </c>
      <c r="D3" s="150">
        <v>448.3</v>
      </c>
      <c r="E3" s="150">
        <v>5827.9</v>
      </c>
      <c r="F3" s="150">
        <v>4089.15</v>
      </c>
      <c r="G3" s="151">
        <f t="shared" si="0"/>
        <v>1738.7499999999995</v>
      </c>
      <c r="H3" s="174">
        <f t="shared" si="1"/>
        <v>2.3517757009345801</v>
      </c>
    </row>
    <row r="4" spans="1:8">
      <c r="A4" s="149" t="s">
        <v>144</v>
      </c>
      <c r="B4" s="150">
        <v>34</v>
      </c>
      <c r="C4" s="150">
        <v>1047.74</v>
      </c>
      <c r="D4" s="150">
        <v>1329</v>
      </c>
      <c r="E4" s="150">
        <v>45186</v>
      </c>
      <c r="F4" s="150">
        <v>9562.85</v>
      </c>
      <c r="G4" s="151">
        <f t="shared" si="0"/>
        <v>35623.15</v>
      </c>
      <c r="H4" s="174">
        <f t="shared" si="1"/>
        <v>0.26844481748525889</v>
      </c>
    </row>
    <row r="5" spans="1:8">
      <c r="A5" s="149" t="s">
        <v>317</v>
      </c>
      <c r="B5" s="150">
        <v>13</v>
      </c>
      <c r="C5" s="150">
        <v>2592.56</v>
      </c>
      <c r="D5" s="150">
        <v>3360</v>
      </c>
      <c r="E5" s="150">
        <v>43680</v>
      </c>
      <c r="F5" s="150">
        <v>9976.75</v>
      </c>
      <c r="G5" s="151">
        <f t="shared" si="0"/>
        <v>33703.25</v>
      </c>
      <c r="H5" s="174">
        <f t="shared" si="1"/>
        <v>0.29601744638870137</v>
      </c>
    </row>
    <row r="6" spans="1:8">
      <c r="A6" s="149" t="s">
        <v>145</v>
      </c>
      <c r="B6" s="150">
        <v>250</v>
      </c>
      <c r="C6" s="150">
        <v>183.59</v>
      </c>
      <c r="D6" s="150">
        <v>392.15</v>
      </c>
      <c r="E6" s="150">
        <v>98037.5</v>
      </c>
      <c r="F6" s="150">
        <v>52140</v>
      </c>
      <c r="G6" s="151">
        <f t="shared" si="0"/>
        <v>45897.5</v>
      </c>
      <c r="H6" s="174">
        <f t="shared" si="1"/>
        <v>1.1360095865787896</v>
      </c>
    </row>
    <row r="7" spans="1:8">
      <c r="A7" s="149" t="s">
        <v>276</v>
      </c>
      <c r="B7" s="150">
        <v>24</v>
      </c>
      <c r="C7" s="150">
        <v>2673.7</v>
      </c>
      <c r="D7" s="150">
        <v>3237.25</v>
      </c>
      <c r="E7" s="150">
        <v>77694</v>
      </c>
      <c r="F7" s="150">
        <v>13525.2</v>
      </c>
      <c r="G7" s="151">
        <f t="shared" si="0"/>
        <v>64168.800000000003</v>
      </c>
      <c r="H7" s="174">
        <f t="shared" si="1"/>
        <v>0.21077533006694843</v>
      </c>
    </row>
    <row r="8" spans="1:8">
      <c r="A8" s="149" t="s">
        <v>277</v>
      </c>
      <c r="B8" s="150">
        <v>72</v>
      </c>
      <c r="C8" s="150">
        <v>578.16999999999996</v>
      </c>
      <c r="D8" s="150">
        <v>773.45</v>
      </c>
      <c r="E8" s="150">
        <v>55688.4</v>
      </c>
      <c r="F8" s="150">
        <v>14060.2</v>
      </c>
      <c r="G8" s="151">
        <f t="shared" si="0"/>
        <v>41628.199999999997</v>
      </c>
      <c r="H8" s="174">
        <f t="shared" si="1"/>
        <v>0.33775661690873016</v>
      </c>
    </row>
    <row r="9" spans="1:8">
      <c r="A9" s="149" t="s">
        <v>146</v>
      </c>
      <c r="B9" s="150">
        <v>66</v>
      </c>
      <c r="C9" s="150">
        <v>631.89</v>
      </c>
      <c r="D9" s="150">
        <v>926.1</v>
      </c>
      <c r="E9" s="150">
        <v>61122.6</v>
      </c>
      <c r="F9" s="150">
        <v>19417.599999999999</v>
      </c>
      <c r="G9" s="151">
        <f t="shared" si="0"/>
        <v>41705</v>
      </c>
      <c r="H9" s="174">
        <f t="shared" si="1"/>
        <v>0.46559405347080685</v>
      </c>
    </row>
    <row r="10" spans="1:8">
      <c r="A10" s="149" t="s">
        <v>147</v>
      </c>
      <c r="B10" s="150">
        <v>20</v>
      </c>
      <c r="C10" s="150">
        <v>2859.69</v>
      </c>
      <c r="D10" s="150">
        <v>4669.1000000000004</v>
      </c>
      <c r="E10" s="150">
        <v>93382</v>
      </c>
      <c r="F10" s="150">
        <v>36188.199999999997</v>
      </c>
      <c r="G10" s="151">
        <f t="shared" si="0"/>
        <v>57193.8</v>
      </c>
      <c r="H10" s="174">
        <f t="shared" si="1"/>
        <v>0.63272942172053603</v>
      </c>
    </row>
    <row r="11" spans="1:8">
      <c r="A11" s="149" t="s">
        <v>148</v>
      </c>
      <c r="B11" s="150">
        <v>6</v>
      </c>
      <c r="C11" s="150">
        <v>6624.43</v>
      </c>
      <c r="D11" s="150">
        <v>7023.9</v>
      </c>
      <c r="E11" s="150">
        <v>42143.4</v>
      </c>
      <c r="F11" s="150">
        <v>2396.85</v>
      </c>
      <c r="G11" s="151">
        <f t="shared" si="0"/>
        <v>39746.550000000003</v>
      </c>
      <c r="H11" s="174">
        <f t="shared" si="1"/>
        <v>6.0303347082954366E-2</v>
      </c>
    </row>
    <row r="12" spans="1:8">
      <c r="A12" s="149" t="s">
        <v>149</v>
      </c>
      <c r="B12" s="150">
        <v>10</v>
      </c>
      <c r="C12" s="150">
        <v>1889.87</v>
      </c>
      <c r="D12" s="150">
        <v>2286.1</v>
      </c>
      <c r="E12" s="150">
        <v>22861</v>
      </c>
      <c r="F12" s="150">
        <v>3962.35</v>
      </c>
      <c r="G12" s="151">
        <f t="shared" si="0"/>
        <v>18898.650000000001</v>
      </c>
      <c r="H12" s="174">
        <f t="shared" si="1"/>
        <v>0.20966312408558282</v>
      </c>
    </row>
    <row r="13" spans="1:8">
      <c r="A13" s="149" t="s">
        <v>152</v>
      </c>
      <c r="B13" s="150">
        <v>180</v>
      </c>
      <c r="C13" s="150">
        <v>322.89</v>
      </c>
      <c r="D13" s="150">
        <v>836.5</v>
      </c>
      <c r="E13" s="150">
        <v>150570</v>
      </c>
      <c r="F13" s="150">
        <v>92450</v>
      </c>
      <c r="G13" s="151">
        <f t="shared" si="0"/>
        <v>58120</v>
      </c>
      <c r="H13" s="174">
        <f t="shared" si="1"/>
        <v>1.5906744666207846</v>
      </c>
    </row>
    <row r="14" spans="1:8">
      <c r="A14" s="149" t="s">
        <v>310</v>
      </c>
      <c r="B14" s="150">
        <v>6</v>
      </c>
      <c r="C14" s="150">
        <v>0</v>
      </c>
      <c r="D14" s="150">
        <v>28.3</v>
      </c>
      <c r="E14" s="150">
        <v>169.8</v>
      </c>
      <c r="F14" s="150">
        <v>169.8</v>
      </c>
      <c r="G14" s="151">
        <f t="shared" si="0"/>
        <v>0</v>
      </c>
      <c r="H14" s="174"/>
    </row>
    <row r="15" spans="1:8">
      <c r="A15" s="149" t="s">
        <v>153</v>
      </c>
      <c r="B15" s="150">
        <v>61</v>
      </c>
      <c r="C15" s="150">
        <v>427.78</v>
      </c>
      <c r="D15" s="150">
        <v>567.95000000000005</v>
      </c>
      <c r="E15" s="150">
        <v>34644.949999999997</v>
      </c>
      <c r="F15" s="150">
        <v>8550.35</v>
      </c>
      <c r="G15" s="151">
        <f t="shared" si="0"/>
        <v>26094.6</v>
      </c>
      <c r="H15" s="174">
        <f>F15/G15</f>
        <v>0.32766741011550288</v>
      </c>
    </row>
    <row r="16" spans="1:8">
      <c r="A16" s="149" t="s">
        <v>154</v>
      </c>
      <c r="B16" s="150">
        <v>14</v>
      </c>
      <c r="C16" s="150">
        <v>3489.94</v>
      </c>
      <c r="D16" s="150">
        <v>4650.6000000000004</v>
      </c>
      <c r="E16" s="150">
        <v>65108.4</v>
      </c>
      <c r="F16" s="150">
        <v>16249.3</v>
      </c>
      <c r="G16" s="151">
        <f t="shared" si="0"/>
        <v>48859.100000000006</v>
      </c>
      <c r="H16" s="174">
        <v>0</v>
      </c>
    </row>
    <row r="17" spans="1:8">
      <c r="A17" s="149" t="s">
        <v>155</v>
      </c>
      <c r="B17" s="150">
        <v>180</v>
      </c>
      <c r="C17" s="150">
        <v>155.25</v>
      </c>
      <c r="D17" s="150">
        <v>114.7</v>
      </c>
      <c r="E17" s="150">
        <v>20646</v>
      </c>
      <c r="F17" s="150">
        <v>-7299</v>
      </c>
      <c r="G17" s="151">
        <f t="shared" si="0"/>
        <v>27945</v>
      </c>
      <c r="H17" s="174">
        <f t="shared" ref="H17:H48" si="2">F17/G17</f>
        <v>-0.26119162640901772</v>
      </c>
    </row>
    <row r="18" spans="1:8">
      <c r="A18" s="149" t="s">
        <v>157</v>
      </c>
      <c r="B18" s="150">
        <v>35</v>
      </c>
      <c r="C18" s="150">
        <v>827.34</v>
      </c>
      <c r="D18" s="150">
        <v>965.85</v>
      </c>
      <c r="E18" s="150">
        <v>33804.75</v>
      </c>
      <c r="F18" s="150">
        <v>4847.8999999999996</v>
      </c>
      <c r="G18" s="151">
        <f t="shared" si="0"/>
        <v>28956.85</v>
      </c>
      <c r="H18" s="174">
        <f t="shared" si="2"/>
        <v>0.16741807206239628</v>
      </c>
    </row>
    <row r="19" spans="1:8">
      <c r="A19" s="149" t="s">
        <v>158</v>
      </c>
      <c r="B19" s="150">
        <v>250</v>
      </c>
      <c r="C19" s="150">
        <v>163.66999999999999</v>
      </c>
      <c r="D19" s="150">
        <v>230.9</v>
      </c>
      <c r="E19" s="150">
        <v>57725</v>
      </c>
      <c r="F19" s="150">
        <v>16807.5</v>
      </c>
      <c r="G19" s="151">
        <f t="shared" si="0"/>
        <v>40917.5</v>
      </c>
      <c r="H19" s="174">
        <f t="shared" si="2"/>
        <v>0.41076556485611293</v>
      </c>
    </row>
    <row r="20" spans="1:8">
      <c r="A20" s="149" t="s">
        <v>159</v>
      </c>
      <c r="B20" s="150">
        <v>10</v>
      </c>
      <c r="C20" s="150">
        <v>4083.04</v>
      </c>
      <c r="D20" s="150">
        <v>4590.8</v>
      </c>
      <c r="E20" s="150">
        <v>45908</v>
      </c>
      <c r="F20" s="150">
        <v>5077.6000000000004</v>
      </c>
      <c r="G20" s="151">
        <f t="shared" si="0"/>
        <v>40830.400000000001</v>
      </c>
      <c r="H20" s="174">
        <f t="shared" si="2"/>
        <v>0.12435832125083272</v>
      </c>
    </row>
    <row r="21" spans="1:8">
      <c r="A21" s="149" t="s">
        <v>160</v>
      </c>
      <c r="B21" s="150">
        <v>35</v>
      </c>
      <c r="C21" s="150">
        <v>1545.44</v>
      </c>
      <c r="D21" s="150">
        <v>1609.55</v>
      </c>
      <c r="E21" s="150">
        <v>56334.25</v>
      </c>
      <c r="F21" s="150">
        <v>2243.75</v>
      </c>
      <c r="G21" s="151">
        <f t="shared" si="0"/>
        <v>54090.5</v>
      </c>
      <c r="H21" s="174">
        <f t="shared" si="2"/>
        <v>4.1481406161895343E-2</v>
      </c>
    </row>
    <row r="22" spans="1:8">
      <c r="A22" s="149" t="s">
        <v>279</v>
      </c>
      <c r="B22" s="150">
        <v>72</v>
      </c>
      <c r="C22" s="150">
        <v>559.89</v>
      </c>
      <c r="D22" s="150">
        <v>557.20000000000005</v>
      </c>
      <c r="E22" s="150">
        <v>40118.400000000001</v>
      </c>
      <c r="F22" s="150">
        <v>-193.65</v>
      </c>
      <c r="G22" s="151">
        <f t="shared" si="0"/>
        <v>40312.050000000003</v>
      </c>
      <c r="H22" s="174">
        <f t="shared" si="2"/>
        <v>-4.8037745537624606E-3</v>
      </c>
    </row>
    <row r="23" spans="1:8">
      <c r="A23" s="149" t="s">
        <v>161</v>
      </c>
      <c r="B23" s="150">
        <v>55</v>
      </c>
      <c r="C23" s="150">
        <v>325.14</v>
      </c>
      <c r="D23" s="150">
        <v>489.6</v>
      </c>
      <c r="E23" s="150">
        <v>26928</v>
      </c>
      <c r="F23" s="150">
        <v>9045.1</v>
      </c>
      <c r="G23" s="151">
        <f t="shared" si="0"/>
        <v>17882.900000000001</v>
      </c>
      <c r="H23" s="174">
        <f t="shared" si="2"/>
        <v>0.50579603979220367</v>
      </c>
    </row>
    <row r="24" spans="1:8">
      <c r="A24" s="149" t="s">
        <v>162</v>
      </c>
      <c r="B24" s="150">
        <v>12</v>
      </c>
      <c r="C24" s="150">
        <v>3205.4</v>
      </c>
      <c r="D24" s="150">
        <v>3533.95</v>
      </c>
      <c r="E24" s="150">
        <v>42407.4</v>
      </c>
      <c r="F24" s="150">
        <v>3942.65</v>
      </c>
      <c r="G24" s="151">
        <f t="shared" si="0"/>
        <v>38464.75</v>
      </c>
      <c r="H24" s="174">
        <f t="shared" si="2"/>
        <v>0.102500341221508</v>
      </c>
    </row>
    <row r="25" spans="1:8">
      <c r="A25" s="149" t="s">
        <v>163</v>
      </c>
      <c r="B25" s="150">
        <v>9</v>
      </c>
      <c r="C25" s="150">
        <v>4442.55</v>
      </c>
      <c r="D25" s="150">
        <v>4610.45</v>
      </c>
      <c r="E25" s="150">
        <v>41494.050000000003</v>
      </c>
      <c r="F25" s="150">
        <v>1511.1</v>
      </c>
      <c r="G25" s="151">
        <f t="shared" si="0"/>
        <v>39982.950000000004</v>
      </c>
      <c r="H25" s="174">
        <f t="shared" si="2"/>
        <v>3.7793609526060479E-2</v>
      </c>
    </row>
    <row r="26" spans="1:8">
      <c r="A26" s="149" t="s">
        <v>164</v>
      </c>
      <c r="B26" s="150">
        <v>10</v>
      </c>
      <c r="C26" s="150">
        <v>2469.04</v>
      </c>
      <c r="D26" s="150">
        <v>3699.6</v>
      </c>
      <c r="E26" s="150">
        <v>36996</v>
      </c>
      <c r="F26" s="150">
        <v>12305.65</v>
      </c>
      <c r="G26" s="151">
        <f t="shared" si="0"/>
        <v>24690.35</v>
      </c>
      <c r="H26" s="174">
        <f t="shared" si="2"/>
        <v>0.49839917214620288</v>
      </c>
    </row>
    <row r="27" spans="1:8">
      <c r="A27" s="149" t="s">
        <v>270</v>
      </c>
      <c r="B27" s="150">
        <v>61</v>
      </c>
      <c r="C27" s="150">
        <v>360.97</v>
      </c>
      <c r="D27" s="150">
        <v>302.10000000000002</v>
      </c>
      <c r="E27" s="150">
        <v>18428.099999999999</v>
      </c>
      <c r="F27" s="150">
        <v>-3591.07</v>
      </c>
      <c r="G27" s="151">
        <f t="shared" si="0"/>
        <v>22019.17</v>
      </c>
      <c r="H27" s="174">
        <f t="shared" si="2"/>
        <v>-0.16308834529185254</v>
      </c>
    </row>
    <row r="28" spans="1:8">
      <c r="A28" s="149" t="s">
        <v>166</v>
      </c>
      <c r="B28" s="150">
        <v>31</v>
      </c>
      <c r="C28" s="150">
        <v>1356.45</v>
      </c>
      <c r="D28" s="150">
        <v>1488.9</v>
      </c>
      <c r="E28" s="150">
        <v>46155.9</v>
      </c>
      <c r="F28" s="150">
        <v>4106</v>
      </c>
      <c r="G28" s="151">
        <f t="shared" si="0"/>
        <v>42049.9</v>
      </c>
      <c r="H28" s="174">
        <f t="shared" si="2"/>
        <v>9.7645892142430774E-2</v>
      </c>
    </row>
    <row r="29" spans="1:8">
      <c r="A29" s="149" t="s">
        <v>168</v>
      </c>
      <c r="B29" s="150">
        <v>80</v>
      </c>
      <c r="C29" s="150">
        <v>685.74</v>
      </c>
      <c r="D29" s="150">
        <v>638.20000000000005</v>
      </c>
      <c r="E29" s="150">
        <v>51056</v>
      </c>
      <c r="F29" s="150">
        <v>-3803</v>
      </c>
      <c r="G29" s="151">
        <f t="shared" si="0"/>
        <v>54859</v>
      </c>
      <c r="H29" s="174">
        <f t="shared" si="2"/>
        <v>-6.9323173955048403E-2</v>
      </c>
    </row>
    <row r="30" spans="1:8">
      <c r="A30" s="149" t="s">
        <v>169</v>
      </c>
      <c r="B30" s="150">
        <v>306</v>
      </c>
      <c r="C30" s="150">
        <v>184.89</v>
      </c>
      <c r="D30" s="150">
        <v>211.75</v>
      </c>
      <c r="E30" s="150">
        <v>64795.5</v>
      </c>
      <c r="F30" s="150">
        <v>8219.75</v>
      </c>
      <c r="G30" s="151">
        <f t="shared" si="0"/>
        <v>56575.75</v>
      </c>
      <c r="H30" s="174">
        <f t="shared" si="2"/>
        <v>0.14528751275944199</v>
      </c>
    </row>
    <row r="31" spans="1:8">
      <c r="A31" s="149" t="s">
        <v>170</v>
      </c>
      <c r="B31" s="150">
        <v>387</v>
      </c>
      <c r="C31" s="150">
        <v>82.58</v>
      </c>
      <c r="D31" s="150">
        <v>126.15</v>
      </c>
      <c r="E31" s="150">
        <v>48820.05</v>
      </c>
      <c r="F31" s="150">
        <v>16860.25</v>
      </c>
      <c r="G31" s="151">
        <f t="shared" si="0"/>
        <v>31959.800000000003</v>
      </c>
      <c r="H31" s="174">
        <f t="shared" si="2"/>
        <v>0.52754554158661815</v>
      </c>
    </row>
    <row r="32" spans="1:8">
      <c r="A32" s="149" t="s">
        <v>172</v>
      </c>
      <c r="B32" s="150">
        <v>18</v>
      </c>
      <c r="C32" s="150">
        <v>1556.41</v>
      </c>
      <c r="D32" s="150">
        <v>1428.95</v>
      </c>
      <c r="E32" s="150">
        <v>25721.1</v>
      </c>
      <c r="F32" s="150">
        <v>-2294.25</v>
      </c>
      <c r="G32" s="151">
        <f t="shared" si="0"/>
        <v>28015.35</v>
      </c>
      <c r="H32" s="174">
        <f t="shared" si="2"/>
        <v>-8.1892605303878055E-2</v>
      </c>
    </row>
    <row r="33" spans="1:8">
      <c r="A33" s="149" t="s">
        <v>173</v>
      </c>
      <c r="B33" s="150">
        <v>33</v>
      </c>
      <c r="C33" s="150">
        <v>41.65</v>
      </c>
      <c r="D33" s="150">
        <v>51.33</v>
      </c>
      <c r="E33" s="150">
        <v>1693.89</v>
      </c>
      <c r="F33" s="150">
        <v>319.37</v>
      </c>
      <c r="G33" s="151">
        <f t="shared" si="0"/>
        <v>1374.52</v>
      </c>
      <c r="H33" s="174">
        <f t="shared" si="2"/>
        <v>0.23235020225242267</v>
      </c>
    </row>
    <row r="34" spans="1:8">
      <c r="A34" s="149" t="s">
        <v>281</v>
      </c>
      <c r="B34" s="150">
        <v>77</v>
      </c>
      <c r="C34" s="150">
        <v>285.64999999999998</v>
      </c>
      <c r="D34" s="150">
        <v>286.95</v>
      </c>
      <c r="E34" s="150">
        <v>22095.15</v>
      </c>
      <c r="F34" s="150">
        <v>100.2</v>
      </c>
      <c r="G34" s="151">
        <f t="shared" ref="G34:G65" si="3">E34-F34</f>
        <v>21994.95</v>
      </c>
      <c r="H34" s="174">
        <f t="shared" si="2"/>
        <v>4.5555911697912474E-3</v>
      </c>
    </row>
    <row r="35" spans="1:8">
      <c r="A35" s="149" t="s">
        <v>174</v>
      </c>
      <c r="B35" s="150">
        <v>57</v>
      </c>
      <c r="C35" s="150">
        <v>1052.98</v>
      </c>
      <c r="D35" s="150">
        <v>1137.05</v>
      </c>
      <c r="E35" s="150">
        <v>64811.85</v>
      </c>
      <c r="F35" s="150">
        <v>4792</v>
      </c>
      <c r="G35" s="151">
        <f t="shared" si="3"/>
        <v>60019.85</v>
      </c>
      <c r="H35" s="174">
        <f t="shared" si="2"/>
        <v>7.9840252849682228E-2</v>
      </c>
    </row>
    <row r="36" spans="1:8">
      <c r="A36" s="149" t="s">
        <v>175</v>
      </c>
      <c r="B36" s="150">
        <v>48</v>
      </c>
      <c r="C36" s="150">
        <v>1429.32</v>
      </c>
      <c r="D36" s="150">
        <v>1606.5</v>
      </c>
      <c r="E36" s="150">
        <v>77112</v>
      </c>
      <c r="F36" s="150">
        <v>8504.5499999999993</v>
      </c>
      <c r="G36" s="151">
        <f t="shared" si="3"/>
        <v>68607.45</v>
      </c>
      <c r="H36" s="174">
        <f t="shared" si="2"/>
        <v>0.12395956998839047</v>
      </c>
    </row>
    <row r="37" spans="1:8">
      <c r="A37" s="149" t="s">
        <v>176</v>
      </c>
      <c r="B37" s="150">
        <v>117</v>
      </c>
      <c r="C37" s="150">
        <v>584.1</v>
      </c>
      <c r="D37" s="150">
        <v>576.5</v>
      </c>
      <c r="E37" s="150">
        <v>67450.5</v>
      </c>
      <c r="F37" s="150">
        <v>-888.7</v>
      </c>
      <c r="G37" s="151">
        <f t="shared" si="3"/>
        <v>68339.199999999997</v>
      </c>
      <c r="H37" s="174">
        <f t="shared" si="2"/>
        <v>-1.3004249391271774E-2</v>
      </c>
    </row>
    <row r="38" spans="1:8">
      <c r="A38" s="149" t="s">
        <v>177</v>
      </c>
      <c r="B38" s="150">
        <v>12</v>
      </c>
      <c r="C38" s="150">
        <v>2815.97</v>
      </c>
      <c r="D38" s="150">
        <v>2892.65</v>
      </c>
      <c r="E38" s="150">
        <v>34711.800000000003</v>
      </c>
      <c r="F38" s="150">
        <v>920.15</v>
      </c>
      <c r="G38" s="151">
        <f t="shared" si="3"/>
        <v>33791.65</v>
      </c>
      <c r="H38" s="174">
        <f t="shared" si="2"/>
        <v>2.7230099743575705E-2</v>
      </c>
    </row>
    <row r="39" spans="1:8">
      <c r="A39" s="149" t="s">
        <v>282</v>
      </c>
      <c r="B39" s="150">
        <v>19</v>
      </c>
      <c r="C39" s="150">
        <v>2270.19</v>
      </c>
      <c r="D39" s="150">
        <v>2716.7</v>
      </c>
      <c r="E39" s="150">
        <v>51617.3</v>
      </c>
      <c r="F39" s="150">
        <v>8483.75</v>
      </c>
      <c r="G39" s="151">
        <f t="shared" si="3"/>
        <v>43133.55</v>
      </c>
      <c r="H39" s="174">
        <f t="shared" si="2"/>
        <v>0.19668564261462365</v>
      </c>
    </row>
    <row r="40" spans="1:8">
      <c r="A40" s="149" t="s">
        <v>178</v>
      </c>
      <c r="B40" s="150">
        <v>80</v>
      </c>
      <c r="C40" s="150">
        <v>567.6</v>
      </c>
      <c r="D40" s="150">
        <v>938.15</v>
      </c>
      <c r="E40" s="150">
        <v>75052</v>
      </c>
      <c r="F40" s="150">
        <v>29643.65</v>
      </c>
      <c r="G40" s="151">
        <f t="shared" si="3"/>
        <v>45408.35</v>
      </c>
      <c r="H40" s="174">
        <f t="shared" si="2"/>
        <v>0.65282376479215831</v>
      </c>
    </row>
    <row r="41" spans="1:8">
      <c r="A41" s="149" t="s">
        <v>179</v>
      </c>
      <c r="B41" s="150">
        <v>74</v>
      </c>
      <c r="C41" s="150">
        <v>1269.07</v>
      </c>
      <c r="D41" s="150">
        <v>1232.9000000000001</v>
      </c>
      <c r="E41" s="150">
        <v>91234.6</v>
      </c>
      <c r="F41" s="150">
        <v>-2676.8</v>
      </c>
      <c r="G41" s="151">
        <f t="shared" si="3"/>
        <v>93911.400000000009</v>
      </c>
      <c r="H41" s="174">
        <f t="shared" si="2"/>
        <v>-2.8503461773544E-2</v>
      </c>
    </row>
    <row r="42" spans="1:8">
      <c r="A42" s="149" t="s">
        <v>180</v>
      </c>
      <c r="B42" s="150">
        <v>153</v>
      </c>
      <c r="C42" s="150">
        <v>490.27</v>
      </c>
      <c r="D42" s="150">
        <v>471.8</v>
      </c>
      <c r="E42" s="150">
        <v>72185.399999999994</v>
      </c>
      <c r="F42" s="150">
        <v>-2826.05</v>
      </c>
      <c r="G42" s="151">
        <f t="shared" si="3"/>
        <v>75011.45</v>
      </c>
      <c r="H42" s="174">
        <f t="shared" si="2"/>
        <v>-3.7674914962982323E-2</v>
      </c>
    </row>
    <row r="43" spans="1:8">
      <c r="A43" s="149" t="s">
        <v>284</v>
      </c>
      <c r="B43" s="150">
        <v>40</v>
      </c>
      <c r="C43" s="150">
        <v>942.87</v>
      </c>
      <c r="D43" s="150">
        <v>1288.2</v>
      </c>
      <c r="E43" s="150">
        <v>51528</v>
      </c>
      <c r="F43" s="150">
        <v>13813.35</v>
      </c>
      <c r="G43" s="151">
        <f t="shared" si="3"/>
        <v>37714.65</v>
      </c>
      <c r="H43" s="174">
        <f t="shared" si="2"/>
        <v>0.36625953044771725</v>
      </c>
    </row>
    <row r="44" spans="1:8">
      <c r="A44" s="149" t="s">
        <v>181</v>
      </c>
      <c r="B44" s="150">
        <v>48</v>
      </c>
      <c r="C44" s="150">
        <v>1540.65</v>
      </c>
      <c r="D44" s="150">
        <v>1299</v>
      </c>
      <c r="E44" s="150">
        <v>62352</v>
      </c>
      <c r="F44" s="150">
        <v>-11599.35</v>
      </c>
      <c r="G44" s="151">
        <f t="shared" si="3"/>
        <v>73951.350000000006</v>
      </c>
      <c r="H44" s="174">
        <f t="shared" si="2"/>
        <v>-0.1568510919678951</v>
      </c>
    </row>
    <row r="45" spans="1:8">
      <c r="A45" s="149" t="s">
        <v>182</v>
      </c>
      <c r="B45" s="150">
        <v>770</v>
      </c>
      <c r="C45" s="150">
        <v>227.34</v>
      </c>
      <c r="D45" s="150">
        <v>443.4</v>
      </c>
      <c r="E45" s="150">
        <v>341418</v>
      </c>
      <c r="F45" s="150">
        <v>166363.65</v>
      </c>
      <c r="G45" s="151">
        <f t="shared" si="3"/>
        <v>175054.35</v>
      </c>
      <c r="H45" s="174">
        <f t="shared" si="2"/>
        <v>0.95035427568637965</v>
      </c>
    </row>
    <row r="46" spans="1:8">
      <c r="A46" s="149" t="s">
        <v>183</v>
      </c>
      <c r="B46" s="150">
        <v>17</v>
      </c>
      <c r="C46" s="150">
        <v>1141.79</v>
      </c>
      <c r="D46" s="150">
        <v>2121.4499999999998</v>
      </c>
      <c r="E46" s="150">
        <v>36064.65</v>
      </c>
      <c r="F46" s="150">
        <v>16654.25</v>
      </c>
      <c r="G46" s="151">
        <f t="shared" si="3"/>
        <v>19410.400000000001</v>
      </c>
      <c r="H46" s="174">
        <f t="shared" si="2"/>
        <v>0.85800653258047221</v>
      </c>
    </row>
    <row r="47" spans="1:8">
      <c r="A47" s="149" t="s">
        <v>313</v>
      </c>
      <c r="B47" s="150">
        <v>4</v>
      </c>
      <c r="C47" s="150">
        <v>396.21</v>
      </c>
      <c r="D47" s="150">
        <v>447.99</v>
      </c>
      <c r="E47" s="150">
        <v>1791.96</v>
      </c>
      <c r="F47" s="150">
        <v>207.12</v>
      </c>
      <c r="G47" s="151">
        <f t="shared" si="3"/>
        <v>1584.8400000000001</v>
      </c>
      <c r="H47" s="174">
        <f t="shared" si="2"/>
        <v>0.1306882713712425</v>
      </c>
    </row>
    <row r="48" spans="1:8">
      <c r="A48" s="149" t="s">
        <v>184</v>
      </c>
      <c r="B48" s="150">
        <v>468</v>
      </c>
      <c r="C48" s="150">
        <v>112.01</v>
      </c>
      <c r="D48" s="150">
        <v>107.2</v>
      </c>
      <c r="E48" s="150">
        <v>50169.599999999999</v>
      </c>
      <c r="F48" s="150">
        <v>-2253.15</v>
      </c>
      <c r="G48" s="151">
        <f t="shared" si="3"/>
        <v>52422.75</v>
      </c>
      <c r="H48" s="174">
        <f t="shared" si="2"/>
        <v>-4.2980385424267138E-2</v>
      </c>
    </row>
    <row r="49" spans="1:8">
      <c r="A49" s="149" t="s">
        <v>185</v>
      </c>
      <c r="B49" s="150">
        <v>38</v>
      </c>
      <c r="C49" s="150">
        <v>1711.28</v>
      </c>
      <c r="D49" s="150">
        <v>1939.75</v>
      </c>
      <c r="E49" s="150">
        <v>73710.5</v>
      </c>
      <c r="F49" s="150">
        <v>8681.7000000000007</v>
      </c>
      <c r="G49" s="151">
        <f t="shared" si="3"/>
        <v>65028.800000000003</v>
      </c>
      <c r="H49" s="174">
        <f t="shared" ref="H49:H80" si="4">F49/G49</f>
        <v>0.13350546219521198</v>
      </c>
    </row>
    <row r="50" spans="1:8">
      <c r="A50" s="149" t="s">
        <v>186</v>
      </c>
      <c r="B50" s="150">
        <v>56</v>
      </c>
      <c r="C50" s="150">
        <v>577.29999999999995</v>
      </c>
      <c r="D50" s="150">
        <v>1115.4000000000001</v>
      </c>
      <c r="E50" s="150">
        <v>62462.400000000001</v>
      </c>
      <c r="F50" s="150">
        <v>30133.65</v>
      </c>
      <c r="G50" s="151">
        <f t="shared" si="3"/>
        <v>32328.75</v>
      </c>
      <c r="H50" s="174">
        <f t="shared" si="4"/>
        <v>0.93210068437536253</v>
      </c>
    </row>
    <row r="51" spans="1:8">
      <c r="A51" s="149" t="s">
        <v>187</v>
      </c>
      <c r="B51" s="150">
        <v>16</v>
      </c>
      <c r="C51" s="150">
        <v>2344.1999999999998</v>
      </c>
      <c r="D51" s="150">
        <v>2019</v>
      </c>
      <c r="E51" s="150">
        <v>32304</v>
      </c>
      <c r="F51" s="150">
        <v>-5203.2</v>
      </c>
      <c r="G51" s="151">
        <f t="shared" si="3"/>
        <v>37507.199999999997</v>
      </c>
      <c r="H51" s="174">
        <f t="shared" si="4"/>
        <v>-0.13872536472997185</v>
      </c>
    </row>
    <row r="52" spans="1:8">
      <c r="A52" s="149" t="s">
        <v>314</v>
      </c>
      <c r="B52" s="150">
        <v>1</v>
      </c>
      <c r="C52" s="150">
        <v>896.32</v>
      </c>
      <c r="D52" s="150">
        <v>1000</v>
      </c>
      <c r="E52" s="150">
        <v>1000</v>
      </c>
      <c r="F52" s="150">
        <v>103.68</v>
      </c>
      <c r="G52" s="151">
        <f t="shared" si="3"/>
        <v>896.31999999999994</v>
      </c>
      <c r="H52" s="174">
        <f t="shared" si="4"/>
        <v>0.11567297393787934</v>
      </c>
    </row>
    <row r="53" spans="1:8">
      <c r="A53" s="149" t="s">
        <v>188</v>
      </c>
      <c r="B53" s="150">
        <v>62</v>
      </c>
      <c r="C53" s="150">
        <v>1053.22</v>
      </c>
      <c r="D53" s="150">
        <v>2235.25</v>
      </c>
      <c r="E53" s="150">
        <v>138585.5</v>
      </c>
      <c r="F53" s="150">
        <v>73286.149999999994</v>
      </c>
      <c r="G53" s="151">
        <f t="shared" si="3"/>
        <v>65299.350000000006</v>
      </c>
      <c r="H53" s="174">
        <f t="shared" si="4"/>
        <v>1.1223105589871873</v>
      </c>
    </row>
    <row r="54" spans="1:8">
      <c r="A54" s="149" t="s">
        <v>286</v>
      </c>
      <c r="B54" s="150">
        <v>13</v>
      </c>
      <c r="C54" s="150">
        <v>4629.46</v>
      </c>
      <c r="D54" s="150">
        <v>4994.1499999999996</v>
      </c>
      <c r="E54" s="150">
        <v>64923.95</v>
      </c>
      <c r="F54" s="150">
        <v>4741.0200000000004</v>
      </c>
      <c r="G54" s="151">
        <f t="shared" si="3"/>
        <v>60182.929999999993</v>
      </c>
      <c r="H54" s="174">
        <f t="shared" si="4"/>
        <v>7.8776822597371066E-2</v>
      </c>
    </row>
    <row r="55" spans="1:8">
      <c r="A55" s="149" t="s">
        <v>189</v>
      </c>
      <c r="B55" s="150">
        <v>29</v>
      </c>
      <c r="C55" s="150">
        <v>775.92</v>
      </c>
      <c r="D55" s="150">
        <v>1341.4</v>
      </c>
      <c r="E55" s="150">
        <v>38900.6</v>
      </c>
      <c r="F55" s="150">
        <v>16399</v>
      </c>
      <c r="G55" s="151">
        <f t="shared" si="3"/>
        <v>22501.599999999999</v>
      </c>
      <c r="H55" s="174">
        <f t="shared" si="4"/>
        <v>0.72879261919152416</v>
      </c>
    </row>
    <row r="56" spans="1:8">
      <c r="A56" s="149" t="s">
        <v>324</v>
      </c>
      <c r="B56" s="150">
        <v>118</v>
      </c>
      <c r="C56" s="150">
        <v>184.31</v>
      </c>
      <c r="D56" s="150">
        <v>465.45</v>
      </c>
      <c r="E56" s="150">
        <v>54923.1</v>
      </c>
      <c r="F56" s="150">
        <v>33174.449999999997</v>
      </c>
      <c r="G56" s="151">
        <f t="shared" si="3"/>
        <v>21748.65</v>
      </c>
      <c r="H56" s="174">
        <f t="shared" si="4"/>
        <v>1.5253567462808033</v>
      </c>
    </row>
    <row r="57" spans="1:8">
      <c r="A57" s="149" t="s">
        <v>191</v>
      </c>
      <c r="B57" s="150">
        <v>72</v>
      </c>
      <c r="C57" s="150">
        <v>468.01</v>
      </c>
      <c r="D57" s="150">
        <v>549.45000000000005</v>
      </c>
      <c r="E57" s="150">
        <v>39560.400000000001</v>
      </c>
      <c r="F57" s="150">
        <v>5863.8</v>
      </c>
      <c r="G57" s="151">
        <f t="shared" si="3"/>
        <v>33696.6</v>
      </c>
      <c r="H57" s="174">
        <f t="shared" si="4"/>
        <v>0.17401755666743826</v>
      </c>
    </row>
    <row r="58" spans="1:8">
      <c r="A58" s="149" t="s">
        <v>192</v>
      </c>
      <c r="B58" s="150">
        <v>97</v>
      </c>
      <c r="C58" s="150">
        <v>742.85</v>
      </c>
      <c r="D58" s="150">
        <v>697.75</v>
      </c>
      <c r="E58" s="150">
        <v>67681.75</v>
      </c>
      <c r="F58" s="150">
        <v>-4374.7</v>
      </c>
      <c r="G58" s="151">
        <f t="shared" si="3"/>
        <v>72056.45</v>
      </c>
      <c r="H58" s="174">
        <f t="shared" si="4"/>
        <v>-6.071212223194454E-2</v>
      </c>
    </row>
    <row r="59" spans="1:8">
      <c r="A59" s="149" t="s">
        <v>193</v>
      </c>
      <c r="B59" s="150">
        <v>58</v>
      </c>
      <c r="C59" s="150">
        <v>342.44</v>
      </c>
      <c r="D59" s="150">
        <v>299.64999999999998</v>
      </c>
      <c r="E59" s="150">
        <v>17379.7</v>
      </c>
      <c r="F59" s="150">
        <v>-2481.8200000000002</v>
      </c>
      <c r="G59" s="151">
        <f t="shared" si="3"/>
        <v>19861.52</v>
      </c>
      <c r="H59" s="174">
        <f t="shared" si="4"/>
        <v>-0.1249561967059923</v>
      </c>
    </row>
    <row r="60" spans="1:8">
      <c r="A60" s="149" t="s">
        <v>194</v>
      </c>
      <c r="B60" s="150">
        <v>192</v>
      </c>
      <c r="C60" s="150">
        <v>104.85</v>
      </c>
      <c r="D60" s="150">
        <v>80.349999999999994</v>
      </c>
      <c r="E60" s="150">
        <v>15427.2</v>
      </c>
      <c r="F60" s="150">
        <v>-4703.8999999999996</v>
      </c>
      <c r="G60" s="151">
        <f t="shared" si="3"/>
        <v>20131.099999999999</v>
      </c>
      <c r="H60" s="174">
        <f t="shared" si="4"/>
        <v>-0.23366333682709836</v>
      </c>
    </row>
    <row r="61" spans="1:8">
      <c r="A61" s="149" t="s">
        <v>195</v>
      </c>
      <c r="B61" s="150">
        <v>22</v>
      </c>
      <c r="C61" s="150">
        <v>2261.12</v>
      </c>
      <c r="D61" s="150">
        <v>2019.55</v>
      </c>
      <c r="E61" s="150">
        <v>44430.1</v>
      </c>
      <c r="F61" s="150">
        <v>-5314.5</v>
      </c>
      <c r="G61" s="151">
        <f t="shared" si="3"/>
        <v>49744.6</v>
      </c>
      <c r="H61" s="174">
        <f t="shared" si="4"/>
        <v>-0.10683571684162703</v>
      </c>
    </row>
    <row r="62" spans="1:8">
      <c r="A62" s="149" t="s">
        <v>315</v>
      </c>
      <c r="B62" s="150">
        <v>102</v>
      </c>
      <c r="C62" s="150">
        <v>14.26</v>
      </c>
      <c r="D62" s="150">
        <v>58.35</v>
      </c>
      <c r="E62" s="150">
        <v>5951.7</v>
      </c>
      <c r="F62" s="150">
        <v>4497</v>
      </c>
      <c r="G62" s="151">
        <f t="shared" si="3"/>
        <v>1454.6999999999998</v>
      </c>
      <c r="H62" s="174">
        <f t="shared" si="4"/>
        <v>3.0913590431016709</v>
      </c>
    </row>
    <row r="63" spans="1:8">
      <c r="A63" s="149" t="s">
        <v>316</v>
      </c>
      <c r="B63" s="150">
        <v>4</v>
      </c>
      <c r="C63" s="150">
        <v>131.47999999999999</v>
      </c>
      <c r="D63" s="150">
        <v>203.84</v>
      </c>
      <c r="E63" s="150">
        <v>815.36</v>
      </c>
      <c r="F63" s="150">
        <v>289.44</v>
      </c>
      <c r="G63" s="151">
        <f t="shared" si="3"/>
        <v>525.92000000000007</v>
      </c>
      <c r="H63" s="174">
        <f t="shared" si="4"/>
        <v>0.55034986309704892</v>
      </c>
    </row>
    <row r="64" spans="1:8">
      <c r="A64" s="149" t="s">
        <v>198</v>
      </c>
      <c r="B64" s="150">
        <v>79</v>
      </c>
      <c r="C64" s="150">
        <v>499.72</v>
      </c>
      <c r="D64" s="150">
        <v>958.95</v>
      </c>
      <c r="E64" s="150">
        <v>75757.05</v>
      </c>
      <c r="F64" s="150">
        <v>36279.4</v>
      </c>
      <c r="G64" s="151">
        <f t="shared" si="3"/>
        <v>39477.65</v>
      </c>
      <c r="H64" s="174">
        <f t="shared" si="4"/>
        <v>0.91898580589270129</v>
      </c>
    </row>
    <row r="65" spans="1:8">
      <c r="A65" s="149" t="s">
        <v>199</v>
      </c>
      <c r="B65" s="150">
        <v>16</v>
      </c>
      <c r="C65" s="150">
        <v>3709.52</v>
      </c>
      <c r="D65" s="150">
        <v>3626</v>
      </c>
      <c r="E65" s="150">
        <v>58016</v>
      </c>
      <c r="F65" s="150">
        <v>-1336.25</v>
      </c>
      <c r="G65" s="151">
        <f t="shared" si="3"/>
        <v>59352.25</v>
      </c>
      <c r="H65" s="174">
        <f t="shared" si="4"/>
        <v>-2.2513889532410312E-2</v>
      </c>
    </row>
    <row r="66" spans="1:8">
      <c r="A66" s="149" t="s">
        <v>200</v>
      </c>
      <c r="B66" s="150">
        <v>300</v>
      </c>
      <c r="C66" s="150">
        <v>82.33</v>
      </c>
      <c r="D66" s="150">
        <v>154.69999999999999</v>
      </c>
      <c r="E66" s="150">
        <v>46410</v>
      </c>
      <c r="F66" s="150">
        <v>21710</v>
      </c>
      <c r="G66" s="151">
        <f t="shared" ref="G66:G97" si="5">E66-F66</f>
        <v>24700</v>
      </c>
      <c r="H66" s="174">
        <f t="shared" si="4"/>
        <v>0.87894736842105259</v>
      </c>
    </row>
    <row r="67" spans="1:8">
      <c r="A67" s="149" t="s">
        <v>201</v>
      </c>
      <c r="B67" s="150">
        <v>10</v>
      </c>
      <c r="C67" s="150">
        <v>3719.2</v>
      </c>
      <c r="D67" s="150">
        <v>5230.8</v>
      </c>
      <c r="E67" s="150">
        <v>52308</v>
      </c>
      <c r="F67" s="150">
        <v>15116</v>
      </c>
      <c r="G67" s="151">
        <f t="shared" si="5"/>
        <v>37192</v>
      </c>
      <c r="H67" s="174">
        <f t="shared" si="4"/>
        <v>0.40643149064314904</v>
      </c>
    </row>
    <row r="68" spans="1:8">
      <c r="A68" s="149" t="s">
        <v>202</v>
      </c>
      <c r="B68" s="150">
        <v>25</v>
      </c>
      <c r="C68" s="150">
        <v>869.04</v>
      </c>
      <c r="D68" s="150">
        <v>1492.9</v>
      </c>
      <c r="E68" s="150">
        <v>37322.5</v>
      </c>
      <c r="F68" s="150">
        <v>15596.45</v>
      </c>
      <c r="G68" s="151">
        <f t="shared" si="5"/>
        <v>21726.05</v>
      </c>
      <c r="H68" s="174">
        <f t="shared" si="4"/>
        <v>0.71786864156162766</v>
      </c>
    </row>
    <row r="69" spans="1:8">
      <c r="A69" s="149" t="s">
        <v>203</v>
      </c>
      <c r="B69" s="150">
        <v>21</v>
      </c>
      <c r="C69" s="150">
        <v>2460.39</v>
      </c>
      <c r="D69" s="150">
        <v>2635.9</v>
      </c>
      <c r="E69" s="150">
        <v>55353.9</v>
      </c>
      <c r="F69" s="150">
        <v>3685.65</v>
      </c>
      <c r="G69" s="151">
        <f t="shared" si="5"/>
        <v>51668.25</v>
      </c>
      <c r="H69" s="174">
        <f t="shared" si="4"/>
        <v>7.1332975279789809E-2</v>
      </c>
    </row>
    <row r="70" spans="1:8">
      <c r="A70" s="149" t="s">
        <v>204</v>
      </c>
      <c r="B70" s="150">
        <v>61</v>
      </c>
      <c r="C70" s="150">
        <v>488.84</v>
      </c>
      <c r="D70" s="150">
        <v>490.85</v>
      </c>
      <c r="E70" s="150">
        <v>29941.85</v>
      </c>
      <c r="F70" s="150">
        <v>122.9</v>
      </c>
      <c r="G70" s="151">
        <f t="shared" si="5"/>
        <v>29818.949999999997</v>
      </c>
      <c r="H70" s="174">
        <f t="shared" si="4"/>
        <v>4.1215401615415708E-3</v>
      </c>
    </row>
    <row r="71" spans="1:8">
      <c r="A71" s="149" t="s">
        <v>307</v>
      </c>
      <c r="B71" s="150">
        <v>20</v>
      </c>
      <c r="C71" s="150">
        <v>1000</v>
      </c>
      <c r="D71" s="150">
        <v>1111</v>
      </c>
      <c r="E71" s="150">
        <v>22220</v>
      </c>
      <c r="F71" s="150">
        <v>0</v>
      </c>
      <c r="G71" s="151">
        <f t="shared" si="5"/>
        <v>22220</v>
      </c>
      <c r="H71" s="174">
        <f t="shared" si="4"/>
        <v>0</v>
      </c>
    </row>
    <row r="72" spans="1:8">
      <c r="A72" s="149" t="s">
        <v>299</v>
      </c>
      <c r="B72" s="150">
        <v>37</v>
      </c>
      <c r="C72" s="150">
        <v>966.49</v>
      </c>
      <c r="D72" s="150">
        <v>900.85</v>
      </c>
      <c r="E72" s="150">
        <v>33331.449999999997</v>
      </c>
      <c r="F72" s="150">
        <v>-2428.5500000000002</v>
      </c>
      <c r="G72" s="151">
        <f t="shared" si="5"/>
        <v>35760</v>
      </c>
      <c r="H72" s="174">
        <f t="shared" si="4"/>
        <v>-6.7912472035794189E-2</v>
      </c>
    </row>
    <row r="73" spans="1:8">
      <c r="A73" s="149" t="s">
        <v>206</v>
      </c>
      <c r="B73" s="150">
        <v>63</v>
      </c>
      <c r="C73" s="150">
        <v>1110.01</v>
      </c>
      <c r="D73" s="150">
        <v>1205.6500000000001</v>
      </c>
      <c r="E73" s="150">
        <v>75955.95</v>
      </c>
      <c r="F73" s="150">
        <v>6025.3</v>
      </c>
      <c r="G73" s="151">
        <f t="shared" si="5"/>
        <v>69930.649999999994</v>
      </c>
      <c r="H73" s="174">
        <f t="shared" si="4"/>
        <v>8.6161075293880451E-2</v>
      </c>
    </row>
    <row r="74" spans="1:8">
      <c r="A74" s="149" t="s">
        <v>207</v>
      </c>
      <c r="B74" s="150">
        <v>105</v>
      </c>
      <c r="C74" s="150">
        <v>304.5</v>
      </c>
      <c r="D74" s="150">
        <v>587.20000000000005</v>
      </c>
      <c r="E74" s="150">
        <v>61656</v>
      </c>
      <c r="F74" s="150">
        <v>29683.1</v>
      </c>
      <c r="G74" s="151">
        <f t="shared" si="5"/>
        <v>31972.9</v>
      </c>
      <c r="H74" s="174">
        <f t="shared" si="4"/>
        <v>0.92838309943733588</v>
      </c>
    </row>
    <row r="75" spans="1:8">
      <c r="A75" s="149" t="s">
        <v>262</v>
      </c>
      <c r="B75" s="150">
        <v>10</v>
      </c>
      <c r="C75" s="150">
        <v>5284</v>
      </c>
      <c r="D75" s="150">
        <v>6006.07</v>
      </c>
      <c r="E75" s="150">
        <v>60060.7</v>
      </c>
      <c r="F75" s="150">
        <v>7220.7</v>
      </c>
      <c r="G75" s="151">
        <f t="shared" si="5"/>
        <v>52840</v>
      </c>
      <c r="H75" s="174">
        <f t="shared" si="4"/>
        <v>0.13665215745647236</v>
      </c>
    </row>
    <row r="76" spans="1:8">
      <c r="A76" s="149" t="s">
        <v>209</v>
      </c>
      <c r="B76" s="150">
        <v>5</v>
      </c>
      <c r="C76" s="150">
        <v>4802</v>
      </c>
      <c r="D76" s="150">
        <v>5946.99</v>
      </c>
      <c r="E76" s="150">
        <v>29734.95</v>
      </c>
      <c r="F76" s="150">
        <v>5724.95</v>
      </c>
      <c r="G76" s="151">
        <f t="shared" si="5"/>
        <v>24010</v>
      </c>
      <c r="H76" s="174">
        <f t="shared" si="4"/>
        <v>0.2384402332361516</v>
      </c>
    </row>
    <row r="77" spans="1:8">
      <c r="A77" s="149" t="s">
        <v>210</v>
      </c>
      <c r="B77" s="150">
        <v>10</v>
      </c>
      <c r="C77" s="150">
        <v>5002.45</v>
      </c>
      <c r="D77" s="150">
        <v>5950.94</v>
      </c>
      <c r="E77" s="150">
        <v>59509.4</v>
      </c>
      <c r="F77" s="150">
        <v>9484.9</v>
      </c>
      <c r="G77" s="151">
        <f t="shared" si="5"/>
        <v>50024.5</v>
      </c>
      <c r="H77" s="174">
        <f t="shared" si="4"/>
        <v>0.18960509350418295</v>
      </c>
    </row>
    <row r="78" spans="1:8">
      <c r="A78" s="149" t="s">
        <v>211</v>
      </c>
      <c r="B78" s="150">
        <v>35</v>
      </c>
      <c r="C78" s="150">
        <v>984.23</v>
      </c>
      <c r="D78" s="150">
        <v>3552.65</v>
      </c>
      <c r="E78" s="150">
        <v>124342.75</v>
      </c>
      <c r="F78" s="150">
        <v>89894.7</v>
      </c>
      <c r="G78" s="151">
        <f t="shared" si="5"/>
        <v>34448.050000000003</v>
      </c>
      <c r="H78" s="174">
        <f t="shared" si="4"/>
        <v>2.6095729656685935</v>
      </c>
    </row>
    <row r="79" spans="1:8">
      <c r="A79" s="149" t="s">
        <v>290</v>
      </c>
      <c r="B79" s="150">
        <v>21</v>
      </c>
      <c r="C79" s="150">
        <v>652.55999999999995</v>
      </c>
      <c r="D79" s="150">
        <v>531.75</v>
      </c>
      <c r="E79" s="150">
        <v>11166.75</v>
      </c>
      <c r="F79" s="150">
        <v>-2536.9499999999998</v>
      </c>
      <c r="G79" s="151">
        <f t="shared" si="5"/>
        <v>13703.7</v>
      </c>
      <c r="H79" s="174">
        <f t="shared" si="4"/>
        <v>-0.18512883381860371</v>
      </c>
    </row>
    <row r="80" spans="1:8">
      <c r="A80" s="149" t="s">
        <v>292</v>
      </c>
      <c r="B80" s="150">
        <v>32</v>
      </c>
      <c r="C80" s="150">
        <v>752.33</v>
      </c>
      <c r="D80" s="150">
        <v>1110.8499999999999</v>
      </c>
      <c r="E80" s="150">
        <v>35547.199999999997</v>
      </c>
      <c r="F80" s="150">
        <v>11472.7</v>
      </c>
      <c r="G80" s="151">
        <f t="shared" si="5"/>
        <v>24074.499999999996</v>
      </c>
      <c r="H80" s="174">
        <f t="shared" si="4"/>
        <v>0.47654987642526336</v>
      </c>
    </row>
    <row r="81" spans="1:8">
      <c r="A81" s="149" t="s">
        <v>212</v>
      </c>
      <c r="B81" s="150">
        <v>135</v>
      </c>
      <c r="C81" s="150">
        <v>501.84</v>
      </c>
      <c r="D81" s="150">
        <v>999.6</v>
      </c>
      <c r="E81" s="150">
        <v>134946</v>
      </c>
      <c r="F81" s="150">
        <v>67197.7</v>
      </c>
      <c r="G81" s="151">
        <f t="shared" si="5"/>
        <v>67748.3</v>
      </c>
      <c r="H81" s="174">
        <f t="shared" ref="H81:H112" si="6">F81/G81</f>
        <v>0.99187285880236098</v>
      </c>
    </row>
    <row r="82" spans="1:8">
      <c r="A82" s="149" t="s">
        <v>293</v>
      </c>
      <c r="B82" s="150">
        <v>50</v>
      </c>
      <c r="C82" s="150">
        <v>283.19</v>
      </c>
      <c r="D82" s="150">
        <v>386.45</v>
      </c>
      <c r="E82" s="150">
        <v>19322.5</v>
      </c>
      <c r="F82" s="150">
        <v>5162.8500000000004</v>
      </c>
      <c r="G82" s="151">
        <f t="shared" si="5"/>
        <v>14159.65</v>
      </c>
      <c r="H82" s="174">
        <f t="shared" si="6"/>
        <v>0.36461706327486909</v>
      </c>
    </row>
    <row r="83" spans="1:8">
      <c r="A83" s="149" t="s">
        <v>308</v>
      </c>
      <c r="B83" s="150">
        <v>61</v>
      </c>
      <c r="C83" s="150">
        <v>481.95</v>
      </c>
      <c r="D83" s="150">
        <v>477.65</v>
      </c>
      <c r="E83" s="150">
        <v>29136.65</v>
      </c>
      <c r="F83" s="150">
        <v>-262.3</v>
      </c>
      <c r="G83" s="151">
        <f t="shared" si="5"/>
        <v>29398.95</v>
      </c>
      <c r="H83" s="174">
        <f t="shared" si="6"/>
        <v>-8.9220873534599024E-3</v>
      </c>
    </row>
    <row r="84" spans="1:8">
      <c r="A84" s="149" t="s">
        <v>213</v>
      </c>
      <c r="B84" s="150">
        <v>57</v>
      </c>
      <c r="C84" s="150">
        <v>468.04</v>
      </c>
      <c r="D84" s="150">
        <v>720.5</v>
      </c>
      <c r="E84" s="150">
        <v>41068.5</v>
      </c>
      <c r="F84" s="150">
        <v>14390</v>
      </c>
      <c r="G84" s="151">
        <f t="shared" si="5"/>
        <v>26678.5</v>
      </c>
      <c r="H84" s="174">
        <f t="shared" si="6"/>
        <v>0.53938564761886909</v>
      </c>
    </row>
    <row r="85" spans="1:8">
      <c r="A85" s="149" t="s">
        <v>214</v>
      </c>
      <c r="B85" s="150">
        <v>38</v>
      </c>
      <c r="C85" s="150">
        <v>684.41</v>
      </c>
      <c r="D85" s="150">
        <v>796.05</v>
      </c>
      <c r="E85" s="150">
        <v>30249.9</v>
      </c>
      <c r="F85" s="150">
        <v>4242.3500000000004</v>
      </c>
      <c r="G85" s="151">
        <f t="shared" si="5"/>
        <v>26007.550000000003</v>
      </c>
      <c r="H85" s="174">
        <f t="shared" si="6"/>
        <v>0.1631199401712195</v>
      </c>
    </row>
    <row r="86" spans="1:8">
      <c r="A86" s="149" t="s">
        <v>302</v>
      </c>
      <c r="B86" s="150">
        <v>775</v>
      </c>
      <c r="C86" s="150">
        <v>99.29</v>
      </c>
      <c r="D86" s="150">
        <v>282.10000000000002</v>
      </c>
      <c r="E86" s="150">
        <v>218627.5</v>
      </c>
      <c r="F86" s="150">
        <v>141676.5</v>
      </c>
      <c r="G86" s="151">
        <f t="shared" si="5"/>
        <v>76951</v>
      </c>
      <c r="H86" s="174">
        <f t="shared" si="6"/>
        <v>1.8411261711998546</v>
      </c>
    </row>
    <row r="87" spans="1:8">
      <c r="A87" s="149" t="s">
        <v>215</v>
      </c>
      <c r="B87" s="150">
        <v>1050</v>
      </c>
      <c r="C87" s="150">
        <v>40.479999999999997</v>
      </c>
      <c r="D87" s="150">
        <v>108</v>
      </c>
      <c r="E87" s="150">
        <v>113400</v>
      </c>
      <c r="F87" s="150">
        <v>70899.75</v>
      </c>
      <c r="G87" s="151">
        <f t="shared" si="5"/>
        <v>42500.25</v>
      </c>
      <c r="H87" s="174">
        <f t="shared" si="6"/>
        <v>1.6682195987082429</v>
      </c>
    </row>
    <row r="88" spans="1:8">
      <c r="A88" s="149" t="s">
        <v>216</v>
      </c>
      <c r="B88" s="150">
        <v>23</v>
      </c>
      <c r="C88" s="150">
        <v>3345.05</v>
      </c>
      <c r="D88" s="150">
        <v>3305.6</v>
      </c>
      <c r="E88" s="150">
        <v>76028.800000000003</v>
      </c>
      <c r="F88" s="150">
        <v>-907.35</v>
      </c>
      <c r="G88" s="151">
        <f t="shared" si="5"/>
        <v>76936.150000000009</v>
      </c>
      <c r="H88" s="174">
        <f t="shared" si="6"/>
        <v>-1.1793545686910508E-2</v>
      </c>
    </row>
    <row r="89" spans="1:8">
      <c r="A89" s="149" t="s">
        <v>318</v>
      </c>
      <c r="B89" s="150">
        <v>42</v>
      </c>
      <c r="C89" s="150">
        <v>1168.94</v>
      </c>
      <c r="D89" s="150">
        <v>1123.0999999999999</v>
      </c>
      <c r="E89" s="150">
        <v>47170.2</v>
      </c>
      <c r="F89" s="150">
        <v>-1925.45</v>
      </c>
      <c r="G89" s="151">
        <f t="shared" si="5"/>
        <v>49095.649999999994</v>
      </c>
      <c r="H89" s="174">
        <f t="shared" si="6"/>
        <v>-3.9218342154549342E-2</v>
      </c>
    </row>
    <row r="90" spans="1:8">
      <c r="A90" s="149" t="s">
        <v>217</v>
      </c>
      <c r="B90" s="150">
        <v>20</v>
      </c>
      <c r="C90" s="150">
        <v>2492.77</v>
      </c>
      <c r="D90" s="150">
        <v>2861.65</v>
      </c>
      <c r="E90" s="150">
        <v>57233</v>
      </c>
      <c r="F90" s="150">
        <v>7377.65</v>
      </c>
      <c r="G90" s="151">
        <f t="shared" si="5"/>
        <v>49855.35</v>
      </c>
      <c r="H90" s="174">
        <f t="shared" si="6"/>
        <v>0.14798110934934766</v>
      </c>
    </row>
    <row r="91" spans="1:8">
      <c r="A91" s="149" t="s">
        <v>220</v>
      </c>
      <c r="B91" s="150">
        <v>42</v>
      </c>
      <c r="C91" s="150">
        <v>315.58999999999997</v>
      </c>
      <c r="D91" s="150">
        <v>573.04999999999995</v>
      </c>
      <c r="E91" s="150">
        <v>24068.1</v>
      </c>
      <c r="F91" s="150">
        <v>10813.4</v>
      </c>
      <c r="G91" s="151">
        <f t="shared" si="5"/>
        <v>13254.699999999999</v>
      </c>
      <c r="H91" s="174">
        <f t="shared" si="6"/>
        <v>0.8158162764906034</v>
      </c>
    </row>
    <row r="92" spans="1:8">
      <c r="A92" s="149" t="s">
        <v>221</v>
      </c>
      <c r="B92" s="150">
        <v>40</v>
      </c>
      <c r="C92" s="150">
        <v>447.63</v>
      </c>
      <c r="D92" s="150">
        <v>1703.8</v>
      </c>
      <c r="E92" s="150">
        <v>68152</v>
      </c>
      <c r="F92" s="150">
        <v>50247</v>
      </c>
      <c r="G92" s="151">
        <f t="shared" si="5"/>
        <v>17905</v>
      </c>
      <c r="H92" s="174">
        <f t="shared" si="6"/>
        <v>2.8063110862887464</v>
      </c>
    </row>
    <row r="93" spans="1:8">
      <c r="A93" s="149" t="s">
        <v>300</v>
      </c>
      <c r="B93" s="150">
        <v>300</v>
      </c>
      <c r="C93" s="150">
        <v>29.45</v>
      </c>
      <c r="D93" s="150">
        <v>16.41</v>
      </c>
      <c r="E93" s="150">
        <v>4923</v>
      </c>
      <c r="F93" s="150">
        <v>-3912</v>
      </c>
      <c r="G93" s="151">
        <f t="shared" si="5"/>
        <v>8835</v>
      </c>
      <c r="H93" s="174">
        <f t="shared" si="6"/>
        <v>-0.44278438030560274</v>
      </c>
    </row>
    <row r="94" spans="1:8">
      <c r="A94" s="149" t="s">
        <v>309</v>
      </c>
      <c r="B94" s="150">
        <v>29</v>
      </c>
      <c r="C94" s="150">
        <v>1910.61</v>
      </c>
      <c r="D94" s="150">
        <v>1477.4</v>
      </c>
      <c r="E94" s="150">
        <v>42844.6</v>
      </c>
      <c r="F94" s="150">
        <v>-12563</v>
      </c>
      <c r="G94" s="151">
        <f t="shared" si="5"/>
        <v>55407.6</v>
      </c>
      <c r="H94" s="174">
        <f t="shared" si="6"/>
        <v>-0.22673784823742593</v>
      </c>
    </row>
    <row r="95" spans="1:8">
      <c r="A95" s="149"/>
      <c r="B95" s="150"/>
      <c r="C95" s="150"/>
      <c r="D95" s="150"/>
      <c r="E95" s="150"/>
      <c r="F95" s="150"/>
      <c r="G95" s="151"/>
      <c r="H95" s="174"/>
    </row>
    <row r="96" spans="1:8">
      <c r="A96" s="149"/>
      <c r="B96" s="150"/>
      <c r="C96" s="150"/>
      <c r="D96" s="150"/>
      <c r="E96" s="150"/>
      <c r="F96" s="150"/>
      <c r="G96" s="151"/>
      <c r="H96" s="174"/>
    </row>
    <row r="97" spans="1:8">
      <c r="A97" s="149"/>
      <c r="B97" s="150"/>
      <c r="C97" s="150"/>
      <c r="D97" s="150"/>
      <c r="E97" s="150"/>
      <c r="F97" s="150"/>
      <c r="G97" s="151"/>
      <c r="H97" s="174"/>
    </row>
    <row r="98" spans="1:8">
      <c r="A98" s="149"/>
      <c r="B98" s="150"/>
      <c r="C98" s="150"/>
      <c r="D98" s="150"/>
      <c r="E98" s="150"/>
      <c r="F98" s="150"/>
      <c r="G98" s="151"/>
      <c r="H98" s="174"/>
    </row>
    <row r="99" spans="1:8">
      <c r="A99" s="149"/>
      <c r="B99" s="150"/>
      <c r="C99" s="150"/>
      <c r="D99" s="150"/>
      <c r="E99" s="150"/>
      <c r="F99" s="150"/>
      <c r="G99" s="151"/>
      <c r="H99" s="174"/>
    </row>
    <row r="100" spans="1:8">
      <c r="A100" s="149"/>
      <c r="B100" s="150"/>
      <c r="C100" s="150"/>
      <c r="D100" s="150"/>
      <c r="E100" s="150"/>
      <c r="F100" s="150"/>
      <c r="G100" s="151"/>
      <c r="H100" s="174"/>
    </row>
    <row r="101" spans="1:8">
      <c r="A101" s="149"/>
      <c r="B101" s="150"/>
      <c r="C101" s="150"/>
      <c r="D101" s="150"/>
      <c r="E101" s="150"/>
      <c r="F101" s="150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8829</v>
      </c>
      <c r="C104" s="45"/>
      <c r="D104" s="45"/>
      <c r="E104" s="45">
        <f>SUM(E2:E103)</f>
        <v>4998904.6100000013</v>
      </c>
      <c r="F104" s="45">
        <f>SUM(F2:F103)</f>
        <v>1332654.2399999998</v>
      </c>
      <c r="G104" s="45">
        <f>SUM(G2:G103)</f>
        <v>3666250.3700000006</v>
      </c>
      <c r="H104" s="176">
        <f>F104/G104</f>
        <v>0.36349242564140527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8066-F6FA-4645-B229-1AF03BB6A582}">
  <dimension ref="A1:I18"/>
  <sheetViews>
    <sheetView workbookViewId="0">
      <selection activeCell="G6" sqref="G6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81.48</v>
      </c>
      <c r="E2">
        <v>68.607799999999997</v>
      </c>
      <c r="F2" s="188">
        <v>279986.10960000003</v>
      </c>
      <c r="G2" s="188">
        <v>332517.10969999997</v>
      </c>
      <c r="H2" s="188">
        <v>52531.000099999997</v>
      </c>
      <c r="I2" s="147">
        <f>H2/F2</f>
        <v>0.18762002220413007</v>
      </c>
    </row>
    <row r="3" spans="1:9">
      <c r="A3" s="168" t="s">
        <v>236</v>
      </c>
      <c r="B3" t="s">
        <v>237</v>
      </c>
      <c r="C3" s="188">
        <v>14235.332</v>
      </c>
      <c r="D3">
        <v>77.87</v>
      </c>
      <c r="E3">
        <v>47.766100000000002</v>
      </c>
      <c r="F3" s="188">
        <v>679966.92570000002</v>
      </c>
      <c r="G3" s="188">
        <v>1108505.3027999999</v>
      </c>
      <c r="H3" s="188">
        <v>428538.37719999999</v>
      </c>
      <c r="I3" s="147">
        <f t="shared" ref="I3:I18" si="0">H3/F3</f>
        <v>0.63023414963725788</v>
      </c>
    </row>
    <row r="4" spans="1:9">
      <c r="A4" s="168" t="s">
        <v>238</v>
      </c>
      <c r="B4" t="s">
        <v>237</v>
      </c>
      <c r="C4" s="188">
        <v>9394.5769999999993</v>
      </c>
      <c r="D4">
        <v>27.81</v>
      </c>
      <c r="E4">
        <v>26.0776</v>
      </c>
      <c r="F4" s="188">
        <v>244987.74479999999</v>
      </c>
      <c r="G4" s="188">
        <v>261263.18640000001</v>
      </c>
      <c r="H4" s="188">
        <v>16275.4416</v>
      </c>
      <c r="I4" s="147">
        <f t="shared" si="0"/>
        <v>6.6433696972420964E-2</v>
      </c>
    </row>
    <row r="5" spans="1:9">
      <c r="A5" s="168" t="s">
        <v>303</v>
      </c>
      <c r="B5" t="s">
        <v>241</v>
      </c>
      <c r="C5" s="188">
        <v>1857.5519999999999</v>
      </c>
      <c r="D5">
        <v>580.6019</v>
      </c>
      <c r="E5">
        <v>366.02140000000003</v>
      </c>
      <c r="F5" s="188">
        <v>679903.69869999995</v>
      </c>
      <c r="G5" s="188">
        <v>1078498.2205000001</v>
      </c>
      <c r="H5" s="188">
        <v>398594.52189999999</v>
      </c>
      <c r="I5" s="147">
        <f t="shared" si="0"/>
        <v>0.5862514392290068</v>
      </c>
    </row>
    <row r="6" spans="1:9">
      <c r="A6" s="168" t="s">
        <v>242</v>
      </c>
      <c r="B6" t="s">
        <v>237</v>
      </c>
      <c r="C6" s="188">
        <v>4306.576</v>
      </c>
      <c r="D6">
        <v>100.03700000000001</v>
      </c>
      <c r="E6">
        <v>44.3917</v>
      </c>
      <c r="F6" s="188">
        <v>191176.2298</v>
      </c>
      <c r="G6" s="188">
        <v>430816.94329999998</v>
      </c>
      <c r="H6" s="188">
        <v>239640.71350000001</v>
      </c>
      <c r="I6" s="147">
        <f t="shared" si="0"/>
        <v>1.2535068494169039</v>
      </c>
    </row>
    <row r="7" spans="1:9">
      <c r="A7" s="168" t="s">
        <v>272</v>
      </c>
      <c r="B7" t="s">
        <v>235</v>
      </c>
      <c r="C7" s="188">
        <v>5805.7370000000001</v>
      </c>
      <c r="D7">
        <v>91.001999999999995</v>
      </c>
      <c r="E7">
        <v>41.940399999999997</v>
      </c>
      <c r="F7" s="188">
        <v>243495.1642</v>
      </c>
      <c r="G7" s="188">
        <v>528333.67850000004</v>
      </c>
      <c r="H7" s="188">
        <v>284838.51419999998</v>
      </c>
      <c r="I7" s="147">
        <f t="shared" si="0"/>
        <v>1.1697912569879283</v>
      </c>
    </row>
    <row r="8" spans="1:9">
      <c r="A8" s="168" t="s">
        <v>244</v>
      </c>
      <c r="B8" t="s">
        <v>233</v>
      </c>
      <c r="C8" s="188">
        <v>5841.7389999999996</v>
      </c>
      <c r="D8">
        <v>24.7121</v>
      </c>
      <c r="E8">
        <v>23.964300000000001</v>
      </c>
      <c r="F8" s="188">
        <v>139992.99739999999</v>
      </c>
      <c r="G8" s="188">
        <v>144361.63829999999</v>
      </c>
      <c r="H8" s="188">
        <v>4368.6409000000003</v>
      </c>
      <c r="I8" s="147">
        <f t="shared" si="0"/>
        <v>3.120613874362262E-2</v>
      </c>
    </row>
    <row r="9" spans="1:9">
      <c r="A9" s="168" t="s">
        <v>273</v>
      </c>
      <c r="B9" t="s">
        <v>233</v>
      </c>
      <c r="C9" s="188">
        <v>46747.603999999999</v>
      </c>
      <c r="D9">
        <v>10.5594</v>
      </c>
      <c r="E9">
        <v>8.6631</v>
      </c>
      <c r="F9" s="188">
        <v>404979.74790000002</v>
      </c>
      <c r="G9" s="188">
        <v>493626.64970000001</v>
      </c>
      <c r="H9" s="188">
        <v>88646.901800000007</v>
      </c>
      <c r="I9" s="147">
        <f t="shared" si="0"/>
        <v>0.21889218475658004</v>
      </c>
    </row>
    <row r="10" spans="1:9">
      <c r="A10" s="168" t="s">
        <v>246</v>
      </c>
      <c r="B10" t="s">
        <v>241</v>
      </c>
      <c r="C10" s="188">
        <v>35631.383000000002</v>
      </c>
      <c r="D10">
        <v>11.844099999999999</v>
      </c>
      <c r="E10">
        <v>11.2395</v>
      </c>
      <c r="F10" s="188">
        <v>400479.98139999999</v>
      </c>
      <c r="G10" s="188">
        <v>422021.66340000002</v>
      </c>
      <c r="H10" s="188">
        <v>21541.682000000001</v>
      </c>
      <c r="I10" s="147">
        <f t="shared" si="0"/>
        <v>5.3789659909327998E-2</v>
      </c>
    </row>
    <row r="11" spans="1:9">
      <c r="A11" s="168" t="s">
        <v>250</v>
      </c>
      <c r="B11" t="s">
        <v>251</v>
      </c>
      <c r="C11" s="188">
        <v>18576.047999999999</v>
      </c>
      <c r="D11">
        <v>58.262599999999999</v>
      </c>
      <c r="E11">
        <v>43.923499999999997</v>
      </c>
      <c r="F11" s="188">
        <v>815925.51049999997</v>
      </c>
      <c r="G11" s="188">
        <v>1082288.8541999999</v>
      </c>
      <c r="H11" s="188">
        <v>266363.34370000003</v>
      </c>
      <c r="I11" s="147">
        <f t="shared" si="0"/>
        <v>0.32645546716240348</v>
      </c>
    </row>
    <row r="12" spans="1:9">
      <c r="A12" s="168" t="s">
        <v>274</v>
      </c>
      <c r="B12" t="s">
        <v>233</v>
      </c>
      <c r="C12" s="188">
        <v>6809.741</v>
      </c>
      <c r="D12">
        <v>34.6</v>
      </c>
      <c r="E12">
        <v>35.241999999999997</v>
      </c>
      <c r="F12" s="188">
        <v>239988.8371</v>
      </c>
      <c r="G12" s="188">
        <v>235617.0386</v>
      </c>
      <c r="H12" s="188">
        <v>-4371.7984999999999</v>
      </c>
      <c r="I12" s="147">
        <f t="shared" si="0"/>
        <v>-1.8216674378810097E-2</v>
      </c>
    </row>
    <row r="13" spans="1:9">
      <c r="A13" s="168" t="s">
        <v>253</v>
      </c>
      <c r="B13" t="s">
        <v>235</v>
      </c>
      <c r="C13" s="188">
        <v>1949.654</v>
      </c>
      <c r="D13">
        <v>149.2749</v>
      </c>
      <c r="E13">
        <v>143.79130000000001</v>
      </c>
      <c r="F13" s="188">
        <v>280343.34049999999</v>
      </c>
      <c r="G13" s="188">
        <v>291034.40590000001</v>
      </c>
      <c r="H13" s="188">
        <v>10691.065399999999</v>
      </c>
      <c r="I13" s="147">
        <f t="shared" si="0"/>
        <v>3.8135613925881717E-2</v>
      </c>
    </row>
    <row r="14" spans="1:9">
      <c r="A14" s="168" t="s">
        <v>255</v>
      </c>
      <c r="B14" t="s">
        <v>241</v>
      </c>
      <c r="C14" s="188">
        <v>18996.168000000001</v>
      </c>
      <c r="D14">
        <v>15.473800000000001</v>
      </c>
      <c r="E14">
        <v>9.4700000000000006</v>
      </c>
      <c r="F14" s="188">
        <v>179893.71100000001</v>
      </c>
      <c r="G14" s="188">
        <v>293942.9044</v>
      </c>
      <c r="H14" s="188">
        <v>114049.1934</v>
      </c>
      <c r="I14" s="147">
        <f t="shared" si="0"/>
        <v>0.63398099225380922</v>
      </c>
    </row>
    <row r="15" spans="1:9">
      <c r="A15"/>
      <c r="B15"/>
      <c r="C15"/>
      <c r="D15"/>
      <c r="E15"/>
      <c r="F15"/>
      <c r="G15"/>
      <c r="H15"/>
      <c r="I15" s="147"/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174233.07700000002</v>
      </c>
      <c r="D18" s="75"/>
      <c r="E18" s="75"/>
      <c r="F18" s="75">
        <f t="shared" ref="F18:H18" si="1">SUM(F2:F15)</f>
        <v>4781119.9985999996</v>
      </c>
      <c r="G18" s="75">
        <f t="shared" si="1"/>
        <v>6702827.5956999995</v>
      </c>
      <c r="H18" s="75">
        <f t="shared" si="1"/>
        <v>1921707.5972000002</v>
      </c>
      <c r="I18" s="53">
        <f t="shared" si="0"/>
        <v>0.40193670055608555</v>
      </c>
    </row>
  </sheetData>
  <hyperlinks>
    <hyperlink ref="A2" r:id="rId1" location="/mf/1831632/15690/NULL" xr:uid="{46326047-0DBB-4E9B-BEA6-AD6A988E3B29}"/>
    <hyperlink ref="A3" r:id="rId2" location="/mf/1831632/22335/NULL" xr:uid="{0CE98F7A-8E97-40A2-947A-B9CA778F4CF7}"/>
    <hyperlink ref="A4" r:id="rId3" location="/mf/1831632/38817/NULL" xr:uid="{9C4EF74E-8BD3-4B97-9FF2-FBFA1486AD9B}"/>
    <hyperlink ref="A5" r:id="rId4" location="/mf/1831632/16071/NULL" xr:uid="{CC1B6FB9-95AD-44E1-A566-4E17619C7341}"/>
    <hyperlink ref="A6" r:id="rId5" location="/mf/1831632/16617/NULL" xr:uid="{959253B5-53A5-40BF-8DE4-DA270868C412}"/>
    <hyperlink ref="A7" r:id="rId6" location="/mf/1831632/17134/NULL" xr:uid="{BDEE9102-F015-42FE-9632-8726A5DEF369}"/>
    <hyperlink ref="A8" r:id="rId7" location="/mf/1831632/38228/NULL" xr:uid="{6AE4F79A-E6C1-4923-A232-81328209B008}"/>
    <hyperlink ref="A9" r:id="rId8" location="/mf/1831632/42135/NULL" xr:uid="{1A465382-89F0-43B9-B1A9-9F6C25E36984}"/>
    <hyperlink ref="A10" r:id="rId9" location="/mf/1831632/41574/NULL" xr:uid="{C0D79206-87BA-4C20-8618-67317008CBAD}"/>
    <hyperlink ref="A11" r:id="rId10" location="/mf/1831632/19701/NULL" xr:uid="{97114F46-2C22-4485-8009-5D6E66AE9FB4}"/>
    <hyperlink ref="A12" r:id="rId11" location="/mf/1831632/17348/NULL" xr:uid="{20E98B76-0482-40FB-AF95-E4F7F811088D}"/>
    <hyperlink ref="A13" r:id="rId12" location="/mf/1831632/17375/NULL" xr:uid="{EC0E444E-BD4C-4DE3-85BA-3CE00FA0828F}"/>
    <hyperlink ref="A14" r:id="rId13" location="/mf/1831632/36491/NULL" xr:uid="{73F36361-4CDC-482C-A576-018D165B729B}"/>
  </hyperlinks>
  <pageMargins left="0.7" right="0.7" top="0.75" bottom="0.75" header="0.3" footer="0.3"/>
  <pageSetup paperSize="9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2363-5A4F-442E-868E-ACB8EFBE465B}">
  <dimension ref="A1:I104"/>
  <sheetViews>
    <sheetView workbookViewId="0">
      <pane xSplit="1" ySplit="1" topLeftCell="B89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78" t="s">
        <v>137</v>
      </c>
      <c r="D1" s="178" t="s">
        <v>138</v>
      </c>
      <c r="E1" s="178" t="s">
        <v>140</v>
      </c>
      <c r="F1" s="178" t="s">
        <v>141</v>
      </c>
      <c r="G1" s="148" t="s">
        <v>129</v>
      </c>
      <c r="H1" s="173" t="s">
        <v>142</v>
      </c>
    </row>
    <row r="2" spans="1:8">
      <c r="A2" s="149" t="s">
        <v>143</v>
      </c>
      <c r="B2" s="150">
        <v>100</v>
      </c>
      <c r="C2" s="150">
        <v>109.73</v>
      </c>
      <c r="D2" s="150">
        <v>100</v>
      </c>
      <c r="E2" s="150">
        <v>10000</v>
      </c>
      <c r="F2" s="150">
        <v>-972.5</v>
      </c>
      <c r="G2" s="151">
        <f t="shared" ref="G2:G33" si="0">E2-F2</f>
        <v>10972.5</v>
      </c>
      <c r="H2" s="174">
        <f t="shared" ref="H2:H13" si="1">F2/G2</f>
        <v>-8.8630667578036004E-2</v>
      </c>
    </row>
    <row r="3" spans="1:8">
      <c r="A3" s="149" t="s">
        <v>264</v>
      </c>
      <c r="B3" s="150">
        <v>13</v>
      </c>
      <c r="C3" s="150">
        <v>133.75</v>
      </c>
      <c r="D3" s="150">
        <v>413.6</v>
      </c>
      <c r="E3" s="150">
        <v>5376.8</v>
      </c>
      <c r="F3" s="150">
        <v>3638.05</v>
      </c>
      <c r="G3" s="151">
        <f t="shared" si="0"/>
        <v>1738.75</v>
      </c>
      <c r="H3" s="174">
        <f t="shared" si="1"/>
        <v>2.0923364485981311</v>
      </c>
    </row>
    <row r="4" spans="1:8">
      <c r="A4" s="149" t="s">
        <v>144</v>
      </c>
      <c r="B4" s="150">
        <v>34</v>
      </c>
      <c r="C4" s="150">
        <v>1047.74</v>
      </c>
      <c r="D4" s="150">
        <v>1321.1</v>
      </c>
      <c r="E4" s="150">
        <v>44917.4</v>
      </c>
      <c r="F4" s="150">
        <v>9294.25</v>
      </c>
      <c r="G4" s="151">
        <f t="shared" si="0"/>
        <v>35623.15</v>
      </c>
      <c r="H4" s="174">
        <f t="shared" si="1"/>
        <v>0.26090477680946239</v>
      </c>
    </row>
    <row r="5" spans="1:8">
      <c r="A5" s="149" t="s">
        <v>317</v>
      </c>
      <c r="B5" s="150">
        <v>13</v>
      </c>
      <c r="C5" s="150">
        <v>2592.56</v>
      </c>
      <c r="D5" s="150">
        <v>3517.35</v>
      </c>
      <c r="E5" s="150">
        <v>45725.55</v>
      </c>
      <c r="F5" s="150">
        <v>12022.3</v>
      </c>
      <c r="G5" s="151">
        <f t="shared" si="0"/>
        <v>33703.25</v>
      </c>
      <c r="H5" s="174">
        <f t="shared" si="1"/>
        <v>0.35671040626645795</v>
      </c>
    </row>
    <row r="6" spans="1:8">
      <c r="A6" s="149" t="s">
        <v>145</v>
      </c>
      <c r="B6" s="150">
        <v>250</v>
      </c>
      <c r="C6" s="150">
        <v>183.59</v>
      </c>
      <c r="D6" s="150">
        <v>347</v>
      </c>
      <c r="E6" s="150">
        <v>86750</v>
      </c>
      <c r="F6" s="150">
        <v>40852.5</v>
      </c>
      <c r="G6" s="151">
        <f t="shared" si="0"/>
        <v>45897.5</v>
      </c>
      <c r="H6" s="174">
        <f t="shared" si="1"/>
        <v>0.89008115910452634</v>
      </c>
    </row>
    <row r="7" spans="1:8">
      <c r="A7" s="149" t="s">
        <v>276</v>
      </c>
      <c r="B7" s="150">
        <v>23</v>
      </c>
      <c r="C7" s="150">
        <v>2652.82</v>
      </c>
      <c r="D7" s="150">
        <v>2902.35</v>
      </c>
      <c r="E7" s="150">
        <v>66754.05</v>
      </c>
      <c r="F7" s="150">
        <v>5739.1</v>
      </c>
      <c r="G7" s="151">
        <f t="shared" si="0"/>
        <v>61014.950000000004</v>
      </c>
      <c r="H7" s="174">
        <f t="shared" si="1"/>
        <v>9.4060554011762693E-2</v>
      </c>
    </row>
    <row r="8" spans="1:8">
      <c r="A8" s="149" t="s">
        <v>277</v>
      </c>
      <c r="B8" s="150">
        <v>72</v>
      </c>
      <c r="C8" s="150">
        <v>578.16999999999996</v>
      </c>
      <c r="D8" s="150">
        <v>663.85</v>
      </c>
      <c r="E8" s="150">
        <v>47797.2</v>
      </c>
      <c r="F8" s="150">
        <v>6169</v>
      </c>
      <c r="G8" s="151">
        <f t="shared" si="0"/>
        <v>41628.199999999997</v>
      </c>
      <c r="H8" s="174">
        <f t="shared" si="1"/>
        <v>0.14819281160367251</v>
      </c>
    </row>
    <row r="9" spans="1:8">
      <c r="A9" s="149" t="s">
        <v>146</v>
      </c>
      <c r="B9" s="150">
        <v>66</v>
      </c>
      <c r="C9" s="150">
        <v>631.89</v>
      </c>
      <c r="D9" s="150">
        <v>860</v>
      </c>
      <c r="E9" s="150">
        <v>56760</v>
      </c>
      <c r="F9" s="150">
        <v>15055</v>
      </c>
      <c r="G9" s="151">
        <f t="shared" si="0"/>
        <v>41705</v>
      </c>
      <c r="H9" s="174">
        <f t="shared" si="1"/>
        <v>0.36098789114015106</v>
      </c>
    </row>
    <row r="10" spans="1:8">
      <c r="A10" s="149" t="s">
        <v>147</v>
      </c>
      <c r="B10" s="150">
        <v>20</v>
      </c>
      <c r="C10" s="150">
        <v>2859.69</v>
      </c>
      <c r="D10" s="150">
        <v>4431.95</v>
      </c>
      <c r="E10" s="150">
        <v>88639</v>
      </c>
      <c r="F10" s="150">
        <v>31445.200000000001</v>
      </c>
      <c r="G10" s="151">
        <f t="shared" si="0"/>
        <v>57193.8</v>
      </c>
      <c r="H10" s="174">
        <f t="shared" si="1"/>
        <v>0.54980085253996058</v>
      </c>
    </row>
    <row r="11" spans="1:8">
      <c r="A11" s="149" t="s">
        <v>148</v>
      </c>
      <c r="B11" s="150">
        <v>6</v>
      </c>
      <c r="C11" s="150">
        <v>6624.43</v>
      </c>
      <c r="D11" s="150">
        <v>6280.4</v>
      </c>
      <c r="E11" s="150">
        <v>37682.400000000001</v>
      </c>
      <c r="F11" s="150">
        <v>-2064.15</v>
      </c>
      <c r="G11" s="151">
        <f t="shared" si="0"/>
        <v>39746.550000000003</v>
      </c>
      <c r="H11" s="174">
        <f t="shared" si="1"/>
        <v>-5.193280926269072E-2</v>
      </c>
    </row>
    <row r="12" spans="1:8">
      <c r="A12" s="149" t="s">
        <v>149</v>
      </c>
      <c r="B12" s="150">
        <v>10</v>
      </c>
      <c r="C12" s="150">
        <v>1889.87</v>
      </c>
      <c r="D12" s="150">
        <v>2084.25</v>
      </c>
      <c r="E12" s="150">
        <v>20842.5</v>
      </c>
      <c r="F12" s="150">
        <v>1943.85</v>
      </c>
      <c r="G12" s="151">
        <f t="shared" si="0"/>
        <v>18898.650000000001</v>
      </c>
      <c r="H12" s="174">
        <f t="shared" si="1"/>
        <v>0.10285655324586676</v>
      </c>
    </row>
    <row r="13" spans="1:8">
      <c r="A13" s="149" t="s">
        <v>152</v>
      </c>
      <c r="B13" s="150">
        <v>180</v>
      </c>
      <c r="C13" s="150">
        <v>322.89</v>
      </c>
      <c r="D13" s="150">
        <v>799.3</v>
      </c>
      <c r="E13" s="150">
        <v>143874</v>
      </c>
      <c r="F13" s="150">
        <v>85754</v>
      </c>
      <c r="G13" s="151">
        <f t="shared" si="0"/>
        <v>58120</v>
      </c>
      <c r="H13" s="174">
        <f t="shared" si="1"/>
        <v>1.4754645560908466</v>
      </c>
    </row>
    <row r="14" spans="1:8">
      <c r="A14" s="149" t="s">
        <v>153</v>
      </c>
      <c r="B14" s="150">
        <v>61</v>
      </c>
      <c r="C14" s="150">
        <v>427.78</v>
      </c>
      <c r="D14" s="150">
        <v>501.9</v>
      </c>
      <c r="E14" s="150">
        <v>30615.9</v>
      </c>
      <c r="F14" s="150">
        <v>4521.3</v>
      </c>
      <c r="G14" s="151">
        <f t="shared" si="0"/>
        <v>26094.600000000002</v>
      </c>
      <c r="H14" s="174"/>
    </row>
    <row r="15" spans="1:8">
      <c r="A15" s="149" t="s">
        <v>154</v>
      </c>
      <c r="B15" s="150">
        <v>14</v>
      </c>
      <c r="C15" s="150">
        <v>3489.94</v>
      </c>
      <c r="D15" s="150">
        <v>4554.25</v>
      </c>
      <c r="E15" s="150">
        <v>63759.5</v>
      </c>
      <c r="F15" s="150">
        <v>14900.4</v>
      </c>
      <c r="G15" s="151">
        <f t="shared" si="0"/>
        <v>48859.1</v>
      </c>
      <c r="H15" s="174">
        <f>F15/G15</f>
        <v>0.30496673086487469</v>
      </c>
    </row>
    <row r="16" spans="1:8">
      <c r="A16" s="149" t="s">
        <v>304</v>
      </c>
      <c r="B16" s="150">
        <v>6</v>
      </c>
      <c r="C16" s="150">
        <v>0</v>
      </c>
      <c r="D16" s="150">
        <v>29.57</v>
      </c>
      <c r="E16" s="150">
        <v>177.42</v>
      </c>
      <c r="F16" s="150">
        <v>177.42</v>
      </c>
      <c r="G16" s="151">
        <f t="shared" si="0"/>
        <v>0</v>
      </c>
      <c r="H16" s="174">
        <v>0</v>
      </c>
    </row>
    <row r="17" spans="1:8">
      <c r="A17" s="149" t="s">
        <v>155</v>
      </c>
      <c r="B17" s="150">
        <v>180</v>
      </c>
      <c r="C17" s="150">
        <v>155.25</v>
      </c>
      <c r="D17" s="150">
        <v>119.85</v>
      </c>
      <c r="E17" s="150">
        <v>21573</v>
      </c>
      <c r="F17" s="150">
        <v>-6372</v>
      </c>
      <c r="G17" s="151">
        <f t="shared" si="0"/>
        <v>27945</v>
      </c>
      <c r="H17" s="174">
        <f t="shared" ref="H17:H48" si="2">F17/G17</f>
        <v>-0.22801932367149758</v>
      </c>
    </row>
    <row r="18" spans="1:8">
      <c r="A18" s="149" t="s">
        <v>157</v>
      </c>
      <c r="B18" s="150">
        <v>35</v>
      </c>
      <c r="C18" s="150">
        <v>827.34</v>
      </c>
      <c r="D18" s="150">
        <v>908.05</v>
      </c>
      <c r="E18" s="150">
        <v>31781.75</v>
      </c>
      <c r="F18" s="150">
        <v>2824.9</v>
      </c>
      <c r="G18" s="151">
        <f t="shared" si="0"/>
        <v>28956.85</v>
      </c>
      <c r="H18" s="174">
        <f t="shared" si="2"/>
        <v>9.755550068463939E-2</v>
      </c>
    </row>
    <row r="19" spans="1:8">
      <c r="A19" s="149" t="s">
        <v>158</v>
      </c>
      <c r="B19" s="150">
        <v>250</v>
      </c>
      <c r="C19" s="150">
        <v>163.66999999999999</v>
      </c>
      <c r="D19" s="150">
        <v>233.1</v>
      </c>
      <c r="E19" s="150">
        <v>58275</v>
      </c>
      <c r="F19" s="150">
        <v>17357.5</v>
      </c>
      <c r="G19" s="151">
        <f t="shared" si="0"/>
        <v>40917.5</v>
      </c>
      <c r="H19" s="174">
        <f t="shared" si="2"/>
        <v>0.42420724628826295</v>
      </c>
    </row>
    <row r="20" spans="1:8">
      <c r="A20" s="149" t="s">
        <v>159</v>
      </c>
      <c r="B20" s="150">
        <v>10</v>
      </c>
      <c r="C20" s="150">
        <v>4083.04</v>
      </c>
      <c r="D20" s="150">
        <v>4184.5</v>
      </c>
      <c r="E20" s="150">
        <v>41845</v>
      </c>
      <c r="F20" s="150">
        <v>1014.6</v>
      </c>
      <c r="G20" s="151">
        <f t="shared" si="0"/>
        <v>40830.400000000001</v>
      </c>
      <c r="H20" s="174">
        <f t="shared" si="2"/>
        <v>2.4849132019279751E-2</v>
      </c>
    </row>
    <row r="21" spans="1:8">
      <c r="A21" s="149" t="s">
        <v>160</v>
      </c>
      <c r="B21" s="150">
        <v>35</v>
      </c>
      <c r="C21" s="150">
        <v>1545.44</v>
      </c>
      <c r="D21" s="150">
        <v>1595.1</v>
      </c>
      <c r="E21" s="150">
        <v>55828.5</v>
      </c>
      <c r="F21" s="150">
        <v>1738</v>
      </c>
      <c r="G21" s="151">
        <f t="shared" si="0"/>
        <v>54090.5</v>
      </c>
      <c r="H21" s="174">
        <f t="shared" si="2"/>
        <v>3.2131335447074812E-2</v>
      </c>
    </row>
    <row r="22" spans="1:8">
      <c r="A22" s="149" t="s">
        <v>279</v>
      </c>
      <c r="B22" s="150">
        <v>72</v>
      </c>
      <c r="C22" s="150">
        <v>559.89</v>
      </c>
      <c r="D22" s="150">
        <v>532.9</v>
      </c>
      <c r="E22" s="150">
        <v>38368.800000000003</v>
      </c>
      <c r="F22" s="150">
        <v>-1943.25</v>
      </c>
      <c r="G22" s="151">
        <f t="shared" si="0"/>
        <v>40312.050000000003</v>
      </c>
      <c r="H22" s="174">
        <f t="shared" si="2"/>
        <v>-4.8205189267229026E-2</v>
      </c>
    </row>
    <row r="23" spans="1:8">
      <c r="A23" s="149" t="s">
        <v>161</v>
      </c>
      <c r="B23" s="150">
        <v>55</v>
      </c>
      <c r="C23" s="150">
        <v>325.14</v>
      </c>
      <c r="D23" s="150">
        <v>426.2</v>
      </c>
      <c r="E23" s="150">
        <v>23441</v>
      </c>
      <c r="F23" s="150">
        <v>5558.1</v>
      </c>
      <c r="G23" s="151">
        <f t="shared" si="0"/>
        <v>17882.900000000001</v>
      </c>
      <c r="H23" s="174">
        <f t="shared" si="2"/>
        <v>0.31080529444329497</v>
      </c>
    </row>
    <row r="24" spans="1:8">
      <c r="A24" s="149" t="s">
        <v>162</v>
      </c>
      <c r="B24" s="150">
        <v>12</v>
      </c>
      <c r="C24" s="150">
        <v>3205.4</v>
      </c>
      <c r="D24" s="150">
        <v>3512.65</v>
      </c>
      <c r="E24" s="150">
        <v>42151.8</v>
      </c>
      <c r="F24" s="150">
        <v>3687.05</v>
      </c>
      <c r="G24" s="151">
        <f t="shared" si="0"/>
        <v>38464.75</v>
      </c>
      <c r="H24" s="174">
        <f t="shared" si="2"/>
        <v>9.5855296082777097E-2</v>
      </c>
    </row>
    <row r="25" spans="1:8">
      <c r="A25" s="149" t="s">
        <v>163</v>
      </c>
      <c r="B25" s="150">
        <v>9</v>
      </c>
      <c r="C25" s="150">
        <v>4442.55</v>
      </c>
      <c r="D25" s="150">
        <v>4929.8500000000004</v>
      </c>
      <c r="E25" s="150">
        <v>44368.65</v>
      </c>
      <c r="F25" s="150">
        <v>4385.7</v>
      </c>
      <c r="G25" s="151">
        <f t="shared" si="0"/>
        <v>39982.950000000004</v>
      </c>
      <c r="H25" s="174">
        <f t="shared" si="2"/>
        <v>0.10968925504496289</v>
      </c>
    </row>
    <row r="26" spans="1:8">
      <c r="A26" s="149" t="s">
        <v>164</v>
      </c>
      <c r="B26" s="150">
        <v>10</v>
      </c>
      <c r="C26" s="150">
        <v>2469.04</v>
      </c>
      <c r="D26" s="150">
        <v>3301.1</v>
      </c>
      <c r="E26" s="150">
        <v>33011</v>
      </c>
      <c r="F26" s="150">
        <v>8320.65</v>
      </c>
      <c r="G26" s="151">
        <f t="shared" si="0"/>
        <v>24690.35</v>
      </c>
      <c r="H26" s="174">
        <f t="shared" si="2"/>
        <v>0.33700008302838963</v>
      </c>
    </row>
    <row r="27" spans="1:8">
      <c r="A27" s="149" t="s">
        <v>270</v>
      </c>
      <c r="B27" s="150">
        <v>61</v>
      </c>
      <c r="C27" s="150">
        <v>360.97</v>
      </c>
      <c r="D27" s="150">
        <v>330.32</v>
      </c>
      <c r="E27" s="150">
        <v>20149.52</v>
      </c>
      <c r="F27" s="150">
        <v>-1869.65</v>
      </c>
      <c r="G27" s="151">
        <f t="shared" si="0"/>
        <v>22019.170000000002</v>
      </c>
      <c r="H27" s="174">
        <f t="shared" si="2"/>
        <v>-8.491010333268692E-2</v>
      </c>
    </row>
    <row r="28" spans="1:8">
      <c r="A28" s="149" t="s">
        <v>166</v>
      </c>
      <c r="B28" s="150">
        <v>31</v>
      </c>
      <c r="C28" s="150">
        <v>1356.45</v>
      </c>
      <c r="D28" s="150">
        <v>1344.3</v>
      </c>
      <c r="E28" s="150">
        <v>41673.300000000003</v>
      </c>
      <c r="F28" s="150">
        <v>-376.6</v>
      </c>
      <c r="G28" s="151">
        <f t="shared" si="0"/>
        <v>42049.9</v>
      </c>
      <c r="H28" s="174">
        <f t="shared" si="2"/>
        <v>-8.956026054758752E-3</v>
      </c>
    </row>
    <row r="29" spans="1:8">
      <c r="A29" s="149" t="s">
        <v>168</v>
      </c>
      <c r="B29" s="150">
        <v>80</v>
      </c>
      <c r="C29" s="150">
        <v>685.74</v>
      </c>
      <c r="D29" s="150">
        <v>631.25</v>
      </c>
      <c r="E29" s="150">
        <v>50500</v>
      </c>
      <c r="F29" s="150">
        <v>-4359</v>
      </c>
      <c r="G29" s="151">
        <f t="shared" si="0"/>
        <v>54859</v>
      </c>
      <c r="H29" s="174">
        <f t="shared" si="2"/>
        <v>-7.9458247507245852E-2</v>
      </c>
    </row>
    <row r="30" spans="1:8">
      <c r="A30" s="149" t="s">
        <v>169</v>
      </c>
      <c r="B30" s="150">
        <v>306</v>
      </c>
      <c r="C30" s="150">
        <v>184.89</v>
      </c>
      <c r="D30" s="150">
        <v>195.85</v>
      </c>
      <c r="E30" s="150">
        <v>59930.1</v>
      </c>
      <c r="F30" s="150">
        <v>3354.35</v>
      </c>
      <c r="G30" s="151">
        <f t="shared" si="0"/>
        <v>56575.75</v>
      </c>
      <c r="H30" s="174">
        <f t="shared" si="2"/>
        <v>5.9289536594742447E-2</v>
      </c>
    </row>
    <row r="31" spans="1:8">
      <c r="A31" s="149" t="s">
        <v>170</v>
      </c>
      <c r="B31" s="150">
        <v>387</v>
      </c>
      <c r="C31" s="150">
        <v>82.58</v>
      </c>
      <c r="D31" s="150">
        <v>134.94999999999999</v>
      </c>
      <c r="E31" s="150">
        <v>52225.65</v>
      </c>
      <c r="F31" s="150">
        <v>20265.849999999999</v>
      </c>
      <c r="G31" s="151">
        <f t="shared" si="0"/>
        <v>31959.800000000003</v>
      </c>
      <c r="H31" s="174">
        <f t="shared" si="2"/>
        <v>0.63410440616023867</v>
      </c>
    </row>
    <row r="32" spans="1:8">
      <c r="A32" s="149" t="s">
        <v>325</v>
      </c>
      <c r="B32" s="150">
        <v>57</v>
      </c>
      <c r="C32" s="150">
        <v>630.04</v>
      </c>
      <c r="D32" s="150">
        <v>484.65</v>
      </c>
      <c r="E32" s="150">
        <v>27625.05</v>
      </c>
      <c r="F32" s="150">
        <v>-8287.25</v>
      </c>
      <c r="G32" s="151">
        <f t="shared" si="0"/>
        <v>35912.300000000003</v>
      </c>
      <c r="H32" s="174">
        <f t="shared" si="2"/>
        <v>-0.23076355454816314</v>
      </c>
    </row>
    <row r="33" spans="1:8">
      <c r="A33" s="149" t="s">
        <v>172</v>
      </c>
      <c r="B33" s="150">
        <v>18</v>
      </c>
      <c r="C33" s="150">
        <v>1556.41</v>
      </c>
      <c r="D33" s="150">
        <v>1313</v>
      </c>
      <c r="E33" s="150">
        <v>23634</v>
      </c>
      <c r="F33" s="150">
        <v>-4381.3500000000004</v>
      </c>
      <c r="G33" s="151">
        <f t="shared" si="0"/>
        <v>28015.35</v>
      </c>
      <c r="H33" s="174">
        <f t="shared" si="2"/>
        <v>-0.1563910499065691</v>
      </c>
    </row>
    <row r="34" spans="1:8">
      <c r="A34" s="149" t="s">
        <v>173</v>
      </c>
      <c r="B34" s="150">
        <v>33</v>
      </c>
      <c r="C34" s="150">
        <v>41.65</v>
      </c>
      <c r="D34" s="150">
        <v>51.25</v>
      </c>
      <c r="E34" s="150">
        <v>1691.25</v>
      </c>
      <c r="F34" s="150">
        <v>316.73</v>
      </c>
      <c r="G34" s="151">
        <f t="shared" ref="G34:G65" si="3">E34-F34</f>
        <v>1374.52</v>
      </c>
      <c r="H34" s="174">
        <f t="shared" si="2"/>
        <v>0.23042953176381575</v>
      </c>
    </row>
    <row r="35" spans="1:8">
      <c r="A35" s="149" t="s">
        <v>281</v>
      </c>
      <c r="B35" s="150">
        <v>77</v>
      </c>
      <c r="C35" s="150">
        <v>285.64999999999998</v>
      </c>
      <c r="D35" s="150">
        <v>300.35000000000002</v>
      </c>
      <c r="E35" s="150">
        <v>23126.95</v>
      </c>
      <c r="F35" s="150">
        <v>1132</v>
      </c>
      <c r="G35" s="151">
        <f t="shared" si="3"/>
        <v>21994.95</v>
      </c>
      <c r="H35" s="174">
        <f t="shared" si="2"/>
        <v>5.1466359323390137E-2</v>
      </c>
    </row>
    <row r="36" spans="1:8">
      <c r="A36" s="149" t="s">
        <v>174</v>
      </c>
      <c r="B36" s="150">
        <v>53</v>
      </c>
      <c r="C36" s="150">
        <v>1051.29</v>
      </c>
      <c r="D36" s="150">
        <v>1064.0999999999999</v>
      </c>
      <c r="E36" s="150">
        <v>56397.3</v>
      </c>
      <c r="F36" s="150">
        <v>679.05</v>
      </c>
      <c r="G36" s="151">
        <f t="shared" si="3"/>
        <v>55718.25</v>
      </c>
      <c r="H36" s="174">
        <f t="shared" si="2"/>
        <v>1.2187209756228883E-2</v>
      </c>
    </row>
    <row r="37" spans="1:8">
      <c r="A37" s="149" t="s">
        <v>175</v>
      </c>
      <c r="B37" s="150">
        <v>48</v>
      </c>
      <c r="C37" s="150">
        <v>1429.32</v>
      </c>
      <c r="D37" s="150">
        <v>1688.05</v>
      </c>
      <c r="E37" s="150">
        <v>81026.399999999994</v>
      </c>
      <c r="F37" s="150">
        <v>12418.95</v>
      </c>
      <c r="G37" s="151">
        <f t="shared" si="3"/>
        <v>68607.45</v>
      </c>
      <c r="H37" s="174">
        <f t="shared" si="2"/>
        <v>0.18101459826884692</v>
      </c>
    </row>
    <row r="38" spans="1:8">
      <c r="A38" s="149" t="s">
        <v>176</v>
      </c>
      <c r="B38" s="150">
        <v>112</v>
      </c>
      <c r="C38" s="150">
        <v>585.04999999999995</v>
      </c>
      <c r="D38" s="150">
        <v>529.75</v>
      </c>
      <c r="E38" s="150">
        <v>59332</v>
      </c>
      <c r="F38" s="150">
        <v>-6193.45</v>
      </c>
      <c r="G38" s="151">
        <f t="shared" si="3"/>
        <v>65525.45</v>
      </c>
      <c r="H38" s="174">
        <f t="shared" si="2"/>
        <v>-9.4519762931807416E-2</v>
      </c>
    </row>
    <row r="39" spans="1:8">
      <c r="A39" s="149" t="s">
        <v>177</v>
      </c>
      <c r="B39" s="150">
        <v>12</v>
      </c>
      <c r="C39" s="150">
        <v>2815.97</v>
      </c>
      <c r="D39" s="150">
        <v>2558.6</v>
      </c>
      <c r="E39" s="150">
        <v>30703.200000000001</v>
      </c>
      <c r="F39" s="150">
        <v>-3088.45</v>
      </c>
      <c r="G39" s="151">
        <f t="shared" si="3"/>
        <v>33791.65</v>
      </c>
      <c r="H39" s="174">
        <f t="shared" si="2"/>
        <v>-9.1396839159969989E-2</v>
      </c>
    </row>
    <row r="40" spans="1:8">
      <c r="A40" s="149" t="s">
        <v>282</v>
      </c>
      <c r="B40" s="150">
        <v>19</v>
      </c>
      <c r="C40" s="150">
        <v>2270.19</v>
      </c>
      <c r="D40" s="150">
        <v>2457.3000000000002</v>
      </c>
      <c r="E40" s="150">
        <v>46688.7</v>
      </c>
      <c r="F40" s="150">
        <v>3555.15</v>
      </c>
      <c r="G40" s="151">
        <f t="shared" si="3"/>
        <v>43133.549999999996</v>
      </c>
      <c r="H40" s="174">
        <f t="shared" si="2"/>
        <v>8.2421919828068874E-2</v>
      </c>
    </row>
    <row r="41" spans="1:8">
      <c r="A41" s="149" t="s">
        <v>178</v>
      </c>
      <c r="B41" s="150">
        <v>80</v>
      </c>
      <c r="C41" s="150">
        <v>567.6</v>
      </c>
      <c r="D41" s="150">
        <v>917.7</v>
      </c>
      <c r="E41" s="150">
        <v>73416</v>
      </c>
      <c r="F41" s="150">
        <v>28007.65</v>
      </c>
      <c r="G41" s="151">
        <f t="shared" si="3"/>
        <v>45408.35</v>
      </c>
      <c r="H41" s="174">
        <f t="shared" si="2"/>
        <v>0.61679514890983711</v>
      </c>
    </row>
    <row r="42" spans="1:8">
      <c r="A42" s="149" t="s">
        <v>179</v>
      </c>
      <c r="B42" s="150">
        <v>69</v>
      </c>
      <c r="C42" s="150">
        <v>1279.53</v>
      </c>
      <c r="D42" s="150">
        <v>1077.7</v>
      </c>
      <c r="E42" s="150">
        <v>74361.3</v>
      </c>
      <c r="F42" s="150">
        <v>-13926.1</v>
      </c>
      <c r="G42" s="151">
        <f t="shared" si="3"/>
        <v>88287.400000000009</v>
      </c>
      <c r="H42" s="174">
        <f t="shared" si="2"/>
        <v>-0.15773598497633862</v>
      </c>
    </row>
    <row r="43" spans="1:8">
      <c r="A43" s="149" t="s">
        <v>180</v>
      </c>
      <c r="B43" s="150">
        <v>139</v>
      </c>
      <c r="C43" s="150">
        <v>495.56</v>
      </c>
      <c r="D43" s="150">
        <v>434.5</v>
      </c>
      <c r="E43" s="150">
        <v>60395.5</v>
      </c>
      <c r="F43" s="150">
        <v>-8487.4500000000007</v>
      </c>
      <c r="G43" s="151">
        <f t="shared" si="3"/>
        <v>68882.95</v>
      </c>
      <c r="H43" s="174">
        <f t="shared" si="2"/>
        <v>-0.12321554172694406</v>
      </c>
    </row>
    <row r="44" spans="1:8">
      <c r="A44" s="149" t="s">
        <v>284</v>
      </c>
      <c r="B44" s="150">
        <v>40</v>
      </c>
      <c r="C44" s="150">
        <v>942.87</v>
      </c>
      <c r="D44" s="150">
        <v>1152.8</v>
      </c>
      <c r="E44" s="150">
        <v>46112</v>
      </c>
      <c r="F44" s="150">
        <v>8397.35</v>
      </c>
      <c r="G44" s="151">
        <f t="shared" si="3"/>
        <v>37714.65</v>
      </c>
      <c r="H44" s="174">
        <f t="shared" si="2"/>
        <v>0.22265485693225312</v>
      </c>
    </row>
    <row r="45" spans="1:8">
      <c r="A45" s="149" t="s">
        <v>181</v>
      </c>
      <c r="B45" s="150">
        <v>43</v>
      </c>
      <c r="C45" s="150">
        <v>1574.16</v>
      </c>
      <c r="D45" s="150">
        <v>1252.75</v>
      </c>
      <c r="E45" s="150">
        <v>53868.25</v>
      </c>
      <c r="F45" s="150">
        <v>-13820.6</v>
      </c>
      <c r="G45" s="151">
        <f t="shared" si="3"/>
        <v>67688.850000000006</v>
      </c>
      <c r="H45" s="174">
        <f t="shared" si="2"/>
        <v>-0.204178383884495</v>
      </c>
    </row>
    <row r="46" spans="1:8">
      <c r="A46" s="149" t="s">
        <v>182</v>
      </c>
      <c r="B46" s="150">
        <v>770</v>
      </c>
      <c r="C46" s="150">
        <v>227.34</v>
      </c>
      <c r="D46" s="150">
        <v>425.55</v>
      </c>
      <c r="E46" s="150">
        <v>327673.5</v>
      </c>
      <c r="F46" s="150">
        <v>152619.15</v>
      </c>
      <c r="G46" s="151">
        <f t="shared" si="3"/>
        <v>175054.35</v>
      </c>
      <c r="H46" s="174">
        <f t="shared" si="2"/>
        <v>0.87183866039318636</v>
      </c>
    </row>
    <row r="47" spans="1:8">
      <c r="A47" s="149" t="s">
        <v>183</v>
      </c>
      <c r="B47" s="150">
        <v>17</v>
      </c>
      <c r="C47" s="150">
        <v>1141.79</v>
      </c>
      <c r="D47" s="150">
        <v>2119</v>
      </c>
      <c r="E47" s="150">
        <v>36023</v>
      </c>
      <c r="F47" s="150">
        <v>16612.599999999999</v>
      </c>
      <c r="G47" s="151">
        <f t="shared" si="3"/>
        <v>19410.400000000001</v>
      </c>
      <c r="H47" s="174">
        <f t="shared" si="2"/>
        <v>0.85586077566665275</v>
      </c>
    </row>
    <row r="48" spans="1:8">
      <c r="A48" s="149" t="s">
        <v>326</v>
      </c>
      <c r="B48" s="150">
        <v>71</v>
      </c>
      <c r="C48" s="150">
        <v>415.91</v>
      </c>
      <c r="D48" s="150">
        <v>377.3</v>
      </c>
      <c r="E48" s="150">
        <v>26788.3</v>
      </c>
      <c r="F48" s="150">
        <v>-2741.65</v>
      </c>
      <c r="G48" s="151">
        <f t="shared" si="3"/>
        <v>29529.95</v>
      </c>
      <c r="H48" s="174">
        <f t="shared" si="2"/>
        <v>-9.2843028857143337E-2</v>
      </c>
    </row>
    <row r="49" spans="1:8">
      <c r="A49" s="149" t="s">
        <v>313</v>
      </c>
      <c r="B49" s="150">
        <v>4</v>
      </c>
      <c r="C49" s="150">
        <v>396.21</v>
      </c>
      <c r="D49" s="150">
        <v>418.39</v>
      </c>
      <c r="E49" s="150">
        <v>1673.56</v>
      </c>
      <c r="F49" s="150">
        <v>88.72</v>
      </c>
      <c r="G49" s="151">
        <f t="shared" si="3"/>
        <v>1584.84</v>
      </c>
      <c r="H49" s="174">
        <f t="shared" ref="H49:H80" si="4">F49/G49</f>
        <v>5.5980414426692916E-2</v>
      </c>
    </row>
    <row r="50" spans="1:8">
      <c r="A50" s="149" t="s">
        <v>184</v>
      </c>
      <c r="B50" s="150">
        <v>468</v>
      </c>
      <c r="C50" s="150">
        <v>112.01</v>
      </c>
      <c r="D50" s="150">
        <v>97.9</v>
      </c>
      <c r="E50" s="150">
        <v>45817.2</v>
      </c>
      <c r="F50" s="150">
        <v>-6605.55</v>
      </c>
      <c r="G50" s="151">
        <f t="shared" si="3"/>
        <v>52422.75</v>
      </c>
      <c r="H50" s="174">
        <f t="shared" si="4"/>
        <v>-0.12600540795742307</v>
      </c>
    </row>
    <row r="51" spans="1:8">
      <c r="A51" s="149" t="s">
        <v>185</v>
      </c>
      <c r="B51" s="150">
        <v>38</v>
      </c>
      <c r="C51" s="150">
        <v>1711.28</v>
      </c>
      <c r="D51" s="150">
        <v>1938.05</v>
      </c>
      <c r="E51" s="150">
        <v>73645.899999999994</v>
      </c>
      <c r="F51" s="150">
        <v>8617.1</v>
      </c>
      <c r="G51" s="151">
        <f t="shared" si="3"/>
        <v>65028.799999999996</v>
      </c>
      <c r="H51" s="174">
        <f t="shared" si="4"/>
        <v>0.13251205619663906</v>
      </c>
    </row>
    <row r="52" spans="1:8">
      <c r="A52" s="149" t="s">
        <v>186</v>
      </c>
      <c r="B52" s="150">
        <v>56</v>
      </c>
      <c r="C52" s="150">
        <v>577.29999999999995</v>
      </c>
      <c r="D52" s="150">
        <v>916.8</v>
      </c>
      <c r="E52" s="150">
        <v>51340.800000000003</v>
      </c>
      <c r="F52" s="150">
        <v>19012.05</v>
      </c>
      <c r="G52" s="151">
        <f t="shared" si="3"/>
        <v>32328.750000000004</v>
      </c>
      <c r="H52" s="174">
        <f t="shared" si="4"/>
        <v>0.58808490894327792</v>
      </c>
    </row>
    <row r="53" spans="1:8">
      <c r="A53" s="149" t="s">
        <v>187</v>
      </c>
      <c r="B53" s="150">
        <v>14</v>
      </c>
      <c r="C53" s="150">
        <v>2384.31</v>
      </c>
      <c r="D53" s="150">
        <v>1954.85</v>
      </c>
      <c r="E53" s="150">
        <v>27367.9</v>
      </c>
      <c r="F53" s="150">
        <v>-6012.5</v>
      </c>
      <c r="G53" s="151">
        <f t="shared" si="3"/>
        <v>33380.400000000001</v>
      </c>
      <c r="H53" s="174">
        <f t="shared" si="4"/>
        <v>-0.18012066961450432</v>
      </c>
    </row>
    <row r="54" spans="1:8">
      <c r="A54" s="149" t="s">
        <v>314</v>
      </c>
      <c r="B54" s="150">
        <v>1</v>
      </c>
      <c r="C54" s="150">
        <v>902.5</v>
      </c>
      <c r="D54" s="150">
        <v>1000</v>
      </c>
      <c r="E54" s="150">
        <v>1000</v>
      </c>
      <c r="F54" s="150">
        <v>97.5</v>
      </c>
      <c r="G54" s="151">
        <f t="shared" si="3"/>
        <v>902.5</v>
      </c>
      <c r="H54" s="174">
        <f t="shared" si="4"/>
        <v>0.10803324099722991</v>
      </c>
    </row>
    <row r="55" spans="1:8">
      <c r="A55" s="149" t="s">
        <v>188</v>
      </c>
      <c r="B55" s="150">
        <v>62</v>
      </c>
      <c r="C55" s="150">
        <v>1053.22</v>
      </c>
      <c r="D55" s="150">
        <v>2356.9499999999998</v>
      </c>
      <c r="E55" s="150">
        <v>146130.9</v>
      </c>
      <c r="F55" s="150">
        <v>80831.55</v>
      </c>
      <c r="G55" s="151">
        <f t="shared" si="3"/>
        <v>65299.349999999991</v>
      </c>
      <c r="H55" s="174">
        <f t="shared" si="4"/>
        <v>1.2378614794787393</v>
      </c>
    </row>
    <row r="56" spans="1:8">
      <c r="A56" s="149" t="s">
        <v>286</v>
      </c>
      <c r="B56" s="150">
        <v>13</v>
      </c>
      <c r="C56" s="150">
        <v>4629.46</v>
      </c>
      <c r="D56" s="150">
        <v>4419.45</v>
      </c>
      <c r="E56" s="150">
        <v>57452.85</v>
      </c>
      <c r="F56" s="150">
        <v>-2730.08</v>
      </c>
      <c r="G56" s="151">
        <f t="shared" si="3"/>
        <v>60182.93</v>
      </c>
      <c r="H56" s="174">
        <f t="shared" si="4"/>
        <v>-4.5363029018361187E-2</v>
      </c>
    </row>
    <row r="57" spans="1:8">
      <c r="A57" s="149" t="s">
        <v>189</v>
      </c>
      <c r="B57" s="150">
        <v>29</v>
      </c>
      <c r="C57" s="150">
        <v>775.92</v>
      </c>
      <c r="D57" s="150">
        <v>1226.9000000000001</v>
      </c>
      <c r="E57" s="150">
        <v>35580.1</v>
      </c>
      <c r="F57" s="150">
        <v>13078.5</v>
      </c>
      <c r="G57" s="151">
        <f t="shared" si="3"/>
        <v>22501.599999999999</v>
      </c>
      <c r="H57" s="174">
        <f t="shared" si="4"/>
        <v>0.58122533508728269</v>
      </c>
    </row>
    <row r="58" spans="1:8">
      <c r="A58" s="149" t="s">
        <v>324</v>
      </c>
      <c r="B58" s="150">
        <v>118</v>
      </c>
      <c r="C58" s="150">
        <v>184.31</v>
      </c>
      <c r="D58" s="150">
        <v>398.8</v>
      </c>
      <c r="E58" s="150">
        <v>47058.400000000001</v>
      </c>
      <c r="F58" s="150">
        <v>25309.75</v>
      </c>
      <c r="G58" s="151">
        <f t="shared" si="3"/>
        <v>21748.65</v>
      </c>
      <c r="H58" s="174">
        <f t="shared" si="4"/>
        <v>1.1637388987362434</v>
      </c>
    </row>
    <row r="59" spans="1:8">
      <c r="A59" s="149" t="s">
        <v>191</v>
      </c>
      <c r="B59" s="150">
        <v>72</v>
      </c>
      <c r="C59" s="150">
        <v>468.01</v>
      </c>
      <c r="D59" s="150">
        <v>496.25</v>
      </c>
      <c r="E59" s="150">
        <v>35730</v>
      </c>
      <c r="F59" s="150">
        <v>2033.4</v>
      </c>
      <c r="G59" s="151">
        <f t="shared" si="3"/>
        <v>33696.6</v>
      </c>
      <c r="H59" s="174">
        <f t="shared" si="4"/>
        <v>6.0344367087480644E-2</v>
      </c>
    </row>
    <row r="60" spans="1:8">
      <c r="A60" s="149" t="s">
        <v>192</v>
      </c>
      <c r="B60" s="150">
        <v>95</v>
      </c>
      <c r="C60" s="150">
        <v>744.2</v>
      </c>
      <c r="D60" s="150">
        <v>639.75</v>
      </c>
      <c r="E60" s="150">
        <v>60776.25</v>
      </c>
      <c r="F60" s="150">
        <v>-9923</v>
      </c>
      <c r="G60" s="151">
        <f t="shared" si="3"/>
        <v>70699.25</v>
      </c>
      <c r="H60" s="174">
        <f t="shared" si="4"/>
        <v>-0.14035509570469276</v>
      </c>
    </row>
    <row r="61" spans="1:8">
      <c r="A61" s="149" t="s">
        <v>193</v>
      </c>
      <c r="B61" s="150">
        <v>58</v>
      </c>
      <c r="C61" s="150">
        <v>342.44</v>
      </c>
      <c r="D61" s="150">
        <v>317.51</v>
      </c>
      <c r="E61" s="150">
        <v>18415.580000000002</v>
      </c>
      <c r="F61" s="150">
        <v>-1445.94</v>
      </c>
      <c r="G61" s="151">
        <f t="shared" si="3"/>
        <v>19861.52</v>
      </c>
      <c r="H61" s="174">
        <f t="shared" si="4"/>
        <v>-7.2801074640812993E-2</v>
      </c>
    </row>
    <row r="62" spans="1:8">
      <c r="A62" s="149" t="s">
        <v>194</v>
      </c>
      <c r="B62" s="150">
        <v>192</v>
      </c>
      <c r="C62" s="150">
        <v>104.85</v>
      </c>
      <c r="D62" s="150">
        <v>73.400000000000006</v>
      </c>
      <c r="E62" s="150">
        <v>14092.8</v>
      </c>
      <c r="F62" s="150">
        <v>-6038.3</v>
      </c>
      <c r="G62" s="151">
        <f t="shared" si="3"/>
        <v>20131.099999999999</v>
      </c>
      <c r="H62" s="174">
        <f t="shared" si="4"/>
        <v>-0.29994883538405753</v>
      </c>
    </row>
    <row r="63" spans="1:8">
      <c r="A63" s="149" t="s">
        <v>195</v>
      </c>
      <c r="B63" s="150">
        <v>22</v>
      </c>
      <c r="C63" s="150">
        <v>2261.12</v>
      </c>
      <c r="D63" s="150">
        <v>1812.35</v>
      </c>
      <c r="E63" s="150">
        <v>39871.699999999997</v>
      </c>
      <c r="F63" s="150">
        <v>-9872.9</v>
      </c>
      <c r="G63" s="151">
        <f t="shared" si="3"/>
        <v>49744.6</v>
      </c>
      <c r="H63" s="174">
        <f t="shared" si="4"/>
        <v>-0.19847179392336053</v>
      </c>
    </row>
    <row r="64" spans="1:8">
      <c r="A64" s="149" t="s">
        <v>315</v>
      </c>
      <c r="B64" s="150">
        <v>102</v>
      </c>
      <c r="C64" s="150">
        <v>14.26</v>
      </c>
      <c r="D64" s="150">
        <v>53.75</v>
      </c>
      <c r="E64" s="150">
        <v>5482.5</v>
      </c>
      <c r="F64" s="150">
        <v>4027.8</v>
      </c>
      <c r="G64" s="151">
        <f t="shared" si="3"/>
        <v>1454.6999999999998</v>
      </c>
      <c r="H64" s="174">
        <f t="shared" si="4"/>
        <v>2.7688183130542385</v>
      </c>
    </row>
    <row r="65" spans="1:8">
      <c r="A65" s="149" t="s">
        <v>316</v>
      </c>
      <c r="B65" s="150">
        <v>4</v>
      </c>
      <c r="C65" s="150">
        <v>131.47999999999999</v>
      </c>
      <c r="D65" s="150">
        <v>197.29</v>
      </c>
      <c r="E65" s="150">
        <v>789.16</v>
      </c>
      <c r="F65" s="150">
        <v>263.24</v>
      </c>
      <c r="G65" s="151">
        <f t="shared" si="3"/>
        <v>525.91999999999996</v>
      </c>
      <c r="H65" s="174">
        <f t="shared" si="4"/>
        <v>0.50053240036507463</v>
      </c>
    </row>
    <row r="66" spans="1:8">
      <c r="A66" s="149" t="s">
        <v>198</v>
      </c>
      <c r="B66" s="150">
        <v>79</v>
      </c>
      <c r="C66" s="150">
        <v>499.72</v>
      </c>
      <c r="D66" s="150">
        <v>915.1</v>
      </c>
      <c r="E66" s="150">
        <v>72292.899999999994</v>
      </c>
      <c r="F66" s="150">
        <v>32815.25</v>
      </c>
      <c r="G66" s="151">
        <f t="shared" ref="G66:G97" si="5">E66-F66</f>
        <v>39477.649999999994</v>
      </c>
      <c r="H66" s="174">
        <f t="shared" si="4"/>
        <v>0.83123615514094695</v>
      </c>
    </row>
    <row r="67" spans="1:8">
      <c r="A67" s="149" t="s">
        <v>199</v>
      </c>
      <c r="B67" s="150">
        <v>16</v>
      </c>
      <c r="C67" s="150">
        <v>3709.52</v>
      </c>
      <c r="D67" s="150">
        <v>3563.85</v>
      </c>
      <c r="E67" s="150">
        <v>57021.599999999999</v>
      </c>
      <c r="F67" s="150">
        <v>-2330.65</v>
      </c>
      <c r="G67" s="151">
        <f t="shared" si="5"/>
        <v>59352.25</v>
      </c>
      <c r="H67" s="174">
        <f t="shared" si="4"/>
        <v>-3.9268098513535715E-2</v>
      </c>
    </row>
    <row r="68" spans="1:8">
      <c r="A68" s="149" t="s">
        <v>200</v>
      </c>
      <c r="B68" s="150">
        <v>300</v>
      </c>
      <c r="C68" s="150">
        <v>82.33</v>
      </c>
      <c r="D68" s="150">
        <v>158.94999999999999</v>
      </c>
      <c r="E68" s="150">
        <v>47685</v>
      </c>
      <c r="F68" s="150">
        <v>22985</v>
      </c>
      <c r="G68" s="151">
        <f t="shared" si="5"/>
        <v>24700</v>
      </c>
      <c r="H68" s="174">
        <f t="shared" si="4"/>
        <v>0.93056680161943317</v>
      </c>
    </row>
    <row r="69" spans="1:8">
      <c r="A69" s="149" t="s">
        <v>201</v>
      </c>
      <c r="B69" s="150">
        <v>10</v>
      </c>
      <c r="C69" s="150">
        <v>3719.2</v>
      </c>
      <c r="D69" s="150">
        <v>4722</v>
      </c>
      <c r="E69" s="150">
        <v>47220</v>
      </c>
      <c r="F69" s="150">
        <v>10028</v>
      </c>
      <c r="G69" s="151">
        <f t="shared" si="5"/>
        <v>37192</v>
      </c>
      <c r="H69" s="174">
        <f t="shared" si="4"/>
        <v>0.26962787696278767</v>
      </c>
    </row>
    <row r="70" spans="1:8">
      <c r="A70" s="149" t="s">
        <v>202</v>
      </c>
      <c r="B70" s="150">
        <v>25</v>
      </c>
      <c r="C70" s="150">
        <v>869.04</v>
      </c>
      <c r="D70" s="150">
        <v>1448.4</v>
      </c>
      <c r="E70" s="150">
        <v>36210</v>
      </c>
      <c r="F70" s="150">
        <v>14483.95</v>
      </c>
      <c r="G70" s="151">
        <f t="shared" si="5"/>
        <v>21726.05</v>
      </c>
      <c r="H70" s="174">
        <f t="shared" si="4"/>
        <v>0.666662831025428</v>
      </c>
    </row>
    <row r="71" spans="1:8">
      <c r="A71" s="149" t="s">
        <v>203</v>
      </c>
      <c r="B71" s="150">
        <v>20</v>
      </c>
      <c r="C71" s="150">
        <v>2453.61</v>
      </c>
      <c r="D71" s="150">
        <v>2419.25</v>
      </c>
      <c r="E71" s="150">
        <v>48385</v>
      </c>
      <c r="F71" s="150">
        <v>-687.3</v>
      </c>
      <c r="G71" s="151">
        <f t="shared" si="5"/>
        <v>49072.3</v>
      </c>
      <c r="H71" s="174">
        <f t="shared" si="4"/>
        <v>-1.4005864815792206E-2</v>
      </c>
    </row>
    <row r="72" spans="1:8">
      <c r="A72" s="149" t="s">
        <v>204</v>
      </c>
      <c r="B72" s="150">
        <v>61</v>
      </c>
      <c r="C72" s="150">
        <v>488.84</v>
      </c>
      <c r="D72" s="150">
        <v>490.7</v>
      </c>
      <c r="E72" s="150">
        <v>29932.7</v>
      </c>
      <c r="F72" s="150">
        <v>113.75</v>
      </c>
      <c r="G72" s="151">
        <f t="shared" si="5"/>
        <v>29818.95</v>
      </c>
      <c r="H72" s="174">
        <f t="shared" si="4"/>
        <v>3.8146883106212658E-3</v>
      </c>
    </row>
    <row r="73" spans="1:8">
      <c r="A73" s="149" t="s">
        <v>307</v>
      </c>
      <c r="B73" s="150">
        <v>20</v>
      </c>
      <c r="C73" s="150">
        <v>1000</v>
      </c>
      <c r="D73" s="150">
        <v>1096.01</v>
      </c>
      <c r="E73" s="150">
        <v>21920.2</v>
      </c>
      <c r="F73" s="150">
        <v>0</v>
      </c>
      <c r="G73" s="151">
        <f t="shared" si="5"/>
        <v>21920.2</v>
      </c>
      <c r="H73" s="174">
        <f t="shared" si="4"/>
        <v>0</v>
      </c>
    </row>
    <row r="74" spans="1:8">
      <c r="A74" s="149" t="s">
        <v>327</v>
      </c>
      <c r="B74" s="150">
        <v>159</v>
      </c>
      <c r="C74" s="150">
        <v>186.3</v>
      </c>
      <c r="D74" s="150">
        <v>168.45</v>
      </c>
      <c r="E74" s="150">
        <v>26783.55</v>
      </c>
      <c r="F74" s="150">
        <v>-2838.15</v>
      </c>
      <c r="G74" s="151">
        <f t="shared" si="5"/>
        <v>29621.7</v>
      </c>
      <c r="H74" s="174">
        <f t="shared" si="4"/>
        <v>-9.5813204508856678E-2</v>
      </c>
    </row>
    <row r="75" spans="1:8">
      <c r="A75" s="149" t="s">
        <v>299</v>
      </c>
      <c r="B75" s="150">
        <v>33</v>
      </c>
      <c r="C75" s="150">
        <v>976.74</v>
      </c>
      <c r="D75" s="150">
        <v>844.9</v>
      </c>
      <c r="E75" s="150">
        <v>27881.7</v>
      </c>
      <c r="F75" s="150">
        <v>-4350.7</v>
      </c>
      <c r="G75" s="151">
        <f t="shared" si="5"/>
        <v>32232.400000000001</v>
      </c>
      <c r="H75" s="174">
        <f t="shared" si="4"/>
        <v>-0.13497908936349759</v>
      </c>
    </row>
    <row r="76" spans="1:8">
      <c r="A76" s="149" t="s">
        <v>328</v>
      </c>
      <c r="B76" s="150">
        <v>116</v>
      </c>
      <c r="C76" s="150">
        <v>255.15</v>
      </c>
      <c r="D76" s="150">
        <v>326</v>
      </c>
      <c r="E76" s="150">
        <v>37816</v>
      </c>
      <c r="F76" s="150">
        <v>8218.2000000000007</v>
      </c>
      <c r="G76" s="151">
        <f t="shared" si="5"/>
        <v>29597.8</v>
      </c>
      <c r="H76" s="174">
        <f t="shared" si="4"/>
        <v>0.27766252897174792</v>
      </c>
    </row>
    <row r="77" spans="1:8">
      <c r="A77" s="149" t="s">
        <v>206</v>
      </c>
      <c r="B77" s="150">
        <v>60</v>
      </c>
      <c r="C77" s="150">
        <v>1105.74</v>
      </c>
      <c r="D77" s="150">
        <v>1140.0999999999999</v>
      </c>
      <c r="E77" s="150">
        <v>68406</v>
      </c>
      <c r="F77" s="150">
        <v>2061.6999999999998</v>
      </c>
      <c r="G77" s="151">
        <f t="shared" si="5"/>
        <v>66344.3</v>
      </c>
      <c r="H77" s="174">
        <f t="shared" si="4"/>
        <v>3.1075766870703282E-2</v>
      </c>
    </row>
    <row r="78" spans="1:8">
      <c r="A78" s="149" t="s">
        <v>207</v>
      </c>
      <c r="B78" s="150">
        <v>105</v>
      </c>
      <c r="C78" s="150">
        <v>304.5</v>
      </c>
      <c r="D78" s="150">
        <v>578.29999999999995</v>
      </c>
      <c r="E78" s="150">
        <v>60721.5</v>
      </c>
      <c r="F78" s="150">
        <v>28748.6</v>
      </c>
      <c r="G78" s="151">
        <f t="shared" si="5"/>
        <v>31972.9</v>
      </c>
      <c r="H78" s="174">
        <f t="shared" si="4"/>
        <v>0.8991552220786978</v>
      </c>
    </row>
    <row r="79" spans="1:8">
      <c r="A79" s="149" t="s">
        <v>305</v>
      </c>
      <c r="B79" s="150">
        <v>10</v>
      </c>
      <c r="C79" s="150">
        <v>5284</v>
      </c>
      <c r="D79" s="150">
        <v>5750</v>
      </c>
      <c r="E79" s="150">
        <v>57500</v>
      </c>
      <c r="F79" s="150">
        <v>4660</v>
      </c>
      <c r="G79" s="151">
        <f t="shared" si="5"/>
        <v>52840</v>
      </c>
      <c r="H79" s="174">
        <f t="shared" si="4"/>
        <v>8.8190764572293717E-2</v>
      </c>
    </row>
    <row r="80" spans="1:8">
      <c r="A80" s="149" t="s">
        <v>209</v>
      </c>
      <c r="B80" s="150">
        <v>5</v>
      </c>
      <c r="C80" s="150">
        <v>4802</v>
      </c>
      <c r="D80" s="150">
        <v>5705.7</v>
      </c>
      <c r="E80" s="150">
        <v>28528.5</v>
      </c>
      <c r="F80" s="150">
        <v>4518.5</v>
      </c>
      <c r="G80" s="151">
        <f t="shared" si="5"/>
        <v>24010</v>
      </c>
      <c r="H80" s="174">
        <f t="shared" si="4"/>
        <v>0.1881924198250729</v>
      </c>
    </row>
    <row r="81" spans="1:8">
      <c r="A81" s="149" t="s">
        <v>311</v>
      </c>
      <c r="B81" s="150">
        <v>10</v>
      </c>
      <c r="C81" s="150">
        <v>5002.45</v>
      </c>
      <c r="D81" s="150">
        <v>5778</v>
      </c>
      <c r="E81" s="150">
        <v>57780</v>
      </c>
      <c r="F81" s="150">
        <v>7755.5</v>
      </c>
      <c r="G81" s="151">
        <f t="shared" si="5"/>
        <v>50024.5</v>
      </c>
      <c r="H81" s="174">
        <f t="shared" ref="H81:H112" si="6">F81/G81</f>
        <v>0.15503403332367141</v>
      </c>
    </row>
    <row r="82" spans="1:8">
      <c r="A82" s="149" t="s">
        <v>329</v>
      </c>
      <c r="B82" s="150">
        <v>60</v>
      </c>
      <c r="C82" s="150">
        <v>504</v>
      </c>
      <c r="D82" s="150">
        <v>464.1</v>
      </c>
      <c r="E82" s="150">
        <v>27846</v>
      </c>
      <c r="F82" s="150">
        <v>-2394</v>
      </c>
      <c r="G82" s="151">
        <f t="shared" si="5"/>
        <v>30240</v>
      </c>
      <c r="H82" s="174">
        <f t="shared" si="6"/>
        <v>-7.9166666666666663E-2</v>
      </c>
    </row>
    <row r="83" spans="1:8">
      <c r="A83" s="149" t="s">
        <v>211</v>
      </c>
      <c r="B83" s="150">
        <v>35</v>
      </c>
      <c r="C83" s="150">
        <v>984.23</v>
      </c>
      <c r="D83" s="150">
        <v>3450.9</v>
      </c>
      <c r="E83" s="150">
        <v>120781.5</v>
      </c>
      <c r="F83" s="150">
        <v>86333.45</v>
      </c>
      <c r="G83" s="151">
        <f t="shared" si="5"/>
        <v>34448.050000000003</v>
      </c>
      <c r="H83" s="174">
        <f t="shared" si="6"/>
        <v>2.5061926582201313</v>
      </c>
    </row>
    <row r="84" spans="1:8">
      <c r="A84" s="149" t="s">
        <v>330</v>
      </c>
      <c r="B84" s="150">
        <v>54</v>
      </c>
      <c r="C84" s="150">
        <v>508.63</v>
      </c>
      <c r="D84" s="150">
        <v>487.85</v>
      </c>
      <c r="E84" s="150">
        <v>26343.9</v>
      </c>
      <c r="F84" s="150">
        <v>-1122.3</v>
      </c>
      <c r="G84" s="151">
        <f t="shared" si="5"/>
        <v>27466.2</v>
      </c>
      <c r="H84" s="174">
        <f t="shared" si="6"/>
        <v>-4.0861131135723178E-2</v>
      </c>
    </row>
    <row r="85" spans="1:8">
      <c r="A85" s="149" t="s">
        <v>290</v>
      </c>
      <c r="B85" s="150">
        <v>21</v>
      </c>
      <c r="C85" s="150">
        <v>652.55999999999995</v>
      </c>
      <c r="D85" s="150">
        <v>480.1</v>
      </c>
      <c r="E85" s="150">
        <v>10082.1</v>
      </c>
      <c r="F85" s="150">
        <v>-3621.6</v>
      </c>
      <c r="G85" s="151">
        <f t="shared" si="5"/>
        <v>13703.7</v>
      </c>
      <c r="H85" s="174">
        <f t="shared" si="6"/>
        <v>-0.26427899034567304</v>
      </c>
    </row>
    <row r="86" spans="1:8">
      <c r="A86" s="149" t="s">
        <v>292</v>
      </c>
      <c r="B86" s="150">
        <v>32</v>
      </c>
      <c r="C86" s="150">
        <v>752.33</v>
      </c>
      <c r="D86" s="150">
        <v>1046.0999999999999</v>
      </c>
      <c r="E86" s="150">
        <v>33475.199999999997</v>
      </c>
      <c r="F86" s="150">
        <v>9400.7000000000007</v>
      </c>
      <c r="G86" s="151">
        <f t="shared" si="5"/>
        <v>24074.499999999996</v>
      </c>
      <c r="H86" s="174">
        <f t="shared" si="6"/>
        <v>0.39048370682672545</v>
      </c>
    </row>
    <row r="87" spans="1:8">
      <c r="A87" s="149" t="s">
        <v>212</v>
      </c>
      <c r="B87" s="150">
        <v>135</v>
      </c>
      <c r="C87" s="150">
        <v>501.84</v>
      </c>
      <c r="D87" s="150">
        <v>987.65</v>
      </c>
      <c r="E87" s="150">
        <v>133332.75</v>
      </c>
      <c r="F87" s="150">
        <v>65584.45</v>
      </c>
      <c r="G87" s="151">
        <f t="shared" si="5"/>
        <v>67748.3</v>
      </c>
      <c r="H87" s="174">
        <f t="shared" si="6"/>
        <v>0.96806045317742284</v>
      </c>
    </row>
    <row r="88" spans="1:8">
      <c r="A88" s="149" t="s">
        <v>293</v>
      </c>
      <c r="B88" s="150">
        <v>50</v>
      </c>
      <c r="C88" s="150">
        <v>283.19</v>
      </c>
      <c r="D88" s="150">
        <v>358.05</v>
      </c>
      <c r="E88" s="150">
        <v>17902.5</v>
      </c>
      <c r="F88" s="150">
        <v>3742.85</v>
      </c>
      <c r="G88" s="151">
        <f t="shared" si="5"/>
        <v>14159.65</v>
      </c>
      <c r="H88" s="174">
        <f t="shared" si="6"/>
        <v>0.26433209860413215</v>
      </c>
    </row>
    <row r="89" spans="1:8">
      <c r="A89" s="149" t="s">
        <v>308</v>
      </c>
      <c r="B89" s="150">
        <v>61</v>
      </c>
      <c r="C89" s="150">
        <v>481.95</v>
      </c>
      <c r="D89" s="150">
        <v>471.9</v>
      </c>
      <c r="E89" s="150">
        <v>28785.9</v>
      </c>
      <c r="F89" s="150">
        <v>-613.04999999999995</v>
      </c>
      <c r="G89" s="151">
        <f t="shared" si="5"/>
        <v>29398.95</v>
      </c>
      <c r="H89" s="174">
        <f t="shared" si="6"/>
        <v>-2.0852785558667909E-2</v>
      </c>
    </row>
    <row r="90" spans="1:8">
      <c r="A90" s="149" t="s">
        <v>213</v>
      </c>
      <c r="B90" s="150">
        <v>57</v>
      </c>
      <c r="C90" s="150">
        <v>468.04</v>
      </c>
      <c r="D90" s="150">
        <v>677.35</v>
      </c>
      <c r="E90" s="150">
        <v>38608.949999999997</v>
      </c>
      <c r="F90" s="150">
        <v>11930.45</v>
      </c>
      <c r="G90" s="151">
        <f t="shared" si="5"/>
        <v>26678.499999999996</v>
      </c>
      <c r="H90" s="174">
        <f t="shared" si="6"/>
        <v>0.44719343291414443</v>
      </c>
    </row>
    <row r="91" spans="1:8">
      <c r="A91" s="149" t="s">
        <v>214</v>
      </c>
      <c r="B91" s="150">
        <v>38</v>
      </c>
      <c r="C91" s="150">
        <v>684.41</v>
      </c>
      <c r="D91" s="150">
        <v>763.85</v>
      </c>
      <c r="E91" s="150">
        <v>29026.3</v>
      </c>
      <c r="F91" s="150">
        <v>3018.75</v>
      </c>
      <c r="G91" s="151">
        <f t="shared" si="5"/>
        <v>26007.55</v>
      </c>
      <c r="H91" s="174">
        <f t="shared" si="6"/>
        <v>0.11607206368919795</v>
      </c>
    </row>
    <row r="92" spans="1:8">
      <c r="A92" s="149" t="s">
        <v>302</v>
      </c>
      <c r="B92" s="150">
        <v>775</v>
      </c>
      <c r="C92" s="150">
        <v>99.29</v>
      </c>
      <c r="D92" s="150">
        <v>248.45</v>
      </c>
      <c r="E92" s="150">
        <v>192548.75</v>
      </c>
      <c r="F92" s="150">
        <v>115597.75</v>
      </c>
      <c r="G92" s="151">
        <f t="shared" si="5"/>
        <v>76951</v>
      </c>
      <c r="H92" s="174">
        <f t="shared" si="6"/>
        <v>1.5022254421644943</v>
      </c>
    </row>
    <row r="93" spans="1:8">
      <c r="A93" s="149" t="s">
        <v>215</v>
      </c>
      <c r="B93" s="150">
        <v>1050</v>
      </c>
      <c r="C93" s="150">
        <v>40.479999999999997</v>
      </c>
      <c r="D93" s="150">
        <v>107.95</v>
      </c>
      <c r="E93" s="150">
        <v>113347.5</v>
      </c>
      <c r="F93" s="150">
        <v>70847.25</v>
      </c>
      <c r="G93" s="151">
        <f t="shared" si="5"/>
        <v>42500.25</v>
      </c>
      <c r="H93" s="174">
        <f t="shared" si="6"/>
        <v>1.6669843118569891</v>
      </c>
    </row>
    <row r="94" spans="1:8">
      <c r="A94" s="149" t="s">
        <v>216</v>
      </c>
      <c r="B94" s="150">
        <v>21</v>
      </c>
      <c r="C94" s="150">
        <v>3357.32</v>
      </c>
      <c r="D94" s="150">
        <v>3219.25</v>
      </c>
      <c r="E94" s="150">
        <v>67604.25</v>
      </c>
      <c r="F94" s="150">
        <v>-2899.5</v>
      </c>
      <c r="G94" s="151">
        <f t="shared" si="5"/>
        <v>70503.75</v>
      </c>
      <c r="H94" s="174">
        <f t="shared" si="6"/>
        <v>-4.1125472049359076E-2</v>
      </c>
    </row>
    <row r="95" spans="1:8">
      <c r="A95" s="149" t="s">
        <v>318</v>
      </c>
      <c r="B95" s="150">
        <v>39</v>
      </c>
      <c r="C95" s="150">
        <v>1177.8599999999999</v>
      </c>
      <c r="D95" s="150">
        <v>1023.75</v>
      </c>
      <c r="E95" s="150">
        <v>39926.25</v>
      </c>
      <c r="F95" s="150">
        <v>-6010.4</v>
      </c>
      <c r="G95" s="151">
        <f t="shared" si="5"/>
        <v>45936.65</v>
      </c>
      <c r="H95" s="174">
        <f t="shared" si="6"/>
        <v>-0.13084106046043845</v>
      </c>
    </row>
    <row r="96" spans="1:8">
      <c r="A96" s="149" t="s">
        <v>217</v>
      </c>
      <c r="B96" s="150">
        <v>18</v>
      </c>
      <c r="C96" s="150">
        <v>2460.42</v>
      </c>
      <c r="D96" s="150">
        <v>2641.85</v>
      </c>
      <c r="E96" s="150">
        <v>47553.3</v>
      </c>
      <c r="F96" s="150">
        <v>3265.75</v>
      </c>
      <c r="G96" s="151">
        <f t="shared" si="5"/>
        <v>44287.55</v>
      </c>
      <c r="H96" s="174">
        <f t="shared" si="6"/>
        <v>7.3739685306592931E-2</v>
      </c>
    </row>
    <row r="97" spans="1:8">
      <c r="A97" s="149" t="s">
        <v>220</v>
      </c>
      <c r="B97" s="150">
        <v>42</v>
      </c>
      <c r="C97" s="150">
        <v>315.58999999999997</v>
      </c>
      <c r="D97" s="150">
        <v>521.20000000000005</v>
      </c>
      <c r="E97" s="150">
        <v>21890.400000000001</v>
      </c>
      <c r="F97" s="150">
        <v>8635.7000000000007</v>
      </c>
      <c r="G97" s="151">
        <f t="shared" si="5"/>
        <v>13254.7</v>
      </c>
      <c r="H97" s="174">
        <f t="shared" si="6"/>
        <v>0.65151983824605608</v>
      </c>
    </row>
    <row r="98" spans="1:8">
      <c r="A98" s="149" t="s">
        <v>331</v>
      </c>
      <c r="B98" s="150">
        <v>41</v>
      </c>
      <c r="C98" s="150">
        <v>742.5</v>
      </c>
      <c r="D98" s="150">
        <v>740.3</v>
      </c>
      <c r="E98" s="150">
        <v>30352.3</v>
      </c>
      <c r="F98" s="150">
        <v>-90.2</v>
      </c>
      <c r="G98" s="151">
        <f t="shared" ref="G98:G129" si="7">E98-F98</f>
        <v>30442.5</v>
      </c>
      <c r="H98" s="174">
        <f t="shared" si="6"/>
        <v>-2.9629629629629632E-3</v>
      </c>
    </row>
    <row r="99" spans="1:8">
      <c r="A99" s="149" t="s">
        <v>221</v>
      </c>
      <c r="B99" s="150">
        <v>40</v>
      </c>
      <c r="C99" s="150">
        <v>447.63</v>
      </c>
      <c r="D99" s="150">
        <v>1445.2</v>
      </c>
      <c r="E99" s="150">
        <v>57808</v>
      </c>
      <c r="F99" s="150">
        <v>39903</v>
      </c>
      <c r="G99" s="151">
        <f t="shared" si="7"/>
        <v>17905</v>
      </c>
      <c r="H99" s="174">
        <f t="shared" si="6"/>
        <v>2.2285953644233456</v>
      </c>
    </row>
    <row r="100" spans="1:8">
      <c r="A100" s="149" t="s">
        <v>300</v>
      </c>
      <c r="B100" s="150">
        <v>300</v>
      </c>
      <c r="C100" s="150">
        <v>29.45</v>
      </c>
      <c r="D100" s="150">
        <v>15.7</v>
      </c>
      <c r="E100" s="150">
        <v>4710</v>
      </c>
      <c r="F100" s="150">
        <v>-4125</v>
      </c>
      <c r="G100" s="151">
        <f t="shared" si="7"/>
        <v>8835</v>
      </c>
      <c r="H100" s="174">
        <f t="shared" si="6"/>
        <v>-0.46689303904923601</v>
      </c>
    </row>
    <row r="101" spans="1:8">
      <c r="A101" s="149" t="s">
        <v>309</v>
      </c>
      <c r="B101" s="150">
        <v>29</v>
      </c>
      <c r="C101" s="150">
        <v>1910.61</v>
      </c>
      <c r="D101" s="150">
        <v>1552.8</v>
      </c>
      <c r="E101" s="150">
        <v>45031.199999999997</v>
      </c>
      <c r="F101" s="150">
        <v>-10376.4</v>
      </c>
      <c r="G101" s="151">
        <f t="shared" si="7"/>
        <v>55407.6</v>
      </c>
      <c r="H101" s="174">
        <f t="shared" si="6"/>
        <v>-0.18727394797825569</v>
      </c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9334</v>
      </c>
      <c r="C104" s="45"/>
      <c r="D104" s="45"/>
      <c r="E104" s="45">
        <f>SUM(E2:E103)</f>
        <v>4888924.790000001</v>
      </c>
      <c r="F104" s="45">
        <f>SUM(F2:F103)</f>
        <v>1068794.8899999997</v>
      </c>
      <c r="G104" s="45">
        <f>SUM(G2:G103)</f>
        <v>3820129.9000000004</v>
      </c>
      <c r="H104" s="176">
        <f>F104/G104</f>
        <v>0.27977972424445557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55FE-18FF-4E72-8E3D-7A2B3EBF3C55}">
  <dimension ref="A1:I18"/>
  <sheetViews>
    <sheetView workbookViewId="0">
      <selection activeCell="A2" sqref="A2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75.98</v>
      </c>
      <c r="E2">
        <v>68.607799999999997</v>
      </c>
      <c r="F2" s="188">
        <v>279986.10960000003</v>
      </c>
      <c r="G2" s="188">
        <v>310071.79670000001</v>
      </c>
      <c r="H2" s="188">
        <v>30085.687099999999</v>
      </c>
      <c r="I2" s="147">
        <f>H2/F2</f>
        <v>0.10745421315000835</v>
      </c>
    </row>
    <row r="3" spans="1:9">
      <c r="A3" s="168" t="s">
        <v>236</v>
      </c>
      <c r="B3" t="s">
        <v>237</v>
      </c>
      <c r="C3" s="188">
        <v>14235.332</v>
      </c>
      <c r="D3">
        <v>72.599999999999994</v>
      </c>
      <c r="E3">
        <v>47.766100000000002</v>
      </c>
      <c r="F3" s="188">
        <v>679966.92570000002</v>
      </c>
      <c r="G3" s="188">
        <v>1033485.1032</v>
      </c>
      <c r="H3" s="188">
        <v>353518.17749999999</v>
      </c>
      <c r="I3" s="147">
        <f t="shared" ref="I3:I18" si="0">H3/F3</f>
        <v>0.51990496028327626</v>
      </c>
    </row>
    <row r="4" spans="1:9">
      <c r="A4" s="168" t="s">
        <v>238</v>
      </c>
      <c r="B4" t="s">
        <v>237</v>
      </c>
      <c r="C4" s="188">
        <v>7872.5829999999996</v>
      </c>
      <c r="D4">
        <v>26.12</v>
      </c>
      <c r="E4">
        <v>26.038399999999999</v>
      </c>
      <c r="F4" s="188">
        <v>204989.74249999999</v>
      </c>
      <c r="G4" s="188">
        <v>205631.86799999999</v>
      </c>
      <c r="H4">
        <v>642.12549999999999</v>
      </c>
      <c r="I4" s="147">
        <f t="shared" si="0"/>
        <v>3.132476250610442E-3</v>
      </c>
    </row>
    <row r="5" spans="1:9">
      <c r="A5" s="168" t="s">
        <v>303</v>
      </c>
      <c r="B5" t="s">
        <v>241</v>
      </c>
      <c r="C5" s="188">
        <v>1857.5519999999999</v>
      </c>
      <c r="D5">
        <v>564.72439999999995</v>
      </c>
      <c r="E5">
        <v>366.02140000000003</v>
      </c>
      <c r="F5" s="188">
        <v>679903.69869999995</v>
      </c>
      <c r="G5" s="188">
        <v>1049004.9387000001</v>
      </c>
      <c r="H5" s="188">
        <v>369101.24</v>
      </c>
      <c r="I5" s="147">
        <f t="shared" si="0"/>
        <v>0.54287282258610259</v>
      </c>
    </row>
    <row r="6" spans="1:9">
      <c r="A6" s="168" t="s">
        <v>242</v>
      </c>
      <c r="B6" t="s">
        <v>237</v>
      </c>
      <c r="C6" s="188">
        <v>4306.576</v>
      </c>
      <c r="D6">
        <v>92.96</v>
      </c>
      <c r="E6">
        <v>44.3917</v>
      </c>
      <c r="F6" s="188">
        <v>191176.2298</v>
      </c>
      <c r="G6" s="188">
        <v>400339.30499999999</v>
      </c>
      <c r="H6" s="188">
        <v>209163.07509999999</v>
      </c>
      <c r="I6" s="147">
        <f t="shared" si="0"/>
        <v>1.0940851554548232</v>
      </c>
    </row>
    <row r="7" spans="1:9">
      <c r="A7" s="168" t="s">
        <v>272</v>
      </c>
      <c r="B7" t="s">
        <v>235</v>
      </c>
      <c r="C7" s="188">
        <v>5805.7370000000001</v>
      </c>
      <c r="D7">
        <v>86.590999999999994</v>
      </c>
      <c r="E7">
        <v>41.940399999999997</v>
      </c>
      <c r="F7" s="188">
        <v>243495.1642</v>
      </c>
      <c r="G7" s="188">
        <v>502724.57260000001</v>
      </c>
      <c r="H7" s="188">
        <v>259229.40830000001</v>
      </c>
      <c r="I7" s="147">
        <f t="shared" si="0"/>
        <v>1.0646183021814608</v>
      </c>
    </row>
    <row r="8" spans="1:9">
      <c r="A8" s="168" t="s">
        <v>244</v>
      </c>
      <c r="B8" t="s">
        <v>233</v>
      </c>
      <c r="C8" s="188">
        <v>5841.7389999999996</v>
      </c>
      <c r="D8">
        <v>22.230599999999999</v>
      </c>
      <c r="E8">
        <v>23.964300000000001</v>
      </c>
      <c r="F8" s="188">
        <v>139992.99739999999</v>
      </c>
      <c r="G8" s="188">
        <v>129865.363</v>
      </c>
      <c r="H8" s="188">
        <v>-10127.634400000001</v>
      </c>
      <c r="I8" s="147">
        <f t="shared" si="0"/>
        <v>-7.2343864251027179E-2</v>
      </c>
    </row>
    <row r="9" spans="1:9">
      <c r="A9" s="168" t="s">
        <v>273</v>
      </c>
      <c r="B9" t="s">
        <v>233</v>
      </c>
      <c r="C9" s="188">
        <v>42588.250999999997</v>
      </c>
      <c r="D9">
        <v>9.6096000000000004</v>
      </c>
      <c r="E9">
        <v>8.57</v>
      </c>
      <c r="F9" s="188">
        <v>364981.74570000003</v>
      </c>
      <c r="G9" s="188">
        <v>409256.05680000002</v>
      </c>
      <c r="H9" s="188">
        <v>44274.311099999999</v>
      </c>
      <c r="I9" s="147">
        <f t="shared" si="0"/>
        <v>0.1213055491722911</v>
      </c>
    </row>
    <row r="10" spans="1:9">
      <c r="A10" s="168" t="s">
        <v>246</v>
      </c>
      <c r="B10" t="s">
        <v>241</v>
      </c>
      <c r="C10" s="188">
        <v>32202.316999999999</v>
      </c>
      <c r="D10">
        <v>11.505699999999999</v>
      </c>
      <c r="E10">
        <v>11.1943</v>
      </c>
      <c r="F10" s="188">
        <v>360481.984</v>
      </c>
      <c r="G10" s="188">
        <v>370510.19870000001</v>
      </c>
      <c r="H10" s="188">
        <v>10028.2147</v>
      </c>
      <c r="I10" s="147">
        <f t="shared" si="0"/>
        <v>2.7818906755684079E-2</v>
      </c>
    </row>
    <row r="11" spans="1:9">
      <c r="A11" s="168" t="s">
        <v>250</v>
      </c>
      <c r="B11" t="s">
        <v>251</v>
      </c>
      <c r="C11" s="188">
        <v>17878.847000000002</v>
      </c>
      <c r="D11">
        <v>55.9938</v>
      </c>
      <c r="E11">
        <v>43.3992</v>
      </c>
      <c r="F11" s="188">
        <v>775927.5074</v>
      </c>
      <c r="G11" s="188">
        <v>1001104.5831</v>
      </c>
      <c r="H11" s="188">
        <v>225177.07569999999</v>
      </c>
      <c r="I11" s="147">
        <f t="shared" si="0"/>
        <v>0.29020375428437861</v>
      </c>
    </row>
    <row r="12" spans="1:9">
      <c r="A12" s="168" t="s">
        <v>274</v>
      </c>
      <c r="B12" t="s">
        <v>233</v>
      </c>
      <c r="C12" s="188">
        <v>6809.741</v>
      </c>
      <c r="D12">
        <v>32.36</v>
      </c>
      <c r="E12">
        <v>35.241999999999997</v>
      </c>
      <c r="F12" s="188">
        <v>239988.8371</v>
      </c>
      <c r="G12" s="188">
        <v>220363.2188</v>
      </c>
      <c r="H12" s="188">
        <v>-19625.618399999999</v>
      </c>
      <c r="I12" s="147">
        <f t="shared" si="0"/>
        <v>-8.1777213628575054E-2</v>
      </c>
    </row>
    <row r="13" spans="1:9">
      <c r="A13" s="168" t="s">
        <v>253</v>
      </c>
      <c r="B13" t="s">
        <v>235</v>
      </c>
      <c r="C13" s="188">
        <v>1674.3720000000001</v>
      </c>
      <c r="D13">
        <v>146.36580000000001</v>
      </c>
      <c r="E13">
        <v>143.5436</v>
      </c>
      <c r="F13" s="188">
        <v>240345.41639999999</v>
      </c>
      <c r="G13" s="188">
        <v>245070.79730000001</v>
      </c>
      <c r="H13" s="188">
        <v>4725.3807999999999</v>
      </c>
      <c r="I13" s="147">
        <f t="shared" si="0"/>
        <v>1.9660790169327317E-2</v>
      </c>
    </row>
    <row r="14" spans="1:9">
      <c r="A14" s="168" t="s">
        <v>255</v>
      </c>
      <c r="B14" t="s">
        <v>241</v>
      </c>
      <c r="C14" s="188">
        <v>18996.168000000001</v>
      </c>
      <c r="D14">
        <v>14.440300000000001</v>
      </c>
      <c r="E14">
        <v>9.4700000000000006</v>
      </c>
      <c r="F14" s="188">
        <v>179893.71100000001</v>
      </c>
      <c r="G14" s="188">
        <v>274310.36479999998</v>
      </c>
      <c r="H14" s="188">
        <v>94416.6538</v>
      </c>
      <c r="I14" s="147">
        <f t="shared" si="0"/>
        <v>0.52484688472516972</v>
      </c>
    </row>
    <row r="15" spans="1:9">
      <c r="A15"/>
      <c r="B15"/>
      <c r="C15"/>
      <c r="D15"/>
      <c r="E15"/>
      <c r="F15"/>
      <c r="G15"/>
      <c r="H15"/>
      <c r="I15" s="147"/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164150.18100000001</v>
      </c>
      <c r="D18" s="75"/>
      <c r="E18" s="75"/>
      <c r="F18" s="75">
        <f t="shared" ref="F18:H18" si="1">SUM(F2:F15)</f>
        <v>4581130.0695000002</v>
      </c>
      <c r="G18" s="75">
        <f t="shared" si="1"/>
        <v>6151738.1666999999</v>
      </c>
      <c r="H18" s="75">
        <f t="shared" si="1"/>
        <v>1570608.0967999997</v>
      </c>
      <c r="I18" s="53">
        <f t="shared" si="0"/>
        <v>0.34284293896318491</v>
      </c>
    </row>
  </sheetData>
  <hyperlinks>
    <hyperlink ref="A2" r:id="rId1" location="/mf/1831632/15690/NULL" xr:uid="{BB7DED74-313E-4924-A646-2BDEF520F968}"/>
    <hyperlink ref="A3" r:id="rId2" location="/mf/1831632/22335/NULL" xr:uid="{0B6CAC40-1215-42A3-B80A-03B2A53B59AA}"/>
    <hyperlink ref="A4" r:id="rId3" location="/mf/1831632/38817/NULL" xr:uid="{EE284759-E8E6-4CC3-9E97-9B7EBEC0C630}"/>
    <hyperlink ref="A5" r:id="rId4" location="/mf/1831632/16071/NULL" xr:uid="{6CF3B057-2E68-4AC9-91FB-D9D11A00E78F}"/>
    <hyperlink ref="A6" r:id="rId5" location="/mf/1831632/16617/NULL" xr:uid="{6F523FD2-2656-486C-B80D-B5C94938A521}"/>
    <hyperlink ref="A7" r:id="rId6" location="/mf/1831632/17134/NULL" xr:uid="{CFE725F3-FB56-4C49-A1F8-74E92C95395E}"/>
    <hyperlink ref="A8" r:id="rId7" location="/mf/1831632/38228/NULL" xr:uid="{80846222-3628-4676-B7ED-7AEFD726585B}"/>
    <hyperlink ref="A9" r:id="rId8" location="/mf/1831632/42135/NULL" xr:uid="{5BB8EBD7-7E68-40BD-ADD4-80FFDA128191}"/>
    <hyperlink ref="A10" r:id="rId9" location="/mf/1831632/41574/NULL" xr:uid="{A66D9926-90B0-4586-9390-1670A03F5CBE}"/>
    <hyperlink ref="A11" r:id="rId10" location="/mf/1831632/19701/NULL" xr:uid="{43735BDA-7A43-4E8C-913B-7AF738309F28}"/>
    <hyperlink ref="A12" r:id="rId11" location="/mf/1831632/17348/NULL" xr:uid="{9C2E8C72-F5DB-43D0-A29B-EAF535A130D7}"/>
    <hyperlink ref="A13" r:id="rId12" location="/mf/1831632/17375/NULL" xr:uid="{0DF822FD-9809-427B-B339-9324DA16A5B5}"/>
    <hyperlink ref="A14" r:id="rId13" location="/mf/1831632/36491/NULL" xr:uid="{8BF7C9AC-24B3-404C-B3B6-2467ECC58FCD}"/>
  </hyperlinks>
  <pageMargins left="0.7" right="0.7" top="0.75" bottom="0.75" header="0.3" footer="0.3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3D3D-FFD3-4ECF-832B-01A892DDC2A5}">
  <dimension ref="A1:I104"/>
  <sheetViews>
    <sheetView workbookViewId="0">
      <pane xSplit="1" ySplit="1" topLeftCell="B96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78" t="s">
        <v>137</v>
      </c>
      <c r="D1" s="178" t="s">
        <v>138</v>
      </c>
      <c r="E1" s="178" t="s">
        <v>140</v>
      </c>
      <c r="F1" s="178" t="s">
        <v>141</v>
      </c>
      <c r="G1" s="148" t="s">
        <v>129</v>
      </c>
      <c r="H1" s="173" t="s">
        <v>142</v>
      </c>
    </row>
    <row r="2" spans="1:8">
      <c r="A2" s="149" t="s">
        <v>143</v>
      </c>
      <c r="B2" s="150">
        <v>100</v>
      </c>
      <c r="C2" s="150">
        <v>109.73</v>
      </c>
      <c r="D2" s="150">
        <v>101</v>
      </c>
      <c r="E2" s="150">
        <v>10100</v>
      </c>
      <c r="F2" s="150">
        <v>-872.5</v>
      </c>
      <c r="G2" s="151">
        <f t="shared" ref="G2:G33" si="0">E2-F2</f>
        <v>10972.5</v>
      </c>
      <c r="H2" s="174">
        <f t="shared" ref="H2:H13" si="1">F2/G2</f>
        <v>-7.9516974253816361E-2</v>
      </c>
    </row>
    <row r="3" spans="1:8">
      <c r="A3" s="149" t="s">
        <v>264</v>
      </c>
      <c r="B3" s="150">
        <v>13</v>
      </c>
      <c r="C3" s="150">
        <v>133.75</v>
      </c>
      <c r="D3" s="150">
        <v>366.15</v>
      </c>
      <c r="E3" s="150">
        <v>4759.95</v>
      </c>
      <c r="F3" s="150">
        <v>3021.2</v>
      </c>
      <c r="G3" s="151">
        <f t="shared" si="0"/>
        <v>1738.75</v>
      </c>
      <c r="H3" s="174">
        <f t="shared" si="1"/>
        <v>1.7375700934579439</v>
      </c>
    </row>
    <row r="4" spans="1:8">
      <c r="A4" s="149" t="s">
        <v>144</v>
      </c>
      <c r="B4" s="150">
        <v>34</v>
      </c>
      <c r="C4" s="150">
        <v>1047.74</v>
      </c>
      <c r="D4" s="150">
        <v>1208.55</v>
      </c>
      <c r="E4" s="150">
        <v>41090.699999999997</v>
      </c>
      <c r="F4" s="150">
        <v>5467.55</v>
      </c>
      <c r="G4" s="151">
        <f t="shared" si="0"/>
        <v>35623.149999999994</v>
      </c>
      <c r="H4" s="174">
        <f t="shared" si="1"/>
        <v>0.15348305806757687</v>
      </c>
    </row>
    <row r="5" spans="1:8">
      <c r="A5" s="149" t="s">
        <v>317</v>
      </c>
      <c r="B5" s="150">
        <v>13</v>
      </c>
      <c r="C5" s="150">
        <v>2592.56</v>
      </c>
      <c r="D5" s="150">
        <v>3408.1</v>
      </c>
      <c r="E5" s="150">
        <v>44305.3</v>
      </c>
      <c r="F5" s="150">
        <v>10602.05</v>
      </c>
      <c r="G5" s="151">
        <f t="shared" si="0"/>
        <v>33703.25</v>
      </c>
      <c r="H5" s="174">
        <f t="shared" si="1"/>
        <v>0.31457055328492056</v>
      </c>
    </row>
    <row r="6" spans="1:8">
      <c r="A6" s="149" t="s">
        <v>145</v>
      </c>
      <c r="B6" s="150">
        <v>250</v>
      </c>
      <c r="C6" s="150">
        <v>183.59</v>
      </c>
      <c r="D6" s="150">
        <v>319.89999999999998</v>
      </c>
      <c r="E6" s="150">
        <v>79975</v>
      </c>
      <c r="F6" s="150">
        <v>34077.5</v>
      </c>
      <c r="G6" s="151">
        <f t="shared" si="0"/>
        <v>45897.5</v>
      </c>
      <c r="H6" s="174">
        <f t="shared" si="1"/>
        <v>0.74246963342229966</v>
      </c>
    </row>
    <row r="7" spans="1:8">
      <c r="A7" s="149" t="s">
        <v>276</v>
      </c>
      <c r="B7" s="150">
        <v>21</v>
      </c>
      <c r="C7" s="150">
        <v>2638.14</v>
      </c>
      <c r="D7" s="150">
        <v>2761.65</v>
      </c>
      <c r="E7" s="150">
        <v>57994.65</v>
      </c>
      <c r="F7" s="150">
        <v>2593.6999999999998</v>
      </c>
      <c r="G7" s="151">
        <f t="shared" si="0"/>
        <v>55400.950000000004</v>
      </c>
      <c r="H7" s="174">
        <f t="shared" si="1"/>
        <v>4.6816886714036485E-2</v>
      </c>
    </row>
    <row r="8" spans="1:8">
      <c r="A8" s="149" t="s">
        <v>277</v>
      </c>
      <c r="B8" s="150">
        <v>72</v>
      </c>
      <c r="C8" s="150">
        <v>578.16999999999996</v>
      </c>
      <c r="D8" s="150">
        <v>579.20000000000005</v>
      </c>
      <c r="E8" s="150">
        <v>41702.400000000001</v>
      </c>
      <c r="F8" s="150">
        <v>74.2</v>
      </c>
      <c r="G8" s="151">
        <f t="shared" si="0"/>
        <v>41628.200000000004</v>
      </c>
      <c r="H8" s="174">
        <f t="shared" si="1"/>
        <v>1.7824455537352082E-3</v>
      </c>
    </row>
    <row r="9" spans="1:8">
      <c r="A9" s="149" t="s">
        <v>146</v>
      </c>
      <c r="B9" s="150">
        <v>66</v>
      </c>
      <c r="C9" s="150">
        <v>631.89</v>
      </c>
      <c r="D9" s="150">
        <v>858.5</v>
      </c>
      <c r="E9" s="150">
        <v>56661</v>
      </c>
      <c r="F9" s="150">
        <v>14956</v>
      </c>
      <c r="G9" s="151">
        <f t="shared" si="0"/>
        <v>41705</v>
      </c>
      <c r="H9" s="174">
        <f t="shared" si="1"/>
        <v>0.35861407505095311</v>
      </c>
    </row>
    <row r="10" spans="1:8">
      <c r="A10" s="149" t="s">
        <v>147</v>
      </c>
      <c r="B10" s="150">
        <v>20</v>
      </c>
      <c r="C10" s="150">
        <v>2859.69</v>
      </c>
      <c r="D10" s="150">
        <v>3884.75</v>
      </c>
      <c r="E10" s="150">
        <v>77695</v>
      </c>
      <c r="F10" s="150">
        <v>20501.2</v>
      </c>
      <c r="G10" s="151">
        <f t="shared" si="0"/>
        <v>57193.8</v>
      </c>
      <c r="H10" s="174">
        <f t="shared" si="1"/>
        <v>0.35845144054075789</v>
      </c>
    </row>
    <row r="11" spans="1:8">
      <c r="A11" s="149" t="s">
        <v>148</v>
      </c>
      <c r="B11" s="150">
        <v>5</v>
      </c>
      <c r="C11" s="150">
        <v>6770.91</v>
      </c>
      <c r="D11" s="150">
        <v>5616.75</v>
      </c>
      <c r="E11" s="150">
        <v>28083.75</v>
      </c>
      <c r="F11" s="150">
        <v>-5770.8</v>
      </c>
      <c r="G11" s="151">
        <f t="shared" si="0"/>
        <v>33854.550000000003</v>
      </c>
      <c r="H11" s="174">
        <f t="shared" si="1"/>
        <v>-0.17045862373004514</v>
      </c>
    </row>
    <row r="12" spans="1:8">
      <c r="A12" s="149" t="s">
        <v>149</v>
      </c>
      <c r="B12" s="150">
        <v>10</v>
      </c>
      <c r="C12" s="150">
        <v>1889.87</v>
      </c>
      <c r="D12" s="150">
        <v>1953.9</v>
      </c>
      <c r="E12" s="150">
        <v>19539</v>
      </c>
      <c r="F12" s="150">
        <v>640.35</v>
      </c>
      <c r="G12" s="151">
        <f t="shared" si="0"/>
        <v>18898.650000000001</v>
      </c>
      <c r="H12" s="174">
        <f t="shared" si="1"/>
        <v>3.3883372621853938E-2</v>
      </c>
    </row>
    <row r="13" spans="1:8">
      <c r="A13" s="149" t="s">
        <v>152</v>
      </c>
      <c r="B13" s="150">
        <v>180</v>
      </c>
      <c r="C13" s="150">
        <v>322.89</v>
      </c>
      <c r="D13" s="150">
        <v>750</v>
      </c>
      <c r="E13" s="150">
        <v>135000</v>
      </c>
      <c r="F13" s="150">
        <v>76880</v>
      </c>
      <c r="G13" s="151">
        <f t="shared" si="0"/>
        <v>58120</v>
      </c>
      <c r="H13" s="174">
        <f t="shared" si="1"/>
        <v>1.3227804542326222</v>
      </c>
    </row>
    <row r="14" spans="1:8">
      <c r="A14" s="149" t="s">
        <v>153</v>
      </c>
      <c r="B14" s="150">
        <v>61</v>
      </c>
      <c r="C14" s="150">
        <v>427.78</v>
      </c>
      <c r="D14" s="150">
        <v>474.7</v>
      </c>
      <c r="E14" s="150">
        <v>28956.7</v>
      </c>
      <c r="F14" s="150">
        <v>2862.1</v>
      </c>
      <c r="G14" s="151">
        <f t="shared" si="0"/>
        <v>26094.600000000002</v>
      </c>
      <c r="H14" s="174"/>
    </row>
    <row r="15" spans="1:8">
      <c r="A15" s="149" t="s">
        <v>304</v>
      </c>
      <c r="B15" s="150">
        <v>6</v>
      </c>
      <c r="C15" s="150">
        <v>0</v>
      </c>
      <c r="D15" s="150">
        <v>29.29</v>
      </c>
      <c r="E15" s="150">
        <v>175.74</v>
      </c>
      <c r="F15" s="150">
        <v>175.74</v>
      </c>
      <c r="G15" s="151">
        <f t="shared" si="0"/>
        <v>0</v>
      </c>
      <c r="H15" s="174" t="e">
        <f>F15/G15</f>
        <v>#DIV/0!</v>
      </c>
    </row>
    <row r="16" spans="1:8">
      <c r="A16" s="149" t="s">
        <v>154</v>
      </c>
      <c r="B16" s="150">
        <v>14</v>
      </c>
      <c r="C16" s="150">
        <v>3489.94</v>
      </c>
      <c r="D16" s="150">
        <v>4322.1499999999996</v>
      </c>
      <c r="E16" s="150">
        <v>60510.1</v>
      </c>
      <c r="F16" s="150">
        <v>11651</v>
      </c>
      <c r="G16" s="151">
        <f t="shared" si="0"/>
        <v>48859.1</v>
      </c>
      <c r="H16" s="174">
        <v>0</v>
      </c>
    </row>
    <row r="17" spans="1:8">
      <c r="A17" s="149" t="s">
        <v>155</v>
      </c>
      <c r="B17" s="150">
        <v>180</v>
      </c>
      <c r="C17" s="150">
        <v>155.25</v>
      </c>
      <c r="D17" s="150">
        <v>110.95</v>
      </c>
      <c r="E17" s="150">
        <v>19971</v>
      </c>
      <c r="F17" s="150">
        <v>-7974</v>
      </c>
      <c r="G17" s="151">
        <f t="shared" si="0"/>
        <v>27945</v>
      </c>
      <c r="H17" s="174">
        <f t="shared" ref="H17:H48" si="2">F17/G17</f>
        <v>-0.28534621578099839</v>
      </c>
    </row>
    <row r="18" spans="1:8">
      <c r="A18" s="149" t="s">
        <v>157</v>
      </c>
      <c r="B18" s="150">
        <v>35</v>
      </c>
      <c r="C18" s="150">
        <v>827.34</v>
      </c>
      <c r="D18" s="150">
        <v>900.65</v>
      </c>
      <c r="E18" s="150">
        <v>31522.75</v>
      </c>
      <c r="F18" s="150">
        <v>2565.9</v>
      </c>
      <c r="G18" s="151">
        <f t="shared" si="0"/>
        <v>28956.85</v>
      </c>
      <c r="H18" s="174">
        <f t="shared" si="2"/>
        <v>8.8611157636276056E-2</v>
      </c>
    </row>
    <row r="19" spans="1:8">
      <c r="A19" s="149" t="s">
        <v>158</v>
      </c>
      <c r="B19" s="150">
        <v>250</v>
      </c>
      <c r="C19" s="150">
        <v>163.66999999999999</v>
      </c>
      <c r="D19" s="150">
        <v>213.65</v>
      </c>
      <c r="E19" s="150">
        <v>53412.5</v>
      </c>
      <c r="F19" s="150">
        <v>12495</v>
      </c>
      <c r="G19" s="151">
        <f t="shared" si="0"/>
        <v>40917.5</v>
      </c>
      <c r="H19" s="174">
        <f t="shared" si="2"/>
        <v>0.30537056271766361</v>
      </c>
    </row>
    <row r="20" spans="1:8">
      <c r="A20" s="149" t="s">
        <v>159</v>
      </c>
      <c r="B20" s="150">
        <v>10</v>
      </c>
      <c r="C20" s="150">
        <v>4083.04</v>
      </c>
      <c r="D20" s="150">
        <v>3817.3</v>
      </c>
      <c r="E20" s="150">
        <v>38173</v>
      </c>
      <c r="F20" s="150">
        <v>-2657.4</v>
      </c>
      <c r="G20" s="151">
        <f t="shared" si="0"/>
        <v>40830.400000000001</v>
      </c>
      <c r="H20" s="174">
        <f t="shared" si="2"/>
        <v>-6.5083859085387358E-2</v>
      </c>
    </row>
    <row r="21" spans="1:8">
      <c r="A21" s="149" t="s">
        <v>160</v>
      </c>
      <c r="B21" s="150">
        <v>35</v>
      </c>
      <c r="C21" s="150">
        <v>1545.44</v>
      </c>
      <c r="D21" s="150">
        <v>1507.35</v>
      </c>
      <c r="E21" s="150">
        <v>52757.25</v>
      </c>
      <c r="F21" s="150">
        <v>-1333.25</v>
      </c>
      <c r="G21" s="151">
        <f t="shared" si="0"/>
        <v>54090.5</v>
      </c>
      <c r="H21" s="174">
        <f t="shared" si="2"/>
        <v>-2.4648505745001433E-2</v>
      </c>
    </row>
    <row r="22" spans="1:8">
      <c r="A22" s="149" t="s">
        <v>279</v>
      </c>
      <c r="B22" s="150">
        <v>72</v>
      </c>
      <c r="C22" s="150">
        <v>559.89</v>
      </c>
      <c r="D22" s="150">
        <v>545.1</v>
      </c>
      <c r="E22" s="150">
        <v>39247.199999999997</v>
      </c>
      <c r="F22" s="150">
        <v>-1064.8499999999999</v>
      </c>
      <c r="G22" s="151">
        <f t="shared" si="0"/>
        <v>40312.049999999996</v>
      </c>
      <c r="H22" s="174">
        <f t="shared" si="2"/>
        <v>-2.6415178588040052E-2</v>
      </c>
    </row>
    <row r="23" spans="1:8">
      <c r="A23" s="149" t="s">
        <v>161</v>
      </c>
      <c r="B23" s="150">
        <v>55</v>
      </c>
      <c r="C23" s="150">
        <v>325.14</v>
      </c>
      <c r="D23" s="150">
        <v>355.6</v>
      </c>
      <c r="E23" s="150">
        <v>19558</v>
      </c>
      <c r="F23" s="150">
        <v>1675.1</v>
      </c>
      <c r="G23" s="151">
        <f t="shared" si="0"/>
        <v>17882.900000000001</v>
      </c>
      <c r="H23" s="174">
        <f t="shared" si="2"/>
        <v>9.3670489685677372E-2</v>
      </c>
    </row>
    <row r="24" spans="1:8">
      <c r="A24" s="149" t="s">
        <v>162</v>
      </c>
      <c r="B24" s="150">
        <v>12</v>
      </c>
      <c r="C24" s="150">
        <v>3205.4</v>
      </c>
      <c r="D24" s="150">
        <v>3403.3</v>
      </c>
      <c r="E24" s="150">
        <v>40839.599999999999</v>
      </c>
      <c r="F24" s="150">
        <v>2374.85</v>
      </c>
      <c r="G24" s="151">
        <f t="shared" si="0"/>
        <v>38464.75</v>
      </c>
      <c r="H24" s="174">
        <f t="shared" si="2"/>
        <v>6.1740944631123298E-2</v>
      </c>
    </row>
    <row r="25" spans="1:8">
      <c r="A25" s="149" t="s">
        <v>163</v>
      </c>
      <c r="B25" s="150">
        <v>9</v>
      </c>
      <c r="C25" s="150">
        <v>4442.55</v>
      </c>
      <c r="D25" s="150">
        <v>4622.75</v>
      </c>
      <c r="E25" s="150">
        <v>41604.75</v>
      </c>
      <c r="F25" s="150">
        <v>1621.8</v>
      </c>
      <c r="G25" s="151">
        <f t="shared" si="0"/>
        <v>39982.949999999997</v>
      </c>
      <c r="H25" s="174">
        <f t="shared" si="2"/>
        <v>4.0562289675974389E-2</v>
      </c>
    </row>
    <row r="26" spans="1:8">
      <c r="A26" s="149" t="s">
        <v>164</v>
      </c>
      <c r="B26" s="150">
        <v>10</v>
      </c>
      <c r="C26" s="150">
        <v>2469.04</v>
      </c>
      <c r="D26" s="150">
        <v>2953.55</v>
      </c>
      <c r="E26" s="150">
        <v>29535.5</v>
      </c>
      <c r="F26" s="150">
        <v>4845.1499999999996</v>
      </c>
      <c r="G26" s="151">
        <f t="shared" si="0"/>
        <v>24690.35</v>
      </c>
      <c r="H26" s="174">
        <f t="shared" si="2"/>
        <v>0.19623658635863808</v>
      </c>
    </row>
    <row r="27" spans="1:8">
      <c r="A27" s="149" t="s">
        <v>270</v>
      </c>
      <c r="B27" s="150">
        <v>61</v>
      </c>
      <c r="C27" s="150">
        <v>360.97</v>
      </c>
      <c r="D27" s="150">
        <v>313.35000000000002</v>
      </c>
      <c r="E27" s="150">
        <v>19114.349999999999</v>
      </c>
      <c r="F27" s="150">
        <v>-2904.82</v>
      </c>
      <c r="G27" s="151">
        <f t="shared" si="0"/>
        <v>22019.17</v>
      </c>
      <c r="H27" s="174">
        <f t="shared" si="2"/>
        <v>-0.13192232041443888</v>
      </c>
    </row>
    <row r="28" spans="1:8">
      <c r="A28" s="149" t="s">
        <v>166</v>
      </c>
      <c r="B28" s="150">
        <v>31</v>
      </c>
      <c r="C28" s="150">
        <v>1356.45</v>
      </c>
      <c r="D28" s="150">
        <v>1241.6500000000001</v>
      </c>
      <c r="E28" s="150">
        <v>38491.15</v>
      </c>
      <c r="F28" s="150">
        <v>-3558.75</v>
      </c>
      <c r="G28" s="151">
        <f t="shared" si="0"/>
        <v>42049.9</v>
      </c>
      <c r="H28" s="174">
        <f t="shared" si="2"/>
        <v>-8.4631592465142597E-2</v>
      </c>
    </row>
    <row r="29" spans="1:8">
      <c r="A29" s="149" t="s">
        <v>168</v>
      </c>
      <c r="B29" s="150">
        <v>80</v>
      </c>
      <c r="C29" s="150">
        <v>685.74</v>
      </c>
      <c r="D29" s="150">
        <v>572.1</v>
      </c>
      <c r="E29" s="150">
        <v>45768</v>
      </c>
      <c r="F29" s="150">
        <v>-9091</v>
      </c>
      <c r="G29" s="151">
        <f t="shared" si="0"/>
        <v>54859</v>
      </c>
      <c r="H29" s="174">
        <f t="shared" si="2"/>
        <v>-0.16571574399825006</v>
      </c>
    </row>
    <row r="30" spans="1:8">
      <c r="A30" s="149" t="s">
        <v>169</v>
      </c>
      <c r="B30" s="150">
        <v>306</v>
      </c>
      <c r="C30" s="150">
        <v>184.89</v>
      </c>
      <c r="D30" s="150">
        <v>178.5</v>
      </c>
      <c r="E30" s="150">
        <v>54621</v>
      </c>
      <c r="F30" s="150">
        <v>-1954.75</v>
      </c>
      <c r="G30" s="151">
        <f t="shared" si="0"/>
        <v>56575.75</v>
      </c>
      <c r="H30" s="174">
        <f t="shared" si="2"/>
        <v>-3.4551022301957994E-2</v>
      </c>
    </row>
    <row r="31" spans="1:8">
      <c r="A31" s="149" t="s">
        <v>170</v>
      </c>
      <c r="B31" s="150">
        <v>387</v>
      </c>
      <c r="C31" s="150">
        <v>82.58</v>
      </c>
      <c r="D31" s="150">
        <v>132.30000000000001</v>
      </c>
      <c r="E31" s="150">
        <v>51200.1</v>
      </c>
      <c r="F31" s="150">
        <v>19240.3</v>
      </c>
      <c r="G31" s="151">
        <f t="shared" si="0"/>
        <v>31959.8</v>
      </c>
      <c r="H31" s="174">
        <f t="shared" si="2"/>
        <v>0.60201565716931893</v>
      </c>
    </row>
    <row r="32" spans="1:8">
      <c r="A32" s="149" t="s">
        <v>325</v>
      </c>
      <c r="B32" s="150">
        <v>57</v>
      </c>
      <c r="C32" s="150">
        <v>630.04</v>
      </c>
      <c r="D32" s="150">
        <v>506.4</v>
      </c>
      <c r="E32" s="150">
        <v>28864.799999999999</v>
      </c>
      <c r="F32" s="150">
        <v>-7047.5</v>
      </c>
      <c r="G32" s="151">
        <f t="shared" si="0"/>
        <v>35912.300000000003</v>
      </c>
      <c r="H32" s="174">
        <f t="shared" si="2"/>
        <v>-0.19624195609860687</v>
      </c>
    </row>
    <row r="33" spans="1:8">
      <c r="A33" s="149" t="s">
        <v>172</v>
      </c>
      <c r="B33" s="150">
        <v>18</v>
      </c>
      <c r="C33" s="150">
        <v>1556.41</v>
      </c>
      <c r="D33" s="150">
        <v>1031.05</v>
      </c>
      <c r="E33" s="150">
        <v>18558.900000000001</v>
      </c>
      <c r="F33" s="150">
        <v>-9456.4500000000007</v>
      </c>
      <c r="G33" s="151">
        <f t="shared" si="0"/>
        <v>28015.350000000002</v>
      </c>
      <c r="H33" s="174">
        <f t="shared" si="2"/>
        <v>-0.33754530998184923</v>
      </c>
    </row>
    <row r="34" spans="1:8">
      <c r="A34" s="149" t="s">
        <v>173</v>
      </c>
      <c r="B34" s="150">
        <v>45</v>
      </c>
      <c r="C34" s="150">
        <v>40.9</v>
      </c>
      <c r="D34" s="150">
        <v>51.08</v>
      </c>
      <c r="E34" s="150">
        <v>2298.6</v>
      </c>
      <c r="F34" s="150">
        <v>458</v>
      </c>
      <c r="G34" s="151">
        <f t="shared" ref="G34:G65" si="3">E34-F34</f>
        <v>1840.6</v>
      </c>
      <c r="H34" s="174">
        <f t="shared" si="2"/>
        <v>0.24883190264044336</v>
      </c>
    </row>
    <row r="35" spans="1:8">
      <c r="A35" s="149" t="s">
        <v>281</v>
      </c>
      <c r="B35" s="150">
        <v>77</v>
      </c>
      <c r="C35" s="150">
        <v>285.64999999999998</v>
      </c>
      <c r="D35" s="150">
        <v>290.35000000000002</v>
      </c>
      <c r="E35" s="150">
        <v>22356.95</v>
      </c>
      <c r="F35" s="150">
        <v>362</v>
      </c>
      <c r="G35" s="151">
        <f t="shared" si="3"/>
        <v>21994.95</v>
      </c>
      <c r="H35" s="174">
        <f t="shared" si="2"/>
        <v>1.6458323387868578E-2</v>
      </c>
    </row>
    <row r="36" spans="1:8">
      <c r="A36" s="149" t="s">
        <v>174</v>
      </c>
      <c r="B36" s="150">
        <v>50</v>
      </c>
      <c r="C36" s="150">
        <v>1050.93</v>
      </c>
      <c r="D36" s="150">
        <v>1087</v>
      </c>
      <c r="E36" s="150">
        <v>54350</v>
      </c>
      <c r="F36" s="150">
        <v>1803.5</v>
      </c>
      <c r="G36" s="151">
        <f t="shared" si="3"/>
        <v>52546.5</v>
      </c>
      <c r="H36" s="174">
        <f t="shared" si="2"/>
        <v>3.4321981483067379E-2</v>
      </c>
    </row>
    <row r="37" spans="1:8">
      <c r="A37" s="149" t="s">
        <v>175</v>
      </c>
      <c r="B37" s="150">
        <v>48</v>
      </c>
      <c r="C37" s="150">
        <v>1429.32</v>
      </c>
      <c r="D37" s="150">
        <v>1609.75</v>
      </c>
      <c r="E37" s="150">
        <v>77268</v>
      </c>
      <c r="F37" s="150">
        <v>8660.5499999999993</v>
      </c>
      <c r="G37" s="151">
        <f t="shared" si="3"/>
        <v>68607.45</v>
      </c>
      <c r="H37" s="174">
        <f t="shared" si="2"/>
        <v>0.12623337552991692</v>
      </c>
    </row>
    <row r="38" spans="1:8">
      <c r="A38" s="149" t="s">
        <v>176</v>
      </c>
      <c r="B38" s="150">
        <v>112</v>
      </c>
      <c r="C38" s="150">
        <v>585.04999999999995</v>
      </c>
      <c r="D38" s="150">
        <v>499.35</v>
      </c>
      <c r="E38" s="150">
        <v>55927.199999999997</v>
      </c>
      <c r="F38" s="150">
        <v>-9598.25</v>
      </c>
      <c r="G38" s="151">
        <f t="shared" si="3"/>
        <v>65525.45</v>
      </c>
      <c r="H38" s="174">
        <f t="shared" si="2"/>
        <v>-0.14648125270410201</v>
      </c>
    </row>
    <row r="39" spans="1:8">
      <c r="A39" s="149" t="s">
        <v>177</v>
      </c>
      <c r="B39" s="150">
        <v>12</v>
      </c>
      <c r="C39" s="150">
        <v>2815.97</v>
      </c>
      <c r="D39" s="150">
        <v>2347.35</v>
      </c>
      <c r="E39" s="150">
        <v>28168.2</v>
      </c>
      <c r="F39" s="150">
        <v>-5623.45</v>
      </c>
      <c r="G39" s="151">
        <f t="shared" si="3"/>
        <v>33791.65</v>
      </c>
      <c r="H39" s="174">
        <f t="shared" si="2"/>
        <v>-0.16641537184481964</v>
      </c>
    </row>
    <row r="40" spans="1:8">
      <c r="A40" s="149" t="s">
        <v>282</v>
      </c>
      <c r="B40" s="150">
        <v>19</v>
      </c>
      <c r="C40" s="150">
        <v>2270.19</v>
      </c>
      <c r="D40" s="150">
        <v>2560.35</v>
      </c>
      <c r="E40" s="150">
        <v>48646.65</v>
      </c>
      <c r="F40" s="150">
        <v>5513.1</v>
      </c>
      <c r="G40" s="151">
        <f t="shared" si="3"/>
        <v>43133.55</v>
      </c>
      <c r="H40" s="174">
        <f t="shared" si="2"/>
        <v>0.12781465935449321</v>
      </c>
    </row>
    <row r="41" spans="1:8">
      <c r="A41" s="149" t="s">
        <v>178</v>
      </c>
      <c r="B41" s="150">
        <v>80</v>
      </c>
      <c r="C41" s="150">
        <v>567.6</v>
      </c>
      <c r="D41" s="150">
        <v>877.25</v>
      </c>
      <c r="E41" s="150">
        <v>70180</v>
      </c>
      <c r="F41" s="150">
        <v>24771.65</v>
      </c>
      <c r="G41" s="151">
        <f t="shared" si="3"/>
        <v>45408.35</v>
      </c>
      <c r="H41" s="174">
        <f t="shared" si="2"/>
        <v>0.54553072287365656</v>
      </c>
    </row>
    <row r="42" spans="1:8">
      <c r="A42" s="149" t="s">
        <v>179</v>
      </c>
      <c r="B42" s="150">
        <v>62</v>
      </c>
      <c r="C42" s="150">
        <v>1300.81</v>
      </c>
      <c r="D42" s="150">
        <v>1069.5</v>
      </c>
      <c r="E42" s="150">
        <v>66309</v>
      </c>
      <c r="F42" s="150">
        <v>-14341.4</v>
      </c>
      <c r="G42" s="151">
        <f t="shared" si="3"/>
        <v>80650.399999999994</v>
      </c>
      <c r="H42" s="174">
        <f t="shared" si="2"/>
        <v>-0.17782180869530717</v>
      </c>
    </row>
    <row r="43" spans="1:8">
      <c r="A43" s="149" t="s">
        <v>180</v>
      </c>
      <c r="B43" s="150">
        <v>139</v>
      </c>
      <c r="C43" s="150">
        <v>495.56</v>
      </c>
      <c r="D43" s="150">
        <v>435.7</v>
      </c>
      <c r="E43" s="150">
        <v>60562.3</v>
      </c>
      <c r="F43" s="150">
        <v>-8320.65</v>
      </c>
      <c r="G43" s="151">
        <f t="shared" si="3"/>
        <v>68882.95</v>
      </c>
      <c r="H43" s="174">
        <f t="shared" si="2"/>
        <v>-0.1207940426477089</v>
      </c>
    </row>
    <row r="44" spans="1:8">
      <c r="A44" s="149" t="s">
        <v>284</v>
      </c>
      <c r="B44" s="150">
        <v>40</v>
      </c>
      <c r="C44" s="150">
        <v>942.87</v>
      </c>
      <c r="D44" s="150">
        <v>1068.1500000000001</v>
      </c>
      <c r="E44" s="150">
        <v>42726</v>
      </c>
      <c r="F44" s="150">
        <v>5011.3500000000004</v>
      </c>
      <c r="G44" s="151">
        <f t="shared" si="3"/>
        <v>37714.65</v>
      </c>
      <c r="H44" s="174">
        <f t="shared" si="2"/>
        <v>0.13287542108968267</v>
      </c>
    </row>
    <row r="45" spans="1:8">
      <c r="A45" s="149" t="s">
        <v>181</v>
      </c>
      <c r="B45" s="150">
        <v>39</v>
      </c>
      <c r="C45" s="150">
        <v>1605.98</v>
      </c>
      <c r="D45" s="150">
        <v>1427.95</v>
      </c>
      <c r="E45" s="150">
        <v>55690.05</v>
      </c>
      <c r="F45" s="150">
        <v>-6943.2</v>
      </c>
      <c r="G45" s="151">
        <f t="shared" si="3"/>
        <v>62633.25</v>
      </c>
      <c r="H45" s="174">
        <f t="shared" si="2"/>
        <v>-0.11085485744392953</v>
      </c>
    </row>
    <row r="46" spans="1:8">
      <c r="A46" s="149" t="s">
        <v>182</v>
      </c>
      <c r="B46" s="150">
        <v>770</v>
      </c>
      <c r="C46" s="150">
        <v>227.34</v>
      </c>
      <c r="D46" s="150">
        <v>383.5</v>
      </c>
      <c r="E46" s="150">
        <v>295295</v>
      </c>
      <c r="F46" s="150">
        <v>120240.65</v>
      </c>
      <c r="G46" s="151">
        <f t="shared" si="3"/>
        <v>175054.35</v>
      </c>
      <c r="H46" s="174">
        <f t="shared" si="2"/>
        <v>0.68687610447840908</v>
      </c>
    </row>
    <row r="47" spans="1:8">
      <c r="A47" s="149" t="s">
        <v>183</v>
      </c>
      <c r="B47" s="150">
        <v>17</v>
      </c>
      <c r="C47" s="150">
        <v>1141.79</v>
      </c>
      <c r="D47" s="150">
        <v>1976.35</v>
      </c>
      <c r="E47" s="150">
        <v>33597.949999999997</v>
      </c>
      <c r="F47" s="150">
        <v>14187.55</v>
      </c>
      <c r="G47" s="151">
        <f t="shared" si="3"/>
        <v>19410.399999999998</v>
      </c>
      <c r="H47" s="174">
        <f t="shared" si="2"/>
        <v>0.73092517413345426</v>
      </c>
    </row>
    <row r="48" spans="1:8">
      <c r="A48" s="149" t="s">
        <v>326</v>
      </c>
      <c r="B48" s="150">
        <v>71</v>
      </c>
      <c r="C48" s="150">
        <v>415.91</v>
      </c>
      <c r="D48" s="150">
        <v>381.7</v>
      </c>
      <c r="E48" s="150">
        <v>27100.7</v>
      </c>
      <c r="F48" s="150">
        <v>-2429.25</v>
      </c>
      <c r="G48" s="151">
        <f t="shared" si="3"/>
        <v>29529.95</v>
      </c>
      <c r="H48" s="174">
        <f t="shared" si="2"/>
        <v>-8.2263938814661042E-2</v>
      </c>
    </row>
    <row r="49" spans="1:8">
      <c r="A49" s="149" t="s">
        <v>313</v>
      </c>
      <c r="B49" s="150">
        <v>4</v>
      </c>
      <c r="C49" s="150">
        <v>396.21</v>
      </c>
      <c r="D49" s="150">
        <v>400.43</v>
      </c>
      <c r="E49" s="150">
        <v>1601.72</v>
      </c>
      <c r="F49" s="150">
        <v>16.88</v>
      </c>
      <c r="G49" s="151">
        <f t="shared" si="3"/>
        <v>1584.84</v>
      </c>
      <c r="H49" s="174">
        <f t="shared" ref="H49:H80" si="4">F49/G49</f>
        <v>1.0650917442770249E-2</v>
      </c>
    </row>
    <row r="50" spans="1:8">
      <c r="A50" s="149" t="s">
        <v>184</v>
      </c>
      <c r="B50" s="150">
        <v>468</v>
      </c>
      <c r="C50" s="150">
        <v>112.01</v>
      </c>
      <c r="D50" s="150">
        <v>104.4</v>
      </c>
      <c r="E50" s="150">
        <v>48859.199999999997</v>
      </c>
      <c r="F50" s="150">
        <v>-3563.55</v>
      </c>
      <c r="G50" s="151">
        <f t="shared" si="3"/>
        <v>52422.75</v>
      </c>
      <c r="H50" s="174">
        <f t="shared" si="4"/>
        <v>-6.7977166401991501E-2</v>
      </c>
    </row>
    <row r="51" spans="1:8">
      <c r="A51" s="149" t="s">
        <v>185</v>
      </c>
      <c r="B51" s="150">
        <v>38</v>
      </c>
      <c r="C51" s="150">
        <v>1711.28</v>
      </c>
      <c r="D51" s="150">
        <v>1733.5</v>
      </c>
      <c r="E51" s="150">
        <v>65873</v>
      </c>
      <c r="F51" s="150">
        <v>844.2</v>
      </c>
      <c r="G51" s="151">
        <f t="shared" si="3"/>
        <v>65028.800000000003</v>
      </c>
      <c r="H51" s="174">
        <f t="shared" si="4"/>
        <v>1.2981940309524395E-2</v>
      </c>
    </row>
    <row r="52" spans="1:8">
      <c r="A52" s="149" t="s">
        <v>186</v>
      </c>
      <c r="B52" s="150">
        <v>56</v>
      </c>
      <c r="C52" s="150">
        <v>577.29999999999995</v>
      </c>
      <c r="D52" s="150">
        <v>925.1</v>
      </c>
      <c r="E52" s="150">
        <v>51805.599999999999</v>
      </c>
      <c r="F52" s="150">
        <v>19476.849999999999</v>
      </c>
      <c r="G52" s="151">
        <f t="shared" si="3"/>
        <v>32328.75</v>
      </c>
      <c r="H52" s="174">
        <f t="shared" si="4"/>
        <v>0.60246220469396428</v>
      </c>
    </row>
    <row r="53" spans="1:8">
      <c r="A53" s="149" t="s">
        <v>187</v>
      </c>
      <c r="B53" s="150">
        <v>14</v>
      </c>
      <c r="C53" s="150">
        <v>2384.31</v>
      </c>
      <c r="D53" s="150">
        <v>1828.1</v>
      </c>
      <c r="E53" s="150">
        <v>25593.4</v>
      </c>
      <c r="F53" s="150">
        <v>-7787</v>
      </c>
      <c r="G53" s="151">
        <f t="shared" si="3"/>
        <v>33380.400000000001</v>
      </c>
      <c r="H53" s="174">
        <f t="shared" si="4"/>
        <v>-0.23328060778181206</v>
      </c>
    </row>
    <row r="54" spans="1:8">
      <c r="A54" s="149" t="s">
        <v>314</v>
      </c>
      <c r="B54" s="150">
        <v>1</v>
      </c>
      <c r="C54" s="150">
        <v>906.41</v>
      </c>
      <c r="D54" s="150">
        <v>1000.01</v>
      </c>
      <c r="E54" s="150">
        <v>1000.01</v>
      </c>
      <c r="F54" s="150">
        <v>93.6</v>
      </c>
      <c r="G54" s="151">
        <f t="shared" si="3"/>
        <v>906.41</v>
      </c>
      <c r="H54" s="174">
        <f t="shared" si="4"/>
        <v>0.10326452709038955</v>
      </c>
    </row>
    <row r="55" spans="1:8">
      <c r="A55" s="149" t="s">
        <v>188</v>
      </c>
      <c r="B55" s="150">
        <v>62</v>
      </c>
      <c r="C55" s="150">
        <v>1053.22</v>
      </c>
      <c r="D55" s="150">
        <v>2164.75</v>
      </c>
      <c r="E55" s="150">
        <v>134214.5</v>
      </c>
      <c r="F55" s="150">
        <v>68915.149999999994</v>
      </c>
      <c r="G55" s="151">
        <f t="shared" si="3"/>
        <v>65299.350000000006</v>
      </c>
      <c r="H55" s="174">
        <f t="shared" si="4"/>
        <v>1.0553726798199368</v>
      </c>
    </row>
    <row r="56" spans="1:8">
      <c r="A56" s="149" t="s">
        <v>286</v>
      </c>
      <c r="B56" s="150">
        <v>12</v>
      </c>
      <c r="C56" s="150">
        <v>4654.83</v>
      </c>
      <c r="D56" s="150">
        <v>4759.6499999999996</v>
      </c>
      <c r="E56" s="150">
        <v>57115.8</v>
      </c>
      <c r="F56" s="150">
        <v>1257.8699999999999</v>
      </c>
      <c r="G56" s="151">
        <f t="shared" si="3"/>
        <v>55857.93</v>
      </c>
      <c r="H56" s="174">
        <f t="shared" si="4"/>
        <v>2.2519094424014636E-2</v>
      </c>
    </row>
    <row r="57" spans="1:8">
      <c r="A57" s="149" t="s">
        <v>189</v>
      </c>
      <c r="B57" s="150">
        <v>29</v>
      </c>
      <c r="C57" s="150">
        <v>775.92</v>
      </c>
      <c r="D57" s="150">
        <v>1158.7</v>
      </c>
      <c r="E57" s="150">
        <v>33602.300000000003</v>
      </c>
      <c r="F57" s="150">
        <v>11100.7</v>
      </c>
      <c r="G57" s="151">
        <f t="shared" si="3"/>
        <v>22501.600000000002</v>
      </c>
      <c r="H57" s="174">
        <f t="shared" si="4"/>
        <v>0.49332936324528032</v>
      </c>
    </row>
    <row r="58" spans="1:8">
      <c r="A58" s="149" t="s">
        <v>324</v>
      </c>
      <c r="B58" s="150">
        <v>118</v>
      </c>
      <c r="C58" s="150">
        <v>184.31</v>
      </c>
      <c r="D58" s="150">
        <v>350.8</v>
      </c>
      <c r="E58" s="150">
        <v>41394.400000000001</v>
      </c>
      <c r="F58" s="150">
        <v>19645.75</v>
      </c>
      <c r="G58" s="151">
        <f t="shared" si="3"/>
        <v>21748.65</v>
      </c>
      <c r="H58" s="174">
        <f t="shared" si="4"/>
        <v>0.90330894101472958</v>
      </c>
    </row>
    <row r="59" spans="1:8">
      <c r="A59" s="149" t="s">
        <v>191</v>
      </c>
      <c r="B59" s="150">
        <v>72</v>
      </c>
      <c r="C59" s="150">
        <v>468.01</v>
      </c>
      <c r="D59" s="150">
        <v>479.8</v>
      </c>
      <c r="E59" s="150">
        <v>34545.599999999999</v>
      </c>
      <c r="F59" s="150">
        <v>849</v>
      </c>
      <c r="G59" s="151">
        <f t="shared" si="3"/>
        <v>33696.6</v>
      </c>
      <c r="H59" s="174">
        <f t="shared" si="4"/>
        <v>2.5195420309467424E-2</v>
      </c>
    </row>
    <row r="60" spans="1:8">
      <c r="A60" s="149" t="s">
        <v>192</v>
      </c>
      <c r="B60" s="150">
        <v>81</v>
      </c>
      <c r="C60" s="150">
        <v>763.97</v>
      </c>
      <c r="D60" s="150">
        <v>632.6</v>
      </c>
      <c r="E60" s="150">
        <v>51240.6</v>
      </c>
      <c r="F60" s="150">
        <v>-10640.75</v>
      </c>
      <c r="G60" s="151">
        <f t="shared" si="3"/>
        <v>61881.35</v>
      </c>
      <c r="H60" s="174">
        <f t="shared" si="4"/>
        <v>-0.17195407016815245</v>
      </c>
    </row>
    <row r="61" spans="1:8">
      <c r="A61" s="149" t="s">
        <v>265</v>
      </c>
      <c r="B61" s="150">
        <v>58</v>
      </c>
      <c r="C61" s="150">
        <v>342.44</v>
      </c>
      <c r="D61" s="150">
        <v>326</v>
      </c>
      <c r="E61" s="150">
        <v>18908</v>
      </c>
      <c r="F61" s="150">
        <v>-953.52</v>
      </c>
      <c r="G61" s="151">
        <f t="shared" si="3"/>
        <v>19861.52</v>
      </c>
      <c r="H61" s="174">
        <f t="shared" si="4"/>
        <v>-4.8008410232449478E-2</v>
      </c>
    </row>
    <row r="62" spans="1:8">
      <c r="A62" s="149" t="s">
        <v>194</v>
      </c>
      <c r="B62" s="150">
        <v>192</v>
      </c>
      <c r="C62" s="150">
        <v>104.85</v>
      </c>
      <c r="D62" s="150">
        <v>67.099999999999994</v>
      </c>
      <c r="E62" s="150">
        <v>12883.2</v>
      </c>
      <c r="F62" s="150">
        <v>-7247.9</v>
      </c>
      <c r="G62" s="151">
        <f t="shared" si="3"/>
        <v>20131.099999999999</v>
      </c>
      <c r="H62" s="174">
        <f t="shared" si="4"/>
        <v>-0.36003497076662477</v>
      </c>
    </row>
    <row r="63" spans="1:8">
      <c r="A63" s="149" t="s">
        <v>195</v>
      </c>
      <c r="B63" s="150">
        <v>21</v>
      </c>
      <c r="C63" s="150">
        <v>2285.31</v>
      </c>
      <c r="D63" s="150">
        <v>1791.9</v>
      </c>
      <c r="E63" s="150">
        <v>37629.9</v>
      </c>
      <c r="F63" s="150">
        <v>-10361.549999999999</v>
      </c>
      <c r="G63" s="151">
        <f t="shared" si="3"/>
        <v>47991.45</v>
      </c>
      <c r="H63" s="174">
        <f t="shared" si="4"/>
        <v>-0.2159040829147692</v>
      </c>
    </row>
    <row r="64" spans="1:8">
      <c r="A64" s="149" t="s">
        <v>315</v>
      </c>
      <c r="B64" s="150">
        <v>102</v>
      </c>
      <c r="C64" s="150">
        <v>14.26</v>
      </c>
      <c r="D64" s="150">
        <v>48.36</v>
      </c>
      <c r="E64" s="150">
        <v>4932.72</v>
      </c>
      <c r="F64" s="150">
        <v>3478.02</v>
      </c>
      <c r="G64" s="151">
        <f t="shared" si="3"/>
        <v>1454.7000000000003</v>
      </c>
      <c r="H64" s="174">
        <f t="shared" si="4"/>
        <v>2.390884718498659</v>
      </c>
    </row>
    <row r="65" spans="1:8">
      <c r="A65" s="149" t="s">
        <v>316</v>
      </c>
      <c r="B65" s="150">
        <v>4</v>
      </c>
      <c r="C65" s="150">
        <v>131.47999999999999</v>
      </c>
      <c r="D65" s="150">
        <v>189.86</v>
      </c>
      <c r="E65" s="150">
        <v>759.44</v>
      </c>
      <c r="F65" s="150">
        <v>233.52</v>
      </c>
      <c r="G65" s="151">
        <f t="shared" si="3"/>
        <v>525.92000000000007</v>
      </c>
      <c r="H65" s="174">
        <f t="shared" si="4"/>
        <v>0.444021904472163</v>
      </c>
    </row>
    <row r="66" spans="1:8">
      <c r="A66" s="149" t="s">
        <v>198</v>
      </c>
      <c r="B66" s="150">
        <v>79</v>
      </c>
      <c r="C66" s="150">
        <v>499.72</v>
      </c>
      <c r="D66" s="150">
        <v>841.55</v>
      </c>
      <c r="E66" s="150">
        <v>66482.45</v>
      </c>
      <c r="F66" s="150">
        <v>27004.799999999999</v>
      </c>
      <c r="G66" s="151">
        <f t="shared" ref="G66:G97" si="5">E66-F66</f>
        <v>39477.649999999994</v>
      </c>
      <c r="H66" s="174">
        <f t="shared" si="4"/>
        <v>0.68405287548777605</v>
      </c>
    </row>
    <row r="67" spans="1:8">
      <c r="A67" s="149" t="s">
        <v>199</v>
      </c>
      <c r="B67" s="150">
        <v>16</v>
      </c>
      <c r="C67" s="150">
        <v>3709.52</v>
      </c>
      <c r="D67" s="150">
        <v>3282.4</v>
      </c>
      <c r="E67" s="150">
        <v>52518.400000000001</v>
      </c>
      <c r="F67" s="150">
        <v>-6833.85</v>
      </c>
      <c r="G67" s="151">
        <f t="shared" si="5"/>
        <v>59352.25</v>
      </c>
      <c r="H67" s="174">
        <f t="shared" si="4"/>
        <v>-0.11514053805879305</v>
      </c>
    </row>
    <row r="68" spans="1:8">
      <c r="A68" s="149" t="s">
        <v>200</v>
      </c>
      <c r="B68" s="150">
        <v>300</v>
      </c>
      <c r="C68" s="150">
        <v>82.33</v>
      </c>
      <c r="D68" s="150">
        <v>151.05000000000001</v>
      </c>
      <c r="E68" s="150">
        <v>45315</v>
      </c>
      <c r="F68" s="150">
        <v>20615</v>
      </c>
      <c r="G68" s="151">
        <f t="shared" si="5"/>
        <v>24700</v>
      </c>
      <c r="H68" s="174">
        <f t="shared" si="4"/>
        <v>0.83461538461538465</v>
      </c>
    </row>
    <row r="69" spans="1:8">
      <c r="A69" s="149" t="s">
        <v>201</v>
      </c>
      <c r="B69" s="150">
        <v>9</v>
      </c>
      <c r="C69" s="150">
        <v>3657.46</v>
      </c>
      <c r="D69" s="150">
        <v>4609.5</v>
      </c>
      <c r="E69" s="150">
        <v>41485.5</v>
      </c>
      <c r="F69" s="150">
        <v>8568.35</v>
      </c>
      <c r="G69" s="151">
        <f t="shared" si="5"/>
        <v>32917.15</v>
      </c>
      <c r="H69" s="174">
        <f t="shared" si="4"/>
        <v>0.26030048166381353</v>
      </c>
    </row>
    <row r="70" spans="1:8">
      <c r="A70" s="149" t="s">
        <v>202</v>
      </c>
      <c r="B70" s="150">
        <v>25</v>
      </c>
      <c r="C70" s="150">
        <v>869.04</v>
      </c>
      <c r="D70" s="150">
        <v>1301.0999999999999</v>
      </c>
      <c r="E70" s="150">
        <v>32527.5</v>
      </c>
      <c r="F70" s="150">
        <v>10801.45</v>
      </c>
      <c r="G70" s="151">
        <f t="shared" si="5"/>
        <v>21726.05</v>
      </c>
      <c r="H70" s="174">
        <f t="shared" si="4"/>
        <v>0.49716584468874925</v>
      </c>
    </row>
    <row r="71" spans="1:8">
      <c r="A71" s="149" t="s">
        <v>203</v>
      </c>
      <c r="B71" s="150">
        <v>18</v>
      </c>
      <c r="C71" s="150">
        <v>2463.83</v>
      </c>
      <c r="D71" s="150">
        <v>2353.25</v>
      </c>
      <c r="E71" s="150">
        <v>42358.5</v>
      </c>
      <c r="F71" s="150">
        <v>-1990.5</v>
      </c>
      <c r="G71" s="151">
        <f t="shared" si="5"/>
        <v>44349</v>
      </c>
      <c r="H71" s="174">
        <f t="shared" si="4"/>
        <v>-4.48826354596496E-2</v>
      </c>
    </row>
    <row r="72" spans="1:8">
      <c r="A72" s="149" t="s">
        <v>204</v>
      </c>
      <c r="B72" s="150">
        <v>61</v>
      </c>
      <c r="C72" s="150">
        <v>488.84</v>
      </c>
      <c r="D72" s="150">
        <v>403.2</v>
      </c>
      <c r="E72" s="150">
        <v>24595.200000000001</v>
      </c>
      <c r="F72" s="150">
        <v>-5223.75</v>
      </c>
      <c r="G72" s="151">
        <f t="shared" si="5"/>
        <v>29818.95</v>
      </c>
      <c r="H72" s="174">
        <f t="shared" si="4"/>
        <v>-0.17518222472622275</v>
      </c>
    </row>
    <row r="73" spans="1:8">
      <c r="A73" s="149" t="s">
        <v>205</v>
      </c>
      <c r="B73" s="150">
        <v>20</v>
      </c>
      <c r="C73" s="150">
        <v>1000</v>
      </c>
      <c r="D73" s="150">
        <v>1096</v>
      </c>
      <c r="E73" s="150">
        <v>21920</v>
      </c>
      <c r="F73" s="150">
        <v>0</v>
      </c>
      <c r="G73" s="151">
        <f t="shared" si="5"/>
        <v>21920</v>
      </c>
      <c r="H73" s="174">
        <f t="shared" si="4"/>
        <v>0</v>
      </c>
    </row>
    <row r="74" spans="1:8">
      <c r="A74" s="149" t="s">
        <v>327</v>
      </c>
      <c r="B74" s="150">
        <v>159</v>
      </c>
      <c r="C74" s="150">
        <v>186.3</v>
      </c>
      <c r="D74" s="150">
        <v>166.65</v>
      </c>
      <c r="E74" s="150">
        <v>26497.35</v>
      </c>
      <c r="F74" s="150">
        <v>-3124.35</v>
      </c>
      <c r="G74" s="151">
        <f t="shared" si="5"/>
        <v>29621.699999999997</v>
      </c>
      <c r="H74" s="174">
        <f t="shared" si="4"/>
        <v>-0.10547504025764896</v>
      </c>
    </row>
    <row r="75" spans="1:8">
      <c r="A75" s="149" t="s">
        <v>299</v>
      </c>
      <c r="B75" s="150">
        <v>33</v>
      </c>
      <c r="C75" s="150">
        <v>976.74</v>
      </c>
      <c r="D75" s="150">
        <v>850.95</v>
      </c>
      <c r="E75" s="150">
        <v>28081.35</v>
      </c>
      <c r="F75" s="150">
        <v>-4151.05</v>
      </c>
      <c r="G75" s="151">
        <f t="shared" si="5"/>
        <v>32232.399999999998</v>
      </c>
      <c r="H75" s="174">
        <f t="shared" si="4"/>
        <v>-0.12878501135503409</v>
      </c>
    </row>
    <row r="76" spans="1:8">
      <c r="A76" s="149" t="s">
        <v>328</v>
      </c>
      <c r="B76" s="150">
        <v>116</v>
      </c>
      <c r="C76" s="150">
        <v>255.15</v>
      </c>
      <c r="D76" s="150">
        <v>286.25</v>
      </c>
      <c r="E76" s="150">
        <v>33205</v>
      </c>
      <c r="F76" s="150">
        <v>3607.2</v>
      </c>
      <c r="G76" s="151">
        <f t="shared" si="5"/>
        <v>29597.8</v>
      </c>
      <c r="H76" s="174">
        <f t="shared" si="4"/>
        <v>0.12187392306184919</v>
      </c>
    </row>
    <row r="77" spans="1:8">
      <c r="A77" s="149" t="s">
        <v>206</v>
      </c>
      <c r="B77" s="150">
        <v>56</v>
      </c>
      <c r="C77" s="150">
        <v>1103.08</v>
      </c>
      <c r="D77" s="150">
        <v>1101.0999999999999</v>
      </c>
      <c r="E77" s="150">
        <v>61661.599999999999</v>
      </c>
      <c r="F77" s="150">
        <v>-110.9</v>
      </c>
      <c r="G77" s="151">
        <f t="shared" si="5"/>
        <v>61772.5</v>
      </c>
      <c r="H77" s="174">
        <f t="shared" si="4"/>
        <v>-1.7952972601076532E-3</v>
      </c>
    </row>
    <row r="78" spans="1:8">
      <c r="A78" s="149" t="s">
        <v>207</v>
      </c>
      <c r="B78" s="150">
        <v>105</v>
      </c>
      <c r="C78" s="150">
        <v>304.5</v>
      </c>
      <c r="D78" s="150">
        <v>523.75</v>
      </c>
      <c r="E78" s="150">
        <v>54993.75</v>
      </c>
      <c r="F78" s="150">
        <v>23020.85</v>
      </c>
      <c r="G78" s="151">
        <f t="shared" si="5"/>
        <v>31972.9</v>
      </c>
      <c r="H78" s="174">
        <f t="shared" si="4"/>
        <v>0.72001132208839358</v>
      </c>
    </row>
    <row r="79" spans="1:8">
      <c r="A79" s="149" t="s">
        <v>262</v>
      </c>
      <c r="B79" s="150">
        <v>10</v>
      </c>
      <c r="C79" s="150">
        <v>5284</v>
      </c>
      <c r="D79" s="150">
        <v>5541.81</v>
      </c>
      <c r="E79" s="150">
        <v>55418.1</v>
      </c>
      <c r="F79" s="150">
        <v>2578.1</v>
      </c>
      <c r="G79" s="151">
        <f t="shared" si="5"/>
        <v>52840</v>
      </c>
      <c r="H79" s="174">
        <f t="shared" si="4"/>
        <v>4.8790688872066612E-2</v>
      </c>
    </row>
    <row r="80" spans="1:8">
      <c r="A80" s="149" t="s">
        <v>306</v>
      </c>
      <c r="B80" s="150">
        <v>5</v>
      </c>
      <c r="C80" s="150">
        <v>4802</v>
      </c>
      <c r="D80" s="150">
        <v>5634.72</v>
      </c>
      <c r="E80" s="150">
        <v>28173.599999999999</v>
      </c>
      <c r="F80" s="150">
        <v>4163.6000000000004</v>
      </c>
      <c r="G80" s="151">
        <f t="shared" si="5"/>
        <v>24010</v>
      </c>
      <c r="H80" s="174">
        <f t="shared" si="4"/>
        <v>0.17341107871720118</v>
      </c>
    </row>
    <row r="81" spans="1:8">
      <c r="A81" s="149" t="s">
        <v>311</v>
      </c>
      <c r="B81" s="150">
        <v>10</v>
      </c>
      <c r="C81" s="150">
        <v>5002.45</v>
      </c>
      <c r="D81" s="150">
        <v>5465</v>
      </c>
      <c r="E81" s="150">
        <v>54650</v>
      </c>
      <c r="F81" s="150">
        <v>4625.5</v>
      </c>
      <c r="G81" s="151">
        <f t="shared" si="5"/>
        <v>50024.5</v>
      </c>
      <c r="H81" s="174">
        <f t="shared" ref="H81:H112" si="6">F81/G81</f>
        <v>9.2464692300772616E-2</v>
      </c>
    </row>
    <row r="82" spans="1:8">
      <c r="A82" s="149" t="s">
        <v>329</v>
      </c>
      <c r="B82" s="150">
        <v>60</v>
      </c>
      <c r="C82" s="150">
        <v>504</v>
      </c>
      <c r="D82" s="150">
        <v>489.7</v>
      </c>
      <c r="E82" s="150">
        <v>29382</v>
      </c>
      <c r="F82" s="150">
        <v>-858</v>
      </c>
      <c r="G82" s="151">
        <f t="shared" si="5"/>
        <v>30240</v>
      </c>
      <c r="H82" s="174">
        <f t="shared" si="6"/>
        <v>-2.8373015873015873E-2</v>
      </c>
    </row>
    <row r="83" spans="1:8">
      <c r="A83" s="149" t="s">
        <v>211</v>
      </c>
      <c r="B83" s="150">
        <v>35</v>
      </c>
      <c r="C83" s="150">
        <v>984.23</v>
      </c>
      <c r="D83" s="150">
        <v>3327.15</v>
      </c>
      <c r="E83" s="150">
        <v>116450.25</v>
      </c>
      <c r="F83" s="150">
        <v>82002.2</v>
      </c>
      <c r="G83" s="151">
        <f t="shared" si="5"/>
        <v>34448.050000000003</v>
      </c>
      <c r="H83" s="174">
        <f t="shared" si="6"/>
        <v>2.3804598518638933</v>
      </c>
    </row>
    <row r="84" spans="1:8">
      <c r="A84" s="149" t="s">
        <v>330</v>
      </c>
      <c r="B84" s="150">
        <v>54</v>
      </c>
      <c r="C84" s="150">
        <v>508.63</v>
      </c>
      <c r="D84" s="150">
        <v>418</v>
      </c>
      <c r="E84" s="150">
        <v>22572</v>
      </c>
      <c r="F84" s="150">
        <v>-4894.2</v>
      </c>
      <c r="G84" s="151">
        <f t="shared" si="5"/>
        <v>27466.2</v>
      </c>
      <c r="H84" s="174">
        <f t="shared" si="6"/>
        <v>-0.1781899207025362</v>
      </c>
    </row>
    <row r="85" spans="1:8">
      <c r="A85" s="149" t="s">
        <v>290</v>
      </c>
      <c r="B85" s="150">
        <v>21</v>
      </c>
      <c r="C85" s="150">
        <v>652.55999999999995</v>
      </c>
      <c r="D85" s="150">
        <v>413.5</v>
      </c>
      <c r="E85" s="150">
        <v>8683.5</v>
      </c>
      <c r="F85" s="150">
        <v>-5020.2</v>
      </c>
      <c r="G85" s="151">
        <f t="shared" si="5"/>
        <v>13703.7</v>
      </c>
      <c r="H85" s="174">
        <f t="shared" si="6"/>
        <v>-0.36633901792946427</v>
      </c>
    </row>
    <row r="86" spans="1:8">
      <c r="A86" s="149" t="s">
        <v>292</v>
      </c>
      <c r="B86" s="150">
        <v>32</v>
      </c>
      <c r="C86" s="150">
        <v>752.33</v>
      </c>
      <c r="D86" s="150">
        <v>978.3</v>
      </c>
      <c r="E86" s="150">
        <v>31305.599999999999</v>
      </c>
      <c r="F86" s="150">
        <v>7231.1</v>
      </c>
      <c r="G86" s="151">
        <f t="shared" si="5"/>
        <v>24074.5</v>
      </c>
      <c r="H86" s="174">
        <f t="shared" si="6"/>
        <v>0.30036345510810197</v>
      </c>
    </row>
    <row r="87" spans="1:8">
      <c r="A87" s="149" t="s">
        <v>212</v>
      </c>
      <c r="B87" s="150">
        <v>135</v>
      </c>
      <c r="C87" s="150">
        <v>501.84</v>
      </c>
      <c r="D87" s="150">
        <v>983.1</v>
      </c>
      <c r="E87" s="150">
        <v>132718.5</v>
      </c>
      <c r="F87" s="150">
        <v>64970.2</v>
      </c>
      <c r="G87" s="151">
        <f t="shared" si="5"/>
        <v>67748.3</v>
      </c>
      <c r="H87" s="174">
        <f t="shared" si="6"/>
        <v>0.95899380501060538</v>
      </c>
    </row>
    <row r="88" spans="1:8">
      <c r="A88" s="149" t="s">
        <v>293</v>
      </c>
      <c r="B88" s="150">
        <v>50</v>
      </c>
      <c r="C88" s="150">
        <v>283.19</v>
      </c>
      <c r="D88" s="150">
        <v>345.8</v>
      </c>
      <c r="E88" s="150">
        <v>17290</v>
      </c>
      <c r="F88" s="150">
        <v>3130.35</v>
      </c>
      <c r="G88" s="151">
        <f t="shared" si="5"/>
        <v>14159.65</v>
      </c>
      <c r="H88" s="174">
        <f t="shared" si="6"/>
        <v>0.22107537968805727</v>
      </c>
    </row>
    <row r="89" spans="1:8">
      <c r="A89" s="149" t="s">
        <v>308</v>
      </c>
      <c r="B89" s="150">
        <v>61</v>
      </c>
      <c r="C89" s="150">
        <v>481.95</v>
      </c>
      <c r="D89" s="150">
        <v>471.6</v>
      </c>
      <c r="E89" s="150">
        <v>28767.599999999999</v>
      </c>
      <c r="F89" s="150">
        <v>-631.35</v>
      </c>
      <c r="G89" s="151">
        <f t="shared" si="5"/>
        <v>29398.949999999997</v>
      </c>
      <c r="H89" s="174">
        <f t="shared" si="6"/>
        <v>-2.147525676937442E-2</v>
      </c>
    </row>
    <row r="90" spans="1:8">
      <c r="A90" s="149" t="s">
        <v>213</v>
      </c>
      <c r="B90" s="150">
        <v>57</v>
      </c>
      <c r="C90" s="150">
        <v>468.04</v>
      </c>
      <c r="D90" s="150">
        <v>595</v>
      </c>
      <c r="E90" s="150">
        <v>33915</v>
      </c>
      <c r="F90" s="150">
        <v>7236.5</v>
      </c>
      <c r="G90" s="151">
        <f t="shared" si="5"/>
        <v>26678.5</v>
      </c>
      <c r="H90" s="174">
        <f t="shared" si="6"/>
        <v>0.27124838352980862</v>
      </c>
    </row>
    <row r="91" spans="1:8">
      <c r="A91" s="149" t="s">
        <v>214</v>
      </c>
      <c r="B91" s="150">
        <v>38</v>
      </c>
      <c r="C91" s="150">
        <v>684.41</v>
      </c>
      <c r="D91" s="150">
        <v>710.05</v>
      </c>
      <c r="E91" s="150">
        <v>26981.9</v>
      </c>
      <c r="F91" s="150">
        <v>974.35</v>
      </c>
      <c r="G91" s="151">
        <f t="shared" si="5"/>
        <v>26007.550000000003</v>
      </c>
      <c r="H91" s="174">
        <f t="shared" si="6"/>
        <v>3.7464120995633954E-2</v>
      </c>
    </row>
    <row r="92" spans="1:8">
      <c r="A92" s="149" t="s">
        <v>302</v>
      </c>
      <c r="B92" s="150">
        <v>775</v>
      </c>
      <c r="C92" s="150">
        <v>99.29</v>
      </c>
      <c r="D92" s="150">
        <v>208.75</v>
      </c>
      <c r="E92" s="150">
        <v>161781.25</v>
      </c>
      <c r="F92" s="150">
        <v>84830.25</v>
      </c>
      <c r="G92" s="151">
        <f t="shared" si="5"/>
        <v>76951</v>
      </c>
      <c r="H92" s="174">
        <f t="shared" si="6"/>
        <v>1.1023930813114839</v>
      </c>
    </row>
    <row r="93" spans="1:8">
      <c r="A93" s="149" t="s">
        <v>215</v>
      </c>
      <c r="B93" s="150">
        <v>1050</v>
      </c>
      <c r="C93" s="150">
        <v>40.479999999999997</v>
      </c>
      <c r="D93" s="150">
        <v>104.5</v>
      </c>
      <c r="E93" s="150">
        <v>109725</v>
      </c>
      <c r="F93" s="150">
        <v>67224.75</v>
      </c>
      <c r="G93" s="151">
        <f t="shared" si="5"/>
        <v>42500.25</v>
      </c>
      <c r="H93" s="174">
        <f t="shared" si="6"/>
        <v>1.5817495191204758</v>
      </c>
    </row>
    <row r="94" spans="1:8">
      <c r="A94" s="149" t="s">
        <v>216</v>
      </c>
      <c r="B94" s="150">
        <v>21</v>
      </c>
      <c r="C94" s="150">
        <v>3357.32</v>
      </c>
      <c r="D94" s="150">
        <v>3205.9</v>
      </c>
      <c r="E94" s="150">
        <v>67323.899999999994</v>
      </c>
      <c r="F94" s="150">
        <v>-3179.85</v>
      </c>
      <c r="G94" s="151">
        <f t="shared" si="5"/>
        <v>70503.75</v>
      </c>
      <c r="H94" s="174">
        <f t="shared" si="6"/>
        <v>-4.5101856284240197E-2</v>
      </c>
    </row>
    <row r="95" spans="1:8">
      <c r="A95" s="149" t="s">
        <v>318</v>
      </c>
      <c r="B95" s="150">
        <v>36</v>
      </c>
      <c r="C95" s="150">
        <v>1190.31</v>
      </c>
      <c r="D95" s="150">
        <v>1101.8499999999999</v>
      </c>
      <c r="E95" s="150">
        <v>39666.6</v>
      </c>
      <c r="F95" s="150">
        <v>-3184.55</v>
      </c>
      <c r="G95" s="151">
        <f t="shared" si="5"/>
        <v>42851.15</v>
      </c>
      <c r="H95" s="174">
        <f t="shared" si="6"/>
        <v>-7.4316558598777394E-2</v>
      </c>
    </row>
    <row r="96" spans="1:8">
      <c r="A96" s="149" t="s">
        <v>217</v>
      </c>
      <c r="B96" s="150">
        <v>17</v>
      </c>
      <c r="C96" s="150">
        <v>2452.2199999999998</v>
      </c>
      <c r="D96" s="150">
        <v>2515.1</v>
      </c>
      <c r="E96" s="150">
        <v>42756.7</v>
      </c>
      <c r="F96" s="150">
        <v>1068.9000000000001</v>
      </c>
      <c r="G96" s="151">
        <f t="shared" si="5"/>
        <v>41687.799999999996</v>
      </c>
      <c r="H96" s="174">
        <f t="shared" si="6"/>
        <v>2.5640595090170269E-2</v>
      </c>
    </row>
    <row r="97" spans="1:8">
      <c r="A97" s="149" t="s">
        <v>220</v>
      </c>
      <c r="B97" s="150">
        <v>42</v>
      </c>
      <c r="C97" s="150">
        <v>315.58999999999997</v>
      </c>
      <c r="D97" s="150">
        <v>479.45</v>
      </c>
      <c r="E97" s="150">
        <v>20136.900000000001</v>
      </c>
      <c r="F97" s="150">
        <v>6882.2</v>
      </c>
      <c r="G97" s="151">
        <f t="shared" si="5"/>
        <v>13254.7</v>
      </c>
      <c r="H97" s="174">
        <f t="shared" si="6"/>
        <v>0.51922714207035991</v>
      </c>
    </row>
    <row r="98" spans="1:8">
      <c r="A98" s="149" t="s">
        <v>331</v>
      </c>
      <c r="B98" s="150">
        <v>41</v>
      </c>
      <c r="C98" s="150">
        <v>742.5</v>
      </c>
      <c r="D98" s="150">
        <v>717.65</v>
      </c>
      <c r="E98" s="150">
        <v>29423.65</v>
      </c>
      <c r="F98" s="150">
        <v>-1018.85</v>
      </c>
      <c r="G98" s="151">
        <f t="shared" ref="G98:G129" si="7">E98-F98</f>
        <v>30442.5</v>
      </c>
      <c r="H98" s="174">
        <f t="shared" si="6"/>
        <v>-3.3468013468013466E-2</v>
      </c>
    </row>
    <row r="99" spans="1:8">
      <c r="A99" s="149" t="s">
        <v>221</v>
      </c>
      <c r="B99" s="150">
        <v>40</v>
      </c>
      <c r="C99" s="150">
        <v>447.63</v>
      </c>
      <c r="D99" s="150">
        <v>1387.25</v>
      </c>
      <c r="E99" s="150">
        <v>55490</v>
      </c>
      <c r="F99" s="150">
        <v>37585</v>
      </c>
      <c r="G99" s="151">
        <f t="shared" si="7"/>
        <v>17905</v>
      </c>
      <c r="H99" s="174">
        <f t="shared" si="6"/>
        <v>2.09913432002234</v>
      </c>
    </row>
    <row r="100" spans="1:8">
      <c r="A100" s="149" t="s">
        <v>300</v>
      </c>
      <c r="B100" s="150">
        <v>300</v>
      </c>
      <c r="C100" s="150">
        <v>29.45</v>
      </c>
      <c r="D100" s="150">
        <v>15.05</v>
      </c>
      <c r="E100" s="150">
        <v>4515</v>
      </c>
      <c r="F100" s="150">
        <v>-4320</v>
      </c>
      <c r="G100" s="151">
        <f t="shared" si="7"/>
        <v>8835</v>
      </c>
      <c r="H100" s="174">
        <f t="shared" si="6"/>
        <v>-0.48896434634974534</v>
      </c>
    </row>
    <row r="101" spans="1:8">
      <c r="A101" s="149" t="s">
        <v>309</v>
      </c>
      <c r="B101" s="150">
        <v>29</v>
      </c>
      <c r="C101" s="150">
        <v>1910.61</v>
      </c>
      <c r="D101" s="150">
        <v>1550.3</v>
      </c>
      <c r="E101" s="150">
        <v>44958.7</v>
      </c>
      <c r="F101" s="150">
        <v>-10448.9</v>
      </c>
      <c r="G101" s="151">
        <f t="shared" si="7"/>
        <v>55407.6</v>
      </c>
      <c r="H101" s="174">
        <f t="shared" si="6"/>
        <v>-0.18858243273485947</v>
      </c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9302</v>
      </c>
      <c r="C104" s="45"/>
      <c r="D104" s="45"/>
      <c r="E104" s="45">
        <f>SUM(E2:E103)</f>
        <v>4565952.4800000023</v>
      </c>
      <c r="F104" s="45">
        <f>SUM(F2:F103)</f>
        <v>806874.38999999978</v>
      </c>
      <c r="G104" s="45">
        <f>SUM(G2:G103)</f>
        <v>3759078.0900000008</v>
      </c>
      <c r="H104" s="176">
        <f>F104/G104</f>
        <v>0.2146468816773103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4117-4685-4452-A6EB-6A7C7A4EC06E}">
  <dimension ref="A1:I18"/>
  <sheetViews>
    <sheetView workbookViewId="0">
      <selection activeCell="A14" sqref="A14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68" t="s">
        <v>234</v>
      </c>
      <c r="B2" t="s">
        <v>235</v>
      </c>
      <c r="C2" s="188">
        <v>4080.9659999999999</v>
      </c>
      <c r="D2">
        <v>73</v>
      </c>
      <c r="E2">
        <v>68.607799999999997</v>
      </c>
      <c r="F2" s="188">
        <v>279986.10960000003</v>
      </c>
      <c r="G2" s="188">
        <v>297910.51799999998</v>
      </c>
      <c r="H2" s="188">
        <v>17924.4084</v>
      </c>
      <c r="I2" s="147">
        <f>H2/F2</f>
        <v>6.401892017288846E-2</v>
      </c>
    </row>
    <row r="3" spans="1:9">
      <c r="A3" s="168" t="s">
        <v>236</v>
      </c>
      <c r="B3" t="s">
        <v>237</v>
      </c>
      <c r="C3" s="188">
        <v>14235.332</v>
      </c>
      <c r="D3">
        <v>69.53</v>
      </c>
      <c r="E3">
        <v>47.766100000000002</v>
      </c>
      <c r="F3" s="188">
        <v>679966.92570000002</v>
      </c>
      <c r="G3" s="188">
        <v>989782.63399999996</v>
      </c>
      <c r="H3" s="188">
        <v>309815.7083</v>
      </c>
      <c r="I3" s="147">
        <f t="shared" ref="I3:I18" si="0">H3/F3</f>
        <v>0.4556334971455509</v>
      </c>
    </row>
    <row r="4" spans="1:9">
      <c r="A4" s="168" t="s">
        <v>238</v>
      </c>
      <c r="B4" t="s">
        <v>237</v>
      </c>
      <c r="C4" s="188">
        <v>6300.335</v>
      </c>
      <c r="D4">
        <v>25.3</v>
      </c>
      <c r="E4">
        <v>26.187799999999999</v>
      </c>
      <c r="F4" s="188">
        <v>164991.75330000001</v>
      </c>
      <c r="G4" s="188">
        <v>159398.4755</v>
      </c>
      <c r="H4" s="188">
        <v>-5593.2777999999998</v>
      </c>
      <c r="I4" s="147">
        <f t="shared" si="0"/>
        <v>-3.390034767271001E-2</v>
      </c>
    </row>
    <row r="5" spans="1:9">
      <c r="A5" s="168" t="s">
        <v>303</v>
      </c>
      <c r="B5" t="s">
        <v>241</v>
      </c>
      <c r="C5" s="188">
        <v>1857.5519999999999</v>
      </c>
      <c r="D5">
        <v>545.05899999999997</v>
      </c>
      <c r="E5">
        <v>366.02140000000003</v>
      </c>
      <c r="F5" s="188">
        <v>679903.69869999995</v>
      </c>
      <c r="G5" s="188">
        <v>1012475.4356</v>
      </c>
      <c r="H5" s="188">
        <v>332571.73690000002</v>
      </c>
      <c r="I5" s="147">
        <f t="shared" si="0"/>
        <v>0.48914535622601996</v>
      </c>
    </row>
    <row r="6" spans="1:9">
      <c r="A6" s="168" t="s">
        <v>242</v>
      </c>
      <c r="B6" t="s">
        <v>237</v>
      </c>
      <c r="C6" s="188">
        <v>4306.576</v>
      </c>
      <c r="D6">
        <v>88.727999999999994</v>
      </c>
      <c r="E6">
        <v>44.3917</v>
      </c>
      <c r="F6" s="188">
        <v>191176.2298</v>
      </c>
      <c r="G6" s="188">
        <v>382113.87530000001</v>
      </c>
      <c r="H6" s="188">
        <v>190937.64550000001</v>
      </c>
      <c r="I6" s="147">
        <f t="shared" si="0"/>
        <v>0.99875201901277377</v>
      </c>
    </row>
    <row r="7" spans="1:9">
      <c r="A7" s="168" t="s">
        <v>272</v>
      </c>
      <c r="B7" t="s">
        <v>235</v>
      </c>
      <c r="C7" s="188">
        <v>5805.7370000000001</v>
      </c>
      <c r="D7">
        <v>83.855999999999995</v>
      </c>
      <c r="E7">
        <v>41.940399999999997</v>
      </c>
      <c r="F7" s="188">
        <v>243495.1642</v>
      </c>
      <c r="G7" s="188">
        <v>486845.88189999998</v>
      </c>
      <c r="H7" s="188">
        <v>243350.7176</v>
      </c>
      <c r="I7" s="147">
        <f t="shared" si="0"/>
        <v>0.99940677836262348</v>
      </c>
    </row>
    <row r="8" spans="1:9">
      <c r="A8" s="168" t="s">
        <v>244</v>
      </c>
      <c r="B8" t="s">
        <v>233</v>
      </c>
      <c r="C8" s="188">
        <v>5841.7389999999996</v>
      </c>
      <c r="D8">
        <v>22.320900000000002</v>
      </c>
      <c r="E8">
        <v>23.964300000000001</v>
      </c>
      <c r="F8" s="188">
        <v>139992.99739999999</v>
      </c>
      <c r="G8" s="188">
        <v>130392.872</v>
      </c>
      <c r="H8" s="188">
        <v>-9600.1254000000008</v>
      </c>
      <c r="I8" s="147">
        <f t="shared" si="0"/>
        <v>-6.8575754346981363E-2</v>
      </c>
    </row>
    <row r="9" spans="1:9">
      <c r="A9" s="168" t="s">
        <v>273</v>
      </c>
      <c r="B9" t="s">
        <v>233</v>
      </c>
      <c r="C9" s="188">
        <v>38345.241999999998</v>
      </c>
      <c r="D9">
        <v>9.3790999999999993</v>
      </c>
      <c r="E9">
        <v>8.4751999999999992</v>
      </c>
      <c r="F9" s="188">
        <v>324983.74839999998</v>
      </c>
      <c r="G9" s="188">
        <v>359643.85920000001</v>
      </c>
      <c r="H9" s="188">
        <v>34660.110800000002</v>
      </c>
      <c r="I9" s="147">
        <f t="shared" si="0"/>
        <v>0.10665182788568021</v>
      </c>
    </row>
    <row r="10" spans="1:9">
      <c r="A10" s="168" t="s">
        <v>246</v>
      </c>
      <c r="B10" t="s">
        <v>241</v>
      </c>
      <c r="C10" s="188">
        <v>28657.589</v>
      </c>
      <c r="D10">
        <v>11.0535</v>
      </c>
      <c r="E10">
        <v>11.183199999999999</v>
      </c>
      <c r="F10" s="188">
        <v>320483.98220000003</v>
      </c>
      <c r="G10" s="188">
        <v>316766.65999999997</v>
      </c>
      <c r="H10" s="188">
        <v>-3717.3220999999999</v>
      </c>
      <c r="I10" s="147">
        <f t="shared" si="0"/>
        <v>-1.1599088586212655E-2</v>
      </c>
    </row>
    <row r="11" spans="1:9">
      <c r="A11" s="168" t="s">
        <v>250</v>
      </c>
      <c r="B11" t="s">
        <v>251</v>
      </c>
      <c r="C11" s="188">
        <v>17148.587</v>
      </c>
      <c r="D11">
        <v>53.048499999999997</v>
      </c>
      <c r="E11">
        <v>42.914900000000003</v>
      </c>
      <c r="F11" s="188">
        <v>735929.48759999999</v>
      </c>
      <c r="G11" s="188">
        <v>909706.8175</v>
      </c>
      <c r="H11" s="188">
        <v>173777.32980000001</v>
      </c>
      <c r="I11" s="147">
        <f t="shared" si="0"/>
        <v>0.23613312515404092</v>
      </c>
    </row>
    <row r="12" spans="1:9">
      <c r="A12" s="168" t="s">
        <v>274</v>
      </c>
      <c r="B12" t="s">
        <v>233</v>
      </c>
      <c r="C12" s="188">
        <v>6809.741</v>
      </c>
      <c r="D12">
        <v>32.42</v>
      </c>
      <c r="E12">
        <v>35.241999999999997</v>
      </c>
      <c r="F12" s="188">
        <v>239988.8371</v>
      </c>
      <c r="G12" s="188">
        <v>220771.80319999999</v>
      </c>
      <c r="H12" s="188">
        <v>-19217.033899999999</v>
      </c>
      <c r="I12" s="147">
        <f t="shared" si="0"/>
        <v>-8.0074699024407239E-2</v>
      </c>
    </row>
    <row r="13" spans="1:9">
      <c r="A13" s="168" t="s">
        <v>253</v>
      </c>
      <c r="B13" t="s">
        <v>235</v>
      </c>
      <c r="C13" s="188">
        <v>1392.9179999999999</v>
      </c>
      <c r="D13">
        <v>139.1977</v>
      </c>
      <c r="E13">
        <v>143.8329</v>
      </c>
      <c r="F13" s="188">
        <v>200347.42559999999</v>
      </c>
      <c r="G13" s="188">
        <v>193890.98190000001</v>
      </c>
      <c r="H13" s="188">
        <v>-6456.4436999999998</v>
      </c>
      <c r="I13" s="147">
        <f t="shared" si="0"/>
        <v>-3.2226237400676636E-2</v>
      </c>
    </row>
    <row r="14" spans="1:9">
      <c r="A14" s="168" t="s">
        <v>255</v>
      </c>
      <c r="B14" t="s">
        <v>241</v>
      </c>
      <c r="C14" s="188">
        <v>18996.168000000001</v>
      </c>
      <c r="D14">
        <v>13.813800000000001</v>
      </c>
      <c r="E14">
        <v>9.4700000000000006</v>
      </c>
      <c r="F14" s="188">
        <v>179893.71100000001</v>
      </c>
      <c r="G14" s="188">
        <v>262409.26549999998</v>
      </c>
      <c r="H14" s="188">
        <v>82515.554600000003</v>
      </c>
      <c r="I14" s="147">
        <f t="shared" si="0"/>
        <v>0.45869060202999534</v>
      </c>
    </row>
    <row r="15" spans="1:9">
      <c r="A15"/>
      <c r="B15"/>
      <c r="C15"/>
      <c r="D15"/>
      <c r="E15"/>
      <c r="F15"/>
      <c r="G15"/>
      <c r="H15"/>
      <c r="I15" s="147"/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153778.48200000002</v>
      </c>
      <c r="D18" s="75"/>
      <c r="E18" s="75"/>
      <c r="F18" s="75">
        <f t="shared" ref="F18:H18" si="1">SUM(F2:F15)</f>
        <v>4381140.0706000002</v>
      </c>
      <c r="G18" s="75">
        <f t="shared" si="1"/>
        <v>5722109.0795999998</v>
      </c>
      <c r="H18" s="75">
        <f t="shared" si="1"/>
        <v>1340969.0089999998</v>
      </c>
      <c r="I18" s="53">
        <f t="shared" si="0"/>
        <v>0.30607763901425622</v>
      </c>
    </row>
  </sheetData>
  <hyperlinks>
    <hyperlink ref="A2" r:id="rId1" location="/mf/1831632/15690/NULL" xr:uid="{232ABDAA-119A-416B-B8C7-8B3E16A5E4B0}"/>
    <hyperlink ref="A3" r:id="rId2" location="/mf/1831632/22335/NULL" xr:uid="{8C3F7C44-4BAD-47A5-8EAA-2EBB26FC622F}"/>
    <hyperlink ref="A4" r:id="rId3" location="/mf/1831632/38817/NULL" xr:uid="{B92B9A24-8C64-4573-A24E-C67728C8C20D}"/>
    <hyperlink ref="A5" r:id="rId4" location="/mf/1831632/16071/NULL" xr:uid="{9C1EFC31-927E-4ADE-883E-FC161D6D42AA}"/>
    <hyperlink ref="A6" r:id="rId5" location="/mf/1831632/16617/NULL" xr:uid="{9220E6BB-B071-4F02-9F88-9FC359C966E1}"/>
    <hyperlink ref="A7" r:id="rId6" location="/mf/1831632/17134/NULL" xr:uid="{838CF084-8893-47AB-A950-3EA541D2E0D0}"/>
    <hyperlink ref="A8" r:id="rId7" location="/mf/1831632/38228/NULL" xr:uid="{566B398B-900E-41BC-A47B-2CD7599D785B}"/>
    <hyperlink ref="A9" r:id="rId8" location="/mf/1831632/42135/NULL" xr:uid="{4C248705-1856-4BA0-8134-8A38FC339A24}"/>
    <hyperlink ref="A10" r:id="rId9" location="/mf/1831632/41574/NULL" xr:uid="{6FFA1025-2849-4CF1-99F1-86C7BB5ED66A}"/>
    <hyperlink ref="A11" r:id="rId10" location="/mf/1831632/19701/NULL" xr:uid="{0DCF8517-2F52-4501-9C1E-CD656F1EDDAE}"/>
    <hyperlink ref="A12" r:id="rId11" location="/mf/1831632/17348/NULL" xr:uid="{8D043E28-F4F5-4356-91FF-803C4D4CD391}"/>
    <hyperlink ref="A13" r:id="rId12" location="/mf/1831632/17375/NULL" xr:uid="{F0910F0B-FBB5-4CFC-92D9-1A5BE2A18472}"/>
    <hyperlink ref="A14" r:id="rId13" location="/mf/1831632/36491/NULL" xr:uid="{FE8BD28B-32A9-44BE-8438-FD68B5FDD0B0}"/>
  </hyperlinks>
  <pageMargins left="0.7" right="0.7" top="0.75" bottom="0.75" header="0.3" footer="0.3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C34C-5195-4ADE-8AD6-D8C8C5F0F8AD}">
  <dimension ref="A1:I104"/>
  <sheetViews>
    <sheetView workbookViewId="0">
      <pane xSplit="1" ySplit="1" topLeftCell="B84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78" t="s">
        <v>137</v>
      </c>
      <c r="D1" s="178" t="s">
        <v>138</v>
      </c>
      <c r="E1" s="178" t="s">
        <v>140</v>
      </c>
      <c r="F1" s="178" t="s">
        <v>141</v>
      </c>
      <c r="G1" s="148" t="s">
        <v>129</v>
      </c>
      <c r="H1" s="173" t="s">
        <v>142</v>
      </c>
    </row>
    <row r="2" spans="1:8">
      <c r="A2" s="149" t="s">
        <v>143</v>
      </c>
      <c r="B2" s="150">
        <v>100</v>
      </c>
      <c r="C2" s="150">
        <v>109.73</v>
      </c>
      <c r="D2" s="150">
        <v>103</v>
      </c>
      <c r="E2" s="150">
        <v>10300</v>
      </c>
      <c r="F2" s="150">
        <v>-672.5</v>
      </c>
      <c r="G2" s="151">
        <f t="shared" ref="G2:G33" si="0">E2-F2</f>
        <v>10972.5</v>
      </c>
      <c r="H2" s="174">
        <f t="shared" ref="H2:H13" si="1">F2/G2</f>
        <v>-6.1289587605377081E-2</v>
      </c>
    </row>
    <row r="3" spans="1:8">
      <c r="A3" s="149" t="s">
        <v>259</v>
      </c>
      <c r="B3" s="150">
        <v>13</v>
      </c>
      <c r="C3" s="150">
        <v>133.75</v>
      </c>
      <c r="D3" s="150">
        <v>383.3</v>
      </c>
      <c r="E3" s="150">
        <v>4982.8999999999996</v>
      </c>
      <c r="F3" s="150">
        <v>3244.15</v>
      </c>
      <c r="G3" s="151">
        <f t="shared" si="0"/>
        <v>1738.7499999999995</v>
      </c>
      <c r="H3" s="174">
        <f t="shared" si="1"/>
        <v>1.8657943925233651</v>
      </c>
    </row>
    <row r="4" spans="1:8">
      <c r="A4" s="149" t="s">
        <v>144</v>
      </c>
      <c r="B4" s="150">
        <v>34</v>
      </c>
      <c r="C4" s="150">
        <v>1047.74</v>
      </c>
      <c r="D4" s="150">
        <v>1174.9000000000001</v>
      </c>
      <c r="E4" s="150">
        <v>39946.6</v>
      </c>
      <c r="F4" s="150">
        <v>4323.45</v>
      </c>
      <c r="G4" s="151">
        <f t="shared" si="0"/>
        <v>35623.15</v>
      </c>
      <c r="H4" s="174">
        <f t="shared" si="1"/>
        <v>0.12136630253079808</v>
      </c>
    </row>
    <row r="5" spans="1:8">
      <c r="A5" s="149" t="s">
        <v>317</v>
      </c>
      <c r="B5" s="150">
        <v>13</v>
      </c>
      <c r="C5" s="150">
        <v>2592.56</v>
      </c>
      <c r="D5" s="150">
        <v>3159.2</v>
      </c>
      <c r="E5" s="150">
        <v>41069.599999999999</v>
      </c>
      <c r="F5" s="150">
        <v>7366.35</v>
      </c>
      <c r="G5" s="151">
        <f t="shared" si="0"/>
        <v>33703.25</v>
      </c>
      <c r="H5" s="174">
        <f t="shared" si="1"/>
        <v>0.21856497518785281</v>
      </c>
    </row>
    <row r="6" spans="1:8">
      <c r="A6" s="149" t="s">
        <v>145</v>
      </c>
      <c r="B6" s="150">
        <v>250</v>
      </c>
      <c r="C6" s="150">
        <v>183.59</v>
      </c>
      <c r="D6" s="150">
        <v>315.89999999999998</v>
      </c>
      <c r="E6" s="150">
        <v>78975</v>
      </c>
      <c r="F6" s="150">
        <v>33077.5</v>
      </c>
      <c r="G6" s="151">
        <f t="shared" si="0"/>
        <v>45897.5</v>
      </c>
      <c r="H6" s="174">
        <f t="shared" si="1"/>
        <v>0.7206819543548123</v>
      </c>
    </row>
    <row r="7" spans="1:8">
      <c r="A7" s="149" t="s">
        <v>276</v>
      </c>
      <c r="B7" s="150">
        <v>21</v>
      </c>
      <c r="C7" s="150">
        <v>2638.14</v>
      </c>
      <c r="D7" s="150">
        <v>2828.85</v>
      </c>
      <c r="E7" s="150">
        <v>59405.85</v>
      </c>
      <c r="F7" s="150">
        <v>4004.9</v>
      </c>
      <c r="G7" s="151">
        <f t="shared" si="0"/>
        <v>55400.95</v>
      </c>
      <c r="H7" s="174">
        <f t="shared" si="1"/>
        <v>7.2289374099180612E-2</v>
      </c>
    </row>
    <row r="8" spans="1:8">
      <c r="A8" s="149" t="s">
        <v>277</v>
      </c>
      <c r="B8" s="150">
        <v>72</v>
      </c>
      <c r="C8" s="150">
        <v>578.16999999999996</v>
      </c>
      <c r="D8" s="150">
        <v>623.25</v>
      </c>
      <c r="E8" s="150">
        <v>44874</v>
      </c>
      <c r="F8" s="150">
        <v>3245.8</v>
      </c>
      <c r="G8" s="151">
        <f t="shared" si="0"/>
        <v>41628.199999999997</v>
      </c>
      <c r="H8" s="174">
        <f t="shared" si="1"/>
        <v>7.7971182996142044E-2</v>
      </c>
    </row>
    <row r="9" spans="1:8">
      <c r="A9" s="149" t="s">
        <v>146</v>
      </c>
      <c r="B9" s="150">
        <v>66</v>
      </c>
      <c r="C9" s="150">
        <v>631.89</v>
      </c>
      <c r="D9" s="150">
        <v>855</v>
      </c>
      <c r="E9" s="150">
        <v>56430</v>
      </c>
      <c r="F9" s="150">
        <v>14725</v>
      </c>
      <c r="G9" s="151">
        <f t="shared" si="0"/>
        <v>41705</v>
      </c>
      <c r="H9" s="174">
        <f t="shared" si="1"/>
        <v>0.35307517084282458</v>
      </c>
    </row>
    <row r="10" spans="1:8">
      <c r="A10" s="149" t="s">
        <v>147</v>
      </c>
      <c r="B10" s="150">
        <v>20</v>
      </c>
      <c r="C10" s="150">
        <v>2859.69</v>
      </c>
      <c r="D10" s="150">
        <v>3733.85</v>
      </c>
      <c r="E10" s="150">
        <v>74677</v>
      </c>
      <c r="F10" s="150">
        <v>17483.2</v>
      </c>
      <c r="G10" s="151">
        <f t="shared" si="0"/>
        <v>57193.8</v>
      </c>
      <c r="H10" s="174">
        <f t="shared" si="1"/>
        <v>0.30568348317474969</v>
      </c>
    </row>
    <row r="11" spans="1:8">
      <c r="A11" s="149" t="s">
        <v>148</v>
      </c>
      <c r="B11" s="150">
        <v>5</v>
      </c>
      <c r="C11" s="150">
        <v>6770.91</v>
      </c>
      <c r="D11" s="150">
        <v>6102.4</v>
      </c>
      <c r="E11" s="150">
        <v>30512</v>
      </c>
      <c r="F11" s="150">
        <v>-3342.55</v>
      </c>
      <c r="G11" s="151">
        <f t="shared" si="0"/>
        <v>33854.550000000003</v>
      </c>
      <c r="H11" s="174">
        <f t="shared" si="1"/>
        <v>-9.8732666657805224E-2</v>
      </c>
    </row>
    <row r="12" spans="1:8">
      <c r="A12" s="149" t="s">
        <v>149</v>
      </c>
      <c r="B12" s="150">
        <v>10</v>
      </c>
      <c r="C12" s="150">
        <v>1889.87</v>
      </c>
      <c r="D12" s="150">
        <v>2049.1999999999998</v>
      </c>
      <c r="E12" s="150">
        <v>20492</v>
      </c>
      <c r="F12" s="150">
        <v>1593.35</v>
      </c>
      <c r="G12" s="151">
        <f t="shared" si="0"/>
        <v>18898.650000000001</v>
      </c>
      <c r="H12" s="174">
        <f t="shared" si="1"/>
        <v>8.4310254965301742E-2</v>
      </c>
    </row>
    <row r="13" spans="1:8">
      <c r="A13" s="149" t="s">
        <v>152</v>
      </c>
      <c r="B13" s="150">
        <v>180</v>
      </c>
      <c r="C13" s="150">
        <v>322.89</v>
      </c>
      <c r="D13" s="150">
        <v>764.6</v>
      </c>
      <c r="E13" s="150">
        <v>137628</v>
      </c>
      <c r="F13" s="150">
        <v>79508</v>
      </c>
      <c r="G13" s="151">
        <f t="shared" si="0"/>
        <v>58120</v>
      </c>
      <c r="H13" s="174">
        <f t="shared" si="1"/>
        <v>1.3679972470750172</v>
      </c>
    </row>
    <row r="14" spans="1:8">
      <c r="A14" s="149" t="s">
        <v>310</v>
      </c>
      <c r="B14" s="150">
        <v>6</v>
      </c>
      <c r="C14" s="150">
        <v>0</v>
      </c>
      <c r="D14" s="150">
        <v>29.13</v>
      </c>
      <c r="E14" s="150">
        <v>174.78</v>
      </c>
      <c r="F14" s="150">
        <v>174.78</v>
      </c>
      <c r="G14" s="151">
        <f t="shared" si="0"/>
        <v>0</v>
      </c>
      <c r="H14" s="174"/>
    </row>
    <row r="15" spans="1:8">
      <c r="A15" s="149" t="s">
        <v>153</v>
      </c>
      <c r="B15" s="150">
        <v>61</v>
      </c>
      <c r="C15" s="150">
        <v>427.78</v>
      </c>
      <c r="D15" s="150">
        <v>476.9</v>
      </c>
      <c r="E15" s="150">
        <v>29090.9</v>
      </c>
      <c r="F15" s="150">
        <v>2996.3</v>
      </c>
      <c r="G15" s="151">
        <f t="shared" si="0"/>
        <v>26094.600000000002</v>
      </c>
      <c r="H15" s="174">
        <f>F15/G15</f>
        <v>0.11482452308140381</v>
      </c>
    </row>
    <row r="16" spans="1:8">
      <c r="A16" s="149" t="s">
        <v>154</v>
      </c>
      <c r="B16" s="150">
        <v>14</v>
      </c>
      <c r="C16" s="150">
        <v>3489.94</v>
      </c>
      <c r="D16" s="150">
        <v>4398.2</v>
      </c>
      <c r="E16" s="150">
        <v>61574.8</v>
      </c>
      <c r="F16" s="150">
        <v>12715.7</v>
      </c>
      <c r="G16" s="151">
        <f t="shared" si="0"/>
        <v>48859.100000000006</v>
      </c>
      <c r="H16" s="174">
        <v>0</v>
      </c>
    </row>
    <row r="17" spans="1:8">
      <c r="A17" s="149" t="s">
        <v>155</v>
      </c>
      <c r="B17" s="150">
        <v>180</v>
      </c>
      <c r="C17" s="150">
        <v>155.25</v>
      </c>
      <c r="D17" s="150">
        <v>115.7</v>
      </c>
      <c r="E17" s="150">
        <v>20826</v>
      </c>
      <c r="F17" s="150">
        <v>-7119</v>
      </c>
      <c r="G17" s="151">
        <f t="shared" si="0"/>
        <v>27945</v>
      </c>
      <c r="H17" s="174">
        <f t="shared" ref="H17:H48" si="2">F17/G17</f>
        <v>-0.25475040257648951</v>
      </c>
    </row>
    <row r="18" spans="1:8">
      <c r="A18" s="149" t="s">
        <v>157</v>
      </c>
      <c r="B18" s="150">
        <v>35</v>
      </c>
      <c r="C18" s="150">
        <v>827.34</v>
      </c>
      <c r="D18" s="150">
        <v>878.85</v>
      </c>
      <c r="E18" s="150">
        <v>30759.75</v>
      </c>
      <c r="F18" s="150">
        <v>1802.9</v>
      </c>
      <c r="G18" s="151">
        <f t="shared" si="0"/>
        <v>28956.85</v>
      </c>
      <c r="H18" s="174">
        <f t="shared" si="2"/>
        <v>6.2261606493800262E-2</v>
      </c>
    </row>
    <row r="19" spans="1:8">
      <c r="A19" s="149" t="s">
        <v>158</v>
      </c>
      <c r="B19" s="150">
        <v>250</v>
      </c>
      <c r="C19" s="150">
        <v>163.66999999999999</v>
      </c>
      <c r="D19" s="150">
        <v>222.95</v>
      </c>
      <c r="E19" s="150">
        <v>55737.5</v>
      </c>
      <c r="F19" s="150">
        <v>14820</v>
      </c>
      <c r="G19" s="151">
        <f t="shared" si="0"/>
        <v>40917.5</v>
      </c>
      <c r="H19" s="174">
        <f t="shared" si="2"/>
        <v>0.36219221604447976</v>
      </c>
    </row>
    <row r="20" spans="1:8">
      <c r="A20" s="149" t="s">
        <v>159</v>
      </c>
      <c r="B20" s="150">
        <v>9</v>
      </c>
      <c r="C20" s="150">
        <v>4108.79</v>
      </c>
      <c r="D20" s="150">
        <v>4259.8999999999996</v>
      </c>
      <c r="E20" s="150">
        <v>38339.1</v>
      </c>
      <c r="F20" s="150">
        <v>1360</v>
      </c>
      <c r="G20" s="151">
        <f t="shared" si="0"/>
        <v>36979.1</v>
      </c>
      <c r="H20" s="174">
        <f t="shared" si="2"/>
        <v>3.6777531091887042E-2</v>
      </c>
    </row>
    <row r="21" spans="1:8">
      <c r="A21" s="149" t="s">
        <v>160</v>
      </c>
      <c r="B21" s="150">
        <v>35</v>
      </c>
      <c r="C21" s="150">
        <v>1545.44</v>
      </c>
      <c r="D21" s="150">
        <v>1502.85</v>
      </c>
      <c r="E21" s="150">
        <v>52599.75</v>
      </c>
      <c r="F21" s="150">
        <v>-1490.75</v>
      </c>
      <c r="G21" s="151">
        <f t="shared" si="0"/>
        <v>54090.5</v>
      </c>
      <c r="H21" s="174">
        <f t="shared" si="2"/>
        <v>-2.7560292472800216E-2</v>
      </c>
    </row>
    <row r="22" spans="1:8">
      <c r="A22" s="149" t="s">
        <v>279</v>
      </c>
      <c r="B22" s="150">
        <v>72</v>
      </c>
      <c r="C22" s="150">
        <v>559.89</v>
      </c>
      <c r="D22" s="150">
        <v>536</v>
      </c>
      <c r="E22" s="150">
        <v>38592</v>
      </c>
      <c r="F22" s="150">
        <v>-1720.05</v>
      </c>
      <c r="G22" s="151">
        <f t="shared" si="0"/>
        <v>40312.050000000003</v>
      </c>
      <c r="H22" s="174">
        <f t="shared" si="2"/>
        <v>-4.2668383274976088E-2</v>
      </c>
    </row>
    <row r="23" spans="1:8">
      <c r="A23" s="149" t="s">
        <v>332</v>
      </c>
      <c r="B23" s="150">
        <v>13</v>
      </c>
      <c r="C23" s="150">
        <v>2461.1999999999998</v>
      </c>
      <c r="D23" s="150">
        <v>2850.95</v>
      </c>
      <c r="E23" s="150">
        <v>37062.35</v>
      </c>
      <c r="F23" s="150">
        <v>5066.8</v>
      </c>
      <c r="G23" s="151">
        <f t="shared" si="0"/>
        <v>31995.55</v>
      </c>
      <c r="H23" s="174">
        <f t="shared" si="2"/>
        <v>0.15835952187101018</v>
      </c>
    </row>
    <row r="24" spans="1:8">
      <c r="A24" s="149" t="s">
        <v>161</v>
      </c>
      <c r="B24" s="150">
        <v>55</v>
      </c>
      <c r="C24" s="150">
        <v>325.14</v>
      </c>
      <c r="D24" s="150">
        <v>359.9</v>
      </c>
      <c r="E24" s="150">
        <v>19794.5</v>
      </c>
      <c r="F24" s="150">
        <v>1911.6</v>
      </c>
      <c r="G24" s="151">
        <f t="shared" si="0"/>
        <v>17882.900000000001</v>
      </c>
      <c r="H24" s="174">
        <f t="shared" si="2"/>
        <v>0.10689541405476739</v>
      </c>
    </row>
    <row r="25" spans="1:8">
      <c r="A25" s="149" t="s">
        <v>162</v>
      </c>
      <c r="B25" s="150">
        <v>12</v>
      </c>
      <c r="C25" s="150">
        <v>3205.4</v>
      </c>
      <c r="D25" s="150">
        <v>3463.25</v>
      </c>
      <c r="E25" s="150">
        <v>41559</v>
      </c>
      <c r="F25" s="150">
        <v>3094.25</v>
      </c>
      <c r="G25" s="151">
        <f t="shared" si="0"/>
        <v>38464.75</v>
      </c>
      <c r="H25" s="174">
        <f t="shared" si="2"/>
        <v>8.0443782944124159E-2</v>
      </c>
    </row>
    <row r="26" spans="1:8">
      <c r="A26" s="149" t="s">
        <v>163</v>
      </c>
      <c r="B26" s="150">
        <v>11</v>
      </c>
      <c r="C26" s="150">
        <v>4442.55</v>
      </c>
      <c r="D26" s="150">
        <v>4437.95</v>
      </c>
      <c r="E26" s="150">
        <v>48817.45</v>
      </c>
      <c r="F26" s="150">
        <v>-50.6</v>
      </c>
      <c r="G26" s="151">
        <f t="shared" si="0"/>
        <v>48868.049999999996</v>
      </c>
      <c r="H26" s="174">
        <f t="shared" si="2"/>
        <v>-1.0354413568783695E-3</v>
      </c>
    </row>
    <row r="27" spans="1:8">
      <c r="A27" s="149" t="s">
        <v>164</v>
      </c>
      <c r="B27" s="150">
        <v>10</v>
      </c>
      <c r="C27" s="150">
        <v>2469.04</v>
      </c>
      <c r="D27" s="150">
        <v>3125</v>
      </c>
      <c r="E27" s="150">
        <v>31250</v>
      </c>
      <c r="F27" s="150">
        <v>6559.65</v>
      </c>
      <c r="G27" s="151">
        <f t="shared" si="0"/>
        <v>24690.35</v>
      </c>
      <c r="H27" s="174">
        <f t="shared" si="2"/>
        <v>0.2656766712501038</v>
      </c>
    </row>
    <row r="28" spans="1:8">
      <c r="A28" s="149" t="s">
        <v>270</v>
      </c>
      <c r="B28" s="150">
        <v>61</v>
      </c>
      <c r="C28" s="150">
        <v>360.97</v>
      </c>
      <c r="D28" s="150">
        <v>301.8</v>
      </c>
      <c r="E28" s="150">
        <v>18409.8</v>
      </c>
      <c r="F28" s="150">
        <v>-3609.37</v>
      </c>
      <c r="G28" s="151">
        <f t="shared" si="0"/>
        <v>22019.17</v>
      </c>
      <c r="H28" s="174">
        <f t="shared" si="2"/>
        <v>-0.16391943928858355</v>
      </c>
    </row>
    <row r="29" spans="1:8">
      <c r="A29" s="149" t="s">
        <v>166</v>
      </c>
      <c r="B29" s="150">
        <v>31</v>
      </c>
      <c r="C29" s="150">
        <v>1356.45</v>
      </c>
      <c r="D29" s="150">
        <v>1263.5</v>
      </c>
      <c r="E29" s="150">
        <v>39168.5</v>
      </c>
      <c r="F29" s="150">
        <v>-2881.4</v>
      </c>
      <c r="G29" s="151">
        <f t="shared" si="0"/>
        <v>42049.9</v>
      </c>
      <c r="H29" s="174">
        <f t="shared" si="2"/>
        <v>-6.8523349639357051E-2</v>
      </c>
    </row>
    <row r="30" spans="1:8">
      <c r="A30" s="149" t="s">
        <v>168</v>
      </c>
      <c r="B30" s="150">
        <v>60</v>
      </c>
      <c r="C30" s="150">
        <v>716.58</v>
      </c>
      <c r="D30" s="150">
        <v>630.65</v>
      </c>
      <c r="E30" s="150">
        <v>37839</v>
      </c>
      <c r="F30" s="150">
        <v>-5155.7</v>
      </c>
      <c r="G30" s="151">
        <f t="shared" si="0"/>
        <v>42994.7</v>
      </c>
      <c r="H30" s="174">
        <f t="shared" si="2"/>
        <v>-0.11991478019383785</v>
      </c>
    </row>
    <row r="31" spans="1:8">
      <c r="A31" s="149" t="s">
        <v>169</v>
      </c>
      <c r="B31" s="150">
        <v>306</v>
      </c>
      <c r="C31" s="150">
        <v>184.89</v>
      </c>
      <c r="D31" s="150">
        <v>180.6</v>
      </c>
      <c r="E31" s="150">
        <v>55263.6</v>
      </c>
      <c r="F31" s="150">
        <v>-1312.15</v>
      </c>
      <c r="G31" s="151">
        <f t="shared" si="0"/>
        <v>56575.75</v>
      </c>
      <c r="H31" s="174">
        <f t="shared" si="2"/>
        <v>-2.3192799034922208E-2</v>
      </c>
    </row>
    <row r="32" spans="1:8">
      <c r="A32" s="149" t="s">
        <v>170</v>
      </c>
      <c r="B32" s="150">
        <v>387</v>
      </c>
      <c r="C32" s="150">
        <v>82.58</v>
      </c>
      <c r="D32" s="150">
        <v>134.19999999999999</v>
      </c>
      <c r="E32" s="150">
        <v>51935.4</v>
      </c>
      <c r="F32" s="150">
        <v>19975.599999999999</v>
      </c>
      <c r="G32" s="151">
        <f t="shared" si="0"/>
        <v>31959.800000000003</v>
      </c>
      <c r="H32" s="174">
        <f t="shared" si="2"/>
        <v>0.62502268474771416</v>
      </c>
    </row>
    <row r="33" spans="1:8">
      <c r="A33" s="149" t="s">
        <v>325</v>
      </c>
      <c r="B33" s="150">
        <v>57</v>
      </c>
      <c r="C33" s="150">
        <v>630.04</v>
      </c>
      <c r="D33" s="150">
        <v>517.5</v>
      </c>
      <c r="E33" s="150">
        <v>29497.5</v>
      </c>
      <c r="F33" s="150">
        <v>-6414.8</v>
      </c>
      <c r="G33" s="151">
        <f t="shared" si="0"/>
        <v>35912.300000000003</v>
      </c>
      <c r="H33" s="174">
        <f t="shared" si="2"/>
        <v>-0.1786240368898678</v>
      </c>
    </row>
    <row r="34" spans="1:8">
      <c r="A34" s="149" t="s">
        <v>172</v>
      </c>
      <c r="B34" s="150">
        <v>18</v>
      </c>
      <c r="C34" s="150">
        <v>1556.41</v>
      </c>
      <c r="D34" s="150">
        <v>1167.5</v>
      </c>
      <c r="E34" s="150">
        <v>21015</v>
      </c>
      <c r="F34" s="150">
        <v>-7000.35</v>
      </c>
      <c r="G34" s="151">
        <f t="shared" ref="G34:G65" si="3">E34-F34</f>
        <v>28015.35</v>
      </c>
      <c r="H34" s="174">
        <f t="shared" si="2"/>
        <v>-0.24987551467320596</v>
      </c>
    </row>
    <row r="35" spans="1:8">
      <c r="A35" s="149" t="s">
        <v>173</v>
      </c>
      <c r="B35" s="150">
        <v>45</v>
      </c>
      <c r="C35" s="150">
        <v>40.9</v>
      </c>
      <c r="D35" s="150">
        <v>47.84</v>
      </c>
      <c r="E35" s="150">
        <v>2152.8000000000002</v>
      </c>
      <c r="F35" s="150">
        <v>312.2</v>
      </c>
      <c r="G35" s="151">
        <f t="shared" si="3"/>
        <v>1840.6000000000001</v>
      </c>
      <c r="H35" s="174">
        <f t="shared" si="2"/>
        <v>0.16961860262957729</v>
      </c>
    </row>
    <row r="36" spans="1:8">
      <c r="A36" s="149" t="s">
        <v>174</v>
      </c>
      <c r="B36" s="150">
        <v>50</v>
      </c>
      <c r="C36" s="150">
        <v>1050.93</v>
      </c>
      <c r="D36" s="150">
        <v>1119.1500000000001</v>
      </c>
      <c r="E36" s="150">
        <v>55957.5</v>
      </c>
      <c r="F36" s="150">
        <v>3411</v>
      </c>
      <c r="G36" s="151">
        <f t="shared" si="3"/>
        <v>52546.5</v>
      </c>
      <c r="H36" s="174">
        <f t="shared" si="2"/>
        <v>6.4913933373297941E-2</v>
      </c>
    </row>
    <row r="37" spans="1:8">
      <c r="A37" s="149" t="s">
        <v>175</v>
      </c>
      <c r="B37" s="150">
        <v>48</v>
      </c>
      <c r="C37" s="150">
        <v>1429.32</v>
      </c>
      <c r="D37" s="150">
        <v>1615.9</v>
      </c>
      <c r="E37" s="150">
        <v>77563.199999999997</v>
      </c>
      <c r="F37" s="150">
        <v>8955.75</v>
      </c>
      <c r="G37" s="151">
        <f t="shared" si="3"/>
        <v>68607.45</v>
      </c>
      <c r="H37" s="174">
        <f t="shared" si="2"/>
        <v>0.13053611524695935</v>
      </c>
    </row>
    <row r="38" spans="1:8">
      <c r="A38" s="149" t="s">
        <v>176</v>
      </c>
      <c r="B38" s="150">
        <v>103</v>
      </c>
      <c r="C38" s="150">
        <v>595.6</v>
      </c>
      <c r="D38" s="150">
        <v>490</v>
      </c>
      <c r="E38" s="150">
        <v>50470</v>
      </c>
      <c r="F38" s="150">
        <v>-10877.2</v>
      </c>
      <c r="G38" s="151">
        <f t="shared" si="3"/>
        <v>61347.199999999997</v>
      </c>
      <c r="H38" s="174">
        <f t="shared" si="2"/>
        <v>-0.17730556569819</v>
      </c>
    </row>
    <row r="39" spans="1:8">
      <c r="A39" s="149" t="s">
        <v>177</v>
      </c>
      <c r="B39" s="150">
        <v>12</v>
      </c>
      <c r="C39" s="150">
        <v>2815.97</v>
      </c>
      <c r="D39" s="150">
        <v>2461.5500000000002</v>
      </c>
      <c r="E39" s="150">
        <v>29538.6</v>
      </c>
      <c r="F39" s="150">
        <v>-4253.05</v>
      </c>
      <c r="G39" s="151">
        <f t="shared" si="3"/>
        <v>33791.65</v>
      </c>
      <c r="H39" s="174">
        <f t="shared" si="2"/>
        <v>-0.12586097453069028</v>
      </c>
    </row>
    <row r="40" spans="1:8">
      <c r="A40" s="149" t="s">
        <v>282</v>
      </c>
      <c r="B40" s="150">
        <v>19</v>
      </c>
      <c r="C40" s="150">
        <v>2270.19</v>
      </c>
      <c r="D40" s="150">
        <v>2471</v>
      </c>
      <c r="E40" s="150">
        <v>46949</v>
      </c>
      <c r="F40" s="150">
        <v>3815.45</v>
      </c>
      <c r="G40" s="151">
        <f t="shared" si="3"/>
        <v>43133.55</v>
      </c>
      <c r="H40" s="174">
        <f t="shared" si="2"/>
        <v>8.8456665403149046E-2</v>
      </c>
    </row>
    <row r="41" spans="1:8">
      <c r="A41" s="149" t="s">
        <v>178</v>
      </c>
      <c r="B41" s="150">
        <v>80</v>
      </c>
      <c r="C41" s="150">
        <v>567.6</v>
      </c>
      <c r="D41" s="150">
        <v>868.8</v>
      </c>
      <c r="E41" s="150">
        <v>69504</v>
      </c>
      <c r="F41" s="150">
        <v>24095.65</v>
      </c>
      <c r="G41" s="151">
        <f t="shared" si="3"/>
        <v>45408.35</v>
      </c>
      <c r="H41" s="174">
        <f t="shared" si="2"/>
        <v>0.53064359308365094</v>
      </c>
    </row>
    <row r="42" spans="1:8">
      <c r="A42" s="149" t="s">
        <v>179</v>
      </c>
      <c r="B42" s="150">
        <v>61</v>
      </c>
      <c r="C42" s="150">
        <v>1304.78</v>
      </c>
      <c r="D42" s="150">
        <v>1079.0999999999999</v>
      </c>
      <c r="E42" s="150">
        <v>65825.100000000006</v>
      </c>
      <c r="F42" s="150">
        <v>-13766.35</v>
      </c>
      <c r="G42" s="151">
        <f t="shared" si="3"/>
        <v>79591.450000000012</v>
      </c>
      <c r="H42" s="174">
        <f t="shared" si="2"/>
        <v>-0.17296267375453014</v>
      </c>
    </row>
    <row r="43" spans="1:8">
      <c r="A43" s="149" t="s">
        <v>180</v>
      </c>
      <c r="B43" s="150">
        <v>125</v>
      </c>
      <c r="C43" s="150">
        <v>508.01</v>
      </c>
      <c r="D43" s="150">
        <v>405.55</v>
      </c>
      <c r="E43" s="150">
        <v>50693.75</v>
      </c>
      <c r="F43" s="150">
        <v>-12807.1</v>
      </c>
      <c r="G43" s="151">
        <f t="shared" si="3"/>
        <v>63500.85</v>
      </c>
      <c r="H43" s="174">
        <f t="shared" si="2"/>
        <v>-0.20168391446728667</v>
      </c>
    </row>
    <row r="44" spans="1:8">
      <c r="A44" s="149" t="s">
        <v>284</v>
      </c>
      <c r="B44" s="150">
        <v>40</v>
      </c>
      <c r="C44" s="150">
        <v>942.87</v>
      </c>
      <c r="D44" s="150">
        <v>1126.4000000000001</v>
      </c>
      <c r="E44" s="150">
        <v>45056</v>
      </c>
      <c r="F44" s="150">
        <v>7341.35</v>
      </c>
      <c r="G44" s="151">
        <f t="shared" si="3"/>
        <v>37714.65</v>
      </c>
      <c r="H44" s="174">
        <f t="shared" si="2"/>
        <v>0.19465512738418625</v>
      </c>
    </row>
    <row r="45" spans="1:8">
      <c r="A45" s="149" t="s">
        <v>181</v>
      </c>
      <c r="B45" s="150">
        <v>35</v>
      </c>
      <c r="C45" s="150">
        <v>1629.42</v>
      </c>
      <c r="D45" s="150">
        <v>1479.8</v>
      </c>
      <c r="E45" s="150">
        <v>51793</v>
      </c>
      <c r="F45" s="150">
        <v>-5236.8500000000004</v>
      </c>
      <c r="G45" s="151">
        <f t="shared" si="3"/>
        <v>57029.85</v>
      </c>
      <c r="H45" s="174">
        <f t="shared" si="2"/>
        <v>-9.1826473329317898E-2</v>
      </c>
    </row>
    <row r="46" spans="1:8">
      <c r="A46" s="149" t="s">
        <v>182</v>
      </c>
      <c r="B46" s="150">
        <v>770</v>
      </c>
      <c r="C46" s="150">
        <v>227.34</v>
      </c>
      <c r="D46" s="150">
        <v>384.95</v>
      </c>
      <c r="E46" s="150">
        <v>296411.5</v>
      </c>
      <c r="F46" s="150">
        <v>121357.15</v>
      </c>
      <c r="G46" s="151">
        <f t="shared" si="3"/>
        <v>175054.35</v>
      </c>
      <c r="H46" s="174">
        <f t="shared" si="2"/>
        <v>0.69325412364788419</v>
      </c>
    </row>
    <row r="47" spans="1:8">
      <c r="A47" s="149" t="s">
        <v>183</v>
      </c>
      <c r="B47" s="150">
        <v>17</v>
      </c>
      <c r="C47" s="150">
        <v>1141.79</v>
      </c>
      <c r="D47" s="150">
        <v>1950.35</v>
      </c>
      <c r="E47" s="150">
        <v>33155.949999999997</v>
      </c>
      <c r="F47" s="150">
        <v>13745.55</v>
      </c>
      <c r="G47" s="151">
        <f t="shared" si="3"/>
        <v>19410.399999999998</v>
      </c>
      <c r="H47" s="174">
        <f t="shared" si="2"/>
        <v>0.70815387627251369</v>
      </c>
    </row>
    <row r="48" spans="1:8">
      <c r="A48" s="149" t="s">
        <v>326</v>
      </c>
      <c r="B48" s="150">
        <v>71</v>
      </c>
      <c r="C48" s="150">
        <v>415.91</v>
      </c>
      <c r="D48" s="150">
        <v>390.9</v>
      </c>
      <c r="E48" s="150">
        <v>27753.9</v>
      </c>
      <c r="F48" s="150">
        <v>-1776.05</v>
      </c>
      <c r="G48" s="151">
        <f t="shared" si="3"/>
        <v>29529.95</v>
      </c>
      <c r="H48" s="174">
        <f t="shared" si="2"/>
        <v>-6.0144023271288975E-2</v>
      </c>
    </row>
    <row r="49" spans="1:8">
      <c r="A49" s="149" t="s">
        <v>313</v>
      </c>
      <c r="B49" s="150">
        <v>4</v>
      </c>
      <c r="C49" s="150">
        <v>396.21</v>
      </c>
      <c r="D49" s="150">
        <v>402.8</v>
      </c>
      <c r="E49" s="150">
        <v>1611.2</v>
      </c>
      <c r="F49" s="150">
        <v>26.36</v>
      </c>
      <c r="G49" s="151">
        <f t="shared" si="3"/>
        <v>1584.8400000000001</v>
      </c>
      <c r="H49" s="174">
        <f t="shared" ref="H49:H80" si="4">F49/G49</f>
        <v>1.6632593826506142E-2</v>
      </c>
    </row>
    <row r="50" spans="1:8">
      <c r="A50" s="149" t="s">
        <v>184</v>
      </c>
      <c r="B50" s="150">
        <v>468</v>
      </c>
      <c r="C50" s="150">
        <v>112.01</v>
      </c>
      <c r="D50" s="150">
        <v>102.2</v>
      </c>
      <c r="E50" s="150">
        <v>47829.599999999999</v>
      </c>
      <c r="F50" s="150">
        <v>-4593.1499999999996</v>
      </c>
      <c r="G50" s="151">
        <f t="shared" si="3"/>
        <v>52422.75</v>
      </c>
      <c r="H50" s="174">
        <f t="shared" si="4"/>
        <v>-8.7617494313060637E-2</v>
      </c>
    </row>
    <row r="51" spans="1:8">
      <c r="A51" s="149" t="s">
        <v>185</v>
      </c>
      <c r="B51" s="150">
        <v>38</v>
      </c>
      <c r="C51" s="150">
        <v>1711.28</v>
      </c>
      <c r="D51" s="150">
        <v>1751</v>
      </c>
      <c r="E51" s="150">
        <v>66538</v>
      </c>
      <c r="F51" s="150">
        <v>1509.2</v>
      </c>
      <c r="G51" s="151">
        <f t="shared" si="3"/>
        <v>65028.800000000003</v>
      </c>
      <c r="H51" s="174">
        <f t="shared" si="4"/>
        <v>2.3208178530128187E-2</v>
      </c>
    </row>
    <row r="52" spans="1:8">
      <c r="A52" s="149" t="s">
        <v>186</v>
      </c>
      <c r="B52" s="150">
        <v>56</v>
      </c>
      <c r="C52" s="150">
        <v>577.29999999999995</v>
      </c>
      <c r="D52" s="150">
        <v>837.8</v>
      </c>
      <c r="E52" s="150">
        <v>46916.800000000003</v>
      </c>
      <c r="F52" s="150">
        <v>14588.05</v>
      </c>
      <c r="G52" s="151">
        <f t="shared" si="3"/>
        <v>32328.750000000004</v>
      </c>
      <c r="H52" s="174">
        <f t="shared" si="4"/>
        <v>0.45124076866566132</v>
      </c>
    </row>
    <row r="53" spans="1:8">
      <c r="A53" s="149" t="s">
        <v>187</v>
      </c>
      <c r="B53" s="150">
        <v>11</v>
      </c>
      <c r="C53" s="150">
        <v>2538.5100000000002</v>
      </c>
      <c r="D53" s="150">
        <v>1959.3</v>
      </c>
      <c r="E53" s="150">
        <v>21552.3</v>
      </c>
      <c r="F53" s="150">
        <v>-6371.3</v>
      </c>
      <c r="G53" s="151">
        <f t="shared" si="3"/>
        <v>27923.599999999999</v>
      </c>
      <c r="H53" s="174">
        <f t="shared" si="4"/>
        <v>-0.22816900399661935</v>
      </c>
    </row>
    <row r="54" spans="1:8">
      <c r="A54" s="149" t="s">
        <v>314</v>
      </c>
      <c r="B54" s="150">
        <v>1</v>
      </c>
      <c r="C54" s="150">
        <v>909.57</v>
      </c>
      <c r="D54" s="150">
        <v>1000</v>
      </c>
      <c r="E54" s="150">
        <v>1000</v>
      </c>
      <c r="F54" s="150">
        <v>90.43</v>
      </c>
      <c r="G54" s="151">
        <f t="shared" si="3"/>
        <v>909.56999999999994</v>
      </c>
      <c r="H54" s="174">
        <f t="shared" si="4"/>
        <v>9.9420605340985319E-2</v>
      </c>
    </row>
    <row r="55" spans="1:8">
      <c r="A55" s="149" t="s">
        <v>188</v>
      </c>
      <c r="B55" s="150">
        <v>62</v>
      </c>
      <c r="C55" s="150">
        <v>1053.22</v>
      </c>
      <c r="D55" s="150">
        <v>2152.0500000000002</v>
      </c>
      <c r="E55" s="150">
        <v>133427.1</v>
      </c>
      <c r="F55" s="150">
        <v>68127.75</v>
      </c>
      <c r="G55" s="151">
        <f t="shared" si="3"/>
        <v>65299.350000000006</v>
      </c>
      <c r="H55" s="174">
        <f t="shared" si="4"/>
        <v>1.0433143668351981</v>
      </c>
    </row>
    <row r="56" spans="1:8">
      <c r="A56" s="149" t="s">
        <v>286</v>
      </c>
      <c r="B56" s="150">
        <v>12</v>
      </c>
      <c r="C56" s="150">
        <v>4654.83</v>
      </c>
      <c r="D56" s="150">
        <v>4710.3500000000004</v>
      </c>
      <c r="E56" s="150">
        <v>56524.2</v>
      </c>
      <c r="F56" s="150">
        <v>666.27</v>
      </c>
      <c r="G56" s="151">
        <f t="shared" si="3"/>
        <v>55857.93</v>
      </c>
      <c r="H56" s="174">
        <f t="shared" si="4"/>
        <v>1.1927939327504617E-2</v>
      </c>
    </row>
    <row r="57" spans="1:8">
      <c r="A57" s="149" t="s">
        <v>189</v>
      </c>
      <c r="B57" s="150">
        <v>29</v>
      </c>
      <c r="C57" s="150">
        <v>775.92</v>
      </c>
      <c r="D57" s="150">
        <v>1268.5999999999999</v>
      </c>
      <c r="E57" s="150">
        <v>36789.4</v>
      </c>
      <c r="F57" s="150">
        <v>14287.8</v>
      </c>
      <c r="G57" s="151">
        <f t="shared" si="3"/>
        <v>22501.600000000002</v>
      </c>
      <c r="H57" s="174">
        <f t="shared" si="4"/>
        <v>0.63496818004053035</v>
      </c>
    </row>
    <row r="58" spans="1:8">
      <c r="A58" s="149" t="s">
        <v>324</v>
      </c>
      <c r="B58" s="150">
        <v>118</v>
      </c>
      <c r="C58" s="150">
        <v>184.31</v>
      </c>
      <c r="D58" s="150">
        <v>414.85</v>
      </c>
      <c r="E58" s="150">
        <v>48952.3</v>
      </c>
      <c r="F58" s="150">
        <v>27203.65</v>
      </c>
      <c r="G58" s="151">
        <f t="shared" si="3"/>
        <v>21748.65</v>
      </c>
      <c r="H58" s="174">
        <f t="shared" si="4"/>
        <v>1.2508201658493745</v>
      </c>
    </row>
    <row r="59" spans="1:8">
      <c r="A59" s="149" t="s">
        <v>191</v>
      </c>
      <c r="B59" s="150">
        <v>72</v>
      </c>
      <c r="C59" s="150">
        <v>468.01</v>
      </c>
      <c r="D59" s="150">
        <v>499.5</v>
      </c>
      <c r="E59" s="150">
        <v>35964</v>
      </c>
      <c r="F59" s="150">
        <v>2267.4</v>
      </c>
      <c r="G59" s="151">
        <f t="shared" si="3"/>
        <v>33696.6</v>
      </c>
      <c r="H59" s="174">
        <f t="shared" si="4"/>
        <v>6.7288687879489328E-2</v>
      </c>
    </row>
    <row r="60" spans="1:8">
      <c r="A60" s="149" t="s">
        <v>192</v>
      </c>
      <c r="B60" s="150">
        <v>73</v>
      </c>
      <c r="C60" s="150">
        <v>777.42</v>
      </c>
      <c r="D60" s="150">
        <v>689.7</v>
      </c>
      <c r="E60" s="150">
        <v>50348.1</v>
      </c>
      <c r="F60" s="150">
        <v>-6403.25</v>
      </c>
      <c r="G60" s="151">
        <f t="shared" si="3"/>
        <v>56751.35</v>
      </c>
      <c r="H60" s="174">
        <f t="shared" si="4"/>
        <v>-0.11282991505928934</v>
      </c>
    </row>
    <row r="61" spans="1:8">
      <c r="A61" s="149" t="s">
        <v>193</v>
      </c>
      <c r="B61" s="150">
        <v>58</v>
      </c>
      <c r="C61" s="150">
        <v>342.44</v>
      </c>
      <c r="D61" s="150">
        <v>307.76</v>
      </c>
      <c r="E61" s="150">
        <v>17850.080000000002</v>
      </c>
      <c r="F61" s="150">
        <v>-2011.44</v>
      </c>
      <c r="G61" s="151">
        <f t="shared" si="3"/>
        <v>19861.52</v>
      </c>
      <c r="H61" s="174">
        <f t="shared" si="4"/>
        <v>-0.10127321574582408</v>
      </c>
    </row>
    <row r="62" spans="1:8">
      <c r="A62" s="149" t="s">
        <v>194</v>
      </c>
      <c r="B62" s="150">
        <v>192</v>
      </c>
      <c r="C62" s="150">
        <v>104.85</v>
      </c>
      <c r="D62" s="150">
        <v>80.05</v>
      </c>
      <c r="E62" s="150">
        <v>15369.6</v>
      </c>
      <c r="F62" s="150">
        <v>-4761.5</v>
      </c>
      <c r="G62" s="151">
        <f t="shared" si="3"/>
        <v>20131.099999999999</v>
      </c>
      <c r="H62" s="174">
        <f t="shared" si="4"/>
        <v>-0.23652458136912541</v>
      </c>
    </row>
    <row r="63" spans="1:8">
      <c r="A63" s="149" t="s">
        <v>195</v>
      </c>
      <c r="B63" s="150">
        <v>18</v>
      </c>
      <c r="C63" s="150">
        <v>2354.1999999999998</v>
      </c>
      <c r="D63" s="150">
        <v>2079.1999999999998</v>
      </c>
      <c r="E63" s="150">
        <v>37425.599999999999</v>
      </c>
      <c r="F63" s="150">
        <v>-4950</v>
      </c>
      <c r="G63" s="151">
        <f t="shared" si="3"/>
        <v>42375.6</v>
      </c>
      <c r="H63" s="174">
        <f t="shared" si="4"/>
        <v>-0.11681250530965934</v>
      </c>
    </row>
    <row r="64" spans="1:8">
      <c r="A64" s="149" t="s">
        <v>315</v>
      </c>
      <c r="B64" s="150">
        <v>102</v>
      </c>
      <c r="C64" s="150">
        <v>14.26</v>
      </c>
      <c r="D64" s="150">
        <v>49.7</v>
      </c>
      <c r="E64" s="150">
        <v>5069.3999999999996</v>
      </c>
      <c r="F64" s="150">
        <v>3614.7</v>
      </c>
      <c r="G64" s="151">
        <f t="shared" si="3"/>
        <v>1454.6999999999998</v>
      </c>
      <c r="H64" s="174">
        <f t="shared" si="4"/>
        <v>2.4848422355124771</v>
      </c>
    </row>
    <row r="65" spans="1:8">
      <c r="A65" s="149" t="s">
        <v>316</v>
      </c>
      <c r="B65" s="150">
        <v>4</v>
      </c>
      <c r="C65" s="150">
        <v>131.47999999999999</v>
      </c>
      <c r="D65" s="150">
        <v>192.51</v>
      </c>
      <c r="E65" s="150">
        <v>770.04</v>
      </c>
      <c r="F65" s="150">
        <v>244.12</v>
      </c>
      <c r="G65" s="151">
        <f t="shared" si="3"/>
        <v>525.91999999999996</v>
      </c>
      <c r="H65" s="174">
        <f t="shared" si="4"/>
        <v>0.46417706114998486</v>
      </c>
    </row>
    <row r="66" spans="1:8">
      <c r="A66" s="149" t="s">
        <v>198</v>
      </c>
      <c r="B66" s="150">
        <v>79</v>
      </c>
      <c r="C66" s="150">
        <v>499.72</v>
      </c>
      <c r="D66" s="150">
        <v>890.65</v>
      </c>
      <c r="E66" s="150">
        <v>70361.350000000006</v>
      </c>
      <c r="F66" s="150">
        <v>30883.7</v>
      </c>
      <c r="G66" s="151">
        <f t="shared" ref="G66:G97" si="5">E66-F66</f>
        <v>39477.650000000009</v>
      </c>
      <c r="H66" s="174">
        <f t="shared" si="4"/>
        <v>0.78230847074230592</v>
      </c>
    </row>
    <row r="67" spans="1:8">
      <c r="A67" s="149" t="s">
        <v>199</v>
      </c>
      <c r="B67" s="150">
        <v>16</v>
      </c>
      <c r="C67" s="150">
        <v>3709.52</v>
      </c>
      <c r="D67" s="150">
        <v>3166.45</v>
      </c>
      <c r="E67" s="150">
        <v>50663.199999999997</v>
      </c>
      <c r="F67" s="150">
        <v>-8689.0499999999993</v>
      </c>
      <c r="G67" s="151">
        <f t="shared" si="5"/>
        <v>59352.25</v>
      </c>
      <c r="H67" s="174">
        <f t="shared" si="4"/>
        <v>-0.14639798828182587</v>
      </c>
    </row>
    <row r="68" spans="1:8">
      <c r="A68" s="149" t="s">
        <v>200</v>
      </c>
      <c r="B68" s="150">
        <v>300</v>
      </c>
      <c r="C68" s="150">
        <v>82.33</v>
      </c>
      <c r="D68" s="150">
        <v>154.35</v>
      </c>
      <c r="E68" s="150">
        <v>46305</v>
      </c>
      <c r="F68" s="150">
        <v>21605</v>
      </c>
      <c r="G68" s="151">
        <f t="shared" si="5"/>
        <v>24700</v>
      </c>
      <c r="H68" s="174">
        <f t="shared" si="4"/>
        <v>0.87469635627530362</v>
      </c>
    </row>
    <row r="69" spans="1:8">
      <c r="A69" s="149" t="s">
        <v>201</v>
      </c>
      <c r="B69" s="150">
        <v>9</v>
      </c>
      <c r="C69" s="150">
        <v>3657.46</v>
      </c>
      <c r="D69" s="150">
        <v>4866.1499999999996</v>
      </c>
      <c r="E69" s="150">
        <v>43795.35</v>
      </c>
      <c r="F69" s="150">
        <v>10878.2</v>
      </c>
      <c r="G69" s="151">
        <f t="shared" si="5"/>
        <v>32917.149999999994</v>
      </c>
      <c r="H69" s="174">
        <f t="shared" si="4"/>
        <v>0.33047210952345518</v>
      </c>
    </row>
    <row r="70" spans="1:8">
      <c r="A70" s="149" t="s">
        <v>202</v>
      </c>
      <c r="B70" s="150">
        <v>25</v>
      </c>
      <c r="C70" s="150">
        <v>869.04</v>
      </c>
      <c r="D70" s="150">
        <v>1377</v>
      </c>
      <c r="E70" s="150">
        <v>34425</v>
      </c>
      <c r="F70" s="150">
        <v>12698.95</v>
      </c>
      <c r="G70" s="151">
        <f t="shared" si="5"/>
        <v>21726.05</v>
      </c>
      <c r="H70" s="174">
        <f t="shared" si="4"/>
        <v>0.58450339569318865</v>
      </c>
    </row>
    <row r="71" spans="1:8">
      <c r="A71" s="149" t="s">
        <v>203</v>
      </c>
      <c r="B71" s="150">
        <v>16</v>
      </c>
      <c r="C71" s="150">
        <v>2484.64</v>
      </c>
      <c r="D71" s="150">
        <v>2318.75</v>
      </c>
      <c r="E71" s="150">
        <v>37100</v>
      </c>
      <c r="F71" s="150">
        <v>-2654.2</v>
      </c>
      <c r="G71" s="151">
        <f t="shared" si="5"/>
        <v>39754.199999999997</v>
      </c>
      <c r="H71" s="174">
        <f t="shared" si="4"/>
        <v>-6.6765272600127781E-2</v>
      </c>
    </row>
    <row r="72" spans="1:8">
      <c r="A72" s="149" t="s">
        <v>204</v>
      </c>
      <c r="B72" s="150">
        <v>61</v>
      </c>
      <c r="C72" s="150">
        <v>488.84</v>
      </c>
      <c r="D72" s="150">
        <v>398</v>
      </c>
      <c r="E72" s="150">
        <v>24278</v>
      </c>
      <c r="F72" s="150">
        <v>-5540.95</v>
      </c>
      <c r="G72" s="151">
        <f t="shared" si="5"/>
        <v>29818.95</v>
      </c>
      <c r="H72" s="174">
        <f t="shared" si="4"/>
        <v>-0.1858197555581266</v>
      </c>
    </row>
    <row r="73" spans="1:8">
      <c r="A73" s="149" t="s">
        <v>307</v>
      </c>
      <c r="B73" s="150">
        <v>20</v>
      </c>
      <c r="C73" s="150">
        <v>1000</v>
      </c>
      <c r="D73" s="150">
        <v>1107.9100000000001</v>
      </c>
      <c r="E73" s="150">
        <v>22158.2</v>
      </c>
      <c r="F73" s="150">
        <v>0</v>
      </c>
      <c r="G73" s="151">
        <f t="shared" si="5"/>
        <v>22158.2</v>
      </c>
      <c r="H73" s="174">
        <f t="shared" si="4"/>
        <v>0</v>
      </c>
    </row>
    <row r="74" spans="1:8">
      <c r="A74" s="149" t="s">
        <v>327</v>
      </c>
      <c r="B74" s="150">
        <v>159</v>
      </c>
      <c r="C74" s="150">
        <v>186.3</v>
      </c>
      <c r="D74" s="150">
        <v>169.9</v>
      </c>
      <c r="E74" s="150">
        <v>27014.1</v>
      </c>
      <c r="F74" s="150">
        <v>-2607.6</v>
      </c>
      <c r="G74" s="151">
        <f t="shared" si="5"/>
        <v>29621.699999999997</v>
      </c>
      <c r="H74" s="174">
        <f t="shared" si="4"/>
        <v>-8.8030059044551801E-2</v>
      </c>
    </row>
    <row r="75" spans="1:8">
      <c r="A75" s="149" t="s">
        <v>299</v>
      </c>
      <c r="B75" s="150">
        <v>27</v>
      </c>
      <c r="C75" s="150">
        <v>1026.28</v>
      </c>
      <c r="D75" s="150">
        <v>769</v>
      </c>
      <c r="E75" s="150">
        <v>20763</v>
      </c>
      <c r="F75" s="150">
        <v>-6946.5</v>
      </c>
      <c r="G75" s="151">
        <f t="shared" si="5"/>
        <v>27709.5</v>
      </c>
      <c r="H75" s="174">
        <f t="shared" si="4"/>
        <v>-0.25069019650300439</v>
      </c>
    </row>
    <row r="76" spans="1:8">
      <c r="A76" s="149" t="s">
        <v>328</v>
      </c>
      <c r="B76" s="150">
        <v>116</v>
      </c>
      <c r="C76" s="150">
        <v>255.15</v>
      </c>
      <c r="D76" s="150">
        <v>267.45</v>
      </c>
      <c r="E76" s="150">
        <v>31024.2</v>
      </c>
      <c r="F76" s="150">
        <v>1426.4</v>
      </c>
      <c r="G76" s="151">
        <f t="shared" si="5"/>
        <v>29597.8</v>
      </c>
      <c r="H76" s="174">
        <f t="shared" si="4"/>
        <v>4.8192771084337352E-2</v>
      </c>
    </row>
    <row r="77" spans="1:8">
      <c r="A77" s="149" t="s">
        <v>206</v>
      </c>
      <c r="B77" s="150">
        <v>53</v>
      </c>
      <c r="C77" s="150">
        <v>1105.18</v>
      </c>
      <c r="D77" s="150">
        <v>1129.25</v>
      </c>
      <c r="E77" s="150">
        <v>59850.25</v>
      </c>
      <c r="F77" s="150">
        <v>1275.75</v>
      </c>
      <c r="G77" s="151">
        <f t="shared" si="5"/>
        <v>58574.5</v>
      </c>
      <c r="H77" s="174">
        <f t="shared" si="4"/>
        <v>2.1779955441361003E-2</v>
      </c>
    </row>
    <row r="78" spans="1:8">
      <c r="A78" s="149" t="s">
        <v>207</v>
      </c>
      <c r="B78" s="150">
        <v>105</v>
      </c>
      <c r="C78" s="150">
        <v>304.5</v>
      </c>
      <c r="D78" s="150">
        <v>561.20000000000005</v>
      </c>
      <c r="E78" s="150">
        <v>58926</v>
      </c>
      <c r="F78" s="150">
        <v>26953.1</v>
      </c>
      <c r="G78" s="151">
        <f t="shared" si="5"/>
        <v>31972.9</v>
      </c>
      <c r="H78" s="174">
        <f t="shared" si="4"/>
        <v>0.84299828917614594</v>
      </c>
    </row>
    <row r="79" spans="1:8">
      <c r="A79" s="149" t="s">
        <v>305</v>
      </c>
      <c r="B79" s="150">
        <v>10</v>
      </c>
      <c r="C79" s="150">
        <v>5284</v>
      </c>
      <c r="D79" s="150">
        <v>5293</v>
      </c>
      <c r="E79" s="150">
        <v>52930</v>
      </c>
      <c r="F79" s="150">
        <v>90</v>
      </c>
      <c r="G79" s="151">
        <f t="shared" si="5"/>
        <v>52840</v>
      </c>
      <c r="H79" s="174">
        <f t="shared" si="4"/>
        <v>1.7032551097653293E-3</v>
      </c>
    </row>
    <row r="80" spans="1:8">
      <c r="A80" s="149" t="s">
        <v>209</v>
      </c>
      <c r="B80" s="150">
        <v>5</v>
      </c>
      <c r="C80" s="150">
        <v>4802</v>
      </c>
      <c r="D80" s="150">
        <v>5252.14</v>
      </c>
      <c r="E80" s="150">
        <v>26260.7</v>
      </c>
      <c r="F80" s="150">
        <v>2250.6999999999998</v>
      </c>
      <c r="G80" s="151">
        <f t="shared" si="5"/>
        <v>24010</v>
      </c>
      <c r="H80" s="174">
        <f t="shared" si="4"/>
        <v>9.3740108288213234E-2</v>
      </c>
    </row>
    <row r="81" spans="1:8">
      <c r="A81" s="149" t="s">
        <v>210</v>
      </c>
      <c r="B81" s="150">
        <v>10</v>
      </c>
      <c r="C81" s="150">
        <v>5002.45</v>
      </c>
      <c r="D81" s="150">
        <v>5279.78</v>
      </c>
      <c r="E81" s="150">
        <v>52797.8</v>
      </c>
      <c r="F81" s="150">
        <v>2773.3</v>
      </c>
      <c r="G81" s="151">
        <f t="shared" si="5"/>
        <v>50024.5</v>
      </c>
      <c r="H81" s="174">
        <f t="shared" ref="H81:H112" si="6">F81/G81</f>
        <v>5.5438834970864277E-2</v>
      </c>
    </row>
    <row r="82" spans="1:8">
      <c r="A82" s="149" t="s">
        <v>329</v>
      </c>
      <c r="B82" s="150">
        <v>60</v>
      </c>
      <c r="C82" s="150">
        <v>504</v>
      </c>
      <c r="D82" s="150">
        <v>480.2</v>
      </c>
      <c r="E82" s="150">
        <v>28812</v>
      </c>
      <c r="F82" s="150">
        <v>-1428</v>
      </c>
      <c r="G82" s="151">
        <f t="shared" si="5"/>
        <v>30240</v>
      </c>
      <c r="H82" s="174">
        <f t="shared" si="6"/>
        <v>-4.7222222222222221E-2</v>
      </c>
    </row>
    <row r="83" spans="1:8">
      <c r="A83" s="149" t="s">
        <v>211</v>
      </c>
      <c r="B83" s="150">
        <v>35</v>
      </c>
      <c r="C83" s="150">
        <v>984.23</v>
      </c>
      <c r="D83" s="150">
        <v>3163.6</v>
      </c>
      <c r="E83" s="150">
        <v>110726</v>
      </c>
      <c r="F83" s="150">
        <v>76277.95</v>
      </c>
      <c r="G83" s="151">
        <f t="shared" si="5"/>
        <v>34448.050000000003</v>
      </c>
      <c r="H83" s="174">
        <f t="shared" si="6"/>
        <v>2.2142893429381343</v>
      </c>
    </row>
    <row r="84" spans="1:8">
      <c r="A84" s="149" t="s">
        <v>330</v>
      </c>
      <c r="B84" s="150">
        <v>54</v>
      </c>
      <c r="C84" s="150">
        <v>508.63</v>
      </c>
      <c r="D84" s="150">
        <v>477.15</v>
      </c>
      <c r="E84" s="150">
        <v>25766.1</v>
      </c>
      <c r="F84" s="150">
        <v>-1700.1</v>
      </c>
      <c r="G84" s="151">
        <f t="shared" si="5"/>
        <v>27466.199999999997</v>
      </c>
      <c r="H84" s="174">
        <f t="shared" si="6"/>
        <v>-6.1897896323481229E-2</v>
      </c>
    </row>
    <row r="85" spans="1:8">
      <c r="A85" s="149" t="s">
        <v>290</v>
      </c>
      <c r="B85" s="150">
        <v>21</v>
      </c>
      <c r="C85" s="150">
        <v>652.55999999999995</v>
      </c>
      <c r="D85" s="150">
        <v>455.85</v>
      </c>
      <c r="E85" s="150">
        <v>9572.85</v>
      </c>
      <c r="F85" s="150">
        <v>-4130.8500000000004</v>
      </c>
      <c r="G85" s="151">
        <f t="shared" si="5"/>
        <v>13703.7</v>
      </c>
      <c r="H85" s="174">
        <f t="shared" si="6"/>
        <v>-0.30144048687580727</v>
      </c>
    </row>
    <row r="86" spans="1:8">
      <c r="A86" s="149" t="s">
        <v>292</v>
      </c>
      <c r="B86" s="150">
        <v>32</v>
      </c>
      <c r="C86" s="150">
        <v>752.33</v>
      </c>
      <c r="D86" s="150">
        <v>998</v>
      </c>
      <c r="E86" s="150">
        <v>31936</v>
      </c>
      <c r="F86" s="150">
        <v>7861.5</v>
      </c>
      <c r="G86" s="151">
        <f t="shared" si="5"/>
        <v>24074.5</v>
      </c>
      <c r="H86" s="174">
        <f t="shared" si="6"/>
        <v>0.32654883798209722</v>
      </c>
    </row>
    <row r="87" spans="1:8">
      <c r="A87" s="149" t="s">
        <v>212</v>
      </c>
      <c r="B87" s="150">
        <v>135</v>
      </c>
      <c r="C87" s="150">
        <v>501.84</v>
      </c>
      <c r="D87" s="150">
        <v>966.9</v>
      </c>
      <c r="E87" s="150">
        <v>130531.5</v>
      </c>
      <c r="F87" s="150">
        <v>62783.199999999997</v>
      </c>
      <c r="G87" s="151">
        <f t="shared" si="5"/>
        <v>67748.3</v>
      </c>
      <c r="H87" s="174">
        <f t="shared" si="6"/>
        <v>0.92671255219688164</v>
      </c>
    </row>
    <row r="88" spans="1:8">
      <c r="A88" s="149" t="s">
        <v>293</v>
      </c>
      <c r="B88" s="150">
        <v>50</v>
      </c>
      <c r="C88" s="150">
        <v>283.19</v>
      </c>
      <c r="D88" s="150">
        <v>381</v>
      </c>
      <c r="E88" s="150">
        <v>19050</v>
      </c>
      <c r="F88" s="150">
        <v>4890.3500000000004</v>
      </c>
      <c r="G88" s="151">
        <f t="shared" si="5"/>
        <v>14159.65</v>
      </c>
      <c r="H88" s="174">
        <f t="shared" si="6"/>
        <v>0.34537223730812561</v>
      </c>
    </row>
    <row r="89" spans="1:8">
      <c r="A89" s="149" t="s">
        <v>308</v>
      </c>
      <c r="B89" s="150">
        <v>61</v>
      </c>
      <c r="C89" s="150">
        <v>481.95</v>
      </c>
      <c r="D89" s="150">
        <v>475.65</v>
      </c>
      <c r="E89" s="150">
        <v>29014.65</v>
      </c>
      <c r="F89" s="150">
        <v>-384.3</v>
      </c>
      <c r="G89" s="151">
        <f t="shared" si="5"/>
        <v>29398.95</v>
      </c>
      <c r="H89" s="174">
        <f t="shared" si="6"/>
        <v>-1.3071895424836602E-2</v>
      </c>
    </row>
    <row r="90" spans="1:8">
      <c r="A90" s="149" t="s">
        <v>213</v>
      </c>
      <c r="B90" s="150">
        <v>57</v>
      </c>
      <c r="C90" s="150">
        <v>468.04</v>
      </c>
      <c r="D90" s="150">
        <v>574.9</v>
      </c>
      <c r="E90" s="150">
        <v>32769.300000000003</v>
      </c>
      <c r="F90" s="150">
        <v>6090.8</v>
      </c>
      <c r="G90" s="151">
        <f t="shared" si="5"/>
        <v>26678.500000000004</v>
      </c>
      <c r="H90" s="174">
        <f t="shared" si="6"/>
        <v>0.22830369023745711</v>
      </c>
    </row>
    <row r="91" spans="1:8">
      <c r="A91" s="149" t="s">
        <v>214</v>
      </c>
      <c r="B91" s="150">
        <v>38</v>
      </c>
      <c r="C91" s="150">
        <v>684.41</v>
      </c>
      <c r="D91" s="150">
        <v>709.85</v>
      </c>
      <c r="E91" s="150">
        <v>26974.3</v>
      </c>
      <c r="F91" s="150">
        <v>966.75</v>
      </c>
      <c r="G91" s="151">
        <f t="shared" si="5"/>
        <v>26007.55</v>
      </c>
      <c r="H91" s="174">
        <f t="shared" si="6"/>
        <v>3.7171898160341901E-2</v>
      </c>
    </row>
    <row r="92" spans="1:8">
      <c r="A92" s="149" t="s">
        <v>302</v>
      </c>
      <c r="B92" s="150">
        <v>775</v>
      </c>
      <c r="C92" s="150">
        <v>99.29</v>
      </c>
      <c r="D92" s="150">
        <v>219.5</v>
      </c>
      <c r="E92" s="150">
        <v>170112.5</v>
      </c>
      <c r="F92" s="150">
        <v>93161.5</v>
      </c>
      <c r="G92" s="151">
        <f t="shared" si="5"/>
        <v>76951</v>
      </c>
      <c r="H92" s="174">
        <f t="shared" si="6"/>
        <v>1.2106600304089616</v>
      </c>
    </row>
    <row r="93" spans="1:8">
      <c r="A93" s="149" t="s">
        <v>215</v>
      </c>
      <c r="B93" s="150">
        <v>1050</v>
      </c>
      <c r="C93" s="150">
        <v>40.479999999999997</v>
      </c>
      <c r="D93" s="150">
        <v>107</v>
      </c>
      <c r="E93" s="150">
        <v>112350</v>
      </c>
      <c r="F93" s="150">
        <v>69849.75</v>
      </c>
      <c r="G93" s="151">
        <f t="shared" si="5"/>
        <v>42500.25</v>
      </c>
      <c r="H93" s="174">
        <f t="shared" si="6"/>
        <v>1.6435138616831666</v>
      </c>
    </row>
    <row r="94" spans="1:8">
      <c r="A94" s="149" t="s">
        <v>216</v>
      </c>
      <c r="B94" s="150">
        <v>19</v>
      </c>
      <c r="C94" s="150">
        <v>3380.44</v>
      </c>
      <c r="D94" s="150">
        <v>3342.75</v>
      </c>
      <c r="E94" s="150">
        <v>63512.25</v>
      </c>
      <c r="F94" s="150">
        <v>-716.2</v>
      </c>
      <c r="G94" s="151">
        <f t="shared" si="5"/>
        <v>64228.45</v>
      </c>
      <c r="H94" s="174">
        <f t="shared" si="6"/>
        <v>-1.1150821793146184E-2</v>
      </c>
    </row>
    <row r="95" spans="1:8">
      <c r="A95" s="149" t="s">
        <v>318</v>
      </c>
      <c r="B95" s="150">
        <v>36</v>
      </c>
      <c r="C95" s="150">
        <v>1190.31</v>
      </c>
      <c r="D95" s="150">
        <v>1085.45</v>
      </c>
      <c r="E95" s="150">
        <v>39076.199999999997</v>
      </c>
      <c r="F95" s="150">
        <v>-3774.95</v>
      </c>
      <c r="G95" s="151">
        <f t="shared" si="5"/>
        <v>42851.149999999994</v>
      </c>
      <c r="H95" s="174">
        <f t="shared" si="6"/>
        <v>-8.8094485212182175E-2</v>
      </c>
    </row>
    <row r="96" spans="1:8">
      <c r="A96" s="149" t="s">
        <v>217</v>
      </c>
      <c r="B96" s="150">
        <v>15</v>
      </c>
      <c r="C96" s="150">
        <v>2464.0700000000002</v>
      </c>
      <c r="D96" s="150">
        <v>2396.1999999999998</v>
      </c>
      <c r="E96" s="150">
        <v>35943</v>
      </c>
      <c r="F96" s="150">
        <v>-1018</v>
      </c>
      <c r="G96" s="151">
        <f t="shared" si="5"/>
        <v>36961</v>
      </c>
      <c r="H96" s="174">
        <f t="shared" si="6"/>
        <v>-2.7542544844565895E-2</v>
      </c>
    </row>
    <row r="97" spans="1:8">
      <c r="A97" s="149" t="s">
        <v>220</v>
      </c>
      <c r="B97" s="150">
        <v>42</v>
      </c>
      <c r="C97" s="150">
        <v>315.58999999999997</v>
      </c>
      <c r="D97" s="150">
        <v>503.25</v>
      </c>
      <c r="E97" s="150">
        <v>21136.5</v>
      </c>
      <c r="F97" s="150">
        <v>7881.8</v>
      </c>
      <c r="G97" s="151">
        <f t="shared" si="5"/>
        <v>13254.7</v>
      </c>
      <c r="H97" s="174">
        <f t="shared" si="6"/>
        <v>0.59464190060884059</v>
      </c>
    </row>
    <row r="98" spans="1:8">
      <c r="A98" s="149" t="s">
        <v>331</v>
      </c>
      <c r="B98" s="150">
        <v>41</v>
      </c>
      <c r="C98" s="150">
        <v>742.5</v>
      </c>
      <c r="D98" s="150">
        <v>711</v>
      </c>
      <c r="E98" s="150">
        <v>29151</v>
      </c>
      <c r="F98" s="150">
        <v>-1291.5</v>
      </c>
      <c r="G98" s="151">
        <f t="shared" ref="G98:G129" si="7">E98-F98</f>
        <v>30442.5</v>
      </c>
      <c r="H98" s="174">
        <f t="shared" si="6"/>
        <v>-4.2424242424242427E-2</v>
      </c>
    </row>
    <row r="99" spans="1:8">
      <c r="A99" s="149" t="s">
        <v>221</v>
      </c>
      <c r="B99" s="150">
        <v>40</v>
      </c>
      <c r="C99" s="150">
        <v>447.63</v>
      </c>
      <c r="D99" s="150">
        <v>1361</v>
      </c>
      <c r="E99" s="150">
        <v>54440</v>
      </c>
      <c r="F99" s="150">
        <v>36535</v>
      </c>
      <c r="G99" s="151">
        <f t="shared" si="7"/>
        <v>17905</v>
      </c>
      <c r="H99" s="174">
        <f t="shared" si="6"/>
        <v>2.0404914828260261</v>
      </c>
    </row>
    <row r="100" spans="1:8">
      <c r="A100" s="149" t="s">
        <v>309</v>
      </c>
      <c r="B100" s="150">
        <v>29</v>
      </c>
      <c r="C100" s="150">
        <v>1910.61</v>
      </c>
      <c r="D100" s="150">
        <v>1450</v>
      </c>
      <c r="E100" s="150">
        <v>42050</v>
      </c>
      <c r="F100" s="150">
        <v>-13357.6</v>
      </c>
      <c r="G100" s="151">
        <f t="shared" si="7"/>
        <v>55407.6</v>
      </c>
      <c r="H100" s="174">
        <f t="shared" si="6"/>
        <v>-0.24107884116980344</v>
      </c>
    </row>
    <row r="101" spans="1:8">
      <c r="A101" s="149"/>
      <c r="B101" s="150"/>
      <c r="C101" s="151"/>
      <c r="D101" s="151"/>
      <c r="E101" s="151"/>
      <c r="F101" s="151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8862</v>
      </c>
      <c r="C104" s="45"/>
      <c r="D104" s="45"/>
      <c r="E104" s="45">
        <f>SUM(E2:E103)</f>
        <v>4556937.9500000011</v>
      </c>
      <c r="F104" s="45">
        <f>SUM(F2:F103)</f>
        <v>859026.55000000016</v>
      </c>
      <c r="G104" s="45">
        <f>SUM(G2:G103)</f>
        <v>3697911.4000000013</v>
      </c>
      <c r="H104" s="176">
        <f>F104/G104</f>
        <v>0.23230046831300497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A362-F78D-4CAE-9EC6-9BF74B338090}">
  <dimension ref="A1:I18"/>
  <sheetViews>
    <sheetView workbookViewId="0">
      <selection activeCell="I2" sqref="I2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39" t="s">
        <v>234</v>
      </c>
      <c r="B2" s="140" t="s">
        <v>235</v>
      </c>
      <c r="C2" s="141">
        <v>4080.9659999999999</v>
      </c>
      <c r="D2" s="140">
        <v>74.27</v>
      </c>
      <c r="E2" s="140">
        <v>68.607799999999997</v>
      </c>
      <c r="F2" s="141">
        <v>279986.10960000003</v>
      </c>
      <c r="G2" s="141">
        <v>303093.34480000002</v>
      </c>
      <c r="H2" s="141">
        <v>23107.2353</v>
      </c>
      <c r="I2" s="147">
        <f>H2/F2</f>
        <v>8.2529934549295941E-2</v>
      </c>
    </row>
    <row r="3" spans="1:9">
      <c r="A3" s="139" t="s">
        <v>236</v>
      </c>
      <c r="B3" s="140" t="s">
        <v>237</v>
      </c>
      <c r="C3" s="141">
        <v>14235.332</v>
      </c>
      <c r="D3" s="140">
        <v>70.3</v>
      </c>
      <c r="E3" s="140">
        <v>47.766100000000002</v>
      </c>
      <c r="F3" s="141">
        <v>679966.92570000002</v>
      </c>
      <c r="G3" s="141">
        <v>1000743.8395999999</v>
      </c>
      <c r="H3" s="141">
        <v>320776.91389999999</v>
      </c>
      <c r="I3" s="147">
        <f t="shared" ref="I3:I18" si="0">H3/F3</f>
        <v>0.47175370121094107</v>
      </c>
    </row>
    <row r="4" spans="1:9">
      <c r="A4" s="139" t="s">
        <v>238</v>
      </c>
      <c r="B4" s="140" t="s">
        <v>237</v>
      </c>
      <c r="C4" s="141">
        <v>6300.335</v>
      </c>
      <c r="D4" s="140">
        <v>25.47</v>
      </c>
      <c r="E4" s="140">
        <v>26.187799999999999</v>
      </c>
      <c r="F4" s="141">
        <v>164991.75330000001</v>
      </c>
      <c r="G4" s="141">
        <v>160469.5325</v>
      </c>
      <c r="H4" s="141">
        <v>-4522.2209000000003</v>
      </c>
      <c r="I4" s="147">
        <f t="shared" si="0"/>
        <v>-2.740876928422822E-2</v>
      </c>
    </row>
    <row r="5" spans="1:9">
      <c r="A5" s="139" t="s">
        <v>303</v>
      </c>
      <c r="B5" s="140" t="s">
        <v>241</v>
      </c>
      <c r="C5" s="141">
        <v>1857.5519999999999</v>
      </c>
      <c r="D5" s="140">
        <v>544.43709999999999</v>
      </c>
      <c r="E5" s="140">
        <v>366.02140000000003</v>
      </c>
      <c r="F5" s="141">
        <v>679903.69869999995</v>
      </c>
      <c r="G5" s="141">
        <v>1011320.224</v>
      </c>
      <c r="H5" s="141">
        <v>331416.52529999998</v>
      </c>
      <c r="I5" s="147">
        <f t="shared" si="0"/>
        <v>0.48744627501465304</v>
      </c>
    </row>
    <row r="6" spans="1:9">
      <c r="A6" s="139" t="s">
        <v>242</v>
      </c>
      <c r="B6" s="140" t="s">
        <v>237</v>
      </c>
      <c r="C6" s="141">
        <v>5856.576</v>
      </c>
      <c r="D6" s="140">
        <v>89.037999999999997</v>
      </c>
      <c r="E6" s="140">
        <v>44.3917</v>
      </c>
      <c r="F6" s="141">
        <v>259983.36480000001</v>
      </c>
      <c r="G6" s="141">
        <v>521457.81390000001</v>
      </c>
      <c r="H6" s="141">
        <v>261474.4491</v>
      </c>
      <c r="I6" s="147">
        <f t="shared" si="0"/>
        <v>1.0057353065691224</v>
      </c>
    </row>
    <row r="7" spans="1:9">
      <c r="A7" s="139" t="s">
        <v>272</v>
      </c>
      <c r="B7" s="140" t="s">
        <v>235</v>
      </c>
      <c r="C7" s="141">
        <v>5805.7370000000001</v>
      </c>
      <c r="D7" s="140">
        <v>85.635999999999996</v>
      </c>
      <c r="E7" s="140">
        <v>41.940399999999997</v>
      </c>
      <c r="F7" s="141">
        <v>243495.1642</v>
      </c>
      <c r="G7" s="141">
        <v>497180.09370000003</v>
      </c>
      <c r="H7" s="141">
        <v>253684.9295</v>
      </c>
      <c r="I7" s="147">
        <f t="shared" si="0"/>
        <v>1.0418479165016616</v>
      </c>
    </row>
    <row r="8" spans="1:9">
      <c r="A8" s="139" t="s">
        <v>244</v>
      </c>
      <c r="B8" s="140" t="s">
        <v>233</v>
      </c>
      <c r="C8" s="141">
        <v>5841.7389999999996</v>
      </c>
      <c r="D8" s="140">
        <v>20.860299999999999</v>
      </c>
      <c r="E8" s="140">
        <v>23.964300000000001</v>
      </c>
      <c r="F8" s="141">
        <v>139992.99739999999</v>
      </c>
      <c r="G8" s="141">
        <v>121860.4281</v>
      </c>
      <c r="H8" s="141">
        <v>-18132.5694</v>
      </c>
      <c r="I8" s="147">
        <f t="shared" si="0"/>
        <v>-0.12952483150417923</v>
      </c>
    </row>
    <row r="9" spans="1:9">
      <c r="A9" s="139" t="s">
        <v>273</v>
      </c>
      <c r="B9" s="140" t="s">
        <v>233</v>
      </c>
      <c r="C9" s="141">
        <v>33869.690999999999</v>
      </c>
      <c r="D9" s="140">
        <v>8.8228000000000009</v>
      </c>
      <c r="E9" s="140">
        <v>8.4141999999999992</v>
      </c>
      <c r="F9" s="141">
        <v>284985.74920000002</v>
      </c>
      <c r="G9" s="141">
        <v>298825.5098</v>
      </c>
      <c r="H9" s="141">
        <v>13839.7606</v>
      </c>
      <c r="I9" s="147">
        <f t="shared" si="0"/>
        <v>4.8562991794678829E-2</v>
      </c>
    </row>
    <row r="10" spans="1:9">
      <c r="A10" s="139" t="s">
        <v>246</v>
      </c>
      <c r="B10" s="140" t="s">
        <v>241</v>
      </c>
      <c r="C10" s="141">
        <v>25050.297999999999</v>
      </c>
      <c r="D10" s="140">
        <v>11.0307</v>
      </c>
      <c r="E10" s="140">
        <v>11.196899999999999</v>
      </c>
      <c r="F10" s="141">
        <v>280485.97879999998</v>
      </c>
      <c r="G10" s="141">
        <v>276322.32209999999</v>
      </c>
      <c r="H10" s="141">
        <v>-4163.6566999999995</v>
      </c>
      <c r="I10" s="147">
        <f t="shared" si="0"/>
        <v>-1.4844437920973182E-2</v>
      </c>
    </row>
    <row r="11" spans="1:9">
      <c r="A11" s="139" t="s">
        <v>250</v>
      </c>
      <c r="B11" s="140" t="s">
        <v>251</v>
      </c>
      <c r="C11" s="141">
        <v>16385.78</v>
      </c>
      <c r="D11" s="140">
        <v>52.188699999999997</v>
      </c>
      <c r="E11" s="140">
        <v>42.471699999999998</v>
      </c>
      <c r="F11" s="141">
        <v>695931.47380000004</v>
      </c>
      <c r="G11" s="141">
        <v>855152.55669999996</v>
      </c>
      <c r="H11" s="141">
        <v>159221.08290000001</v>
      </c>
      <c r="I11" s="147">
        <f t="shared" si="0"/>
        <v>0.22878844957335223</v>
      </c>
    </row>
    <row r="12" spans="1:9">
      <c r="A12" s="139" t="s">
        <v>274</v>
      </c>
      <c r="B12" s="140" t="s">
        <v>233</v>
      </c>
      <c r="C12" s="141">
        <v>6809.741</v>
      </c>
      <c r="D12" s="140">
        <v>30.24</v>
      </c>
      <c r="E12" s="140">
        <v>35.241999999999997</v>
      </c>
      <c r="F12" s="141">
        <v>239988.8371</v>
      </c>
      <c r="G12" s="141">
        <v>205926.56779999999</v>
      </c>
      <c r="H12" s="141">
        <v>-34062.2693</v>
      </c>
      <c r="I12" s="147">
        <f t="shared" si="0"/>
        <v>-0.1419327236700044</v>
      </c>
    </row>
    <row r="13" spans="1:9">
      <c r="A13" s="139" t="s">
        <v>253</v>
      </c>
      <c r="B13" s="140" t="s">
        <v>235</v>
      </c>
      <c r="C13" s="141">
        <v>1441.442</v>
      </c>
      <c r="D13" s="140">
        <v>141.21250000000001</v>
      </c>
      <c r="E13" s="140">
        <v>142.2116</v>
      </c>
      <c r="F13" s="141">
        <v>204989.70379999999</v>
      </c>
      <c r="G13" s="141">
        <v>203549.62839999999</v>
      </c>
      <c r="H13" s="141">
        <v>-1440.0753</v>
      </c>
      <c r="I13" s="147">
        <f t="shared" si="0"/>
        <v>-7.0251103997155976E-3</v>
      </c>
    </row>
    <row r="14" spans="1:9">
      <c r="A14" s="142" t="s">
        <v>255</v>
      </c>
      <c r="B14" s="143" t="s">
        <v>241</v>
      </c>
      <c r="C14" s="144">
        <v>18996.168000000001</v>
      </c>
      <c r="D14" s="143">
        <v>13.7682</v>
      </c>
      <c r="E14" s="143">
        <v>9.4700000000000006</v>
      </c>
      <c r="F14" s="144">
        <v>179893.71100000001</v>
      </c>
      <c r="G14" s="144">
        <v>261543.04029999999</v>
      </c>
      <c r="H14" s="144">
        <v>81649.329299999998</v>
      </c>
      <c r="I14" s="147">
        <f t="shared" si="0"/>
        <v>0.45387539589974879</v>
      </c>
    </row>
    <row r="15" spans="1:9">
      <c r="A15"/>
      <c r="B15"/>
      <c r="C15"/>
      <c r="D15"/>
      <c r="E15"/>
      <c r="F15"/>
      <c r="G15"/>
      <c r="H15"/>
      <c r="I15" s="147"/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146531.35699999999</v>
      </c>
      <c r="D18" s="75"/>
      <c r="E18" s="75"/>
      <c r="F18" s="75">
        <f t="shared" ref="F18:H18" si="1">SUM(F2:F15)</f>
        <v>4334595.4673999995</v>
      </c>
      <c r="G18" s="75">
        <f t="shared" si="1"/>
        <v>5717444.9016999993</v>
      </c>
      <c r="H18" s="75">
        <f t="shared" si="1"/>
        <v>1382849.4343000001</v>
      </c>
      <c r="I18" s="53">
        <f t="shared" si="0"/>
        <v>0.31902618011305872</v>
      </c>
    </row>
  </sheetData>
  <hyperlinks>
    <hyperlink ref="A2" r:id="rId1" location="/mf/1831632/15690/NULL" xr:uid="{21452087-9240-4139-84F2-6D1478840B09}"/>
    <hyperlink ref="A3" r:id="rId2" location="/mf/1831632/22335/NULL" xr:uid="{7E2FFB3D-3056-4EEB-A8B8-7DC24EE8BBA0}"/>
    <hyperlink ref="A4" r:id="rId3" location="/mf/1831632/38817/NULL" xr:uid="{356F0186-73A7-4570-BB6C-EB74592D88FC}"/>
    <hyperlink ref="A5" r:id="rId4" location="/mf/1831632/16071/NULL" xr:uid="{68082F3B-EAB6-4552-93FF-984A2E38C863}"/>
    <hyperlink ref="A6" r:id="rId5" location="/mf/1831632/16617/NULL" xr:uid="{E2EAB9D1-5B59-4A14-BCB8-523E14602C3F}"/>
    <hyperlink ref="A7" r:id="rId6" location="/mf/1831632/17134/NULL" xr:uid="{CDD49CD4-4D7A-48A8-8413-BA6FAC97CFDE}"/>
    <hyperlink ref="A8" r:id="rId7" location="/mf/1831632/38228/NULL" xr:uid="{6F80D317-AEFD-4436-A776-2F427788961D}"/>
    <hyperlink ref="A9" r:id="rId8" location="/mf/1831632/42135/NULL" xr:uid="{E9051D1E-CEDF-48E1-8C4C-59AD765EABC9}"/>
    <hyperlink ref="A10" r:id="rId9" location="/mf/1831632/41574/NULL" xr:uid="{D2DEE50B-1A2A-4633-9C26-7DEA8200CF13}"/>
    <hyperlink ref="A11" r:id="rId10" location="/mf/1831632/19701/NULL" xr:uid="{ACFEBFFC-875B-4EBA-BF94-FBA0335C9CAD}"/>
    <hyperlink ref="A12" r:id="rId11" location="/mf/1831632/17348/NULL" xr:uid="{7798AAC2-2C5E-425A-BA6B-795FFB433033}"/>
    <hyperlink ref="A13" r:id="rId12" location="/mf/1831632/17375/NULL" xr:uid="{7E410228-1473-4425-A46C-249B8CE0D9C7}"/>
    <hyperlink ref="A14" r:id="rId13" location="/mf/1831632/36491/NULL" xr:uid="{9E5EB2CE-BEB5-4FA4-B978-959F55948E02}"/>
  </hyperlinks>
  <pageMargins left="0.7" right="0.7" top="0.75" bottom="0.75" header="0.3" footer="0.3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3E91-A3E8-4964-8106-CDE50D3379F4}">
  <dimension ref="A1:I104"/>
  <sheetViews>
    <sheetView workbookViewId="0">
      <pane xSplit="1" ySplit="1" topLeftCell="B65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style="6" bestFit="1" customWidth="1"/>
    <col min="4" max="4" width="23.5703125" style="6" bestFit="1" customWidth="1"/>
    <col min="5" max="5" width="21.85546875" style="6" customWidth="1"/>
    <col min="6" max="6" width="22.5703125" style="6" bestFit="1" customWidth="1"/>
    <col min="7" max="7" width="13.85546875" bestFit="1" customWidth="1"/>
    <col min="8" max="8" width="13.85546875" style="177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78" t="s">
        <v>137</v>
      </c>
      <c r="D1" s="178" t="s">
        <v>138</v>
      </c>
      <c r="E1" s="178" t="s">
        <v>140</v>
      </c>
      <c r="F1" s="178" t="s">
        <v>141</v>
      </c>
      <c r="G1" s="148" t="s">
        <v>129</v>
      </c>
      <c r="H1" s="173" t="s">
        <v>142</v>
      </c>
    </row>
    <row r="2" spans="1:8">
      <c r="A2" s="149" t="s">
        <v>143</v>
      </c>
      <c r="B2" s="150">
        <v>100</v>
      </c>
      <c r="C2" s="151">
        <v>109.73</v>
      </c>
      <c r="D2" s="151">
        <v>101</v>
      </c>
      <c r="E2" s="151">
        <v>10100</v>
      </c>
      <c r="F2" s="151">
        <v>-872.5</v>
      </c>
      <c r="G2" s="151">
        <f t="shared" ref="G2:G33" si="0">E2-F2</f>
        <v>10972.5</v>
      </c>
      <c r="H2" s="174">
        <f t="shared" ref="H2:H13" si="1">F2/G2</f>
        <v>-7.9516974253816361E-2</v>
      </c>
    </row>
    <row r="3" spans="1:8">
      <c r="A3" s="149" t="s">
        <v>259</v>
      </c>
      <c r="B3" s="150">
        <v>13</v>
      </c>
      <c r="C3" s="151">
        <v>133.75</v>
      </c>
      <c r="D3" s="151">
        <v>401.8</v>
      </c>
      <c r="E3" s="151">
        <v>5223.3999999999996</v>
      </c>
      <c r="F3" s="151">
        <v>3484.65</v>
      </c>
      <c r="G3" s="151">
        <f t="shared" si="0"/>
        <v>1738.7499999999995</v>
      </c>
      <c r="H3" s="174">
        <f t="shared" si="1"/>
        <v>2.0041121495327108</v>
      </c>
    </row>
    <row r="4" spans="1:8">
      <c r="A4" s="149" t="s">
        <v>144</v>
      </c>
      <c r="B4" s="150">
        <v>34</v>
      </c>
      <c r="C4" s="151">
        <v>1047.74</v>
      </c>
      <c r="D4" s="151">
        <v>1176.9000000000001</v>
      </c>
      <c r="E4" s="151">
        <v>40014.6</v>
      </c>
      <c r="F4" s="151">
        <v>4391.45</v>
      </c>
      <c r="G4" s="151">
        <f t="shared" si="0"/>
        <v>35623.15</v>
      </c>
      <c r="H4" s="174">
        <f t="shared" si="1"/>
        <v>0.12327517358796175</v>
      </c>
    </row>
    <row r="5" spans="1:8">
      <c r="A5" s="149" t="s">
        <v>317</v>
      </c>
      <c r="B5" s="150">
        <v>13</v>
      </c>
      <c r="C5" s="151">
        <v>2592.56</v>
      </c>
      <c r="D5" s="151">
        <v>3079.5</v>
      </c>
      <c r="E5" s="151">
        <v>40033.5</v>
      </c>
      <c r="F5" s="151">
        <v>6330.25</v>
      </c>
      <c r="G5" s="151">
        <f t="shared" si="0"/>
        <v>33703.25</v>
      </c>
      <c r="H5" s="174">
        <f t="shared" si="1"/>
        <v>0.18782313278393034</v>
      </c>
    </row>
    <row r="6" spans="1:8">
      <c r="A6" s="149" t="s">
        <v>145</v>
      </c>
      <c r="B6" s="150">
        <v>250</v>
      </c>
      <c r="C6" s="151">
        <v>183.59</v>
      </c>
      <c r="D6" s="151">
        <v>322.8</v>
      </c>
      <c r="E6" s="151">
        <v>80700</v>
      </c>
      <c r="F6" s="151">
        <v>34802.5</v>
      </c>
      <c r="G6" s="151">
        <f t="shared" si="0"/>
        <v>45897.5</v>
      </c>
      <c r="H6" s="174">
        <f t="shared" si="1"/>
        <v>0.75826570074622801</v>
      </c>
    </row>
    <row r="7" spans="1:8">
      <c r="A7" s="149" t="s">
        <v>276</v>
      </c>
      <c r="B7" s="150">
        <v>19</v>
      </c>
      <c r="C7" s="151">
        <v>2620.67</v>
      </c>
      <c r="D7" s="151">
        <v>2721.55</v>
      </c>
      <c r="E7" s="151">
        <v>51709.45</v>
      </c>
      <c r="F7" s="151">
        <v>1916.8</v>
      </c>
      <c r="G7" s="151">
        <f t="shared" si="0"/>
        <v>49792.649999999994</v>
      </c>
      <c r="H7" s="174">
        <f t="shared" si="1"/>
        <v>3.8495641424989437E-2</v>
      </c>
    </row>
    <row r="8" spans="1:8">
      <c r="A8" s="149" t="s">
        <v>277</v>
      </c>
      <c r="B8" s="150">
        <v>72</v>
      </c>
      <c r="C8" s="151">
        <v>578.16999999999996</v>
      </c>
      <c r="D8" s="151">
        <v>620.5</v>
      </c>
      <c r="E8" s="151">
        <v>44676</v>
      </c>
      <c r="F8" s="151">
        <v>3047.8</v>
      </c>
      <c r="G8" s="151">
        <f t="shared" si="0"/>
        <v>41628.199999999997</v>
      </c>
      <c r="H8" s="174">
        <f t="shared" si="1"/>
        <v>7.321479189587829E-2</v>
      </c>
    </row>
    <row r="9" spans="1:8">
      <c r="A9" s="149" t="s">
        <v>146</v>
      </c>
      <c r="B9" s="150">
        <v>66</v>
      </c>
      <c r="C9" s="151">
        <v>631.89</v>
      </c>
      <c r="D9" s="151">
        <v>864.95</v>
      </c>
      <c r="E9" s="151">
        <v>57086.7</v>
      </c>
      <c r="F9" s="151">
        <v>15381.7</v>
      </c>
      <c r="G9" s="151">
        <f t="shared" si="0"/>
        <v>41705</v>
      </c>
      <c r="H9" s="174">
        <f t="shared" si="1"/>
        <v>0.36882148423450428</v>
      </c>
    </row>
    <row r="10" spans="1:8">
      <c r="A10" s="149" t="s">
        <v>147</v>
      </c>
      <c r="B10" s="150">
        <v>20</v>
      </c>
      <c r="C10" s="151">
        <v>2859.69</v>
      </c>
      <c r="D10" s="151">
        <v>3782.95</v>
      </c>
      <c r="E10" s="151">
        <v>75659</v>
      </c>
      <c r="F10" s="151">
        <v>18465.2</v>
      </c>
      <c r="G10" s="151">
        <f t="shared" si="0"/>
        <v>57193.8</v>
      </c>
      <c r="H10" s="174">
        <f t="shared" si="1"/>
        <v>0.3228531763932454</v>
      </c>
    </row>
    <row r="11" spans="1:8">
      <c r="A11" s="149" t="s">
        <v>148</v>
      </c>
      <c r="B11" s="150">
        <v>5</v>
      </c>
      <c r="C11" s="151">
        <v>6770.91</v>
      </c>
      <c r="D11" s="151">
        <v>5827</v>
      </c>
      <c r="E11" s="151">
        <v>29135</v>
      </c>
      <c r="F11" s="151">
        <v>-4719.55</v>
      </c>
      <c r="G11" s="151">
        <f t="shared" si="0"/>
        <v>33854.550000000003</v>
      </c>
      <c r="H11" s="174">
        <f t="shared" si="1"/>
        <v>-0.13940666764142484</v>
      </c>
    </row>
    <row r="12" spans="1:8">
      <c r="A12" s="149" t="s">
        <v>149</v>
      </c>
      <c r="B12" s="150">
        <v>10</v>
      </c>
      <c r="C12" s="151">
        <v>1889.87</v>
      </c>
      <c r="D12" s="151">
        <v>2257.1999999999998</v>
      </c>
      <c r="E12" s="151">
        <v>22572</v>
      </c>
      <c r="F12" s="151">
        <v>3673.35</v>
      </c>
      <c r="G12" s="151">
        <f t="shared" si="0"/>
        <v>18898.650000000001</v>
      </c>
      <c r="H12" s="174">
        <f t="shared" si="1"/>
        <v>0.19437102650189297</v>
      </c>
    </row>
    <row r="13" spans="1:8">
      <c r="A13" s="149" t="s">
        <v>152</v>
      </c>
      <c r="B13" s="150">
        <v>180</v>
      </c>
      <c r="C13" s="151">
        <v>322.89</v>
      </c>
      <c r="D13" s="151">
        <v>786.75</v>
      </c>
      <c r="E13" s="151">
        <v>141615</v>
      </c>
      <c r="F13" s="151">
        <v>83495</v>
      </c>
      <c r="G13" s="151">
        <f t="shared" si="0"/>
        <v>58120</v>
      </c>
      <c r="H13" s="174">
        <f t="shared" si="1"/>
        <v>1.4365966964900208</v>
      </c>
    </row>
    <row r="14" spans="1:8">
      <c r="A14" s="149" t="s">
        <v>310</v>
      </c>
      <c r="B14" s="150">
        <v>6</v>
      </c>
      <c r="C14" s="151">
        <v>0</v>
      </c>
      <c r="D14" s="151">
        <v>29.12</v>
      </c>
      <c r="E14" s="151">
        <v>174.72</v>
      </c>
      <c r="F14" s="151">
        <v>174.72</v>
      </c>
      <c r="G14" s="151">
        <f t="shared" si="0"/>
        <v>0</v>
      </c>
      <c r="H14" s="174"/>
    </row>
    <row r="15" spans="1:8">
      <c r="A15" s="149" t="s">
        <v>153</v>
      </c>
      <c r="B15" s="150">
        <v>61</v>
      </c>
      <c r="C15" s="151">
        <v>427.78</v>
      </c>
      <c r="D15" s="151">
        <v>471.95</v>
      </c>
      <c r="E15" s="151">
        <v>28788.95</v>
      </c>
      <c r="F15" s="151">
        <v>2694.35</v>
      </c>
      <c r="G15" s="151">
        <f t="shared" si="0"/>
        <v>26094.600000000002</v>
      </c>
      <c r="H15" s="174">
        <f>F15/G15</f>
        <v>0.10325316348976415</v>
      </c>
    </row>
    <row r="16" spans="1:8">
      <c r="A16" s="149" t="s">
        <v>154</v>
      </c>
      <c r="B16" s="150">
        <v>14</v>
      </c>
      <c r="C16" s="151">
        <v>3489.94</v>
      </c>
      <c r="D16" s="151">
        <v>4627.8500000000004</v>
      </c>
      <c r="E16" s="151">
        <v>64789.9</v>
      </c>
      <c r="F16" s="151">
        <v>15930.8</v>
      </c>
      <c r="G16" s="151">
        <f t="shared" si="0"/>
        <v>48859.100000000006</v>
      </c>
      <c r="H16" s="174">
        <v>0</v>
      </c>
    </row>
    <row r="17" spans="1:8">
      <c r="A17" s="149" t="s">
        <v>155</v>
      </c>
      <c r="B17" s="150">
        <v>180</v>
      </c>
      <c r="C17" s="151">
        <v>155.25</v>
      </c>
      <c r="D17" s="151">
        <v>116.75</v>
      </c>
      <c r="E17" s="151">
        <v>21015</v>
      </c>
      <c r="F17" s="151">
        <v>-6930</v>
      </c>
      <c r="G17" s="151">
        <f t="shared" si="0"/>
        <v>27945</v>
      </c>
      <c r="H17" s="174">
        <f t="shared" ref="H17:H48" si="2">F17/G17</f>
        <v>-0.24798711755233493</v>
      </c>
    </row>
    <row r="18" spans="1:8">
      <c r="A18" s="149" t="s">
        <v>157</v>
      </c>
      <c r="B18" s="150">
        <v>35</v>
      </c>
      <c r="C18" s="151">
        <v>827.34</v>
      </c>
      <c r="D18" s="151">
        <v>1020.2</v>
      </c>
      <c r="E18" s="151">
        <v>35707</v>
      </c>
      <c r="F18" s="151">
        <v>6750.15</v>
      </c>
      <c r="G18" s="151">
        <f t="shared" si="0"/>
        <v>28956.85</v>
      </c>
      <c r="H18" s="174">
        <f t="shared" si="2"/>
        <v>0.23311064566760542</v>
      </c>
    </row>
    <row r="19" spans="1:8">
      <c r="A19" s="149" t="s">
        <v>158</v>
      </c>
      <c r="B19" s="150">
        <v>250</v>
      </c>
      <c r="C19" s="151">
        <v>163.66999999999999</v>
      </c>
      <c r="D19" s="151">
        <v>218.2</v>
      </c>
      <c r="E19" s="151">
        <v>54550</v>
      </c>
      <c r="F19" s="151">
        <v>13632.5</v>
      </c>
      <c r="G19" s="151">
        <f t="shared" si="0"/>
        <v>40917.5</v>
      </c>
      <c r="H19" s="174">
        <f t="shared" si="2"/>
        <v>0.33317040386142849</v>
      </c>
    </row>
    <row r="20" spans="1:8">
      <c r="A20" s="149" t="s">
        <v>159</v>
      </c>
      <c r="B20" s="150">
        <v>9</v>
      </c>
      <c r="C20" s="151">
        <v>4108.79</v>
      </c>
      <c r="D20" s="151">
        <v>4371.6000000000004</v>
      </c>
      <c r="E20" s="151">
        <v>39344.400000000001</v>
      </c>
      <c r="F20" s="151">
        <v>2365.3000000000002</v>
      </c>
      <c r="G20" s="151">
        <f t="shared" si="0"/>
        <v>36979.1</v>
      </c>
      <c r="H20" s="174">
        <f t="shared" si="2"/>
        <v>6.3963157567382661E-2</v>
      </c>
    </row>
    <row r="21" spans="1:8">
      <c r="A21" s="149" t="s">
        <v>160</v>
      </c>
      <c r="B21" s="150">
        <v>35</v>
      </c>
      <c r="C21" s="151">
        <v>1545.44</v>
      </c>
      <c r="D21" s="151">
        <v>1456.75</v>
      </c>
      <c r="E21" s="151">
        <v>50986.25</v>
      </c>
      <c r="F21" s="151">
        <v>-3104.25</v>
      </c>
      <c r="G21" s="151">
        <f t="shared" si="0"/>
        <v>54090.5</v>
      </c>
      <c r="H21" s="174">
        <f t="shared" si="2"/>
        <v>-5.7389929839805509E-2</v>
      </c>
    </row>
    <row r="22" spans="1:8">
      <c r="A22" s="149" t="s">
        <v>279</v>
      </c>
      <c r="B22" s="150">
        <v>72</v>
      </c>
      <c r="C22" s="151">
        <v>559.89</v>
      </c>
      <c r="D22" s="151">
        <v>531.25</v>
      </c>
      <c r="E22" s="151">
        <v>38250</v>
      </c>
      <c r="F22" s="151">
        <v>-2062.0500000000002</v>
      </c>
      <c r="G22" s="151">
        <f t="shared" si="0"/>
        <v>40312.050000000003</v>
      </c>
      <c r="H22" s="174">
        <f t="shared" si="2"/>
        <v>-5.1152198908266881E-2</v>
      </c>
    </row>
    <row r="23" spans="1:8">
      <c r="A23" s="149" t="s">
        <v>332</v>
      </c>
      <c r="B23" s="150">
        <v>13</v>
      </c>
      <c r="C23" s="151">
        <v>2461.1999999999998</v>
      </c>
      <c r="D23" s="151">
        <v>3154.95</v>
      </c>
      <c r="E23" s="151">
        <v>41014.35</v>
      </c>
      <c r="F23" s="151">
        <v>9018.7999999999993</v>
      </c>
      <c r="G23" s="151">
        <f t="shared" si="0"/>
        <v>31995.55</v>
      </c>
      <c r="H23" s="174">
        <f t="shared" si="2"/>
        <v>0.28187669847838215</v>
      </c>
    </row>
    <row r="24" spans="1:8">
      <c r="A24" s="149" t="s">
        <v>161</v>
      </c>
      <c r="B24" s="150">
        <v>55</v>
      </c>
      <c r="C24" s="151">
        <v>325.14</v>
      </c>
      <c r="D24" s="151">
        <v>351.45</v>
      </c>
      <c r="E24" s="151">
        <v>19329.75</v>
      </c>
      <c r="F24" s="151">
        <v>1446.85</v>
      </c>
      <c r="G24" s="151">
        <f t="shared" si="0"/>
        <v>17882.900000000001</v>
      </c>
      <c r="H24" s="174">
        <f t="shared" si="2"/>
        <v>8.0906899887602107E-2</v>
      </c>
    </row>
    <row r="25" spans="1:8">
      <c r="A25" s="149" t="s">
        <v>162</v>
      </c>
      <c r="B25" s="150">
        <v>12</v>
      </c>
      <c r="C25" s="151">
        <v>3205.4</v>
      </c>
      <c r="D25" s="151">
        <v>3494.35</v>
      </c>
      <c r="E25" s="151">
        <v>41932.199999999997</v>
      </c>
      <c r="F25" s="151">
        <v>3467.45</v>
      </c>
      <c r="G25" s="151">
        <f t="shared" si="0"/>
        <v>38464.75</v>
      </c>
      <c r="H25" s="174">
        <f t="shared" si="2"/>
        <v>9.0146172794571655E-2</v>
      </c>
    </row>
    <row r="26" spans="1:8">
      <c r="A26" s="149" t="s">
        <v>163</v>
      </c>
      <c r="B26" s="150">
        <v>11</v>
      </c>
      <c r="C26" s="151">
        <v>4442.55</v>
      </c>
      <c r="D26" s="151">
        <v>4396.2</v>
      </c>
      <c r="E26" s="151">
        <v>48358.2</v>
      </c>
      <c r="F26" s="151">
        <v>-509.85</v>
      </c>
      <c r="G26" s="151">
        <f t="shared" si="0"/>
        <v>48868.049999999996</v>
      </c>
      <c r="H26" s="174">
        <f t="shared" si="2"/>
        <v>-1.043319715028531E-2</v>
      </c>
    </row>
    <row r="27" spans="1:8">
      <c r="A27" s="149" t="s">
        <v>164</v>
      </c>
      <c r="B27" s="150">
        <v>10</v>
      </c>
      <c r="C27" s="151">
        <v>2469.04</v>
      </c>
      <c r="D27" s="151">
        <v>3218.95</v>
      </c>
      <c r="E27" s="151">
        <v>32189.5</v>
      </c>
      <c r="F27" s="151">
        <v>7499.15</v>
      </c>
      <c r="G27" s="151">
        <f t="shared" si="0"/>
        <v>24690.35</v>
      </c>
      <c r="H27" s="174">
        <f t="shared" si="2"/>
        <v>0.30372797469456692</v>
      </c>
    </row>
    <row r="28" spans="1:8">
      <c r="A28" s="149" t="s">
        <v>270</v>
      </c>
      <c r="B28" s="150">
        <v>61</v>
      </c>
      <c r="C28" s="151">
        <v>360.97</v>
      </c>
      <c r="D28" s="151">
        <v>306.60000000000002</v>
      </c>
      <c r="E28" s="151">
        <v>18702.599999999999</v>
      </c>
      <c r="F28" s="151">
        <v>-3316.57</v>
      </c>
      <c r="G28" s="151">
        <f t="shared" si="0"/>
        <v>22019.17</v>
      </c>
      <c r="H28" s="174">
        <f t="shared" si="2"/>
        <v>-0.15062193534088708</v>
      </c>
    </row>
    <row r="29" spans="1:8">
      <c r="A29" s="149" t="s">
        <v>166</v>
      </c>
      <c r="B29" s="150">
        <v>31</v>
      </c>
      <c r="C29" s="151">
        <v>1356.45</v>
      </c>
      <c r="D29" s="151">
        <v>1457.6</v>
      </c>
      <c r="E29" s="151">
        <v>45185.599999999999</v>
      </c>
      <c r="F29" s="151">
        <v>3135.7</v>
      </c>
      <c r="G29" s="151">
        <f t="shared" si="0"/>
        <v>42049.9</v>
      </c>
      <c r="H29" s="174">
        <f t="shared" si="2"/>
        <v>7.4570926446911878E-2</v>
      </c>
    </row>
    <row r="30" spans="1:8">
      <c r="A30" s="149" t="s">
        <v>168</v>
      </c>
      <c r="B30" s="150">
        <v>60</v>
      </c>
      <c r="C30" s="151">
        <v>716.58</v>
      </c>
      <c r="D30" s="151">
        <v>613.15</v>
      </c>
      <c r="E30" s="151">
        <v>36789</v>
      </c>
      <c r="F30" s="151">
        <v>-6205.7</v>
      </c>
      <c r="G30" s="151">
        <f t="shared" si="0"/>
        <v>42994.7</v>
      </c>
      <c r="H30" s="174">
        <f t="shared" si="2"/>
        <v>-0.14433639495100559</v>
      </c>
    </row>
    <row r="31" spans="1:8">
      <c r="A31" s="149" t="s">
        <v>169</v>
      </c>
      <c r="B31" s="150">
        <v>306</v>
      </c>
      <c r="C31" s="151">
        <v>184.89</v>
      </c>
      <c r="D31" s="151">
        <v>178.15</v>
      </c>
      <c r="E31" s="151">
        <v>54513.9</v>
      </c>
      <c r="F31" s="151">
        <v>-2061.85</v>
      </c>
      <c r="G31" s="151">
        <f t="shared" si="0"/>
        <v>56575.75</v>
      </c>
      <c r="H31" s="174">
        <f t="shared" si="2"/>
        <v>-3.6444059513130622E-2</v>
      </c>
    </row>
    <row r="32" spans="1:8">
      <c r="A32" s="149" t="s">
        <v>170</v>
      </c>
      <c r="B32" s="150">
        <v>387</v>
      </c>
      <c r="C32" s="151">
        <v>82.58</v>
      </c>
      <c r="D32" s="151">
        <v>131.35</v>
      </c>
      <c r="E32" s="151">
        <v>50832.45</v>
      </c>
      <c r="F32" s="151">
        <v>18872.650000000001</v>
      </c>
      <c r="G32" s="151">
        <f t="shared" si="0"/>
        <v>31959.799999999996</v>
      </c>
      <c r="H32" s="174">
        <f t="shared" si="2"/>
        <v>0.59051214338012137</v>
      </c>
    </row>
    <row r="33" spans="1:8">
      <c r="A33" s="149" t="s">
        <v>325</v>
      </c>
      <c r="B33" s="150">
        <v>57</v>
      </c>
      <c r="C33" s="151">
        <v>630.04</v>
      </c>
      <c r="D33" s="151">
        <v>488.7</v>
      </c>
      <c r="E33" s="151">
        <v>27855.9</v>
      </c>
      <c r="F33" s="151">
        <v>-8056.4</v>
      </c>
      <c r="G33" s="151">
        <f t="shared" si="0"/>
        <v>35912.300000000003</v>
      </c>
      <c r="H33" s="174">
        <f t="shared" si="2"/>
        <v>-0.22433539483686646</v>
      </c>
    </row>
    <row r="34" spans="1:8">
      <c r="A34" s="149" t="s">
        <v>172</v>
      </c>
      <c r="B34" s="150">
        <v>18</v>
      </c>
      <c r="C34" s="151">
        <v>1556.41</v>
      </c>
      <c r="D34" s="151">
        <v>1147.2</v>
      </c>
      <c r="E34" s="151">
        <v>20649.599999999999</v>
      </c>
      <c r="F34" s="151">
        <v>-7365.75</v>
      </c>
      <c r="G34" s="151">
        <f t="shared" ref="G34:G65" si="3">E34-F34</f>
        <v>28015.35</v>
      </c>
      <c r="H34" s="174">
        <f t="shared" si="2"/>
        <v>-0.26291836439666111</v>
      </c>
    </row>
    <row r="35" spans="1:8">
      <c r="A35" s="149" t="s">
        <v>173</v>
      </c>
      <c r="B35" s="150">
        <v>45</v>
      </c>
      <c r="C35" s="151">
        <v>40.9</v>
      </c>
      <c r="D35" s="151">
        <v>49.73</v>
      </c>
      <c r="E35" s="151">
        <v>2237.85</v>
      </c>
      <c r="F35" s="151">
        <v>397.25</v>
      </c>
      <c r="G35" s="151">
        <f t="shared" si="3"/>
        <v>1840.6</v>
      </c>
      <c r="H35" s="174">
        <f t="shared" si="2"/>
        <v>0.21582636096924918</v>
      </c>
    </row>
    <row r="36" spans="1:8">
      <c r="A36" s="149" t="s">
        <v>174</v>
      </c>
      <c r="B36" s="150">
        <v>45</v>
      </c>
      <c r="C36" s="151">
        <v>1043.6099999999999</v>
      </c>
      <c r="D36" s="151">
        <v>1141.95</v>
      </c>
      <c r="E36" s="151">
        <v>51387.75</v>
      </c>
      <c r="F36" s="151">
        <v>4425.5</v>
      </c>
      <c r="G36" s="151">
        <f t="shared" si="3"/>
        <v>46962.25</v>
      </c>
      <c r="H36" s="174">
        <f t="shared" si="2"/>
        <v>9.4235263429669577E-2</v>
      </c>
    </row>
    <row r="37" spans="1:8">
      <c r="A37" s="149" t="s">
        <v>175</v>
      </c>
      <c r="B37" s="150">
        <v>48</v>
      </c>
      <c r="C37" s="151">
        <v>1429.32</v>
      </c>
      <c r="D37" s="151">
        <v>1635.2</v>
      </c>
      <c r="E37" s="151">
        <v>78489.600000000006</v>
      </c>
      <c r="F37" s="151">
        <v>9882.15</v>
      </c>
      <c r="G37" s="151">
        <f t="shared" si="3"/>
        <v>68607.450000000012</v>
      </c>
      <c r="H37" s="174">
        <f t="shared" si="2"/>
        <v>0.14403902200125493</v>
      </c>
    </row>
    <row r="38" spans="1:8">
      <c r="A38" s="149" t="s">
        <v>176</v>
      </c>
      <c r="B38" s="150">
        <v>90</v>
      </c>
      <c r="C38" s="151">
        <v>606.30999999999995</v>
      </c>
      <c r="D38" s="151">
        <v>485.8</v>
      </c>
      <c r="E38" s="151">
        <v>43722</v>
      </c>
      <c r="F38" s="151">
        <v>-10845.7</v>
      </c>
      <c r="G38" s="151">
        <f t="shared" si="3"/>
        <v>54567.7</v>
      </c>
      <c r="H38" s="174">
        <f t="shared" si="2"/>
        <v>-0.19875677369579442</v>
      </c>
    </row>
    <row r="39" spans="1:8">
      <c r="A39" s="149" t="s">
        <v>177</v>
      </c>
      <c r="B39" s="150">
        <v>12</v>
      </c>
      <c r="C39" s="151">
        <v>2815.97</v>
      </c>
      <c r="D39" s="151">
        <v>2633</v>
      </c>
      <c r="E39" s="151">
        <v>31596</v>
      </c>
      <c r="F39" s="151">
        <v>-2195.65</v>
      </c>
      <c r="G39" s="151">
        <f t="shared" si="3"/>
        <v>33791.65</v>
      </c>
      <c r="H39" s="174">
        <f t="shared" si="2"/>
        <v>-6.497611096232353E-2</v>
      </c>
    </row>
    <row r="40" spans="1:8">
      <c r="A40" s="149" t="s">
        <v>282</v>
      </c>
      <c r="B40" s="150">
        <v>19</v>
      </c>
      <c r="C40" s="151">
        <v>2270.19</v>
      </c>
      <c r="D40" s="151">
        <v>2640.75</v>
      </c>
      <c r="E40" s="151">
        <v>50174.25</v>
      </c>
      <c r="F40" s="151">
        <v>7040.7</v>
      </c>
      <c r="G40" s="151">
        <f t="shared" si="3"/>
        <v>43133.55</v>
      </c>
      <c r="H40" s="174">
        <f t="shared" si="2"/>
        <v>0.16323024652503676</v>
      </c>
    </row>
    <row r="41" spans="1:8">
      <c r="A41" s="149" t="s">
        <v>178</v>
      </c>
      <c r="B41" s="150">
        <v>80</v>
      </c>
      <c r="C41" s="151">
        <v>567.6</v>
      </c>
      <c r="D41" s="151">
        <v>861.5</v>
      </c>
      <c r="E41" s="151">
        <v>68920</v>
      </c>
      <c r="F41" s="151">
        <v>23511.65</v>
      </c>
      <c r="G41" s="151">
        <f t="shared" si="3"/>
        <v>45408.35</v>
      </c>
      <c r="H41" s="174">
        <f t="shared" si="2"/>
        <v>0.51778252237749234</v>
      </c>
    </row>
    <row r="42" spans="1:8">
      <c r="A42" s="149" t="s">
        <v>179</v>
      </c>
      <c r="B42" s="150">
        <v>59</v>
      </c>
      <c r="C42" s="151">
        <v>1310.74</v>
      </c>
      <c r="D42" s="151">
        <v>1117.75</v>
      </c>
      <c r="E42" s="151">
        <v>65947.25</v>
      </c>
      <c r="F42" s="151">
        <v>-11386.2</v>
      </c>
      <c r="G42" s="151">
        <f t="shared" si="3"/>
        <v>77333.45</v>
      </c>
      <c r="H42" s="174">
        <f t="shared" si="2"/>
        <v>-0.14723512270563385</v>
      </c>
    </row>
    <row r="43" spans="1:8">
      <c r="A43" s="149" t="s">
        <v>180</v>
      </c>
      <c r="B43" s="150">
        <v>116</v>
      </c>
      <c r="C43" s="151">
        <v>513.27</v>
      </c>
      <c r="D43" s="151">
        <v>414.65</v>
      </c>
      <c r="E43" s="151">
        <v>48099.4</v>
      </c>
      <c r="F43" s="151">
        <v>-11440.1</v>
      </c>
      <c r="G43" s="151">
        <f t="shared" si="3"/>
        <v>59539.5</v>
      </c>
      <c r="H43" s="174">
        <f t="shared" si="2"/>
        <v>-0.19214303109700284</v>
      </c>
    </row>
    <row r="44" spans="1:8">
      <c r="A44" s="149" t="s">
        <v>284</v>
      </c>
      <c r="B44" s="150">
        <v>40</v>
      </c>
      <c r="C44" s="151">
        <v>942.87</v>
      </c>
      <c r="D44" s="151">
        <v>1101.95</v>
      </c>
      <c r="E44" s="151">
        <v>44078</v>
      </c>
      <c r="F44" s="151">
        <v>6363.35</v>
      </c>
      <c r="G44" s="151">
        <f t="shared" si="3"/>
        <v>37714.65</v>
      </c>
      <c r="H44" s="174">
        <f t="shared" si="2"/>
        <v>0.16872355967773797</v>
      </c>
    </row>
    <row r="45" spans="1:8">
      <c r="A45" s="149" t="s">
        <v>181</v>
      </c>
      <c r="B45" s="150">
        <v>32</v>
      </c>
      <c r="C45" s="151">
        <v>1633.55</v>
      </c>
      <c r="D45" s="151">
        <v>1589.45</v>
      </c>
      <c r="E45" s="151">
        <v>50862.400000000001</v>
      </c>
      <c r="F45" s="151">
        <v>-1411.25</v>
      </c>
      <c r="G45" s="151">
        <f t="shared" si="3"/>
        <v>52273.65</v>
      </c>
      <c r="H45" s="174">
        <f t="shared" si="2"/>
        <v>-2.6997349525047513E-2</v>
      </c>
    </row>
    <row r="46" spans="1:8">
      <c r="A46" s="149" t="s">
        <v>182</v>
      </c>
      <c r="B46" s="150">
        <v>770</v>
      </c>
      <c r="C46" s="151">
        <v>227.34</v>
      </c>
      <c r="D46" s="151">
        <v>378</v>
      </c>
      <c r="E46" s="151">
        <v>291060</v>
      </c>
      <c r="F46" s="151">
        <v>116005.65</v>
      </c>
      <c r="G46" s="151">
        <f t="shared" si="3"/>
        <v>175054.35</v>
      </c>
      <c r="H46" s="174">
        <f t="shared" si="2"/>
        <v>0.66268361797350361</v>
      </c>
    </row>
    <row r="47" spans="1:8">
      <c r="A47" s="149" t="s">
        <v>183</v>
      </c>
      <c r="B47" s="150">
        <v>17</v>
      </c>
      <c r="C47" s="151">
        <v>1141.79</v>
      </c>
      <c r="D47" s="151">
        <v>2049.65</v>
      </c>
      <c r="E47" s="151">
        <v>34844.050000000003</v>
      </c>
      <c r="F47" s="151">
        <v>15433.65</v>
      </c>
      <c r="G47" s="151">
        <f t="shared" si="3"/>
        <v>19410.400000000001</v>
      </c>
      <c r="H47" s="174">
        <f t="shared" si="2"/>
        <v>0.79512271771833654</v>
      </c>
    </row>
    <row r="48" spans="1:8">
      <c r="A48" s="149" t="s">
        <v>326</v>
      </c>
      <c r="B48" s="150">
        <v>71</v>
      </c>
      <c r="C48" s="151">
        <v>415.91</v>
      </c>
      <c r="D48" s="151">
        <v>400.05</v>
      </c>
      <c r="E48" s="151">
        <v>28403.55</v>
      </c>
      <c r="F48" s="151">
        <v>-1126.4000000000001</v>
      </c>
      <c r="G48" s="151">
        <f t="shared" si="3"/>
        <v>29529.95</v>
      </c>
      <c r="H48" s="174">
        <f t="shared" si="2"/>
        <v>-3.8144324660217846E-2</v>
      </c>
    </row>
    <row r="49" spans="1:8">
      <c r="A49" s="149" t="s">
        <v>313</v>
      </c>
      <c r="B49" s="150">
        <v>4</v>
      </c>
      <c r="C49" s="151">
        <v>396.21</v>
      </c>
      <c r="D49" s="151">
        <v>403.5</v>
      </c>
      <c r="E49" s="151">
        <v>1614</v>
      </c>
      <c r="F49" s="151">
        <v>29.16</v>
      </c>
      <c r="G49" s="151">
        <f t="shared" si="3"/>
        <v>1584.84</v>
      </c>
      <c r="H49" s="174">
        <f t="shared" ref="H49:H80" si="4">F49/G49</f>
        <v>1.8399333686681306E-2</v>
      </c>
    </row>
    <row r="50" spans="1:8">
      <c r="A50" s="149" t="s">
        <v>184</v>
      </c>
      <c r="B50" s="150">
        <v>468</v>
      </c>
      <c r="C50" s="151">
        <v>112.01</v>
      </c>
      <c r="D50" s="151">
        <v>106.9</v>
      </c>
      <c r="E50" s="151">
        <v>50029.2</v>
      </c>
      <c r="F50" s="151">
        <v>-2393.5500000000002</v>
      </c>
      <c r="G50" s="151">
        <f t="shared" si="3"/>
        <v>52422.75</v>
      </c>
      <c r="H50" s="174">
        <f t="shared" si="4"/>
        <v>-4.5658611957594748E-2</v>
      </c>
    </row>
    <row r="51" spans="1:8">
      <c r="A51" s="149" t="s">
        <v>185</v>
      </c>
      <c r="B51" s="150">
        <v>38</v>
      </c>
      <c r="C51" s="151">
        <v>1711.28</v>
      </c>
      <c r="D51" s="151">
        <v>1752.5</v>
      </c>
      <c r="E51" s="151">
        <v>66595</v>
      </c>
      <c r="F51" s="151">
        <v>1566.2</v>
      </c>
      <c r="G51" s="151">
        <f t="shared" si="3"/>
        <v>65028.800000000003</v>
      </c>
      <c r="H51" s="174">
        <f t="shared" si="4"/>
        <v>2.4084713234751372E-2</v>
      </c>
    </row>
    <row r="52" spans="1:8">
      <c r="A52" s="149" t="s">
        <v>186</v>
      </c>
      <c r="B52" s="150">
        <v>56</v>
      </c>
      <c r="C52" s="151">
        <v>577.29999999999995</v>
      </c>
      <c r="D52" s="151">
        <v>777.8</v>
      </c>
      <c r="E52" s="151">
        <v>43556.800000000003</v>
      </c>
      <c r="F52" s="151">
        <v>11228.05</v>
      </c>
      <c r="G52" s="151">
        <f t="shared" si="3"/>
        <v>32328.750000000004</v>
      </c>
      <c r="H52" s="174">
        <f t="shared" si="4"/>
        <v>0.34730851022696513</v>
      </c>
    </row>
    <row r="53" spans="1:8">
      <c r="A53" s="149" t="s">
        <v>187</v>
      </c>
      <c r="B53" s="150">
        <v>9</v>
      </c>
      <c r="C53" s="151">
        <v>2665.58</v>
      </c>
      <c r="D53" s="151">
        <v>1926.3</v>
      </c>
      <c r="E53" s="151">
        <v>17336.7</v>
      </c>
      <c r="F53" s="151">
        <v>-6653.5</v>
      </c>
      <c r="G53" s="151">
        <f t="shared" si="3"/>
        <v>23990.2</v>
      </c>
      <c r="H53" s="174">
        <f t="shared" si="4"/>
        <v>-0.2773424148193846</v>
      </c>
    </row>
    <row r="54" spans="1:8">
      <c r="A54" s="149" t="s">
        <v>314</v>
      </c>
      <c r="B54" s="150">
        <v>1</v>
      </c>
      <c r="C54" s="151">
        <v>912.74</v>
      </c>
      <c r="D54" s="151">
        <v>1000</v>
      </c>
      <c r="E54" s="151">
        <v>1000</v>
      </c>
      <c r="F54" s="151">
        <v>87.26</v>
      </c>
      <c r="G54" s="151">
        <f t="shared" si="3"/>
        <v>912.74</v>
      </c>
      <c r="H54" s="174">
        <f t="shared" si="4"/>
        <v>9.5602252558231265E-2</v>
      </c>
    </row>
    <row r="55" spans="1:8">
      <c r="A55" s="149" t="s">
        <v>188</v>
      </c>
      <c r="B55" s="150">
        <v>62</v>
      </c>
      <c r="C55" s="151">
        <v>1053.22</v>
      </c>
      <c r="D55" s="151">
        <v>2142.5500000000002</v>
      </c>
      <c r="E55" s="151">
        <v>132838.1</v>
      </c>
      <c r="F55" s="151">
        <v>67538.75</v>
      </c>
      <c r="G55" s="151">
        <f t="shared" si="3"/>
        <v>65299.350000000006</v>
      </c>
      <c r="H55" s="174">
        <f t="shared" si="4"/>
        <v>1.0342943689332282</v>
      </c>
    </row>
    <row r="56" spans="1:8">
      <c r="A56" s="149" t="s">
        <v>286</v>
      </c>
      <c r="B56" s="150">
        <v>12</v>
      </c>
      <c r="C56" s="151">
        <v>4654.83</v>
      </c>
      <c r="D56" s="151">
        <v>4509.8</v>
      </c>
      <c r="E56" s="151">
        <v>54117.599999999999</v>
      </c>
      <c r="F56" s="151">
        <v>-1740.33</v>
      </c>
      <c r="G56" s="151">
        <f t="shared" si="3"/>
        <v>55857.93</v>
      </c>
      <c r="H56" s="174">
        <f t="shared" si="4"/>
        <v>-3.1156364011340913E-2</v>
      </c>
    </row>
    <row r="57" spans="1:8">
      <c r="A57" s="149" t="s">
        <v>189</v>
      </c>
      <c r="B57" s="150">
        <v>29</v>
      </c>
      <c r="C57" s="151">
        <v>775.92</v>
      </c>
      <c r="D57" s="151">
        <v>1359.8</v>
      </c>
      <c r="E57" s="151">
        <v>39434.199999999997</v>
      </c>
      <c r="F57" s="151">
        <v>16932.599999999999</v>
      </c>
      <c r="G57" s="151">
        <f t="shared" si="3"/>
        <v>22501.599999999999</v>
      </c>
      <c r="H57" s="174">
        <f t="shared" si="4"/>
        <v>0.75250648842748957</v>
      </c>
    </row>
    <row r="58" spans="1:8">
      <c r="A58" s="149" t="s">
        <v>324</v>
      </c>
      <c r="B58" s="150">
        <v>118</v>
      </c>
      <c r="C58" s="151">
        <v>184.31</v>
      </c>
      <c r="D58" s="151">
        <v>392.45</v>
      </c>
      <c r="E58" s="151">
        <v>46309.1</v>
      </c>
      <c r="F58" s="151">
        <v>24560.45</v>
      </c>
      <c r="G58" s="151">
        <f t="shared" si="3"/>
        <v>21748.649999999998</v>
      </c>
      <c r="H58" s="174">
        <f t="shared" si="4"/>
        <v>1.129286185579335</v>
      </c>
    </row>
    <row r="59" spans="1:8">
      <c r="A59" s="149" t="s">
        <v>191</v>
      </c>
      <c r="B59" s="150">
        <v>72</v>
      </c>
      <c r="C59" s="151">
        <v>468.01</v>
      </c>
      <c r="D59" s="151">
        <v>498.9</v>
      </c>
      <c r="E59" s="151">
        <v>35920.800000000003</v>
      </c>
      <c r="F59" s="151">
        <v>2224.1999999999998</v>
      </c>
      <c r="G59" s="151">
        <f t="shared" si="3"/>
        <v>33696.600000000006</v>
      </c>
      <c r="H59" s="174">
        <f t="shared" si="4"/>
        <v>6.6006659425580011E-2</v>
      </c>
    </row>
    <row r="60" spans="1:8">
      <c r="A60" s="149" t="s">
        <v>192</v>
      </c>
      <c r="B60" s="150">
        <v>69</v>
      </c>
      <c r="C60" s="151">
        <v>779.46</v>
      </c>
      <c r="D60" s="151">
        <v>712.45</v>
      </c>
      <c r="E60" s="151">
        <v>49159.05</v>
      </c>
      <c r="F60" s="151">
        <v>-4623.5</v>
      </c>
      <c r="G60" s="151">
        <f t="shared" si="3"/>
        <v>53782.55</v>
      </c>
      <c r="H60" s="174">
        <f t="shared" si="4"/>
        <v>-8.59665449109423E-2</v>
      </c>
    </row>
    <row r="61" spans="1:8">
      <c r="A61" s="149" t="s">
        <v>265</v>
      </c>
      <c r="B61" s="150">
        <v>58</v>
      </c>
      <c r="C61" s="151">
        <v>342.44</v>
      </c>
      <c r="D61" s="151">
        <v>324</v>
      </c>
      <c r="E61" s="151">
        <v>18792</v>
      </c>
      <c r="F61" s="151">
        <v>-1069.52</v>
      </c>
      <c r="G61" s="151">
        <f t="shared" si="3"/>
        <v>19861.52</v>
      </c>
      <c r="H61" s="174">
        <f t="shared" si="4"/>
        <v>-5.3848849433477397E-2</v>
      </c>
    </row>
    <row r="62" spans="1:8">
      <c r="A62" s="149" t="s">
        <v>194</v>
      </c>
      <c r="B62" s="150">
        <v>192</v>
      </c>
      <c r="C62" s="151">
        <v>104.85</v>
      </c>
      <c r="D62" s="151">
        <v>75.55</v>
      </c>
      <c r="E62" s="151">
        <v>14505.6</v>
      </c>
      <c r="F62" s="151">
        <v>-5625.5</v>
      </c>
      <c r="G62" s="151">
        <f t="shared" si="3"/>
        <v>20131.099999999999</v>
      </c>
      <c r="H62" s="174">
        <f t="shared" si="4"/>
        <v>-0.27944324949953059</v>
      </c>
    </row>
    <row r="63" spans="1:8">
      <c r="A63" s="149" t="s">
        <v>195</v>
      </c>
      <c r="B63" s="150">
        <v>17</v>
      </c>
      <c r="C63" s="151">
        <v>2361.83</v>
      </c>
      <c r="D63" s="151">
        <v>2090.6999999999998</v>
      </c>
      <c r="E63" s="151">
        <v>35541.9</v>
      </c>
      <c r="F63" s="151">
        <v>-4609.25</v>
      </c>
      <c r="G63" s="151">
        <f t="shared" si="3"/>
        <v>40151.15</v>
      </c>
      <c r="H63" s="174">
        <f t="shared" si="4"/>
        <v>-0.1147974591014205</v>
      </c>
    </row>
    <row r="64" spans="1:8">
      <c r="A64" s="149" t="s">
        <v>315</v>
      </c>
      <c r="B64" s="150">
        <v>102</v>
      </c>
      <c r="C64" s="151">
        <v>14.26</v>
      </c>
      <c r="D64" s="151">
        <v>51.3</v>
      </c>
      <c r="E64" s="151">
        <v>5232.6000000000004</v>
      </c>
      <c r="F64" s="151">
        <v>3777.9</v>
      </c>
      <c r="G64" s="151">
        <f t="shared" si="3"/>
        <v>1454.7000000000003</v>
      </c>
      <c r="H64" s="174">
        <f t="shared" si="4"/>
        <v>2.5970303155289747</v>
      </c>
    </row>
    <row r="65" spans="1:8">
      <c r="A65" s="149" t="s">
        <v>316</v>
      </c>
      <c r="B65" s="150">
        <v>4</v>
      </c>
      <c r="C65" s="151">
        <v>131.47999999999999</v>
      </c>
      <c r="D65" s="151">
        <v>193.33</v>
      </c>
      <c r="E65" s="151">
        <v>773.32</v>
      </c>
      <c r="F65" s="151">
        <v>247.4</v>
      </c>
      <c r="G65" s="151">
        <f t="shared" si="3"/>
        <v>525.92000000000007</v>
      </c>
      <c r="H65" s="174">
        <f t="shared" si="4"/>
        <v>0.47041375114085787</v>
      </c>
    </row>
    <row r="66" spans="1:8">
      <c r="A66" s="149" t="s">
        <v>198</v>
      </c>
      <c r="B66" s="150">
        <v>79</v>
      </c>
      <c r="C66" s="151">
        <v>499.72</v>
      </c>
      <c r="D66" s="151">
        <v>828.15</v>
      </c>
      <c r="E66" s="151">
        <v>65423.85</v>
      </c>
      <c r="F66" s="151">
        <v>25946.2</v>
      </c>
      <c r="G66" s="151">
        <f t="shared" ref="G66:G97" si="5">E66-F66</f>
        <v>39477.649999999994</v>
      </c>
      <c r="H66" s="174">
        <f t="shared" si="4"/>
        <v>0.65723770285212024</v>
      </c>
    </row>
    <row r="67" spans="1:8">
      <c r="A67" s="149" t="s">
        <v>199</v>
      </c>
      <c r="B67" s="150">
        <v>15</v>
      </c>
      <c r="C67" s="151">
        <v>3741.25</v>
      </c>
      <c r="D67" s="151">
        <v>3092.1</v>
      </c>
      <c r="E67" s="151">
        <v>46381.5</v>
      </c>
      <c r="F67" s="151">
        <v>-9737.2000000000007</v>
      </c>
      <c r="G67" s="151">
        <f t="shared" si="5"/>
        <v>56118.7</v>
      </c>
      <c r="H67" s="174">
        <f t="shared" si="4"/>
        <v>-0.17351079052080681</v>
      </c>
    </row>
    <row r="68" spans="1:8">
      <c r="A68" s="149" t="s">
        <v>200</v>
      </c>
      <c r="B68" s="150">
        <v>300</v>
      </c>
      <c r="C68" s="151">
        <v>82.33</v>
      </c>
      <c r="D68" s="151">
        <v>140.80000000000001</v>
      </c>
      <c r="E68" s="151">
        <v>42240</v>
      </c>
      <c r="F68" s="151">
        <v>17540</v>
      </c>
      <c r="G68" s="151">
        <f t="shared" si="5"/>
        <v>24700</v>
      </c>
      <c r="H68" s="174">
        <f t="shared" si="4"/>
        <v>0.71012145748987854</v>
      </c>
    </row>
    <row r="69" spans="1:8">
      <c r="A69" s="149" t="s">
        <v>201</v>
      </c>
      <c r="B69" s="150">
        <v>9</v>
      </c>
      <c r="C69" s="151">
        <v>3657.46</v>
      </c>
      <c r="D69" s="151">
        <v>4850.05</v>
      </c>
      <c r="E69" s="151">
        <v>43650.45</v>
      </c>
      <c r="F69" s="151">
        <v>10733.3</v>
      </c>
      <c r="G69" s="151">
        <f t="shared" si="5"/>
        <v>32917.149999999994</v>
      </c>
      <c r="H69" s="174">
        <f t="shared" si="4"/>
        <v>0.32607014884338409</v>
      </c>
    </row>
    <row r="70" spans="1:8">
      <c r="A70" s="149" t="s">
        <v>202</v>
      </c>
      <c r="B70" s="150">
        <v>25</v>
      </c>
      <c r="C70" s="151">
        <v>869.04</v>
      </c>
      <c r="D70" s="151">
        <v>1356.6</v>
      </c>
      <c r="E70" s="151">
        <v>33915</v>
      </c>
      <c r="F70" s="151">
        <v>12188.95</v>
      </c>
      <c r="G70" s="151">
        <f t="shared" si="5"/>
        <v>21726.05</v>
      </c>
      <c r="H70" s="174">
        <f t="shared" si="4"/>
        <v>0.56102927131254876</v>
      </c>
    </row>
    <row r="71" spans="1:8">
      <c r="A71" s="149" t="s">
        <v>203</v>
      </c>
      <c r="B71" s="150">
        <v>14</v>
      </c>
      <c r="C71" s="151">
        <v>2510.4499999999998</v>
      </c>
      <c r="D71" s="151">
        <v>2299.25</v>
      </c>
      <c r="E71" s="151">
        <v>32189.5</v>
      </c>
      <c r="F71" s="151">
        <v>-2956.8</v>
      </c>
      <c r="G71" s="151">
        <f t="shared" si="5"/>
        <v>35146.300000000003</v>
      </c>
      <c r="H71" s="174">
        <f t="shared" si="4"/>
        <v>-8.4128343524069393E-2</v>
      </c>
    </row>
    <row r="72" spans="1:8">
      <c r="A72" s="149" t="s">
        <v>204</v>
      </c>
      <c r="B72" s="150">
        <v>61</v>
      </c>
      <c r="C72" s="151">
        <v>488.84</v>
      </c>
      <c r="D72" s="151">
        <v>399</v>
      </c>
      <c r="E72" s="151">
        <v>24339</v>
      </c>
      <c r="F72" s="151">
        <v>-5479.95</v>
      </c>
      <c r="G72" s="151">
        <f t="shared" si="5"/>
        <v>29818.95</v>
      </c>
      <c r="H72" s="174">
        <f t="shared" si="4"/>
        <v>-0.18377407655199127</v>
      </c>
    </row>
    <row r="73" spans="1:8">
      <c r="A73" s="149" t="s">
        <v>307</v>
      </c>
      <c r="B73" s="150">
        <v>20</v>
      </c>
      <c r="C73" s="151">
        <v>1000</v>
      </c>
      <c r="D73" s="151">
        <v>1104</v>
      </c>
      <c r="E73" s="151">
        <v>22080</v>
      </c>
      <c r="F73" s="151">
        <v>0</v>
      </c>
      <c r="G73" s="151">
        <f t="shared" si="5"/>
        <v>22080</v>
      </c>
      <c r="H73" s="174">
        <f t="shared" si="4"/>
        <v>0</v>
      </c>
    </row>
    <row r="74" spans="1:8">
      <c r="A74" s="149" t="s">
        <v>327</v>
      </c>
      <c r="B74" s="150">
        <v>159</v>
      </c>
      <c r="C74" s="151">
        <v>186.3</v>
      </c>
      <c r="D74" s="151">
        <v>184.3</v>
      </c>
      <c r="E74" s="151">
        <v>29303.7</v>
      </c>
      <c r="F74" s="151">
        <v>-318</v>
      </c>
      <c r="G74" s="151">
        <f t="shared" si="5"/>
        <v>29621.7</v>
      </c>
      <c r="H74" s="174">
        <f t="shared" si="4"/>
        <v>-1.0735373054213633E-2</v>
      </c>
    </row>
    <row r="75" spans="1:8">
      <c r="A75" s="149" t="s">
        <v>299</v>
      </c>
      <c r="B75" s="150">
        <v>21</v>
      </c>
      <c r="C75" s="151">
        <v>1093.4100000000001</v>
      </c>
      <c r="D75" s="151">
        <v>797.5</v>
      </c>
      <c r="E75" s="151">
        <v>16747.5</v>
      </c>
      <c r="F75" s="151">
        <v>-6214.05</v>
      </c>
      <c r="G75" s="151">
        <f t="shared" si="5"/>
        <v>22961.55</v>
      </c>
      <c r="H75" s="174">
        <f t="shared" si="4"/>
        <v>-0.27062850722185566</v>
      </c>
    </row>
    <row r="76" spans="1:8">
      <c r="A76" s="149" t="s">
        <v>328</v>
      </c>
      <c r="B76" s="150">
        <v>116</v>
      </c>
      <c r="C76" s="151">
        <v>255.15</v>
      </c>
      <c r="D76" s="151">
        <v>266.35000000000002</v>
      </c>
      <c r="E76" s="151">
        <v>30896.6</v>
      </c>
      <c r="F76" s="151">
        <v>1298.8</v>
      </c>
      <c r="G76" s="151">
        <f t="shared" si="5"/>
        <v>29597.8</v>
      </c>
      <c r="H76" s="174">
        <f t="shared" si="4"/>
        <v>4.3881639851610595E-2</v>
      </c>
    </row>
    <row r="77" spans="1:8">
      <c r="A77" s="149" t="s">
        <v>206</v>
      </c>
      <c r="B77" s="150">
        <v>49</v>
      </c>
      <c r="C77" s="151">
        <v>1099.18</v>
      </c>
      <c r="D77" s="151">
        <v>1118.8</v>
      </c>
      <c r="E77" s="151">
        <v>54821.2</v>
      </c>
      <c r="F77" s="151">
        <v>961.5</v>
      </c>
      <c r="G77" s="151">
        <f t="shared" si="5"/>
        <v>53859.7</v>
      </c>
      <c r="H77" s="174">
        <f t="shared" si="4"/>
        <v>1.7851937534000377E-2</v>
      </c>
    </row>
    <row r="78" spans="1:8">
      <c r="A78" s="149" t="s">
        <v>207</v>
      </c>
      <c r="B78" s="150">
        <v>105</v>
      </c>
      <c r="C78" s="151">
        <v>304.5</v>
      </c>
      <c r="D78" s="151">
        <v>524.70000000000005</v>
      </c>
      <c r="E78" s="151">
        <v>55093.5</v>
      </c>
      <c r="F78" s="151">
        <v>23120.6</v>
      </c>
      <c r="G78" s="151">
        <f t="shared" si="5"/>
        <v>31972.9</v>
      </c>
      <c r="H78" s="174">
        <f t="shared" si="4"/>
        <v>0.72313115169409081</v>
      </c>
    </row>
    <row r="79" spans="1:8">
      <c r="A79" s="149" t="s">
        <v>262</v>
      </c>
      <c r="B79" s="150">
        <v>10</v>
      </c>
      <c r="C79" s="151">
        <v>5284</v>
      </c>
      <c r="D79" s="151">
        <v>5362</v>
      </c>
      <c r="E79" s="151">
        <v>53620</v>
      </c>
      <c r="F79" s="151">
        <v>780</v>
      </c>
      <c r="G79" s="151">
        <f t="shared" si="5"/>
        <v>52840</v>
      </c>
      <c r="H79" s="174">
        <f t="shared" si="4"/>
        <v>1.4761544284632853E-2</v>
      </c>
    </row>
    <row r="80" spans="1:8">
      <c r="A80" s="149" t="s">
        <v>209</v>
      </c>
      <c r="B80" s="150">
        <v>5</v>
      </c>
      <c r="C80" s="151">
        <v>4802</v>
      </c>
      <c r="D80" s="151">
        <v>5313.99</v>
      </c>
      <c r="E80" s="151">
        <v>26569.95</v>
      </c>
      <c r="F80" s="151">
        <v>2559.9499999999998</v>
      </c>
      <c r="G80" s="151">
        <f t="shared" si="5"/>
        <v>24010</v>
      </c>
      <c r="H80" s="174">
        <f t="shared" si="4"/>
        <v>0.10662015826738858</v>
      </c>
    </row>
    <row r="81" spans="1:8">
      <c r="A81" s="149" t="s">
        <v>210</v>
      </c>
      <c r="B81" s="150">
        <v>10</v>
      </c>
      <c r="C81" s="151">
        <v>5002.45</v>
      </c>
      <c r="D81" s="151">
        <v>5310.1</v>
      </c>
      <c r="E81" s="151">
        <v>53101</v>
      </c>
      <c r="F81" s="151">
        <v>3076.5</v>
      </c>
      <c r="G81" s="151">
        <f t="shared" si="5"/>
        <v>50024.5</v>
      </c>
      <c r="H81" s="174">
        <f t="shared" ref="H81:H112" si="6">F81/G81</f>
        <v>6.1499865066117605E-2</v>
      </c>
    </row>
    <row r="82" spans="1:8">
      <c r="A82" s="149" t="s">
        <v>329</v>
      </c>
      <c r="B82" s="150">
        <v>60</v>
      </c>
      <c r="C82" s="151">
        <v>504</v>
      </c>
      <c r="D82" s="151">
        <v>477.6</v>
      </c>
      <c r="E82" s="151">
        <v>28656</v>
      </c>
      <c r="F82" s="151">
        <v>-1584</v>
      </c>
      <c r="G82" s="151">
        <f t="shared" si="5"/>
        <v>30240</v>
      </c>
      <c r="H82" s="174">
        <f t="shared" si="6"/>
        <v>-5.2380952380952382E-2</v>
      </c>
    </row>
    <row r="83" spans="1:8">
      <c r="A83" s="149" t="s">
        <v>211</v>
      </c>
      <c r="B83" s="150">
        <v>35</v>
      </c>
      <c r="C83" s="151">
        <v>984.23</v>
      </c>
      <c r="D83" s="151">
        <v>2949.4</v>
      </c>
      <c r="E83" s="151">
        <v>103229</v>
      </c>
      <c r="F83" s="151">
        <v>68780.95</v>
      </c>
      <c r="G83" s="151">
        <f t="shared" si="5"/>
        <v>34448.050000000003</v>
      </c>
      <c r="H83" s="174">
        <f t="shared" si="6"/>
        <v>1.9966572853906097</v>
      </c>
    </row>
    <row r="84" spans="1:8">
      <c r="A84" s="149" t="s">
        <v>330</v>
      </c>
      <c r="B84" s="150">
        <v>54</v>
      </c>
      <c r="C84" s="151">
        <v>508.63</v>
      </c>
      <c r="D84" s="151">
        <v>493</v>
      </c>
      <c r="E84" s="151">
        <v>26622</v>
      </c>
      <c r="F84" s="151">
        <v>-844.2</v>
      </c>
      <c r="G84" s="151">
        <f t="shared" si="5"/>
        <v>27466.2</v>
      </c>
      <c r="H84" s="174">
        <f t="shared" si="6"/>
        <v>-3.0735959106101319E-2</v>
      </c>
    </row>
    <row r="85" spans="1:8">
      <c r="A85" s="149" t="s">
        <v>290</v>
      </c>
      <c r="B85" s="150">
        <v>21</v>
      </c>
      <c r="C85" s="151">
        <v>652.55999999999995</v>
      </c>
      <c r="D85" s="151">
        <v>447</v>
      </c>
      <c r="E85" s="151">
        <v>9387</v>
      </c>
      <c r="F85" s="151">
        <v>-4316.7</v>
      </c>
      <c r="G85" s="151">
        <f t="shared" si="5"/>
        <v>13703.7</v>
      </c>
      <c r="H85" s="174">
        <f t="shared" si="6"/>
        <v>-0.31500251756824799</v>
      </c>
    </row>
    <row r="86" spans="1:8">
      <c r="A86" s="149" t="s">
        <v>292</v>
      </c>
      <c r="B86" s="150">
        <v>32</v>
      </c>
      <c r="C86" s="151">
        <v>752.33</v>
      </c>
      <c r="D86" s="151">
        <v>976.1</v>
      </c>
      <c r="E86" s="151">
        <v>31235.200000000001</v>
      </c>
      <c r="F86" s="151">
        <v>7160.7</v>
      </c>
      <c r="G86" s="151">
        <f t="shared" si="5"/>
        <v>24074.5</v>
      </c>
      <c r="H86" s="174">
        <f t="shared" si="6"/>
        <v>0.2974391991526304</v>
      </c>
    </row>
    <row r="87" spans="1:8">
      <c r="A87" s="149" t="s">
        <v>212</v>
      </c>
      <c r="B87" s="150">
        <v>135</v>
      </c>
      <c r="C87" s="151">
        <v>501.84</v>
      </c>
      <c r="D87" s="151">
        <v>1005.7</v>
      </c>
      <c r="E87" s="151">
        <v>135769.5</v>
      </c>
      <c r="F87" s="151">
        <v>68021.2</v>
      </c>
      <c r="G87" s="151">
        <f t="shared" si="5"/>
        <v>67748.3</v>
      </c>
      <c r="H87" s="174">
        <f t="shared" si="6"/>
        <v>1.0040281453556767</v>
      </c>
    </row>
    <row r="88" spans="1:8">
      <c r="A88" s="149" t="s">
        <v>293</v>
      </c>
      <c r="B88" s="150">
        <v>50</v>
      </c>
      <c r="C88" s="151">
        <v>283.19</v>
      </c>
      <c r="D88" s="151">
        <v>324.75</v>
      </c>
      <c r="E88" s="151">
        <v>16237.5</v>
      </c>
      <c r="F88" s="151">
        <v>2077.85</v>
      </c>
      <c r="G88" s="151">
        <f t="shared" si="5"/>
        <v>14159.65</v>
      </c>
      <c r="H88" s="174">
        <f t="shared" si="6"/>
        <v>0.14674444636696529</v>
      </c>
    </row>
    <row r="89" spans="1:8">
      <c r="A89" s="149" t="s">
        <v>308</v>
      </c>
      <c r="B89" s="150">
        <v>61</v>
      </c>
      <c r="C89" s="151">
        <v>481.95</v>
      </c>
      <c r="D89" s="151">
        <v>487.2</v>
      </c>
      <c r="E89" s="151">
        <v>29719.200000000001</v>
      </c>
      <c r="F89" s="151">
        <v>320.25</v>
      </c>
      <c r="G89" s="151">
        <f t="shared" si="5"/>
        <v>29398.95</v>
      </c>
      <c r="H89" s="174">
        <f t="shared" si="6"/>
        <v>1.0893246187363833E-2</v>
      </c>
    </row>
    <row r="90" spans="1:8">
      <c r="A90" s="149" t="s">
        <v>213</v>
      </c>
      <c r="B90" s="150">
        <v>57</v>
      </c>
      <c r="C90" s="151">
        <v>468.04</v>
      </c>
      <c r="D90" s="151">
        <v>566.29999999999995</v>
      </c>
      <c r="E90" s="151">
        <v>32279.1</v>
      </c>
      <c r="F90" s="151">
        <v>5600.6</v>
      </c>
      <c r="G90" s="151">
        <f t="shared" si="5"/>
        <v>26678.5</v>
      </c>
      <c r="H90" s="174">
        <f t="shared" si="6"/>
        <v>0.20992934385366496</v>
      </c>
    </row>
    <row r="91" spans="1:8">
      <c r="A91" s="149" t="s">
        <v>214</v>
      </c>
      <c r="B91" s="150">
        <v>38</v>
      </c>
      <c r="C91" s="151">
        <v>684.41</v>
      </c>
      <c r="D91" s="151">
        <v>725.85</v>
      </c>
      <c r="E91" s="151">
        <v>27582.3</v>
      </c>
      <c r="F91" s="151">
        <v>1574.75</v>
      </c>
      <c r="G91" s="151">
        <f t="shared" si="5"/>
        <v>26007.55</v>
      </c>
      <c r="H91" s="174">
        <f t="shared" si="6"/>
        <v>6.0549724983706657E-2</v>
      </c>
    </row>
    <row r="92" spans="1:8">
      <c r="A92" s="149" t="s">
        <v>302</v>
      </c>
      <c r="B92" s="150">
        <v>775</v>
      </c>
      <c r="C92" s="151">
        <v>99.29</v>
      </c>
      <c r="D92" s="151">
        <v>223.45</v>
      </c>
      <c r="E92" s="151">
        <v>173173.75</v>
      </c>
      <c r="F92" s="151">
        <v>96222.75</v>
      </c>
      <c r="G92" s="151">
        <f t="shared" si="5"/>
        <v>76951</v>
      </c>
      <c r="H92" s="174">
        <f t="shared" si="6"/>
        <v>1.2504418396122208</v>
      </c>
    </row>
    <row r="93" spans="1:8">
      <c r="A93" s="149" t="s">
        <v>215</v>
      </c>
      <c r="B93" s="150">
        <v>1050</v>
      </c>
      <c r="C93" s="151">
        <v>40.479999999999997</v>
      </c>
      <c r="D93" s="151">
        <v>117.65</v>
      </c>
      <c r="E93" s="151">
        <v>123532.5</v>
      </c>
      <c r="F93" s="151">
        <v>81032.25</v>
      </c>
      <c r="G93" s="151">
        <f t="shared" si="5"/>
        <v>42500.25</v>
      </c>
      <c r="H93" s="174">
        <f t="shared" si="6"/>
        <v>1.9066299610002293</v>
      </c>
    </row>
    <row r="94" spans="1:8">
      <c r="A94" s="149" t="s">
        <v>216</v>
      </c>
      <c r="B94" s="150">
        <v>18</v>
      </c>
      <c r="C94" s="151">
        <v>3374.54</v>
      </c>
      <c r="D94" s="151">
        <v>3485</v>
      </c>
      <c r="E94" s="151">
        <v>62730</v>
      </c>
      <c r="F94" s="151">
        <v>1988.3</v>
      </c>
      <c r="G94" s="151">
        <f t="shared" si="5"/>
        <v>60741.7</v>
      </c>
      <c r="H94" s="174">
        <f t="shared" si="6"/>
        <v>3.2733690364280227E-2</v>
      </c>
    </row>
    <row r="95" spans="1:8">
      <c r="A95" s="149" t="s">
        <v>318</v>
      </c>
      <c r="B95" s="150">
        <v>34</v>
      </c>
      <c r="C95" s="151">
        <v>1194.31</v>
      </c>
      <c r="D95" s="151">
        <v>1009.6</v>
      </c>
      <c r="E95" s="151">
        <v>34326.400000000001</v>
      </c>
      <c r="F95" s="151">
        <v>-6280.05</v>
      </c>
      <c r="G95" s="151">
        <f t="shared" si="5"/>
        <v>40606.450000000004</v>
      </c>
      <c r="H95" s="174">
        <f t="shared" si="6"/>
        <v>-0.15465646467494695</v>
      </c>
    </row>
    <row r="96" spans="1:8">
      <c r="A96" s="149" t="s">
        <v>217</v>
      </c>
      <c r="B96" s="150">
        <v>14</v>
      </c>
      <c r="C96" s="151">
        <v>2460.81</v>
      </c>
      <c r="D96" s="151">
        <v>2410</v>
      </c>
      <c r="E96" s="151">
        <v>33740</v>
      </c>
      <c r="F96" s="151">
        <v>-711.4</v>
      </c>
      <c r="G96" s="151">
        <f t="shared" si="5"/>
        <v>34451.4</v>
      </c>
      <c r="H96" s="174">
        <f t="shared" si="6"/>
        <v>-2.0649378544848683E-2</v>
      </c>
    </row>
    <row r="97" spans="1:8">
      <c r="A97" s="149" t="s">
        <v>220</v>
      </c>
      <c r="B97" s="150">
        <v>42</v>
      </c>
      <c r="C97" s="151">
        <v>315.58999999999997</v>
      </c>
      <c r="D97" s="151">
        <v>483.55</v>
      </c>
      <c r="E97" s="151">
        <v>20309.099999999999</v>
      </c>
      <c r="F97" s="151">
        <v>7054.4</v>
      </c>
      <c r="G97" s="151">
        <f t="shared" si="5"/>
        <v>13254.699999999999</v>
      </c>
      <c r="H97" s="174">
        <f t="shared" si="6"/>
        <v>0.53221876013791336</v>
      </c>
    </row>
    <row r="98" spans="1:8">
      <c r="A98" s="149" t="s">
        <v>331</v>
      </c>
      <c r="B98" s="150">
        <v>41</v>
      </c>
      <c r="C98" s="151">
        <v>742.5</v>
      </c>
      <c r="D98" s="151">
        <v>706.15</v>
      </c>
      <c r="E98" s="151">
        <v>28952.15</v>
      </c>
      <c r="F98" s="151">
        <v>-1490.35</v>
      </c>
      <c r="G98" s="151">
        <f t="shared" ref="G98:G129" si="7">E98-F98</f>
        <v>30442.5</v>
      </c>
      <c r="H98" s="174">
        <f t="shared" si="6"/>
        <v>-4.8956228956228955E-2</v>
      </c>
    </row>
    <row r="99" spans="1:8">
      <c r="A99" s="149" t="s">
        <v>221</v>
      </c>
      <c r="B99" s="150">
        <v>40</v>
      </c>
      <c r="C99" s="151">
        <v>447.63</v>
      </c>
      <c r="D99" s="151">
        <v>1115.45</v>
      </c>
      <c r="E99" s="151">
        <v>44618</v>
      </c>
      <c r="F99" s="151">
        <v>26713</v>
      </c>
      <c r="G99" s="151">
        <f t="shared" si="7"/>
        <v>17905</v>
      </c>
      <c r="H99" s="174">
        <f t="shared" si="6"/>
        <v>1.4919296285953645</v>
      </c>
    </row>
    <row r="100" spans="1:8">
      <c r="A100" s="149" t="s">
        <v>309</v>
      </c>
      <c r="B100" s="150">
        <v>29</v>
      </c>
      <c r="C100" s="151">
        <v>1910.61</v>
      </c>
      <c r="D100" s="151">
        <v>1405.85</v>
      </c>
      <c r="E100" s="151">
        <v>40769.65</v>
      </c>
      <c r="F100" s="151">
        <v>-14637.95</v>
      </c>
      <c r="G100" s="151">
        <f t="shared" si="7"/>
        <v>55407.600000000006</v>
      </c>
      <c r="H100" s="174">
        <f t="shared" si="6"/>
        <v>-0.26418668197142631</v>
      </c>
    </row>
    <row r="101" spans="1:8">
      <c r="A101" s="149"/>
      <c r="B101" s="150"/>
      <c r="C101" s="151"/>
      <c r="D101" s="151"/>
      <c r="E101" s="151"/>
      <c r="F101" s="151"/>
      <c r="G101" s="151"/>
      <c r="H101" s="174"/>
    </row>
    <row r="102" spans="1:8">
      <c r="A102" s="77"/>
      <c r="B102" s="76"/>
      <c r="C102" s="179"/>
      <c r="D102" s="179"/>
      <c r="E102" s="179"/>
      <c r="F102" s="179"/>
      <c r="G102" s="78"/>
      <c r="H102" s="175"/>
    </row>
    <row r="103" spans="1:8">
      <c r="A103" s="77"/>
      <c r="B103" s="76"/>
      <c r="C103" s="179"/>
      <c r="D103" s="179"/>
      <c r="E103" s="179"/>
      <c r="F103" s="179"/>
      <c r="G103" s="78"/>
      <c r="H103" s="175"/>
    </row>
    <row r="104" spans="1:8" ht="18">
      <c r="A104" s="44" t="s">
        <v>11</v>
      </c>
      <c r="B104" s="45">
        <f>SUM(B2:B103)</f>
        <v>8804</v>
      </c>
      <c r="C104" s="45"/>
      <c r="D104" s="45"/>
      <c r="E104" s="45">
        <f>SUM(E2:E103)</f>
        <v>4505303.0900000017</v>
      </c>
      <c r="F104" s="45">
        <f>SUM(F2:F103)</f>
        <v>871086.22</v>
      </c>
      <c r="G104" s="45">
        <f>SUM(G2:G103)</f>
        <v>3634216.8700000006</v>
      </c>
      <c r="H104" s="176">
        <f>F104/G104</f>
        <v>0.23969021419461956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29C9-435C-49A6-8786-E80C9AD810E4}">
  <dimension ref="A1:I18"/>
  <sheetViews>
    <sheetView workbookViewId="0">
      <selection activeCell="F6" sqref="F6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80" t="s">
        <v>223</v>
      </c>
      <c r="B1" s="180" t="s">
        <v>224</v>
      </c>
      <c r="C1" s="180" t="s">
        <v>225</v>
      </c>
      <c r="D1" s="180" t="s">
        <v>226</v>
      </c>
      <c r="E1" s="180" t="s">
        <v>227</v>
      </c>
      <c r="F1" s="180" t="s">
        <v>228</v>
      </c>
      <c r="G1" s="180" t="s">
        <v>229</v>
      </c>
      <c r="H1" s="180" t="s">
        <v>230</v>
      </c>
      <c r="I1" s="146" t="s">
        <v>231</v>
      </c>
    </row>
    <row r="2" spans="1:9">
      <c r="A2" s="152" t="s">
        <v>234</v>
      </c>
      <c r="B2" s="153" t="s">
        <v>235</v>
      </c>
      <c r="C2" s="181">
        <v>4080.9659999999999</v>
      </c>
      <c r="D2" s="181">
        <v>73.89</v>
      </c>
      <c r="E2" s="181">
        <v>68.607799999999997</v>
      </c>
      <c r="F2" s="182">
        <v>279986.10960000003</v>
      </c>
      <c r="G2" s="182">
        <v>301542.57770000002</v>
      </c>
      <c r="H2" s="182">
        <v>21556.468199999999</v>
      </c>
      <c r="I2" s="147">
        <f>H2/F2</f>
        <v>7.6991205852306316E-2</v>
      </c>
    </row>
    <row r="3" spans="1:9">
      <c r="A3" s="152" t="s">
        <v>236</v>
      </c>
      <c r="B3" s="153" t="s">
        <v>237</v>
      </c>
      <c r="C3" s="181">
        <v>14235.332</v>
      </c>
      <c r="D3" s="181">
        <v>71.31</v>
      </c>
      <c r="E3" s="181">
        <v>47.766100000000002</v>
      </c>
      <c r="F3" s="182">
        <v>679966.92570000002</v>
      </c>
      <c r="G3" s="182">
        <v>1015121.5249</v>
      </c>
      <c r="H3" s="182">
        <v>335154.5992</v>
      </c>
      <c r="I3" s="147">
        <f t="shared" ref="I3:I18" si="0">H3/F3</f>
        <v>0.49289838451329249</v>
      </c>
    </row>
    <row r="4" spans="1:9">
      <c r="A4" s="152" t="s">
        <v>238</v>
      </c>
      <c r="B4" s="153" t="s">
        <v>237</v>
      </c>
      <c r="C4" s="181">
        <v>4731.1710000000003</v>
      </c>
      <c r="D4" s="181">
        <v>25.75</v>
      </c>
      <c r="E4" s="181">
        <v>26.4192</v>
      </c>
      <c r="F4" s="182">
        <v>124993.76300000001</v>
      </c>
      <c r="G4" s="182">
        <v>121827.65330000001</v>
      </c>
      <c r="H4" s="182">
        <v>-3166.1097</v>
      </c>
      <c r="I4" s="147">
        <f t="shared" si="0"/>
        <v>-2.5330141472738921E-2</v>
      </c>
    </row>
    <row r="5" spans="1:9">
      <c r="A5" s="152" t="s">
        <v>303</v>
      </c>
      <c r="B5" s="153" t="s">
        <v>241</v>
      </c>
      <c r="C5" s="181">
        <v>1857.5519999999999</v>
      </c>
      <c r="D5" s="181">
        <v>553.19010000000003</v>
      </c>
      <c r="E5" s="181">
        <v>366.02140000000003</v>
      </c>
      <c r="F5" s="182">
        <v>679903.69869999995</v>
      </c>
      <c r="G5" s="182">
        <v>1027579.3766</v>
      </c>
      <c r="H5" s="182">
        <v>347675.67800000001</v>
      </c>
      <c r="I5" s="147">
        <f t="shared" si="0"/>
        <v>0.51136018036784958</v>
      </c>
    </row>
    <row r="6" spans="1:9">
      <c r="A6" s="152" t="s">
        <v>242</v>
      </c>
      <c r="B6" s="153" t="s">
        <v>237</v>
      </c>
      <c r="C6" s="181">
        <v>5856.576</v>
      </c>
      <c r="D6" s="181">
        <v>87.775000000000006</v>
      </c>
      <c r="E6" s="181">
        <v>44.3917</v>
      </c>
      <c r="F6" s="182">
        <v>259983.36480000001</v>
      </c>
      <c r="G6" s="182">
        <v>514060.9584</v>
      </c>
      <c r="H6" s="182">
        <v>254077.59359999999</v>
      </c>
      <c r="I6" s="147">
        <f t="shared" si="0"/>
        <v>0.97728404198267371</v>
      </c>
    </row>
    <row r="7" spans="1:9">
      <c r="A7" s="152" t="s">
        <v>272</v>
      </c>
      <c r="B7" s="153" t="s">
        <v>235</v>
      </c>
      <c r="C7" s="181">
        <v>5805.7370000000001</v>
      </c>
      <c r="D7" s="181">
        <v>84.319000000000003</v>
      </c>
      <c r="E7" s="181">
        <v>41.940399999999997</v>
      </c>
      <c r="F7" s="182">
        <v>243495.1642</v>
      </c>
      <c r="G7" s="182">
        <v>489533.93810000003</v>
      </c>
      <c r="H7" s="182">
        <v>246038.7739</v>
      </c>
      <c r="I7" s="147">
        <f t="shared" si="0"/>
        <v>1.0104462431866235</v>
      </c>
    </row>
    <row r="8" spans="1:9">
      <c r="A8" s="152" t="s">
        <v>244</v>
      </c>
      <c r="B8" s="153" t="s">
        <v>233</v>
      </c>
      <c r="C8" s="181">
        <v>5841.7389999999996</v>
      </c>
      <c r="D8" s="181">
        <v>21.2502</v>
      </c>
      <c r="E8" s="181">
        <v>23.964300000000001</v>
      </c>
      <c r="F8" s="182">
        <v>139992.99739999999</v>
      </c>
      <c r="G8" s="182">
        <v>124138.12209999999</v>
      </c>
      <c r="H8" s="182">
        <v>-15854.8753</v>
      </c>
      <c r="I8" s="147">
        <f t="shared" si="0"/>
        <v>-0.11325477412772363</v>
      </c>
    </row>
    <row r="9" spans="1:9">
      <c r="A9" s="152" t="s">
        <v>273</v>
      </c>
      <c r="B9" s="153" t="s">
        <v>233</v>
      </c>
      <c r="C9" s="181">
        <v>29489.420999999998</v>
      </c>
      <c r="D9" s="181">
        <v>8.9671000000000003</v>
      </c>
      <c r="E9" s="181">
        <v>8.3076000000000008</v>
      </c>
      <c r="F9" s="182">
        <v>244987.75169999999</v>
      </c>
      <c r="G9" s="182">
        <v>264434.587</v>
      </c>
      <c r="H9" s="182">
        <v>19446.8354</v>
      </c>
      <c r="I9" s="147">
        <f t="shared" si="0"/>
        <v>7.9378806756893058E-2</v>
      </c>
    </row>
    <row r="10" spans="1:9">
      <c r="A10" s="152" t="s">
        <v>246</v>
      </c>
      <c r="B10" s="153" t="s">
        <v>241</v>
      </c>
      <c r="C10" s="181">
        <v>21530.617999999999</v>
      </c>
      <c r="D10" s="181">
        <v>11.206899999999999</v>
      </c>
      <c r="E10" s="181">
        <v>11.169600000000001</v>
      </c>
      <c r="F10" s="182">
        <v>240487.98329999999</v>
      </c>
      <c r="G10" s="182">
        <v>241291.4829</v>
      </c>
      <c r="H10" s="182">
        <v>803.49950000000001</v>
      </c>
      <c r="I10" s="147">
        <f t="shared" si="0"/>
        <v>3.3411212027075121E-3</v>
      </c>
    </row>
    <row r="11" spans="1:9">
      <c r="A11" s="152" t="s">
        <v>250</v>
      </c>
      <c r="B11" s="153" t="s">
        <v>251</v>
      </c>
      <c r="C11" s="181">
        <v>15615.804</v>
      </c>
      <c r="D11" s="181">
        <v>52.5869</v>
      </c>
      <c r="E11" s="181">
        <v>42.0045</v>
      </c>
      <c r="F11" s="182">
        <v>655933.45349999995</v>
      </c>
      <c r="G11" s="182">
        <v>821186.72340000002</v>
      </c>
      <c r="H11" s="182">
        <v>165253.26990000001</v>
      </c>
      <c r="I11" s="147">
        <f t="shared" si="0"/>
        <v>0.25193602951370131</v>
      </c>
    </row>
    <row r="12" spans="1:9">
      <c r="A12" s="152" t="s">
        <v>274</v>
      </c>
      <c r="B12" s="153" t="s">
        <v>233</v>
      </c>
      <c r="C12" s="181">
        <v>6809.741</v>
      </c>
      <c r="D12" s="181">
        <v>30.42</v>
      </c>
      <c r="E12" s="181">
        <v>35.241999999999997</v>
      </c>
      <c r="F12" s="182">
        <v>239988.8371</v>
      </c>
      <c r="G12" s="182">
        <v>207152.32120000001</v>
      </c>
      <c r="H12" s="182">
        <v>-32836.515899999999</v>
      </c>
      <c r="I12" s="147">
        <f t="shared" si="0"/>
        <v>-0.136825180274187</v>
      </c>
    </row>
    <row r="13" spans="1:9">
      <c r="A13" s="152" t="s">
        <v>253</v>
      </c>
      <c r="B13" s="153" t="s">
        <v>235</v>
      </c>
      <c r="C13" s="181">
        <v>1162.0809999999999</v>
      </c>
      <c r="D13" s="181">
        <v>141.43430000000001</v>
      </c>
      <c r="E13" s="181">
        <v>141.9795</v>
      </c>
      <c r="F13" s="182">
        <v>164991.63389999999</v>
      </c>
      <c r="G13" s="182">
        <v>164358.1128</v>
      </c>
      <c r="H13" s="182">
        <v>-633.52110000000005</v>
      </c>
      <c r="I13" s="147">
        <f t="shared" si="0"/>
        <v>-3.8397165057712668E-3</v>
      </c>
    </row>
    <row r="14" spans="1:9">
      <c r="A14" s="152" t="s">
        <v>255</v>
      </c>
      <c r="B14" s="153" t="s">
        <v>241</v>
      </c>
      <c r="C14" s="181">
        <v>18996.168000000001</v>
      </c>
      <c r="D14" s="181">
        <v>14.054600000000001</v>
      </c>
      <c r="E14" s="181">
        <v>9.4700000000000006</v>
      </c>
      <c r="F14" s="182">
        <v>179893.71100000001</v>
      </c>
      <c r="G14" s="182">
        <v>266983.5428</v>
      </c>
      <c r="H14" s="182">
        <v>87089.8318</v>
      </c>
      <c r="I14" s="147">
        <f t="shared" si="0"/>
        <v>0.48411826803661856</v>
      </c>
    </row>
    <row r="15" spans="1:9">
      <c r="A15"/>
      <c r="B15"/>
      <c r="C15"/>
      <c r="D15"/>
      <c r="E15"/>
      <c r="F15"/>
      <c r="G15"/>
      <c r="H15"/>
      <c r="I15" s="147"/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136012.90599999999</v>
      </c>
      <c r="D18" s="75"/>
      <c r="E18" s="75"/>
      <c r="F18" s="75">
        <f t="shared" ref="F18:H18" si="1">SUM(F2:F15)</f>
        <v>4134605.3939</v>
      </c>
      <c r="G18" s="75">
        <f t="shared" si="1"/>
        <v>5559210.9211999997</v>
      </c>
      <c r="H18" s="75">
        <f t="shared" si="1"/>
        <v>1424605.5274999999</v>
      </c>
      <c r="I18" s="53">
        <f t="shared" si="0"/>
        <v>0.34455658806080869</v>
      </c>
    </row>
  </sheetData>
  <hyperlinks>
    <hyperlink ref="A2" r:id="rId1" location="/mf/1831632/15690/NULL" xr:uid="{89AF4659-100C-453E-A53A-00D61DC5970B}"/>
    <hyperlink ref="A3" r:id="rId2" location="/mf/1831632/22335/NULL" xr:uid="{22465749-FE53-4A21-8C5B-C0D68F398534}"/>
    <hyperlink ref="A4" r:id="rId3" location="/mf/1831632/38817/NULL" xr:uid="{F10C09DF-4083-4D07-BD7A-D44103912BE4}"/>
    <hyperlink ref="A5" r:id="rId4" location="/mf/1831632/16071/NULL" xr:uid="{81239DD9-BC08-4D68-A6E9-DA365CAF0CE6}"/>
    <hyperlink ref="A6" r:id="rId5" location="/mf/1831632/16617/NULL" xr:uid="{4687F227-7CB1-4D1E-BF1C-3A51044DB3A5}"/>
    <hyperlink ref="A7" r:id="rId6" location="/mf/1831632/17134/NULL" xr:uid="{AE55D5EA-894D-4899-83A5-516CF556EE94}"/>
    <hyperlink ref="A8" r:id="rId7" location="/mf/1831632/38228/NULL" xr:uid="{8402A366-EB6D-43E8-89F7-93827F62F985}"/>
    <hyperlink ref="A9" r:id="rId8" location="/mf/1831632/42135/NULL" xr:uid="{3D7B6490-7818-47FF-A958-06B4951B3F94}"/>
    <hyperlink ref="A10" r:id="rId9" location="/mf/1831632/41574/NULL" xr:uid="{59212D4D-BAFD-44CF-B12F-A667ABB4B246}"/>
    <hyperlink ref="A11" r:id="rId10" location="/mf/1831632/19701/NULL" xr:uid="{16C4F511-4086-480E-82D8-DD5206716E6A}"/>
    <hyperlink ref="A12" r:id="rId11" location="/mf/1831632/17348/NULL" xr:uid="{B6818C97-83C9-4014-8298-F0BA3F2D729D}"/>
    <hyperlink ref="A13" r:id="rId12" location="/mf/1831632/17375/NULL" xr:uid="{39C7468F-FC0B-4095-80E7-0FF6D2F9FD7E}"/>
    <hyperlink ref="A14" r:id="rId13" location="/mf/1831632/36491/NULL" xr:uid="{FCA5745E-820A-4B48-B4EA-CE63CB5414B0}"/>
  </hyperlinks>
  <pageMargins left="0.7" right="0.7" top="0.75" bottom="0.75" header="0.3" footer="0.3"/>
  <pageSetup paperSize="9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218B-AE79-4598-99F2-EC54AFE9FABC}">
  <dimension ref="A1:I104"/>
  <sheetViews>
    <sheetView workbookViewId="0">
      <pane xSplit="1" ySplit="1" topLeftCell="B93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48" t="s">
        <v>137</v>
      </c>
      <c r="D1" s="148" t="s">
        <v>138</v>
      </c>
      <c r="E1" s="148" t="s">
        <v>140</v>
      </c>
      <c r="F1" s="148" t="s">
        <v>141</v>
      </c>
      <c r="G1" s="148" t="s">
        <v>129</v>
      </c>
      <c r="H1" s="148" t="s">
        <v>142</v>
      </c>
    </row>
    <row r="2" spans="1:8">
      <c r="A2" s="149" t="s">
        <v>143</v>
      </c>
      <c r="B2" s="150">
        <v>100</v>
      </c>
      <c r="C2" s="150">
        <v>109.73</v>
      </c>
      <c r="D2" s="150">
        <v>100.99</v>
      </c>
      <c r="E2" s="150">
        <v>10099</v>
      </c>
      <c r="F2" s="150">
        <v>-873.5</v>
      </c>
      <c r="G2" s="151">
        <f t="shared" ref="G2:G33" si="0">E2-F2</f>
        <v>10972.5</v>
      </c>
      <c r="H2" s="145">
        <f t="shared" ref="H2:H13" si="1">F2/G2</f>
        <v>-7.9608111187058558E-2</v>
      </c>
    </row>
    <row r="3" spans="1:8">
      <c r="A3" s="149" t="s">
        <v>259</v>
      </c>
      <c r="B3" s="150">
        <v>13</v>
      </c>
      <c r="C3" s="150">
        <v>133.75</v>
      </c>
      <c r="D3" s="150">
        <v>433.6</v>
      </c>
      <c r="E3" s="150">
        <v>5636.8</v>
      </c>
      <c r="F3" s="150">
        <v>3898.05</v>
      </c>
      <c r="G3" s="151">
        <f t="shared" si="0"/>
        <v>1738.75</v>
      </c>
      <c r="H3" s="145">
        <f t="shared" si="1"/>
        <v>2.2418691588785049</v>
      </c>
    </row>
    <row r="4" spans="1:8">
      <c r="A4" s="149" t="s">
        <v>144</v>
      </c>
      <c r="B4" s="150">
        <v>34</v>
      </c>
      <c r="C4" s="150">
        <v>1047.74</v>
      </c>
      <c r="D4" s="150">
        <v>1211.95</v>
      </c>
      <c r="E4" s="150">
        <v>41206.300000000003</v>
      </c>
      <c r="F4" s="150">
        <v>5583.15</v>
      </c>
      <c r="G4" s="151">
        <f t="shared" si="0"/>
        <v>35623.15</v>
      </c>
      <c r="H4" s="145">
        <f t="shared" si="1"/>
        <v>0.15672813886475506</v>
      </c>
    </row>
    <row r="5" spans="1:8">
      <c r="A5" s="149" t="s">
        <v>317</v>
      </c>
      <c r="B5" s="150">
        <v>13</v>
      </c>
      <c r="C5" s="150">
        <v>2592.56</v>
      </c>
      <c r="D5" s="150">
        <v>3005.25</v>
      </c>
      <c r="E5" s="150">
        <v>39068.25</v>
      </c>
      <c r="F5" s="150">
        <v>5365</v>
      </c>
      <c r="G5" s="151">
        <f t="shared" si="0"/>
        <v>33703.25</v>
      </c>
      <c r="H5" s="145">
        <f t="shared" si="1"/>
        <v>0.15918346153560858</v>
      </c>
    </row>
    <row r="6" spans="1:8">
      <c r="A6" s="149" t="s">
        <v>145</v>
      </c>
      <c r="B6" s="150">
        <v>250</v>
      </c>
      <c r="C6" s="150">
        <v>183.59</v>
      </c>
      <c r="D6" s="150">
        <v>324.45</v>
      </c>
      <c r="E6" s="150">
        <v>81112.5</v>
      </c>
      <c r="F6" s="150">
        <v>35215</v>
      </c>
      <c r="G6" s="151">
        <f t="shared" si="0"/>
        <v>45897.5</v>
      </c>
      <c r="H6" s="145">
        <f t="shared" si="1"/>
        <v>0.76725311836156651</v>
      </c>
    </row>
    <row r="7" spans="1:8">
      <c r="A7" s="149" t="s">
        <v>276</v>
      </c>
      <c r="B7" s="150">
        <v>18</v>
      </c>
      <c r="C7" s="150">
        <v>2605.02</v>
      </c>
      <c r="D7" s="150">
        <v>3091.8</v>
      </c>
      <c r="E7" s="150">
        <v>55652.4</v>
      </c>
      <c r="F7" s="150">
        <v>8762.1</v>
      </c>
      <c r="G7" s="151">
        <f t="shared" si="0"/>
        <v>46890.3</v>
      </c>
      <c r="H7" s="145">
        <f t="shared" si="1"/>
        <v>0.186863807653182</v>
      </c>
    </row>
    <row r="8" spans="1:8">
      <c r="A8" s="149" t="s">
        <v>277</v>
      </c>
      <c r="B8" s="150">
        <v>72</v>
      </c>
      <c r="C8" s="150">
        <v>578.16999999999996</v>
      </c>
      <c r="D8" s="150">
        <v>654.45000000000005</v>
      </c>
      <c r="E8" s="150">
        <v>47120.4</v>
      </c>
      <c r="F8" s="150">
        <v>5492.2</v>
      </c>
      <c r="G8" s="151">
        <f t="shared" si="0"/>
        <v>41628.200000000004</v>
      </c>
      <c r="H8" s="145">
        <f t="shared" si="1"/>
        <v>0.13193460202458909</v>
      </c>
    </row>
    <row r="9" spans="1:8">
      <c r="A9" s="149" t="s">
        <v>146</v>
      </c>
      <c r="B9" s="150">
        <v>66</v>
      </c>
      <c r="C9" s="150">
        <v>631.89</v>
      </c>
      <c r="D9" s="150">
        <v>933.85</v>
      </c>
      <c r="E9" s="150">
        <v>61634.1</v>
      </c>
      <c r="F9" s="150">
        <v>19929.099999999999</v>
      </c>
      <c r="G9" s="151">
        <f t="shared" si="0"/>
        <v>41705</v>
      </c>
      <c r="H9" s="145">
        <f t="shared" si="1"/>
        <v>0.47785876993166282</v>
      </c>
    </row>
    <row r="10" spans="1:8">
      <c r="A10" s="149" t="s">
        <v>147</v>
      </c>
      <c r="B10" s="150">
        <v>20</v>
      </c>
      <c r="C10" s="150">
        <v>2859.69</v>
      </c>
      <c r="D10" s="150">
        <v>3616.05</v>
      </c>
      <c r="E10" s="150">
        <v>72321</v>
      </c>
      <c r="F10" s="150">
        <v>15127.2</v>
      </c>
      <c r="G10" s="151">
        <f t="shared" si="0"/>
        <v>57193.8</v>
      </c>
      <c r="H10" s="145">
        <f t="shared" si="1"/>
        <v>0.26449020698047693</v>
      </c>
    </row>
    <row r="11" spans="1:8">
      <c r="A11" s="149" t="s">
        <v>148</v>
      </c>
      <c r="B11" s="150">
        <v>4</v>
      </c>
      <c r="C11" s="150">
        <v>6983.56</v>
      </c>
      <c r="D11" s="150">
        <v>6575.2</v>
      </c>
      <c r="E11" s="150">
        <v>26300.799999999999</v>
      </c>
      <c r="F11" s="150">
        <v>-1633.45</v>
      </c>
      <c r="G11" s="151">
        <f t="shared" si="0"/>
        <v>27934.25</v>
      </c>
      <c r="H11" s="145">
        <f t="shared" si="1"/>
        <v>-5.8474811387454473E-2</v>
      </c>
    </row>
    <row r="12" spans="1:8">
      <c r="A12" s="149" t="s">
        <v>149</v>
      </c>
      <c r="B12" s="150">
        <v>10</v>
      </c>
      <c r="C12" s="150">
        <v>1889.87</v>
      </c>
      <c r="D12" s="150">
        <v>2131.25</v>
      </c>
      <c r="E12" s="150">
        <v>21312.5</v>
      </c>
      <c r="F12" s="150">
        <v>2413.85</v>
      </c>
      <c r="G12" s="151">
        <f t="shared" si="0"/>
        <v>18898.650000000001</v>
      </c>
      <c r="H12" s="145">
        <f t="shared" si="1"/>
        <v>0.12772605450653882</v>
      </c>
    </row>
    <row r="13" spans="1:8">
      <c r="A13" s="149" t="s">
        <v>152</v>
      </c>
      <c r="B13" s="150">
        <v>180</v>
      </c>
      <c r="C13" s="150">
        <v>322.89</v>
      </c>
      <c r="D13" s="150">
        <v>806.7</v>
      </c>
      <c r="E13" s="150">
        <v>145206</v>
      </c>
      <c r="F13" s="150">
        <v>87086</v>
      </c>
      <c r="G13" s="151">
        <f t="shared" si="0"/>
        <v>58120</v>
      </c>
      <c r="H13" s="145">
        <f t="shared" si="1"/>
        <v>1.4983826565726084</v>
      </c>
    </row>
    <row r="14" spans="1:8">
      <c r="A14" s="149" t="s">
        <v>304</v>
      </c>
      <c r="B14" s="150">
        <v>6</v>
      </c>
      <c r="C14" s="150">
        <v>0</v>
      </c>
      <c r="D14" s="150">
        <v>28.9</v>
      </c>
      <c r="E14" s="150">
        <v>173.4</v>
      </c>
      <c r="F14" s="150">
        <v>173.4</v>
      </c>
      <c r="G14" s="151">
        <f t="shared" si="0"/>
        <v>0</v>
      </c>
      <c r="H14" s="145"/>
    </row>
    <row r="15" spans="1:8">
      <c r="A15" s="149" t="s">
        <v>153</v>
      </c>
      <c r="B15" s="150">
        <v>61</v>
      </c>
      <c r="C15" s="150">
        <v>427.78</v>
      </c>
      <c r="D15" s="150">
        <v>467.95</v>
      </c>
      <c r="E15" s="150">
        <v>28544.95</v>
      </c>
      <c r="F15" s="150">
        <v>2450.35</v>
      </c>
      <c r="G15" s="151">
        <f t="shared" si="0"/>
        <v>26094.600000000002</v>
      </c>
      <c r="H15" s="145">
        <f>F15/G15</f>
        <v>9.3902569880358375E-2</v>
      </c>
    </row>
    <row r="16" spans="1:8">
      <c r="A16" s="149" t="s">
        <v>154</v>
      </c>
      <c r="B16" s="150">
        <v>14</v>
      </c>
      <c r="C16" s="150">
        <v>3489.94</v>
      </c>
      <c r="D16" s="150">
        <v>4307.45</v>
      </c>
      <c r="E16" s="150">
        <v>60304.3</v>
      </c>
      <c r="F16" s="150">
        <v>11445.2</v>
      </c>
      <c r="G16" s="151">
        <f t="shared" si="0"/>
        <v>48859.100000000006</v>
      </c>
      <c r="H16" s="145">
        <v>0</v>
      </c>
    </row>
    <row r="17" spans="1:8">
      <c r="A17" s="149" t="s">
        <v>155</v>
      </c>
      <c r="B17" s="150">
        <v>180</v>
      </c>
      <c r="C17" s="150">
        <v>155.25</v>
      </c>
      <c r="D17" s="150">
        <v>123.7</v>
      </c>
      <c r="E17" s="150">
        <v>22266</v>
      </c>
      <c r="F17" s="150">
        <v>-5679</v>
      </c>
      <c r="G17" s="151">
        <f t="shared" si="0"/>
        <v>27945</v>
      </c>
      <c r="H17" s="145">
        <f t="shared" ref="H17:H48" si="2">F17/G17</f>
        <v>-0.20322061191626409</v>
      </c>
    </row>
    <row r="18" spans="1:8">
      <c r="A18" s="149" t="s">
        <v>157</v>
      </c>
      <c r="B18" s="150">
        <v>35</v>
      </c>
      <c r="C18" s="150">
        <v>827.34</v>
      </c>
      <c r="D18" s="150">
        <v>1075.95</v>
      </c>
      <c r="E18" s="150">
        <v>37658.25</v>
      </c>
      <c r="F18" s="150">
        <v>8701.4</v>
      </c>
      <c r="G18" s="151">
        <f t="shared" si="0"/>
        <v>28956.85</v>
      </c>
      <c r="H18" s="145">
        <f t="shared" si="2"/>
        <v>0.30049539228196437</v>
      </c>
    </row>
    <row r="19" spans="1:8">
      <c r="A19" s="149" t="s">
        <v>158</v>
      </c>
      <c r="B19" s="150">
        <v>250</v>
      </c>
      <c r="C19" s="150">
        <v>163.66999999999999</v>
      </c>
      <c r="D19" s="150">
        <v>225.15</v>
      </c>
      <c r="E19" s="150">
        <v>56287.5</v>
      </c>
      <c r="F19" s="150">
        <v>15370</v>
      </c>
      <c r="G19" s="151">
        <f t="shared" si="0"/>
        <v>40917.5</v>
      </c>
      <c r="H19" s="145">
        <f t="shared" si="2"/>
        <v>0.37563389747662979</v>
      </c>
    </row>
    <row r="20" spans="1:8">
      <c r="A20" s="149" t="s">
        <v>159</v>
      </c>
      <c r="B20" s="150">
        <v>8</v>
      </c>
      <c r="C20" s="150">
        <v>4132.8500000000004</v>
      </c>
      <c r="D20" s="150">
        <v>3861.3</v>
      </c>
      <c r="E20" s="150">
        <v>30890.400000000001</v>
      </c>
      <c r="F20" s="150">
        <v>-2172.4</v>
      </c>
      <c r="G20" s="151">
        <f t="shared" si="0"/>
        <v>33062.800000000003</v>
      </c>
      <c r="H20" s="145">
        <f t="shared" si="2"/>
        <v>-6.5705263921990872E-2</v>
      </c>
    </row>
    <row r="21" spans="1:8">
      <c r="A21" s="149" t="s">
        <v>160</v>
      </c>
      <c r="B21" s="150">
        <v>35</v>
      </c>
      <c r="C21" s="150">
        <v>1545.44</v>
      </c>
      <c r="D21" s="150">
        <v>1536.3</v>
      </c>
      <c r="E21" s="150">
        <v>53770.5</v>
      </c>
      <c r="F21" s="150">
        <v>-320</v>
      </c>
      <c r="G21" s="151">
        <f t="shared" si="0"/>
        <v>54090.5</v>
      </c>
      <c r="H21" s="145">
        <f t="shared" si="2"/>
        <v>-5.9160111294959371E-3</v>
      </c>
    </row>
    <row r="22" spans="1:8">
      <c r="A22" s="149" t="s">
        <v>279</v>
      </c>
      <c r="B22" s="150">
        <v>72</v>
      </c>
      <c r="C22" s="150">
        <v>559.89</v>
      </c>
      <c r="D22" s="150">
        <v>561.45000000000005</v>
      </c>
      <c r="E22" s="150">
        <v>40424.400000000001</v>
      </c>
      <c r="F22" s="150">
        <v>112.35</v>
      </c>
      <c r="G22" s="151">
        <f t="shared" si="0"/>
        <v>40312.050000000003</v>
      </c>
      <c r="H22" s="145">
        <f t="shared" si="2"/>
        <v>2.7870078549714042E-3</v>
      </c>
    </row>
    <row r="23" spans="1:8">
      <c r="A23" s="149" t="s">
        <v>332</v>
      </c>
      <c r="B23" s="150">
        <v>13</v>
      </c>
      <c r="C23" s="150">
        <v>2461.1999999999998</v>
      </c>
      <c r="D23" s="150">
        <v>3413.2</v>
      </c>
      <c r="E23" s="150">
        <v>44371.6</v>
      </c>
      <c r="F23" s="150">
        <v>12376.05</v>
      </c>
      <c r="G23" s="151">
        <f t="shared" si="0"/>
        <v>31995.55</v>
      </c>
      <c r="H23" s="145">
        <f t="shared" si="2"/>
        <v>0.38680535261934862</v>
      </c>
    </row>
    <row r="24" spans="1:8">
      <c r="A24" s="149" t="s">
        <v>161</v>
      </c>
      <c r="B24" s="150">
        <v>55</v>
      </c>
      <c r="C24" s="150">
        <v>325.14</v>
      </c>
      <c r="D24" s="150">
        <v>374.1</v>
      </c>
      <c r="E24" s="150">
        <v>20575.5</v>
      </c>
      <c r="F24" s="150">
        <v>2692.6</v>
      </c>
      <c r="G24" s="151">
        <f t="shared" si="0"/>
        <v>17882.900000000001</v>
      </c>
      <c r="H24" s="145">
        <f t="shared" si="2"/>
        <v>0.15056842011083213</v>
      </c>
    </row>
    <row r="25" spans="1:8">
      <c r="A25" s="149" t="s">
        <v>162</v>
      </c>
      <c r="B25" s="150">
        <v>12</v>
      </c>
      <c r="C25" s="150">
        <v>3205.4</v>
      </c>
      <c r="D25" s="150">
        <v>4070.75</v>
      </c>
      <c r="E25" s="150">
        <v>48849</v>
      </c>
      <c r="F25" s="150">
        <v>10384.25</v>
      </c>
      <c r="G25" s="151">
        <f t="shared" si="0"/>
        <v>38464.75</v>
      </c>
      <c r="H25" s="145">
        <f t="shared" si="2"/>
        <v>0.26996795767553411</v>
      </c>
    </row>
    <row r="26" spans="1:8">
      <c r="A26" s="149" t="s">
        <v>163</v>
      </c>
      <c r="B26" s="150">
        <v>11</v>
      </c>
      <c r="C26" s="150">
        <v>4442.55</v>
      </c>
      <c r="D26" s="150">
        <v>4237.55</v>
      </c>
      <c r="E26" s="150">
        <v>46613.05</v>
      </c>
      <c r="F26" s="150">
        <v>-2255</v>
      </c>
      <c r="G26" s="151">
        <f t="shared" si="0"/>
        <v>48868.05</v>
      </c>
      <c r="H26" s="145">
        <f t="shared" si="2"/>
        <v>-4.6144669165231675E-2</v>
      </c>
    </row>
    <row r="27" spans="1:8">
      <c r="A27" s="149" t="s">
        <v>164</v>
      </c>
      <c r="B27" s="150">
        <v>10</v>
      </c>
      <c r="C27" s="150">
        <v>2469.04</v>
      </c>
      <c r="D27" s="150">
        <v>3229.1</v>
      </c>
      <c r="E27" s="150">
        <v>32291</v>
      </c>
      <c r="F27" s="150">
        <v>7600.65</v>
      </c>
      <c r="G27" s="151">
        <f t="shared" si="0"/>
        <v>24690.35</v>
      </c>
      <c r="H27" s="145">
        <f t="shared" si="2"/>
        <v>0.30783889252278723</v>
      </c>
    </row>
    <row r="28" spans="1:8">
      <c r="A28" s="149" t="s">
        <v>270</v>
      </c>
      <c r="B28" s="150">
        <v>61</v>
      </c>
      <c r="C28" s="150">
        <v>360.97</v>
      </c>
      <c r="D28" s="150">
        <v>336.56</v>
      </c>
      <c r="E28" s="150">
        <v>20530.16</v>
      </c>
      <c r="F28" s="150">
        <v>-1489.01</v>
      </c>
      <c r="G28" s="151">
        <f t="shared" si="0"/>
        <v>22019.17</v>
      </c>
      <c r="H28" s="145">
        <f t="shared" si="2"/>
        <v>-6.7623348200681499E-2</v>
      </c>
    </row>
    <row r="29" spans="1:8">
      <c r="A29" s="149" t="s">
        <v>166</v>
      </c>
      <c r="B29" s="150">
        <v>31</v>
      </c>
      <c r="C29" s="150">
        <v>1356.45</v>
      </c>
      <c r="D29" s="150">
        <v>1375</v>
      </c>
      <c r="E29" s="150">
        <v>42625</v>
      </c>
      <c r="F29" s="150">
        <v>575.1</v>
      </c>
      <c r="G29" s="151">
        <f t="shared" si="0"/>
        <v>42049.9</v>
      </c>
      <c r="H29" s="145">
        <f t="shared" si="2"/>
        <v>1.3676608029983425E-2</v>
      </c>
    </row>
    <row r="30" spans="1:8">
      <c r="A30" s="149" t="s">
        <v>168</v>
      </c>
      <c r="B30" s="150">
        <v>60</v>
      </c>
      <c r="C30" s="150">
        <v>716.58</v>
      </c>
      <c r="D30" s="150">
        <v>647.25</v>
      </c>
      <c r="E30" s="150">
        <v>38835</v>
      </c>
      <c r="F30" s="150">
        <v>-4159.7</v>
      </c>
      <c r="G30" s="151">
        <f t="shared" si="0"/>
        <v>42994.7</v>
      </c>
      <c r="H30" s="145">
        <f t="shared" si="2"/>
        <v>-9.6749134195610154E-2</v>
      </c>
    </row>
    <row r="31" spans="1:8">
      <c r="A31" s="149" t="s">
        <v>169</v>
      </c>
      <c r="B31" s="150">
        <v>306</v>
      </c>
      <c r="C31" s="150">
        <v>184.89</v>
      </c>
      <c r="D31" s="150">
        <v>180.25</v>
      </c>
      <c r="E31" s="150">
        <v>55156.5</v>
      </c>
      <c r="F31" s="150">
        <v>-1419.25</v>
      </c>
      <c r="G31" s="151">
        <f t="shared" si="0"/>
        <v>56575.75</v>
      </c>
      <c r="H31" s="145">
        <f t="shared" si="2"/>
        <v>-2.5085836246094836E-2</v>
      </c>
    </row>
    <row r="32" spans="1:8">
      <c r="A32" s="149" t="s">
        <v>170</v>
      </c>
      <c r="B32" s="150">
        <v>387</v>
      </c>
      <c r="C32" s="150">
        <v>82.58</v>
      </c>
      <c r="D32" s="150">
        <v>139.05000000000001</v>
      </c>
      <c r="E32" s="150">
        <v>53812.35</v>
      </c>
      <c r="F32" s="150">
        <v>21852.55</v>
      </c>
      <c r="G32" s="151">
        <f t="shared" si="0"/>
        <v>31959.8</v>
      </c>
      <c r="H32" s="145">
        <f t="shared" si="2"/>
        <v>0.68375114988203933</v>
      </c>
    </row>
    <row r="33" spans="1:8">
      <c r="A33" s="149" t="s">
        <v>325</v>
      </c>
      <c r="B33" s="150">
        <v>57</v>
      </c>
      <c r="C33" s="150">
        <v>630.04</v>
      </c>
      <c r="D33" s="150">
        <v>510.4</v>
      </c>
      <c r="E33" s="150">
        <v>29092.799999999999</v>
      </c>
      <c r="F33" s="150">
        <v>-6819.5</v>
      </c>
      <c r="G33" s="151">
        <f t="shared" si="0"/>
        <v>35912.300000000003</v>
      </c>
      <c r="H33" s="145">
        <f t="shared" si="2"/>
        <v>-0.18989315638374593</v>
      </c>
    </row>
    <row r="34" spans="1:8">
      <c r="A34" s="149" t="s">
        <v>172</v>
      </c>
      <c r="B34" s="150">
        <v>18</v>
      </c>
      <c r="C34" s="150">
        <v>1556.41</v>
      </c>
      <c r="D34" s="150">
        <v>1224.7</v>
      </c>
      <c r="E34" s="150">
        <v>22044.6</v>
      </c>
      <c r="F34" s="150">
        <v>-5970.75</v>
      </c>
      <c r="G34" s="151">
        <f t="shared" ref="G34:G65" si="3">E34-F34</f>
        <v>28015.35</v>
      </c>
      <c r="H34" s="145">
        <f t="shared" si="2"/>
        <v>-0.21312423367903668</v>
      </c>
    </row>
    <row r="35" spans="1:8">
      <c r="A35" s="149" t="s">
        <v>173</v>
      </c>
      <c r="B35" s="150">
        <v>45</v>
      </c>
      <c r="C35" s="150">
        <v>40.9</v>
      </c>
      <c r="D35" s="150">
        <v>46.85</v>
      </c>
      <c r="E35" s="150">
        <v>2108.25</v>
      </c>
      <c r="F35" s="150">
        <v>267.64999999999998</v>
      </c>
      <c r="G35" s="151">
        <f t="shared" si="3"/>
        <v>1840.6</v>
      </c>
      <c r="H35" s="145">
        <f t="shared" si="2"/>
        <v>0.14541453873736823</v>
      </c>
    </row>
    <row r="36" spans="1:8">
      <c r="A36" s="149" t="s">
        <v>174</v>
      </c>
      <c r="B36" s="150">
        <v>45</v>
      </c>
      <c r="C36" s="150">
        <v>1043.6099999999999</v>
      </c>
      <c r="D36" s="150">
        <v>1039.3</v>
      </c>
      <c r="E36" s="150">
        <v>46768.5</v>
      </c>
      <c r="F36" s="150">
        <v>-193.75</v>
      </c>
      <c r="G36" s="151">
        <f t="shared" si="3"/>
        <v>46962.25</v>
      </c>
      <c r="H36" s="145">
        <f t="shared" si="2"/>
        <v>-4.1256541158057802E-3</v>
      </c>
    </row>
    <row r="37" spans="1:8">
      <c r="A37" s="149" t="s">
        <v>175</v>
      </c>
      <c r="B37" s="150">
        <v>48</v>
      </c>
      <c r="C37" s="150">
        <v>1429.32</v>
      </c>
      <c r="D37" s="150">
        <v>1628.15</v>
      </c>
      <c r="E37" s="150">
        <v>78151.199999999997</v>
      </c>
      <c r="F37" s="150">
        <v>9543.75</v>
      </c>
      <c r="G37" s="151">
        <f t="shared" si="3"/>
        <v>68607.45</v>
      </c>
      <c r="H37" s="145">
        <f t="shared" si="2"/>
        <v>0.13910661305732833</v>
      </c>
    </row>
    <row r="38" spans="1:8">
      <c r="A38" s="149" t="s">
        <v>176</v>
      </c>
      <c r="B38" s="150">
        <v>84</v>
      </c>
      <c r="C38" s="150">
        <v>606.33000000000004</v>
      </c>
      <c r="D38" s="150">
        <v>565.9</v>
      </c>
      <c r="E38" s="150">
        <v>47535.6</v>
      </c>
      <c r="F38" s="150">
        <v>-3396.1</v>
      </c>
      <c r="G38" s="151">
        <f t="shared" si="3"/>
        <v>50931.7</v>
      </c>
      <c r="H38" s="145">
        <f t="shared" si="2"/>
        <v>-6.6679494303155007E-2</v>
      </c>
    </row>
    <row r="39" spans="1:8">
      <c r="A39" s="149" t="s">
        <v>177</v>
      </c>
      <c r="B39" s="150">
        <v>12</v>
      </c>
      <c r="C39" s="150">
        <v>2815.97</v>
      </c>
      <c r="D39" s="150">
        <v>2738.85</v>
      </c>
      <c r="E39" s="150">
        <v>32866.199999999997</v>
      </c>
      <c r="F39" s="150">
        <v>-925.45</v>
      </c>
      <c r="G39" s="151">
        <f t="shared" si="3"/>
        <v>33791.649999999994</v>
      </c>
      <c r="H39" s="145">
        <f t="shared" si="2"/>
        <v>-2.7386943224139697E-2</v>
      </c>
    </row>
    <row r="40" spans="1:8">
      <c r="A40" s="149" t="s">
        <v>282</v>
      </c>
      <c r="B40" s="150">
        <v>19</v>
      </c>
      <c r="C40" s="150">
        <v>2270.19</v>
      </c>
      <c r="D40" s="150">
        <v>2561.0500000000002</v>
      </c>
      <c r="E40" s="150">
        <v>48659.95</v>
      </c>
      <c r="F40" s="150">
        <v>5526.4</v>
      </c>
      <c r="G40" s="151">
        <f t="shared" si="3"/>
        <v>43133.549999999996</v>
      </c>
      <c r="H40" s="145">
        <f t="shared" si="2"/>
        <v>0.12812300401891336</v>
      </c>
    </row>
    <row r="41" spans="1:8">
      <c r="A41" s="149" t="s">
        <v>178</v>
      </c>
      <c r="B41" s="150">
        <v>80</v>
      </c>
      <c r="C41" s="150">
        <v>567.6</v>
      </c>
      <c r="D41" s="150">
        <v>890.95</v>
      </c>
      <c r="E41" s="150">
        <v>71276</v>
      </c>
      <c r="F41" s="150">
        <v>25867.65</v>
      </c>
      <c r="G41" s="151">
        <f t="shared" si="3"/>
        <v>45408.35</v>
      </c>
      <c r="H41" s="145">
        <f t="shared" si="2"/>
        <v>0.56966725282905017</v>
      </c>
    </row>
    <row r="42" spans="1:8">
      <c r="A42" s="149" t="s">
        <v>179</v>
      </c>
      <c r="B42" s="150">
        <v>50</v>
      </c>
      <c r="C42" s="150">
        <v>1333.68</v>
      </c>
      <c r="D42" s="150">
        <v>1236.8</v>
      </c>
      <c r="E42" s="150">
        <v>61840</v>
      </c>
      <c r="F42" s="150">
        <v>-4843.75</v>
      </c>
      <c r="G42" s="151">
        <f t="shared" si="3"/>
        <v>66683.75</v>
      </c>
      <c r="H42" s="145">
        <f t="shared" si="2"/>
        <v>-7.263763660561981E-2</v>
      </c>
    </row>
    <row r="43" spans="1:8">
      <c r="A43" s="149" t="s">
        <v>180</v>
      </c>
      <c r="B43" s="150">
        <v>112</v>
      </c>
      <c r="C43" s="150">
        <v>514.28</v>
      </c>
      <c r="D43" s="150">
        <v>451.3</v>
      </c>
      <c r="E43" s="150">
        <v>50545.599999999999</v>
      </c>
      <c r="F43" s="150">
        <v>-7053.7</v>
      </c>
      <c r="G43" s="151">
        <f t="shared" si="3"/>
        <v>57599.299999999996</v>
      </c>
      <c r="H43" s="145">
        <f t="shared" si="2"/>
        <v>-0.12246155769254141</v>
      </c>
    </row>
    <row r="44" spans="1:8">
      <c r="A44" s="149" t="s">
        <v>284</v>
      </c>
      <c r="B44" s="150">
        <v>40</v>
      </c>
      <c r="C44" s="150">
        <v>942.87</v>
      </c>
      <c r="D44" s="150">
        <v>1221.5</v>
      </c>
      <c r="E44" s="150">
        <v>48860</v>
      </c>
      <c r="F44" s="150">
        <v>11145.35</v>
      </c>
      <c r="G44" s="151">
        <f t="shared" si="3"/>
        <v>37714.65</v>
      </c>
      <c r="H44" s="145">
        <f t="shared" si="2"/>
        <v>0.29551778950619983</v>
      </c>
    </row>
    <row r="45" spans="1:8">
      <c r="A45" s="149" t="s">
        <v>333</v>
      </c>
      <c r="B45" s="150">
        <v>30</v>
      </c>
      <c r="C45" s="150">
        <v>1640.41</v>
      </c>
      <c r="D45" s="150">
        <v>1508.7</v>
      </c>
      <c r="E45" s="150">
        <v>45261</v>
      </c>
      <c r="F45" s="150">
        <v>-3951.25</v>
      </c>
      <c r="G45" s="151">
        <f t="shared" si="3"/>
        <v>49212.25</v>
      </c>
      <c r="H45" s="145">
        <f t="shared" si="2"/>
        <v>-8.0289968452976646E-2</v>
      </c>
    </row>
    <row r="46" spans="1:8">
      <c r="A46" s="149" t="s">
        <v>182</v>
      </c>
      <c r="B46" s="150">
        <v>770</v>
      </c>
      <c r="C46" s="150">
        <v>227.34</v>
      </c>
      <c r="D46" s="150">
        <v>331.65</v>
      </c>
      <c r="E46" s="150">
        <v>255370.5</v>
      </c>
      <c r="F46" s="150">
        <v>80316.149999999994</v>
      </c>
      <c r="G46" s="151">
        <f t="shared" si="3"/>
        <v>175054.35</v>
      </c>
      <c r="H46" s="145">
        <f t="shared" si="2"/>
        <v>0.45880693624580021</v>
      </c>
    </row>
    <row r="47" spans="1:8">
      <c r="A47" s="149" t="s">
        <v>183</v>
      </c>
      <c r="B47" s="150">
        <v>17</v>
      </c>
      <c r="C47" s="150">
        <v>1141.79</v>
      </c>
      <c r="D47" s="150">
        <v>1944.5</v>
      </c>
      <c r="E47" s="150">
        <v>33056.5</v>
      </c>
      <c r="F47" s="150">
        <v>13646.1</v>
      </c>
      <c r="G47" s="151">
        <f t="shared" si="3"/>
        <v>19410.400000000001</v>
      </c>
      <c r="H47" s="145">
        <f t="shared" si="2"/>
        <v>0.70303033425380201</v>
      </c>
    </row>
    <row r="48" spans="1:8">
      <c r="A48" s="149" t="s">
        <v>326</v>
      </c>
      <c r="B48" s="150">
        <v>71</v>
      </c>
      <c r="C48" s="150">
        <v>415.91</v>
      </c>
      <c r="D48" s="150">
        <v>409.45</v>
      </c>
      <c r="E48" s="150">
        <v>29070.95</v>
      </c>
      <c r="F48" s="150">
        <v>-459</v>
      </c>
      <c r="G48" s="151">
        <f t="shared" si="3"/>
        <v>29529.95</v>
      </c>
      <c r="H48" s="145">
        <f t="shared" si="2"/>
        <v>-1.5543541387642038E-2</v>
      </c>
    </row>
    <row r="49" spans="1:8">
      <c r="A49" s="149" t="s">
        <v>313</v>
      </c>
      <c r="B49" s="150">
        <v>2</v>
      </c>
      <c r="C49" s="150">
        <v>345.31</v>
      </c>
      <c r="D49" s="150">
        <v>447.23</v>
      </c>
      <c r="E49" s="150">
        <v>894.46</v>
      </c>
      <c r="F49" s="150">
        <v>203.84</v>
      </c>
      <c r="G49" s="151">
        <f t="shared" si="3"/>
        <v>690.62</v>
      </c>
      <c r="H49" s="145">
        <f t="shared" ref="H49:H80" si="4">F49/G49</f>
        <v>0.29515507804581392</v>
      </c>
    </row>
    <row r="50" spans="1:8">
      <c r="A50" s="149" t="s">
        <v>184</v>
      </c>
      <c r="B50" s="150">
        <v>468</v>
      </c>
      <c r="C50" s="150">
        <v>112.01</v>
      </c>
      <c r="D50" s="150">
        <v>113.25</v>
      </c>
      <c r="E50" s="150">
        <v>53001</v>
      </c>
      <c r="F50" s="150">
        <v>578.25</v>
      </c>
      <c r="G50" s="151">
        <f t="shared" si="3"/>
        <v>52422.75</v>
      </c>
      <c r="H50" s="145">
        <f t="shared" si="4"/>
        <v>1.1030516331173012E-2</v>
      </c>
    </row>
    <row r="51" spans="1:8">
      <c r="A51" s="149" t="s">
        <v>185</v>
      </c>
      <c r="B51" s="150">
        <v>38</v>
      </c>
      <c r="C51" s="150">
        <v>1711.28</v>
      </c>
      <c r="D51" s="150">
        <v>1827.25</v>
      </c>
      <c r="E51" s="150">
        <v>69435.5</v>
      </c>
      <c r="F51" s="150">
        <v>4406.7</v>
      </c>
      <c r="G51" s="151">
        <f t="shared" si="3"/>
        <v>65028.800000000003</v>
      </c>
      <c r="H51" s="145">
        <f t="shared" si="4"/>
        <v>6.7765359348473289E-2</v>
      </c>
    </row>
    <row r="52" spans="1:8">
      <c r="A52" s="149" t="s">
        <v>186</v>
      </c>
      <c r="B52" s="150">
        <v>52</v>
      </c>
      <c r="C52" s="150">
        <v>568.65</v>
      </c>
      <c r="D52" s="150">
        <v>704.8</v>
      </c>
      <c r="E52" s="150">
        <v>36649.599999999999</v>
      </c>
      <c r="F52" s="150">
        <v>7079.65</v>
      </c>
      <c r="G52" s="151">
        <f t="shared" si="3"/>
        <v>29569.949999999997</v>
      </c>
      <c r="H52" s="145">
        <f t="shared" si="4"/>
        <v>0.23942042512753658</v>
      </c>
    </row>
    <row r="53" spans="1:8">
      <c r="A53" s="149" t="s">
        <v>187</v>
      </c>
      <c r="B53" s="150">
        <v>8</v>
      </c>
      <c r="C53" s="150">
        <v>2728.63</v>
      </c>
      <c r="D53" s="150">
        <v>2263.9499999999998</v>
      </c>
      <c r="E53" s="150">
        <v>18111.599999999999</v>
      </c>
      <c r="F53" s="150">
        <v>-3717.4</v>
      </c>
      <c r="G53" s="151">
        <f t="shared" si="3"/>
        <v>21829</v>
      </c>
      <c r="H53" s="145">
        <f t="shared" si="4"/>
        <v>-0.17029639470429245</v>
      </c>
    </row>
    <row r="54" spans="1:8">
      <c r="A54" s="149" t="s">
        <v>314</v>
      </c>
      <c r="B54" s="150">
        <v>2</v>
      </c>
      <c r="C54" s="150">
        <v>956.08</v>
      </c>
      <c r="D54" s="150">
        <v>1000</v>
      </c>
      <c r="E54" s="150">
        <v>2000</v>
      </c>
      <c r="F54" s="150">
        <v>87.84</v>
      </c>
      <c r="G54" s="151">
        <f t="shared" si="3"/>
        <v>1912.16</v>
      </c>
      <c r="H54" s="145">
        <f t="shared" si="4"/>
        <v>4.5937578445318386E-2</v>
      </c>
    </row>
    <row r="55" spans="1:8">
      <c r="A55" s="149" t="s">
        <v>188</v>
      </c>
      <c r="B55" s="150">
        <v>62</v>
      </c>
      <c r="C55" s="150">
        <v>1053.22</v>
      </c>
      <c r="D55" s="150">
        <v>2086.3000000000002</v>
      </c>
      <c r="E55" s="150">
        <v>129350.6</v>
      </c>
      <c r="F55" s="150">
        <v>64051.25</v>
      </c>
      <c r="G55" s="151">
        <f t="shared" si="3"/>
        <v>65299.350000000006</v>
      </c>
      <c r="H55" s="145">
        <f t="shared" si="4"/>
        <v>0.98088648661893252</v>
      </c>
    </row>
    <row r="56" spans="1:8">
      <c r="A56" s="149" t="s">
        <v>286</v>
      </c>
      <c r="B56" s="150">
        <v>11</v>
      </c>
      <c r="C56" s="150">
        <v>4690.63</v>
      </c>
      <c r="D56" s="150">
        <v>4365.3999999999996</v>
      </c>
      <c r="E56" s="150">
        <v>48019.4</v>
      </c>
      <c r="F56" s="150">
        <v>-3577.58</v>
      </c>
      <c r="G56" s="151">
        <f t="shared" si="3"/>
        <v>51596.98</v>
      </c>
      <c r="H56" s="145">
        <f t="shared" si="4"/>
        <v>-6.9337003832394842E-2</v>
      </c>
    </row>
    <row r="57" spans="1:8">
      <c r="A57" s="149" t="s">
        <v>189</v>
      </c>
      <c r="B57" s="150">
        <v>29</v>
      </c>
      <c r="C57" s="150">
        <v>775.92</v>
      </c>
      <c r="D57" s="150">
        <v>1249.3</v>
      </c>
      <c r="E57" s="150">
        <v>36229.699999999997</v>
      </c>
      <c r="F57" s="150">
        <v>13728.1</v>
      </c>
      <c r="G57" s="151">
        <f t="shared" si="3"/>
        <v>22501.599999999999</v>
      </c>
      <c r="H57" s="145">
        <f t="shared" si="4"/>
        <v>0.61009439328758852</v>
      </c>
    </row>
    <row r="58" spans="1:8">
      <c r="A58" s="149" t="s">
        <v>324</v>
      </c>
      <c r="B58" s="150">
        <v>118</v>
      </c>
      <c r="C58" s="150">
        <v>184.31</v>
      </c>
      <c r="D58" s="150">
        <v>344.1</v>
      </c>
      <c r="E58" s="150">
        <v>40603.800000000003</v>
      </c>
      <c r="F58" s="150">
        <v>18855.150000000001</v>
      </c>
      <c r="G58" s="151">
        <f t="shared" si="3"/>
        <v>21748.65</v>
      </c>
      <c r="H58" s="145">
        <f t="shared" si="4"/>
        <v>0.86695725941610169</v>
      </c>
    </row>
    <row r="59" spans="1:8">
      <c r="A59" s="149" t="s">
        <v>191</v>
      </c>
      <c r="B59" s="150">
        <v>72</v>
      </c>
      <c r="C59" s="150">
        <v>468.01</v>
      </c>
      <c r="D59" s="150">
        <v>509.85</v>
      </c>
      <c r="E59" s="150">
        <v>36709.199999999997</v>
      </c>
      <c r="F59" s="150">
        <v>3012.6</v>
      </c>
      <c r="G59" s="151">
        <f t="shared" si="3"/>
        <v>33696.6</v>
      </c>
      <c r="H59" s="145">
        <f t="shared" si="4"/>
        <v>8.9403678709424686E-2</v>
      </c>
    </row>
    <row r="60" spans="1:8">
      <c r="A60" s="149" t="s">
        <v>192</v>
      </c>
      <c r="B60" s="150">
        <v>69</v>
      </c>
      <c r="C60" s="150">
        <v>779.46</v>
      </c>
      <c r="D60" s="150">
        <v>677.5</v>
      </c>
      <c r="E60" s="150">
        <v>46747.5</v>
      </c>
      <c r="F60" s="150">
        <v>-7035.05</v>
      </c>
      <c r="G60" s="151">
        <f t="shared" si="3"/>
        <v>53782.55</v>
      </c>
      <c r="H60" s="145">
        <f t="shared" si="4"/>
        <v>-0.13080543782323448</v>
      </c>
    </row>
    <row r="61" spans="1:8">
      <c r="A61" s="149" t="s">
        <v>220</v>
      </c>
      <c r="B61" s="150">
        <v>42</v>
      </c>
      <c r="C61" s="150">
        <v>315.58999999999997</v>
      </c>
      <c r="D61" s="150">
        <v>521.29999999999995</v>
      </c>
      <c r="E61" s="150">
        <v>21894.6</v>
      </c>
      <c r="F61" s="150">
        <v>8639.9</v>
      </c>
      <c r="G61" s="151">
        <f t="shared" si="3"/>
        <v>13254.699999999999</v>
      </c>
      <c r="H61" s="145">
        <f t="shared" si="4"/>
        <v>0.6518367069794111</v>
      </c>
    </row>
    <row r="62" spans="1:8">
      <c r="A62" s="149" t="s">
        <v>265</v>
      </c>
      <c r="B62" s="150">
        <v>58</v>
      </c>
      <c r="C62" s="150">
        <v>342.44</v>
      </c>
      <c r="D62" s="150">
        <v>334.99</v>
      </c>
      <c r="E62" s="150">
        <v>19429.419999999998</v>
      </c>
      <c r="F62" s="150">
        <v>-432.1</v>
      </c>
      <c r="G62" s="151">
        <f t="shared" si="3"/>
        <v>19861.519999999997</v>
      </c>
      <c r="H62" s="145">
        <f t="shared" si="4"/>
        <v>-2.1755636023828996E-2</v>
      </c>
    </row>
    <row r="63" spans="1:8">
      <c r="A63" s="149" t="s">
        <v>194</v>
      </c>
      <c r="B63" s="150">
        <v>192</v>
      </c>
      <c r="C63" s="150">
        <v>104.85</v>
      </c>
      <c r="D63" s="150">
        <v>74.150000000000006</v>
      </c>
      <c r="E63" s="150">
        <v>14236.8</v>
      </c>
      <c r="F63" s="150">
        <v>-5894.3</v>
      </c>
      <c r="G63" s="151">
        <f t="shared" si="3"/>
        <v>20131.099999999999</v>
      </c>
      <c r="H63" s="145">
        <f t="shared" si="4"/>
        <v>-0.29279572402899001</v>
      </c>
    </row>
    <row r="64" spans="1:8">
      <c r="A64" s="149" t="s">
        <v>195</v>
      </c>
      <c r="B64" s="150">
        <v>17</v>
      </c>
      <c r="C64" s="150">
        <v>2361.83</v>
      </c>
      <c r="D64" s="150">
        <v>1974</v>
      </c>
      <c r="E64" s="150">
        <v>33558</v>
      </c>
      <c r="F64" s="150">
        <v>-6593.15</v>
      </c>
      <c r="G64" s="151">
        <f t="shared" si="3"/>
        <v>40151.15</v>
      </c>
      <c r="H64" s="145">
        <f t="shared" si="4"/>
        <v>-0.16420824808255802</v>
      </c>
    </row>
    <row r="65" spans="1:8">
      <c r="A65" s="149" t="s">
        <v>315</v>
      </c>
      <c r="B65" s="150">
        <v>102</v>
      </c>
      <c r="C65" s="150">
        <v>14.26</v>
      </c>
      <c r="D65" s="150">
        <v>58.3</v>
      </c>
      <c r="E65" s="150">
        <v>5946.6</v>
      </c>
      <c r="F65" s="150">
        <v>4491.8999999999996</v>
      </c>
      <c r="G65" s="151">
        <f t="shared" si="3"/>
        <v>1454.7000000000007</v>
      </c>
      <c r="H65" s="145">
        <f t="shared" si="4"/>
        <v>3.0878531656011532</v>
      </c>
    </row>
    <row r="66" spans="1:8">
      <c r="A66" s="149" t="s">
        <v>316</v>
      </c>
      <c r="B66" s="150">
        <v>4</v>
      </c>
      <c r="C66" s="150">
        <v>131.47999999999999</v>
      </c>
      <c r="D66" s="150">
        <v>198.04</v>
      </c>
      <c r="E66" s="150">
        <v>792.16</v>
      </c>
      <c r="F66" s="150">
        <v>266.24</v>
      </c>
      <c r="G66" s="151">
        <f t="shared" ref="G66:G97" si="5">E66-F66</f>
        <v>525.91999999999996</v>
      </c>
      <c r="H66" s="145">
        <f t="shared" si="4"/>
        <v>0.50623668999087323</v>
      </c>
    </row>
    <row r="67" spans="1:8">
      <c r="A67" s="149" t="s">
        <v>198</v>
      </c>
      <c r="B67" s="150">
        <v>79</v>
      </c>
      <c r="C67" s="150">
        <v>499.72</v>
      </c>
      <c r="D67" s="150">
        <v>867.95</v>
      </c>
      <c r="E67" s="150">
        <v>68568.05</v>
      </c>
      <c r="F67" s="150">
        <v>29090.400000000001</v>
      </c>
      <c r="G67" s="151">
        <f t="shared" si="5"/>
        <v>39477.65</v>
      </c>
      <c r="H67" s="145">
        <f t="shared" si="4"/>
        <v>0.7368827678445905</v>
      </c>
    </row>
    <row r="68" spans="1:8">
      <c r="A68" s="149" t="s">
        <v>199</v>
      </c>
      <c r="B68" s="150">
        <v>14</v>
      </c>
      <c r="C68" s="150">
        <v>3786.19</v>
      </c>
      <c r="D68" s="150">
        <v>3023.35</v>
      </c>
      <c r="E68" s="150">
        <v>42326.9</v>
      </c>
      <c r="F68" s="150">
        <v>-10679.8</v>
      </c>
      <c r="G68" s="151">
        <f t="shared" si="5"/>
        <v>53006.7</v>
      </c>
      <c r="H68" s="145">
        <f t="shared" si="4"/>
        <v>-0.20148019024010172</v>
      </c>
    </row>
    <row r="69" spans="1:8">
      <c r="A69" s="149" t="s">
        <v>200</v>
      </c>
      <c r="B69" s="150">
        <v>300</v>
      </c>
      <c r="C69" s="150">
        <v>82.33</v>
      </c>
      <c r="D69" s="150">
        <v>146.80000000000001</v>
      </c>
      <c r="E69" s="150">
        <v>44040</v>
      </c>
      <c r="F69" s="150">
        <v>19340</v>
      </c>
      <c r="G69" s="151">
        <f t="shared" si="5"/>
        <v>24700</v>
      </c>
      <c r="H69" s="145">
        <f t="shared" si="4"/>
        <v>0.78299595141700407</v>
      </c>
    </row>
    <row r="70" spans="1:8">
      <c r="A70" s="149" t="s">
        <v>201</v>
      </c>
      <c r="B70" s="150">
        <v>9</v>
      </c>
      <c r="C70" s="150">
        <v>3657.46</v>
      </c>
      <c r="D70" s="150">
        <v>3870.9</v>
      </c>
      <c r="E70" s="150">
        <v>34838.1</v>
      </c>
      <c r="F70" s="150">
        <v>1920.95</v>
      </c>
      <c r="G70" s="151">
        <f t="shared" si="5"/>
        <v>32917.15</v>
      </c>
      <c r="H70" s="145">
        <f t="shared" si="4"/>
        <v>5.8357117794219732E-2</v>
      </c>
    </row>
    <row r="71" spans="1:8">
      <c r="A71" s="149" t="s">
        <v>202</v>
      </c>
      <c r="B71" s="150">
        <v>25</v>
      </c>
      <c r="C71" s="150">
        <v>869.04</v>
      </c>
      <c r="D71" s="150">
        <v>1422.5</v>
      </c>
      <c r="E71" s="150">
        <v>35562.5</v>
      </c>
      <c r="F71" s="150">
        <v>13836.45</v>
      </c>
      <c r="G71" s="151">
        <f t="shared" si="5"/>
        <v>21726.05</v>
      </c>
      <c r="H71" s="145">
        <f t="shared" si="4"/>
        <v>0.63685989860098824</v>
      </c>
    </row>
    <row r="72" spans="1:8">
      <c r="A72" s="149" t="s">
        <v>203</v>
      </c>
      <c r="B72" s="150">
        <v>12</v>
      </c>
      <c r="C72" s="150">
        <v>2512.88</v>
      </c>
      <c r="D72" s="150">
        <v>2550.65</v>
      </c>
      <c r="E72" s="150">
        <v>30607.8</v>
      </c>
      <c r="F72" s="150">
        <v>453.3</v>
      </c>
      <c r="G72" s="151">
        <f t="shared" si="5"/>
        <v>30154.5</v>
      </c>
      <c r="H72" s="145">
        <f t="shared" si="4"/>
        <v>1.5032582201661444E-2</v>
      </c>
    </row>
    <row r="73" spans="1:8">
      <c r="A73" s="149" t="s">
        <v>204</v>
      </c>
      <c r="B73" s="150">
        <v>61</v>
      </c>
      <c r="C73" s="150">
        <v>488.84</v>
      </c>
      <c r="D73" s="150">
        <v>463.55</v>
      </c>
      <c r="E73" s="150">
        <v>28276.55</v>
      </c>
      <c r="F73" s="150">
        <v>-1542.4</v>
      </c>
      <c r="G73" s="151">
        <f t="shared" si="5"/>
        <v>29818.95</v>
      </c>
      <c r="H73" s="145">
        <f t="shared" si="4"/>
        <v>-5.1725496705953763E-2</v>
      </c>
    </row>
    <row r="74" spans="1:8">
      <c r="A74" s="149" t="s">
        <v>307</v>
      </c>
      <c r="B74" s="150">
        <v>20</v>
      </c>
      <c r="C74" s="150">
        <v>1000</v>
      </c>
      <c r="D74" s="150">
        <v>1094</v>
      </c>
      <c r="E74" s="150">
        <v>21880</v>
      </c>
      <c r="F74" s="150">
        <v>0</v>
      </c>
      <c r="G74" s="151">
        <f t="shared" si="5"/>
        <v>21880</v>
      </c>
      <c r="H74" s="145">
        <f t="shared" si="4"/>
        <v>0</v>
      </c>
    </row>
    <row r="75" spans="1:8">
      <c r="A75" s="149" t="s">
        <v>327</v>
      </c>
      <c r="B75" s="150">
        <v>159</v>
      </c>
      <c r="C75" s="150">
        <v>186.3</v>
      </c>
      <c r="D75" s="150">
        <v>180.8</v>
      </c>
      <c r="E75" s="150">
        <v>28747.200000000001</v>
      </c>
      <c r="F75" s="150">
        <v>-874.5</v>
      </c>
      <c r="G75" s="151">
        <f t="shared" si="5"/>
        <v>29621.7</v>
      </c>
      <c r="H75" s="145">
        <f t="shared" si="4"/>
        <v>-2.9522275899087493E-2</v>
      </c>
    </row>
    <row r="76" spans="1:8">
      <c r="A76" s="149" t="s">
        <v>299</v>
      </c>
      <c r="B76" s="150">
        <v>20</v>
      </c>
      <c r="C76" s="150">
        <v>1103.22</v>
      </c>
      <c r="D76" s="150">
        <v>909.95</v>
      </c>
      <c r="E76" s="150">
        <v>18199</v>
      </c>
      <c r="F76" s="150">
        <v>-3865.35</v>
      </c>
      <c r="G76" s="151">
        <f t="shared" si="5"/>
        <v>22064.35</v>
      </c>
      <c r="H76" s="145">
        <f t="shared" si="4"/>
        <v>-0.17518531024027448</v>
      </c>
    </row>
    <row r="77" spans="1:8">
      <c r="A77" s="149" t="s">
        <v>328</v>
      </c>
      <c r="B77" s="150">
        <v>116</v>
      </c>
      <c r="C77" s="150">
        <v>255.15</v>
      </c>
      <c r="D77" s="150">
        <v>262.89999999999998</v>
      </c>
      <c r="E77" s="150">
        <v>30496.400000000001</v>
      </c>
      <c r="F77" s="150">
        <v>898.6</v>
      </c>
      <c r="G77" s="151">
        <f t="shared" si="5"/>
        <v>29597.800000000003</v>
      </c>
      <c r="H77" s="145">
        <f t="shared" si="4"/>
        <v>3.0360364621694853E-2</v>
      </c>
    </row>
    <row r="78" spans="1:8">
      <c r="A78" s="149" t="s">
        <v>206</v>
      </c>
      <c r="B78" s="150">
        <v>45</v>
      </c>
      <c r="C78" s="150">
        <v>1080.42</v>
      </c>
      <c r="D78" s="150">
        <v>1232.5999999999999</v>
      </c>
      <c r="E78" s="150">
        <v>55467</v>
      </c>
      <c r="F78" s="150">
        <v>6848.25</v>
      </c>
      <c r="G78" s="151">
        <f t="shared" si="5"/>
        <v>48618.75</v>
      </c>
      <c r="H78" s="145">
        <f t="shared" si="4"/>
        <v>0.14085615117624373</v>
      </c>
    </row>
    <row r="79" spans="1:8">
      <c r="A79" s="149" t="s">
        <v>207</v>
      </c>
      <c r="B79" s="150">
        <v>105</v>
      </c>
      <c r="C79" s="150">
        <v>304.5</v>
      </c>
      <c r="D79" s="150">
        <v>613.70000000000005</v>
      </c>
      <c r="E79" s="150">
        <v>64438.5</v>
      </c>
      <c r="F79" s="150">
        <v>32465.599999999999</v>
      </c>
      <c r="G79" s="151">
        <f t="shared" si="5"/>
        <v>31972.9</v>
      </c>
      <c r="H79" s="145">
        <f t="shared" si="4"/>
        <v>1.0154099252804718</v>
      </c>
    </row>
    <row r="80" spans="1:8">
      <c r="A80" s="149" t="s">
        <v>262</v>
      </c>
      <c r="B80" s="150">
        <v>10</v>
      </c>
      <c r="C80" s="150">
        <v>5284</v>
      </c>
      <c r="D80" s="150">
        <v>5215.2700000000004</v>
      </c>
      <c r="E80" s="150">
        <v>52152.7</v>
      </c>
      <c r="F80" s="150">
        <v>-687.3</v>
      </c>
      <c r="G80" s="151">
        <f t="shared" si="5"/>
        <v>52840</v>
      </c>
      <c r="H80" s="145">
        <f t="shared" si="4"/>
        <v>-1.3007191521574564E-2</v>
      </c>
    </row>
    <row r="81" spans="1:8">
      <c r="A81" s="149" t="s">
        <v>209</v>
      </c>
      <c r="B81" s="150">
        <v>5</v>
      </c>
      <c r="C81" s="150">
        <v>4802</v>
      </c>
      <c r="D81" s="150">
        <v>5158.2</v>
      </c>
      <c r="E81" s="150">
        <v>25791</v>
      </c>
      <c r="F81" s="150">
        <v>1781</v>
      </c>
      <c r="G81" s="151">
        <f t="shared" si="5"/>
        <v>24010</v>
      </c>
      <c r="H81" s="145">
        <f t="shared" ref="H81:H112" si="6">F81/G81</f>
        <v>7.4177426072469799E-2</v>
      </c>
    </row>
    <row r="82" spans="1:8">
      <c r="A82" s="149" t="s">
        <v>210</v>
      </c>
      <c r="B82" s="150">
        <v>10</v>
      </c>
      <c r="C82" s="150">
        <v>5002.45</v>
      </c>
      <c r="D82" s="150">
        <v>5167</v>
      </c>
      <c r="E82" s="150">
        <v>51670</v>
      </c>
      <c r="F82" s="150">
        <v>1645.5</v>
      </c>
      <c r="G82" s="151">
        <f t="shared" si="5"/>
        <v>50024.5</v>
      </c>
      <c r="H82" s="145">
        <f t="shared" si="6"/>
        <v>3.2893881997821069E-2</v>
      </c>
    </row>
    <row r="83" spans="1:8">
      <c r="A83" s="149" t="s">
        <v>329</v>
      </c>
      <c r="B83" s="150">
        <v>60</v>
      </c>
      <c r="C83" s="150">
        <v>504</v>
      </c>
      <c r="D83" s="150">
        <v>514.95000000000005</v>
      </c>
      <c r="E83" s="150">
        <v>30897</v>
      </c>
      <c r="F83" s="150">
        <v>657</v>
      </c>
      <c r="G83" s="151">
        <f t="shared" si="5"/>
        <v>30240</v>
      </c>
      <c r="H83" s="145">
        <f t="shared" si="6"/>
        <v>2.1726190476190475E-2</v>
      </c>
    </row>
    <row r="84" spans="1:8">
      <c r="A84" s="149" t="s">
        <v>211</v>
      </c>
      <c r="B84" s="150">
        <v>35</v>
      </c>
      <c r="C84" s="150">
        <v>984.23</v>
      </c>
      <c r="D84" s="150">
        <v>2826.4</v>
      </c>
      <c r="E84" s="150">
        <v>98924</v>
      </c>
      <c r="F84" s="150">
        <v>64475.95</v>
      </c>
      <c r="G84" s="151">
        <f t="shared" si="5"/>
        <v>34448.050000000003</v>
      </c>
      <c r="H84" s="145">
        <f t="shared" si="6"/>
        <v>1.8716864960425914</v>
      </c>
    </row>
    <row r="85" spans="1:8">
      <c r="A85" s="149" t="s">
        <v>330</v>
      </c>
      <c r="B85" s="150">
        <v>54</v>
      </c>
      <c r="C85" s="150">
        <v>508.63</v>
      </c>
      <c r="D85" s="150">
        <v>525.29999999999995</v>
      </c>
      <c r="E85" s="150">
        <v>28366.2</v>
      </c>
      <c r="F85" s="150">
        <v>900</v>
      </c>
      <c r="G85" s="151">
        <f t="shared" si="5"/>
        <v>27466.2</v>
      </c>
      <c r="H85" s="145">
        <f t="shared" si="6"/>
        <v>3.2767547021429977E-2</v>
      </c>
    </row>
    <row r="86" spans="1:8">
      <c r="A86" s="149" t="s">
        <v>290</v>
      </c>
      <c r="B86" s="150">
        <v>21</v>
      </c>
      <c r="C86" s="150">
        <v>652.55999999999995</v>
      </c>
      <c r="D86" s="150">
        <v>419.7</v>
      </c>
      <c r="E86" s="150">
        <v>8813.7000000000007</v>
      </c>
      <c r="F86" s="150">
        <v>-4890</v>
      </c>
      <c r="G86" s="151">
        <f t="shared" si="5"/>
        <v>13703.7</v>
      </c>
      <c r="H86" s="145">
        <f t="shared" si="6"/>
        <v>-0.35683793428052274</v>
      </c>
    </row>
    <row r="87" spans="1:8">
      <c r="A87" s="149" t="s">
        <v>292</v>
      </c>
      <c r="B87" s="150">
        <v>32</v>
      </c>
      <c r="C87" s="150">
        <v>752.33</v>
      </c>
      <c r="D87" s="150">
        <v>969.4</v>
      </c>
      <c r="E87" s="150">
        <v>31020.799999999999</v>
      </c>
      <c r="F87" s="150">
        <v>6946.3</v>
      </c>
      <c r="G87" s="151">
        <f t="shared" si="5"/>
        <v>24074.5</v>
      </c>
      <c r="H87" s="145">
        <f t="shared" si="6"/>
        <v>0.28853351056096699</v>
      </c>
    </row>
    <row r="88" spans="1:8">
      <c r="A88" s="149" t="s">
        <v>212</v>
      </c>
      <c r="B88" s="150">
        <v>135</v>
      </c>
      <c r="C88" s="150">
        <v>501.84</v>
      </c>
      <c r="D88" s="150">
        <v>1001.4</v>
      </c>
      <c r="E88" s="150">
        <v>135189</v>
      </c>
      <c r="F88" s="150">
        <v>67440.7</v>
      </c>
      <c r="G88" s="151">
        <f t="shared" si="5"/>
        <v>67748.3</v>
      </c>
      <c r="H88" s="145">
        <f t="shared" si="6"/>
        <v>0.99545966467055258</v>
      </c>
    </row>
    <row r="89" spans="1:8">
      <c r="A89" s="149" t="s">
        <v>293</v>
      </c>
      <c r="B89" s="150">
        <v>50</v>
      </c>
      <c r="C89" s="150">
        <v>283.19</v>
      </c>
      <c r="D89" s="150">
        <v>330</v>
      </c>
      <c r="E89" s="150">
        <v>16500</v>
      </c>
      <c r="F89" s="150">
        <v>2340.35</v>
      </c>
      <c r="G89" s="151">
        <f t="shared" si="5"/>
        <v>14159.65</v>
      </c>
      <c r="H89" s="145">
        <f t="shared" si="6"/>
        <v>0.16528304018814025</v>
      </c>
    </row>
    <row r="90" spans="1:8">
      <c r="A90" s="149" t="s">
        <v>308</v>
      </c>
      <c r="B90" s="150">
        <v>61</v>
      </c>
      <c r="C90" s="150">
        <v>481.95</v>
      </c>
      <c r="D90" s="150">
        <v>494.9</v>
      </c>
      <c r="E90" s="150">
        <v>30188.9</v>
      </c>
      <c r="F90" s="150">
        <v>789.95</v>
      </c>
      <c r="G90" s="151">
        <f t="shared" si="5"/>
        <v>29398.95</v>
      </c>
      <c r="H90" s="145">
        <f t="shared" si="6"/>
        <v>2.6870007262164125E-2</v>
      </c>
    </row>
    <row r="91" spans="1:8">
      <c r="A91" s="149" t="s">
        <v>213</v>
      </c>
      <c r="B91" s="150">
        <v>57</v>
      </c>
      <c r="C91" s="150">
        <v>468.04</v>
      </c>
      <c r="D91" s="150">
        <v>585.54999999999995</v>
      </c>
      <c r="E91" s="150">
        <v>33376.35</v>
      </c>
      <c r="F91" s="150">
        <v>6697.85</v>
      </c>
      <c r="G91" s="151">
        <f t="shared" si="5"/>
        <v>26678.5</v>
      </c>
      <c r="H91" s="145">
        <f t="shared" si="6"/>
        <v>0.25105796802668817</v>
      </c>
    </row>
    <row r="92" spans="1:8">
      <c r="A92" s="149" t="s">
        <v>214</v>
      </c>
      <c r="B92" s="150">
        <v>38</v>
      </c>
      <c r="C92" s="150">
        <v>684.41</v>
      </c>
      <c r="D92" s="150">
        <v>767.15</v>
      </c>
      <c r="E92" s="150">
        <v>29151.7</v>
      </c>
      <c r="F92" s="150">
        <v>3144.15</v>
      </c>
      <c r="G92" s="151">
        <f t="shared" si="5"/>
        <v>26007.55</v>
      </c>
      <c r="H92" s="145">
        <f t="shared" si="6"/>
        <v>0.12089374047151694</v>
      </c>
    </row>
    <row r="93" spans="1:8">
      <c r="A93" s="149" t="s">
        <v>302</v>
      </c>
      <c r="B93" s="150">
        <v>775</v>
      </c>
      <c r="C93" s="150">
        <v>99.29</v>
      </c>
      <c r="D93" s="150">
        <v>205.65</v>
      </c>
      <c r="E93" s="150">
        <v>159378.75</v>
      </c>
      <c r="F93" s="150">
        <v>82427.75</v>
      </c>
      <c r="G93" s="151">
        <f t="shared" si="5"/>
        <v>76951</v>
      </c>
      <c r="H93" s="145">
        <f t="shared" si="6"/>
        <v>1.0711719145950021</v>
      </c>
    </row>
    <row r="94" spans="1:8">
      <c r="A94" s="149" t="s">
        <v>215</v>
      </c>
      <c r="B94" s="150">
        <v>1050</v>
      </c>
      <c r="C94" s="150">
        <v>40.479999999999997</v>
      </c>
      <c r="D94" s="150">
        <v>112.65</v>
      </c>
      <c r="E94" s="150">
        <v>118282.5</v>
      </c>
      <c r="F94" s="150">
        <v>75782.25</v>
      </c>
      <c r="G94" s="151">
        <f t="shared" si="5"/>
        <v>42500.25</v>
      </c>
      <c r="H94" s="145">
        <f t="shared" si="6"/>
        <v>1.7831012758748479</v>
      </c>
    </row>
    <row r="95" spans="1:8">
      <c r="A95" s="149" t="s">
        <v>216</v>
      </c>
      <c r="B95" s="150">
        <v>17</v>
      </c>
      <c r="C95" s="150">
        <v>3374.6</v>
      </c>
      <c r="D95" s="150">
        <v>3259.25</v>
      </c>
      <c r="E95" s="150">
        <v>55407.25</v>
      </c>
      <c r="F95" s="150">
        <v>-1961</v>
      </c>
      <c r="G95" s="151">
        <f t="shared" si="5"/>
        <v>57368.25</v>
      </c>
      <c r="H95" s="145">
        <f t="shared" si="6"/>
        <v>-3.4182670728146666E-2</v>
      </c>
    </row>
    <row r="96" spans="1:8">
      <c r="A96" s="149" t="s">
        <v>318</v>
      </c>
      <c r="B96" s="150">
        <v>33</v>
      </c>
      <c r="C96" s="150">
        <v>1198.8699999999999</v>
      </c>
      <c r="D96" s="150">
        <v>1016</v>
      </c>
      <c r="E96" s="150">
        <v>33528</v>
      </c>
      <c r="F96" s="150">
        <v>-6034.75</v>
      </c>
      <c r="G96" s="151">
        <f t="shared" si="5"/>
        <v>39562.75</v>
      </c>
      <c r="H96" s="145">
        <f t="shared" si="6"/>
        <v>-0.15253616090893579</v>
      </c>
    </row>
    <row r="97" spans="1:8">
      <c r="A97" s="149" t="s">
        <v>217</v>
      </c>
      <c r="B97" s="150">
        <v>12</v>
      </c>
      <c r="C97" s="150">
        <v>2464.6799999999998</v>
      </c>
      <c r="D97" s="150">
        <v>2597.9499999999998</v>
      </c>
      <c r="E97" s="150">
        <v>31175.4</v>
      </c>
      <c r="F97" s="150">
        <v>1599.3</v>
      </c>
      <c r="G97" s="151">
        <f t="shared" si="5"/>
        <v>29576.100000000002</v>
      </c>
      <c r="H97" s="145">
        <f t="shared" si="6"/>
        <v>5.4074066560499859E-2</v>
      </c>
    </row>
    <row r="98" spans="1:8">
      <c r="A98" s="149" t="s">
        <v>331</v>
      </c>
      <c r="B98" s="150">
        <v>41</v>
      </c>
      <c r="C98" s="150">
        <v>742.5</v>
      </c>
      <c r="D98" s="150">
        <v>717.75</v>
      </c>
      <c r="E98" s="150">
        <v>29427.75</v>
      </c>
      <c r="F98" s="150">
        <v>-1014.75</v>
      </c>
      <c r="G98" s="151">
        <f t="shared" ref="G98:G129" si="7">E98-F98</f>
        <v>30442.5</v>
      </c>
      <c r="H98" s="145">
        <f t="shared" si="6"/>
        <v>-3.3333333333333333E-2</v>
      </c>
    </row>
    <row r="99" spans="1:8">
      <c r="A99" s="149" t="s">
        <v>221</v>
      </c>
      <c r="B99" s="150">
        <v>40</v>
      </c>
      <c r="C99" s="150">
        <v>447.63</v>
      </c>
      <c r="D99" s="150">
        <v>1322.55</v>
      </c>
      <c r="E99" s="150">
        <v>52902</v>
      </c>
      <c r="F99" s="150">
        <v>34997</v>
      </c>
      <c r="G99" s="151">
        <f t="shared" si="7"/>
        <v>17905</v>
      </c>
      <c r="H99" s="145">
        <f t="shared" si="6"/>
        <v>1.9545936889137112</v>
      </c>
    </row>
    <row r="100" spans="1:8">
      <c r="A100" s="149" t="s">
        <v>309</v>
      </c>
      <c r="B100" s="150">
        <v>29</v>
      </c>
      <c r="C100" s="150">
        <v>1910.61</v>
      </c>
      <c r="D100" s="150">
        <v>1508.4</v>
      </c>
      <c r="E100" s="150">
        <v>43743.6</v>
      </c>
      <c r="F100" s="150">
        <v>-11664</v>
      </c>
      <c r="G100" s="151">
        <f t="shared" si="7"/>
        <v>55407.6</v>
      </c>
      <c r="H100" s="145">
        <f t="shared" si="6"/>
        <v>-0.21051263725553895</v>
      </c>
    </row>
    <row r="101" spans="1:8">
      <c r="A101" s="149"/>
      <c r="B101" s="150"/>
      <c r="C101" s="150"/>
      <c r="D101" s="150"/>
      <c r="E101" s="150"/>
      <c r="F101" s="150"/>
      <c r="G101" s="151"/>
      <c r="H101" s="145"/>
    </row>
    <row r="102" spans="1:8">
      <c r="A102" s="77"/>
      <c r="B102" s="76"/>
      <c r="C102" s="76"/>
      <c r="D102" s="76"/>
      <c r="E102" s="78"/>
      <c r="F102" s="78"/>
      <c r="G102" s="78"/>
      <c r="H102" s="136"/>
    </row>
    <row r="103" spans="1:8">
      <c r="A103" s="77"/>
      <c r="B103" s="76"/>
      <c r="C103" s="78"/>
      <c r="D103" s="78"/>
      <c r="E103" s="78"/>
      <c r="F103" s="78"/>
      <c r="G103" s="78"/>
      <c r="H103" s="136"/>
    </row>
    <row r="104" spans="1:8" ht="18">
      <c r="A104" s="44" t="s">
        <v>11</v>
      </c>
      <c r="B104" s="45">
        <f>SUM(B2:B103)</f>
        <v>8761</v>
      </c>
      <c r="C104" s="45"/>
      <c r="D104" s="45"/>
      <c r="E104" s="45">
        <f>SUM(E2:E103)</f>
        <v>4456101.1000000015</v>
      </c>
      <c r="F104" s="45">
        <f>SUM(F2:F103)</f>
        <v>886720.62999999989</v>
      </c>
      <c r="G104" s="45">
        <f>SUM(G2:G103)</f>
        <v>3569380.4700000007</v>
      </c>
      <c r="H104" s="64">
        <f>F104/G104</f>
        <v>0.2484242398513487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F6B7-3F82-41F8-80D0-EE6F06307412}">
  <dimension ref="A1:I18"/>
  <sheetViews>
    <sheetView workbookViewId="0">
      <selection activeCell="D2" sqref="D2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46" t="s">
        <v>223</v>
      </c>
      <c r="B1" s="146" t="s">
        <v>224</v>
      </c>
      <c r="C1" s="146" t="s">
        <v>225</v>
      </c>
      <c r="D1" s="146" t="s">
        <v>226</v>
      </c>
      <c r="E1" s="146" t="s">
        <v>227</v>
      </c>
      <c r="F1" s="146" t="s">
        <v>228</v>
      </c>
      <c r="G1" s="146" t="s">
        <v>229</v>
      </c>
      <c r="H1" s="146" t="s">
        <v>230</v>
      </c>
      <c r="I1" s="146" t="s">
        <v>231</v>
      </c>
    </row>
    <row r="2" spans="1:9">
      <c r="A2" s="168" t="s">
        <v>234</v>
      </c>
      <c r="B2" t="s">
        <v>235</v>
      </c>
      <c r="C2" s="170">
        <v>4080.9659999999999</v>
      </c>
      <c r="D2" s="169">
        <v>75.2</v>
      </c>
      <c r="E2" s="169">
        <v>68.607799999999997</v>
      </c>
      <c r="F2" s="170">
        <v>279986.10960000003</v>
      </c>
      <c r="G2" s="170">
        <v>306888.64319999999</v>
      </c>
      <c r="H2" s="170">
        <v>26902.533599999999</v>
      </c>
      <c r="I2" s="147">
        <f>H2/F2</f>
        <v>9.6085243794537145E-2</v>
      </c>
    </row>
    <row r="3" spans="1:9">
      <c r="A3" s="168" t="s">
        <v>236</v>
      </c>
      <c r="B3" t="s">
        <v>237</v>
      </c>
      <c r="C3" s="170">
        <v>14235.332</v>
      </c>
      <c r="D3" s="169">
        <v>71.66</v>
      </c>
      <c r="E3" s="169">
        <v>47.766100000000002</v>
      </c>
      <c r="F3" s="170">
        <v>679966.92570000002</v>
      </c>
      <c r="G3" s="170">
        <v>1020103.8911</v>
      </c>
      <c r="H3" s="170">
        <v>340136.96539999999</v>
      </c>
      <c r="I3" s="147">
        <f t="shared" ref="I3:I18" si="0">H3/F3</f>
        <v>0.50022575002430003</v>
      </c>
    </row>
    <row r="4" spans="1:9">
      <c r="A4" s="168" t="s">
        <v>238</v>
      </c>
      <c r="B4" t="s">
        <v>237</v>
      </c>
      <c r="C4" s="170">
        <v>1670.84</v>
      </c>
      <c r="D4" s="169">
        <v>26.4</v>
      </c>
      <c r="E4" s="169">
        <v>26.9312</v>
      </c>
      <c r="F4" s="170">
        <v>44997.751900000003</v>
      </c>
      <c r="G4" s="170">
        <v>44110.175999999999</v>
      </c>
      <c r="H4" s="170">
        <v>-887.57590000000005</v>
      </c>
      <c r="I4" s="147">
        <f t="shared" si="0"/>
        <v>-1.9724894300775057E-2</v>
      </c>
    </row>
    <row r="5" spans="1:9">
      <c r="A5" s="168" t="s">
        <v>303</v>
      </c>
      <c r="B5" t="s">
        <v>241</v>
      </c>
      <c r="C5" s="170">
        <v>1857.5519999999999</v>
      </c>
      <c r="D5" s="169">
        <v>561.53409999999997</v>
      </c>
      <c r="E5" s="169">
        <v>366.02140000000003</v>
      </c>
      <c r="F5" s="170">
        <v>679903.69869999995</v>
      </c>
      <c r="G5" s="170">
        <v>1043078.7905</v>
      </c>
      <c r="H5" s="170">
        <v>363175.09179999999</v>
      </c>
      <c r="I5" s="147">
        <f t="shared" si="0"/>
        <v>0.53415666438409393</v>
      </c>
    </row>
    <row r="6" spans="1:9">
      <c r="A6" s="168" t="s">
        <v>242</v>
      </c>
      <c r="B6" t="s">
        <v>237</v>
      </c>
      <c r="C6" s="170">
        <v>5856.576</v>
      </c>
      <c r="D6" s="169">
        <v>88.659000000000006</v>
      </c>
      <c r="E6" s="169">
        <v>44.3917</v>
      </c>
      <c r="F6" s="170">
        <v>259983.36480000001</v>
      </c>
      <c r="G6" s="170">
        <v>519238.1716</v>
      </c>
      <c r="H6" s="170">
        <v>259254.80679999999</v>
      </c>
      <c r="I6" s="147">
        <f t="shared" si="0"/>
        <v>0.99719767454906016</v>
      </c>
    </row>
    <row r="7" spans="1:9">
      <c r="A7" s="168" t="s">
        <v>272</v>
      </c>
      <c r="B7" t="s">
        <v>235</v>
      </c>
      <c r="C7" s="170">
        <v>5805.7370000000001</v>
      </c>
      <c r="D7" s="169">
        <v>85.956000000000003</v>
      </c>
      <c r="E7" s="169">
        <v>41.940399999999997</v>
      </c>
      <c r="F7" s="170">
        <v>243495.1642</v>
      </c>
      <c r="G7" s="170">
        <v>499037.92959999997</v>
      </c>
      <c r="H7" s="170">
        <v>255542.7653</v>
      </c>
      <c r="I7" s="147">
        <f t="shared" si="0"/>
        <v>1.0494777838384686</v>
      </c>
    </row>
    <row r="8" spans="1:9">
      <c r="A8" s="168" t="s">
        <v>244</v>
      </c>
      <c r="B8" t="s">
        <v>233</v>
      </c>
      <c r="C8" s="170">
        <v>5841.7389999999996</v>
      </c>
      <c r="D8" s="169">
        <v>19.055800000000001</v>
      </c>
      <c r="E8" s="169">
        <v>23.964300000000001</v>
      </c>
      <c r="F8" s="170">
        <v>139992.99739999999</v>
      </c>
      <c r="G8" s="170">
        <v>111319.01</v>
      </c>
      <c r="H8" s="170">
        <v>-28673.987400000002</v>
      </c>
      <c r="I8" s="147">
        <f t="shared" si="0"/>
        <v>-0.20482444074020523</v>
      </c>
    </row>
    <row r="9" spans="1:9">
      <c r="A9" s="168" t="s">
        <v>273</v>
      </c>
      <c r="B9" t="s">
        <v>233</v>
      </c>
      <c r="C9" s="170">
        <v>24400.034</v>
      </c>
      <c r="D9" s="169">
        <v>8.0267999999999997</v>
      </c>
      <c r="E9" s="169">
        <v>8.4011999999999993</v>
      </c>
      <c r="F9" s="170">
        <v>204989.75030000001</v>
      </c>
      <c r="G9" s="170">
        <v>195854.19289999999</v>
      </c>
      <c r="H9" s="170">
        <v>-9135.5573999999997</v>
      </c>
      <c r="I9" s="147">
        <f t="shared" si="0"/>
        <v>-4.4565922865071168E-2</v>
      </c>
    </row>
    <row r="10" spans="1:9">
      <c r="A10" s="168" t="s">
        <v>246</v>
      </c>
      <c r="B10" t="s">
        <v>241</v>
      </c>
      <c r="C10" s="170">
        <v>18021.929</v>
      </c>
      <c r="D10" s="169">
        <v>11.5223</v>
      </c>
      <c r="E10" s="169">
        <v>11.1248</v>
      </c>
      <c r="F10" s="170">
        <v>200489.98130000001</v>
      </c>
      <c r="G10" s="170">
        <v>207654.07250000001</v>
      </c>
      <c r="H10" s="170">
        <v>7164.0911999999998</v>
      </c>
      <c r="I10" s="147">
        <f t="shared" si="0"/>
        <v>3.5732913702456411E-2</v>
      </c>
    </row>
    <row r="11" spans="1:9">
      <c r="A11" s="168" t="s">
        <v>250</v>
      </c>
      <c r="B11" t="s">
        <v>251</v>
      </c>
      <c r="C11" s="170">
        <v>14846.114</v>
      </c>
      <c r="D11" s="169">
        <v>51.032800000000002</v>
      </c>
      <c r="E11" s="169">
        <v>41.488</v>
      </c>
      <c r="F11" s="170">
        <v>615935.4351</v>
      </c>
      <c r="G11" s="170">
        <v>757638.76650000003</v>
      </c>
      <c r="H11" s="170">
        <v>141703.3315</v>
      </c>
      <c r="I11" s="147">
        <f t="shared" si="0"/>
        <v>0.23006198933333621</v>
      </c>
    </row>
    <row r="12" spans="1:9">
      <c r="A12" s="168" t="s">
        <v>274</v>
      </c>
      <c r="B12" t="s">
        <v>233</v>
      </c>
      <c r="C12" s="170">
        <v>6809.741</v>
      </c>
      <c r="D12" s="169">
        <v>27.57</v>
      </c>
      <c r="E12" s="169">
        <v>35.241999999999997</v>
      </c>
      <c r="F12" s="170">
        <v>239988.8371</v>
      </c>
      <c r="G12" s="170">
        <v>187744.5594</v>
      </c>
      <c r="H12" s="170">
        <v>-52244.277699999999</v>
      </c>
      <c r="I12" s="147">
        <f t="shared" si="0"/>
        <v>-0.21769461584678015</v>
      </c>
    </row>
    <row r="13" spans="1:9">
      <c r="A13" s="168" t="s">
        <v>253</v>
      </c>
      <c r="B13" t="s">
        <v>235</v>
      </c>
      <c r="C13" s="170">
        <v>895.52</v>
      </c>
      <c r="D13" s="169">
        <v>150.2585</v>
      </c>
      <c r="E13" s="169">
        <v>139.57660000000001</v>
      </c>
      <c r="F13" s="170">
        <v>124993.62270000001</v>
      </c>
      <c r="G13" s="170">
        <v>134559.49189999999</v>
      </c>
      <c r="H13" s="170">
        <v>9565.8691999999992</v>
      </c>
      <c r="I13" s="147">
        <f t="shared" si="0"/>
        <v>7.6530858081929956E-2</v>
      </c>
    </row>
    <row r="14" spans="1:9">
      <c r="A14" s="168" t="s">
        <v>255</v>
      </c>
      <c r="B14" t="s">
        <v>241</v>
      </c>
      <c r="C14" s="170">
        <v>18996.168000000001</v>
      </c>
      <c r="D14" s="169">
        <v>15.4099</v>
      </c>
      <c r="E14" s="169">
        <v>9.4700000000000006</v>
      </c>
      <c r="F14" s="170">
        <v>179893.71100000001</v>
      </c>
      <c r="G14" s="170">
        <v>292729.04930000001</v>
      </c>
      <c r="H14" s="170">
        <v>112835.3383</v>
      </c>
      <c r="I14" s="147">
        <f t="shared" si="0"/>
        <v>0.62723336837495114</v>
      </c>
    </row>
    <row r="15" spans="1:9">
      <c r="A15"/>
      <c r="B15"/>
      <c r="C15"/>
      <c r="D15"/>
      <c r="E15"/>
      <c r="F15"/>
      <c r="G15"/>
      <c r="H15"/>
      <c r="I15" s="147"/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123318.24800000001</v>
      </c>
      <c r="D18" s="75"/>
      <c r="E18" s="75"/>
      <c r="F18" s="75">
        <f t="shared" ref="F18:H18" si="1">SUM(F2:F15)</f>
        <v>3894617.3498000009</v>
      </c>
      <c r="G18" s="75">
        <f t="shared" si="1"/>
        <v>5319956.7444999991</v>
      </c>
      <c r="H18" s="75">
        <f t="shared" si="1"/>
        <v>1425339.3947000001</v>
      </c>
      <c r="I18" s="53">
        <f t="shared" si="0"/>
        <v>0.36597674859461998</v>
      </c>
    </row>
  </sheetData>
  <hyperlinks>
    <hyperlink ref="A2" r:id="rId1" location="/mf/1831632/15690/NULL" xr:uid="{75A5AF43-8436-433B-B594-90929D9FCC0E}"/>
    <hyperlink ref="A3" r:id="rId2" location="/mf/1831632/22335/NULL" xr:uid="{6DC99FFB-702C-4543-8BEB-9685A5A76502}"/>
    <hyperlink ref="A4" r:id="rId3" location="/mf/1831632/38817/NULL" xr:uid="{15198C9D-A7E0-44A1-A152-B57D52E18AB9}"/>
    <hyperlink ref="A5" r:id="rId4" location="/mf/1831632/16071/NULL" xr:uid="{A84B43E1-A733-4FDD-B775-EC886CF9CB56}"/>
    <hyperlink ref="A6" r:id="rId5" location="/mf/1831632/16617/NULL" xr:uid="{42FF3FF2-1FA0-41F9-9011-F123D1B687BA}"/>
    <hyperlink ref="A7" r:id="rId6" location="/mf/1831632/17134/NULL" xr:uid="{4CD996AE-51A7-442E-AB71-246DD3341980}"/>
    <hyperlink ref="A8" r:id="rId7" location="/mf/1831632/38228/NULL" xr:uid="{376A806F-6FBD-4418-8D48-974EACBE1A65}"/>
    <hyperlink ref="A9" r:id="rId8" location="/mf/1831632/42135/NULL" xr:uid="{F8B10868-F929-46AE-A335-A601454EE574}"/>
    <hyperlink ref="A10" r:id="rId9" location="/mf/1831632/41574/NULL" xr:uid="{D1A78411-7F7C-40C4-9170-17666ACD40F0}"/>
    <hyperlink ref="A11" r:id="rId10" location="/mf/1831632/19701/NULL" xr:uid="{094785A1-CD33-4B7E-BD7C-7DD3EE545E12}"/>
    <hyperlink ref="A12" r:id="rId11" location="/mf/1831632/17348/NULL" xr:uid="{09ACDEB8-A77E-4BDE-B74F-7DBFE7645D88}"/>
    <hyperlink ref="A13" r:id="rId12" location="/mf/1831632/17375/NULL" xr:uid="{66978FAC-0C58-4F93-A122-9A3119E6C52A}"/>
    <hyperlink ref="A14" r:id="rId13" location="/mf/1831632/36491/NULL" xr:uid="{2C708325-24A1-448B-950F-F7805787A71D}"/>
  </hyperlinks>
  <pageMargins left="0.7" right="0.7" top="0.75" bottom="0.75" header="0.3" footer="0.3"/>
  <pageSetup paperSize="9"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DDF8-57C8-414D-BC15-21FD3B79DE2D}">
  <dimension ref="A1:I104"/>
  <sheetViews>
    <sheetView workbookViewId="0">
      <pane xSplit="1" ySplit="1" topLeftCell="B101" activePane="bottomRight" state="frozen"/>
      <selection pane="bottomRight"/>
      <selection pane="bottomLeft"/>
      <selection pane="topRight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48" t="s">
        <v>137</v>
      </c>
      <c r="D1" s="148" t="s">
        <v>138</v>
      </c>
      <c r="E1" s="148" t="s">
        <v>140</v>
      </c>
      <c r="F1" s="148" t="s">
        <v>141</v>
      </c>
      <c r="G1" s="148" t="s">
        <v>129</v>
      </c>
      <c r="H1" s="148" t="s">
        <v>142</v>
      </c>
    </row>
    <row r="2" spans="1:8">
      <c r="A2" s="149" t="s">
        <v>143</v>
      </c>
      <c r="B2" s="150">
        <v>100</v>
      </c>
      <c r="C2" s="151">
        <v>109.73</v>
      </c>
      <c r="D2" s="151">
        <v>98.99</v>
      </c>
      <c r="E2" s="151">
        <v>9899</v>
      </c>
      <c r="F2" s="151">
        <v>-1073.5</v>
      </c>
      <c r="G2" s="151">
        <f t="shared" ref="G2:G33" si="0">E2-F2</f>
        <v>10972.5</v>
      </c>
      <c r="H2" s="145">
        <f t="shared" ref="H2:H15" si="1">F2/G2</f>
        <v>-9.7835497835497831E-2</v>
      </c>
    </row>
    <row r="3" spans="1:8">
      <c r="A3" s="149" t="s">
        <v>259</v>
      </c>
      <c r="B3" s="150">
        <v>13</v>
      </c>
      <c r="C3" s="151">
        <v>133.75</v>
      </c>
      <c r="D3" s="151">
        <v>469.45</v>
      </c>
      <c r="E3" s="151">
        <v>6102.85</v>
      </c>
      <c r="F3" s="151">
        <v>4364.1000000000004</v>
      </c>
      <c r="G3" s="151">
        <f t="shared" si="0"/>
        <v>1738.75</v>
      </c>
      <c r="H3" s="145">
        <f t="shared" si="1"/>
        <v>2.5099065420560751</v>
      </c>
    </row>
    <row r="4" spans="1:8">
      <c r="A4" s="149" t="s">
        <v>144</v>
      </c>
      <c r="B4" s="150">
        <v>34</v>
      </c>
      <c r="C4" s="151">
        <v>1047.74</v>
      </c>
      <c r="D4" s="151">
        <v>1251</v>
      </c>
      <c r="E4" s="151">
        <v>42534</v>
      </c>
      <c r="F4" s="151">
        <v>6910.85</v>
      </c>
      <c r="G4" s="151">
        <f t="shared" si="0"/>
        <v>35623.15</v>
      </c>
      <c r="H4" s="145">
        <f t="shared" si="1"/>
        <v>0.19399884625587574</v>
      </c>
    </row>
    <row r="5" spans="1:8">
      <c r="A5" s="149" t="s">
        <v>317</v>
      </c>
      <c r="B5" s="150">
        <v>13</v>
      </c>
      <c r="C5" s="151">
        <v>2592.56</v>
      </c>
      <c r="D5" s="151">
        <v>3124.05</v>
      </c>
      <c r="E5" s="151">
        <v>40612.65</v>
      </c>
      <c r="F5" s="151">
        <v>6909.4</v>
      </c>
      <c r="G5" s="151">
        <f t="shared" si="0"/>
        <v>33703.25</v>
      </c>
      <c r="H5" s="145">
        <f t="shared" si="1"/>
        <v>0.20500693553292337</v>
      </c>
    </row>
    <row r="6" spans="1:8">
      <c r="A6" s="149" t="s">
        <v>145</v>
      </c>
      <c r="B6" s="150">
        <v>250</v>
      </c>
      <c r="C6" s="151">
        <v>183.59</v>
      </c>
      <c r="D6" s="151">
        <v>319.2</v>
      </c>
      <c r="E6" s="151">
        <v>79800</v>
      </c>
      <c r="F6" s="151">
        <v>33902.5</v>
      </c>
      <c r="G6" s="151">
        <f t="shared" si="0"/>
        <v>45897.5</v>
      </c>
      <c r="H6" s="145">
        <f t="shared" si="1"/>
        <v>0.73865678958548942</v>
      </c>
    </row>
    <row r="7" spans="1:8">
      <c r="A7" s="149" t="s">
        <v>276</v>
      </c>
      <c r="B7" s="150">
        <v>18</v>
      </c>
      <c r="C7" s="151">
        <v>2605.02</v>
      </c>
      <c r="D7" s="151">
        <v>3143.45</v>
      </c>
      <c r="E7" s="151">
        <v>56582.1</v>
      </c>
      <c r="F7" s="151">
        <v>9691.7999999999993</v>
      </c>
      <c r="G7" s="151">
        <f t="shared" si="0"/>
        <v>46890.3</v>
      </c>
      <c r="H7" s="145">
        <f t="shared" si="1"/>
        <v>0.20669093607846395</v>
      </c>
    </row>
    <row r="8" spans="1:8">
      <c r="A8" s="149" t="s">
        <v>277</v>
      </c>
      <c r="B8" s="150">
        <v>72</v>
      </c>
      <c r="C8" s="151">
        <v>578.16999999999996</v>
      </c>
      <c r="D8" s="151">
        <v>649.20000000000005</v>
      </c>
      <c r="E8" s="151">
        <v>46742.400000000001</v>
      </c>
      <c r="F8" s="151">
        <v>5114.2</v>
      </c>
      <c r="G8" s="151">
        <f t="shared" si="0"/>
        <v>41628.200000000004</v>
      </c>
      <c r="H8" s="145">
        <f t="shared" si="1"/>
        <v>0.12285421901499463</v>
      </c>
    </row>
    <row r="9" spans="1:8">
      <c r="A9" s="149" t="s">
        <v>146</v>
      </c>
      <c r="B9" s="150">
        <v>76</v>
      </c>
      <c r="C9" s="151">
        <v>603.67999999999995</v>
      </c>
      <c r="D9" s="151">
        <v>905.15</v>
      </c>
      <c r="E9" s="151">
        <v>68791.399999999994</v>
      </c>
      <c r="F9" s="151">
        <v>22911.95</v>
      </c>
      <c r="G9" s="151">
        <f t="shared" si="0"/>
        <v>45879.45</v>
      </c>
      <c r="H9" s="145">
        <f t="shared" si="1"/>
        <v>0.49939460913328304</v>
      </c>
    </row>
    <row r="10" spans="1:8">
      <c r="A10" s="149" t="s">
        <v>147</v>
      </c>
      <c r="B10" s="150">
        <v>20</v>
      </c>
      <c r="C10" s="151">
        <v>2859.69</v>
      </c>
      <c r="D10" s="151">
        <v>3659.35</v>
      </c>
      <c r="E10" s="151">
        <v>73187</v>
      </c>
      <c r="F10" s="151">
        <v>15993.2</v>
      </c>
      <c r="G10" s="151">
        <f t="shared" si="0"/>
        <v>57193.8</v>
      </c>
      <c r="H10" s="145">
        <f t="shared" si="1"/>
        <v>0.279631708332022</v>
      </c>
    </row>
    <row r="11" spans="1:8">
      <c r="A11" s="149" t="s">
        <v>148</v>
      </c>
      <c r="B11" s="150">
        <v>4</v>
      </c>
      <c r="C11" s="151">
        <v>6983.56</v>
      </c>
      <c r="D11" s="151">
        <v>6675.75</v>
      </c>
      <c r="E11" s="151">
        <v>26703</v>
      </c>
      <c r="F11" s="151">
        <v>-1231.25</v>
      </c>
      <c r="G11" s="151">
        <f t="shared" si="0"/>
        <v>27934.25</v>
      </c>
      <c r="H11" s="145">
        <f t="shared" si="1"/>
        <v>-4.4076715859563083E-2</v>
      </c>
    </row>
    <row r="12" spans="1:8">
      <c r="A12" s="149" t="s">
        <v>149</v>
      </c>
      <c r="B12" s="150">
        <v>10</v>
      </c>
      <c r="C12" s="151">
        <v>1889.87</v>
      </c>
      <c r="D12" s="151">
        <v>2062</v>
      </c>
      <c r="E12" s="151">
        <v>20620</v>
      </c>
      <c r="F12" s="151">
        <v>1721.35</v>
      </c>
      <c r="G12" s="151">
        <f t="shared" si="0"/>
        <v>18898.650000000001</v>
      </c>
      <c r="H12" s="145">
        <f t="shared" si="1"/>
        <v>9.1083225521399663E-2</v>
      </c>
    </row>
    <row r="13" spans="1:8">
      <c r="A13" s="149" t="s">
        <v>152</v>
      </c>
      <c r="B13" s="150">
        <v>180</v>
      </c>
      <c r="C13" s="151">
        <v>322.89</v>
      </c>
      <c r="D13" s="151">
        <v>848.85</v>
      </c>
      <c r="E13" s="151">
        <v>152793</v>
      </c>
      <c r="F13" s="151">
        <v>94673</v>
      </c>
      <c r="G13" s="151">
        <f t="shared" si="0"/>
        <v>58120</v>
      </c>
      <c r="H13" s="145">
        <f t="shared" si="1"/>
        <v>1.6289229181004818</v>
      </c>
    </row>
    <row r="14" spans="1:8">
      <c r="A14" s="149" t="s">
        <v>153</v>
      </c>
      <c r="B14" s="150">
        <v>46</v>
      </c>
      <c r="C14" s="151">
        <v>417.93</v>
      </c>
      <c r="D14" s="151">
        <v>497.15</v>
      </c>
      <c r="E14" s="151">
        <v>22868.9</v>
      </c>
      <c r="F14" s="151">
        <v>3644.3</v>
      </c>
      <c r="G14" s="151">
        <f t="shared" si="0"/>
        <v>19224.600000000002</v>
      </c>
      <c r="H14" s="145">
        <f t="shared" si="1"/>
        <v>0.18956441226345411</v>
      </c>
    </row>
    <row r="15" spans="1:8">
      <c r="A15" s="149" t="s">
        <v>154</v>
      </c>
      <c r="B15" s="150">
        <v>14</v>
      </c>
      <c r="C15" s="151">
        <v>3489.94</v>
      </c>
      <c r="D15" s="151">
        <v>4432.8999999999996</v>
      </c>
      <c r="E15" s="151">
        <v>62060.6</v>
      </c>
      <c r="F15" s="151">
        <v>13201.5</v>
      </c>
      <c r="G15" s="151">
        <f t="shared" si="0"/>
        <v>48859.1</v>
      </c>
      <c r="H15" s="145">
        <f t="shared" si="1"/>
        <v>0.27019531673731201</v>
      </c>
    </row>
    <row r="16" spans="1:8">
      <c r="A16" s="149" t="s">
        <v>304</v>
      </c>
      <c r="B16" s="150">
        <v>6</v>
      </c>
      <c r="C16" s="151">
        <v>0</v>
      </c>
      <c r="D16" s="151">
        <v>28.72</v>
      </c>
      <c r="E16" s="151">
        <v>172.32</v>
      </c>
      <c r="F16" s="151">
        <v>172.32</v>
      </c>
      <c r="G16" s="151">
        <f t="shared" si="0"/>
        <v>0</v>
      </c>
      <c r="H16" s="145">
        <v>0</v>
      </c>
    </row>
    <row r="17" spans="1:8">
      <c r="A17" s="149" t="s">
        <v>155</v>
      </c>
      <c r="B17" s="150">
        <v>180</v>
      </c>
      <c r="C17" s="151">
        <v>155.25</v>
      </c>
      <c r="D17" s="151">
        <v>129.6</v>
      </c>
      <c r="E17" s="151">
        <v>23328</v>
      </c>
      <c r="F17" s="151">
        <v>-4617</v>
      </c>
      <c r="G17" s="151">
        <f t="shared" si="0"/>
        <v>27945</v>
      </c>
      <c r="H17" s="145">
        <f t="shared" ref="H17:H48" si="2">F17/G17</f>
        <v>-0.16521739130434782</v>
      </c>
    </row>
    <row r="18" spans="1:8">
      <c r="A18" s="149" t="s">
        <v>157</v>
      </c>
      <c r="B18" s="150">
        <v>40</v>
      </c>
      <c r="C18" s="151">
        <v>777.11</v>
      </c>
      <c r="D18" s="151">
        <v>1114.3499999999999</v>
      </c>
      <c r="E18" s="151">
        <v>44574</v>
      </c>
      <c r="F18" s="151">
        <v>13489.45</v>
      </c>
      <c r="G18" s="151">
        <f t="shared" si="0"/>
        <v>31084.55</v>
      </c>
      <c r="H18" s="145">
        <f t="shared" si="2"/>
        <v>0.43395995759951489</v>
      </c>
    </row>
    <row r="19" spans="1:8">
      <c r="A19" s="149" t="s">
        <v>158</v>
      </c>
      <c r="B19" s="150">
        <v>250</v>
      </c>
      <c r="C19" s="151">
        <v>163.66999999999999</v>
      </c>
      <c r="D19" s="151">
        <v>226.6</v>
      </c>
      <c r="E19" s="151">
        <v>56650</v>
      </c>
      <c r="F19" s="151">
        <v>15732.5</v>
      </c>
      <c r="G19" s="151">
        <f t="shared" si="0"/>
        <v>40917.5</v>
      </c>
      <c r="H19" s="145">
        <f t="shared" si="2"/>
        <v>0.384493187511456</v>
      </c>
    </row>
    <row r="20" spans="1:8">
      <c r="A20" s="149" t="s">
        <v>159</v>
      </c>
      <c r="B20" s="150">
        <v>8</v>
      </c>
      <c r="C20" s="151">
        <v>4132.8500000000004</v>
      </c>
      <c r="D20" s="151">
        <v>4237.5</v>
      </c>
      <c r="E20" s="151">
        <v>33900</v>
      </c>
      <c r="F20" s="151">
        <v>837.2</v>
      </c>
      <c r="G20" s="151">
        <f t="shared" si="0"/>
        <v>33062.800000000003</v>
      </c>
      <c r="H20" s="145">
        <f t="shared" si="2"/>
        <v>2.5321509370047304E-2</v>
      </c>
    </row>
    <row r="21" spans="1:8">
      <c r="A21" s="149" t="s">
        <v>160</v>
      </c>
      <c r="B21" s="150">
        <v>35</v>
      </c>
      <c r="C21" s="151">
        <v>1545.44</v>
      </c>
      <c r="D21" s="151">
        <v>1618</v>
      </c>
      <c r="E21" s="151">
        <v>56630</v>
      </c>
      <c r="F21" s="151">
        <v>2539.5</v>
      </c>
      <c r="G21" s="151">
        <f t="shared" si="0"/>
        <v>54090.5</v>
      </c>
      <c r="H21" s="145">
        <f t="shared" si="2"/>
        <v>4.6949094572984164E-2</v>
      </c>
    </row>
    <row r="22" spans="1:8">
      <c r="A22" s="149" t="s">
        <v>279</v>
      </c>
      <c r="B22" s="150">
        <v>72</v>
      </c>
      <c r="C22" s="151">
        <v>559.89</v>
      </c>
      <c r="D22" s="151">
        <v>591.25</v>
      </c>
      <c r="E22" s="151">
        <v>42570</v>
      </c>
      <c r="F22" s="151">
        <v>2257.9499999999998</v>
      </c>
      <c r="G22" s="151">
        <f t="shared" si="0"/>
        <v>40312.050000000003</v>
      </c>
      <c r="H22" s="145">
        <f t="shared" si="2"/>
        <v>5.6011788038564145E-2</v>
      </c>
    </row>
    <row r="23" spans="1:8">
      <c r="A23" s="149" t="s">
        <v>332</v>
      </c>
      <c r="B23" s="150">
        <v>11</v>
      </c>
      <c r="C23" s="151">
        <v>2298.16</v>
      </c>
      <c r="D23" s="151">
        <v>3381.25</v>
      </c>
      <c r="E23" s="151">
        <v>37193.75</v>
      </c>
      <c r="F23" s="151">
        <v>11914</v>
      </c>
      <c r="G23" s="151">
        <f t="shared" si="0"/>
        <v>25279.75</v>
      </c>
      <c r="H23" s="145">
        <f t="shared" si="2"/>
        <v>0.47128630623324991</v>
      </c>
    </row>
    <row r="24" spans="1:8">
      <c r="A24" s="149" t="s">
        <v>161</v>
      </c>
      <c r="B24" s="150">
        <v>55</v>
      </c>
      <c r="C24" s="151">
        <v>325.14</v>
      </c>
      <c r="D24" s="151">
        <v>410.75</v>
      </c>
      <c r="E24" s="151">
        <v>22591.25</v>
      </c>
      <c r="F24" s="151">
        <v>4708.3500000000004</v>
      </c>
      <c r="G24" s="151">
        <f t="shared" si="0"/>
        <v>17882.900000000001</v>
      </c>
      <c r="H24" s="145">
        <f t="shared" si="2"/>
        <v>0.26328783362877384</v>
      </c>
    </row>
    <row r="25" spans="1:8">
      <c r="A25" s="149" t="s">
        <v>162</v>
      </c>
      <c r="B25" s="150">
        <v>12</v>
      </c>
      <c r="C25" s="151">
        <v>3205.4</v>
      </c>
      <c r="D25" s="151">
        <v>4005.75</v>
      </c>
      <c r="E25" s="151">
        <v>48069</v>
      </c>
      <c r="F25" s="151">
        <v>9604.25</v>
      </c>
      <c r="G25" s="151">
        <f t="shared" si="0"/>
        <v>38464.75</v>
      </c>
      <c r="H25" s="145">
        <f t="shared" si="2"/>
        <v>0.24968965091414866</v>
      </c>
    </row>
    <row r="26" spans="1:8">
      <c r="A26" s="149" t="s">
        <v>164</v>
      </c>
      <c r="B26" s="150">
        <v>10</v>
      </c>
      <c r="C26" s="151">
        <v>2469.04</v>
      </c>
      <c r="D26" s="151">
        <v>3331.85</v>
      </c>
      <c r="E26" s="151">
        <v>33318.5</v>
      </c>
      <c r="F26" s="151">
        <v>8628.15</v>
      </c>
      <c r="G26" s="151">
        <f t="shared" si="0"/>
        <v>24690.35</v>
      </c>
      <c r="H26" s="145">
        <f t="shared" si="2"/>
        <v>0.34945434147349064</v>
      </c>
    </row>
    <row r="27" spans="1:8">
      <c r="A27" s="149" t="s">
        <v>270</v>
      </c>
      <c r="B27" s="150">
        <v>61</v>
      </c>
      <c r="C27" s="151">
        <v>360.97</v>
      </c>
      <c r="D27" s="151">
        <v>342</v>
      </c>
      <c r="E27" s="151">
        <v>20862</v>
      </c>
      <c r="F27" s="151">
        <v>-1157.17</v>
      </c>
      <c r="G27" s="151">
        <f t="shared" si="0"/>
        <v>22019.17</v>
      </c>
      <c r="H27" s="145">
        <f t="shared" si="2"/>
        <v>-5.2552843726625491E-2</v>
      </c>
    </row>
    <row r="28" spans="1:8">
      <c r="A28" s="149" t="s">
        <v>166</v>
      </c>
      <c r="B28" s="150">
        <v>31</v>
      </c>
      <c r="C28" s="151">
        <v>1356.45</v>
      </c>
      <c r="D28" s="151">
        <v>1507.7</v>
      </c>
      <c r="E28" s="151">
        <v>46738.7</v>
      </c>
      <c r="F28" s="151">
        <v>4688.8</v>
      </c>
      <c r="G28" s="151">
        <f t="shared" si="0"/>
        <v>42049.899999999994</v>
      </c>
      <c r="H28" s="145">
        <f t="shared" si="2"/>
        <v>0.11150561594676803</v>
      </c>
    </row>
    <row r="29" spans="1:8">
      <c r="A29" s="149" t="s">
        <v>168</v>
      </c>
      <c r="B29" s="150">
        <v>60</v>
      </c>
      <c r="C29" s="151">
        <v>716.58</v>
      </c>
      <c r="D29" s="151">
        <v>665</v>
      </c>
      <c r="E29" s="151">
        <v>39900</v>
      </c>
      <c r="F29" s="151">
        <v>-3094.7</v>
      </c>
      <c r="G29" s="151">
        <f t="shared" si="0"/>
        <v>42994.7</v>
      </c>
      <c r="H29" s="145">
        <f t="shared" si="2"/>
        <v>-7.1978639227625735E-2</v>
      </c>
    </row>
    <row r="30" spans="1:8">
      <c r="A30" s="149" t="s">
        <v>169</v>
      </c>
      <c r="B30" s="150">
        <v>306</v>
      </c>
      <c r="C30" s="151">
        <v>184.89</v>
      </c>
      <c r="D30" s="151">
        <v>190.6</v>
      </c>
      <c r="E30" s="151">
        <v>58323.6</v>
      </c>
      <c r="F30" s="151">
        <v>1747.85</v>
      </c>
      <c r="G30" s="151">
        <f t="shared" si="0"/>
        <v>56575.75</v>
      </c>
      <c r="H30" s="145">
        <f t="shared" si="2"/>
        <v>3.0893978427152975E-2</v>
      </c>
    </row>
    <row r="31" spans="1:8">
      <c r="A31" s="149" t="s">
        <v>170</v>
      </c>
      <c r="B31" s="150">
        <v>521</v>
      </c>
      <c r="C31" s="151">
        <v>75.53</v>
      </c>
      <c r="D31" s="151">
        <v>133.25</v>
      </c>
      <c r="E31" s="151">
        <v>69423.25</v>
      </c>
      <c r="F31" s="151">
        <v>30071.65</v>
      </c>
      <c r="G31" s="151">
        <f t="shared" si="0"/>
        <v>39351.599999999999</v>
      </c>
      <c r="H31" s="145">
        <f t="shared" si="2"/>
        <v>0.7641785848605902</v>
      </c>
    </row>
    <row r="32" spans="1:8">
      <c r="A32" s="149" t="s">
        <v>325</v>
      </c>
      <c r="B32" s="150">
        <v>44</v>
      </c>
      <c r="C32" s="151">
        <v>661.86</v>
      </c>
      <c r="D32" s="151">
        <v>576.20000000000005</v>
      </c>
      <c r="E32" s="151">
        <v>25352.799999999999</v>
      </c>
      <c r="F32" s="151">
        <v>-3769.2</v>
      </c>
      <c r="G32" s="151">
        <f t="shared" si="0"/>
        <v>29122</v>
      </c>
      <c r="H32" s="145">
        <f t="shared" si="2"/>
        <v>-0.1294279239063251</v>
      </c>
    </row>
    <row r="33" spans="1:8">
      <c r="A33" s="149" t="s">
        <v>334</v>
      </c>
      <c r="B33" s="150">
        <v>16</v>
      </c>
      <c r="C33" s="151">
        <v>3533.32</v>
      </c>
      <c r="D33" s="151">
        <v>1725</v>
      </c>
      <c r="E33" s="151">
        <v>27600</v>
      </c>
      <c r="F33" s="151">
        <v>-28933.1</v>
      </c>
      <c r="G33" s="151">
        <f t="shared" si="0"/>
        <v>56533.1</v>
      </c>
      <c r="H33" s="145">
        <f t="shared" si="2"/>
        <v>-0.511790437814307</v>
      </c>
    </row>
    <row r="34" spans="1:8">
      <c r="A34" s="149" t="s">
        <v>172</v>
      </c>
      <c r="B34" s="150">
        <v>18</v>
      </c>
      <c r="C34" s="151">
        <v>1556.41</v>
      </c>
      <c r="D34" s="151">
        <v>1333.6</v>
      </c>
      <c r="E34" s="151">
        <v>24004.799999999999</v>
      </c>
      <c r="F34" s="151">
        <v>-4010.55</v>
      </c>
      <c r="G34" s="151">
        <f t="shared" ref="G34:G65" si="3">E34-F34</f>
        <v>28015.35</v>
      </c>
      <c r="H34" s="145">
        <f t="shared" si="2"/>
        <v>-0.14315544870936828</v>
      </c>
    </row>
    <row r="35" spans="1:8">
      <c r="A35" s="149" t="s">
        <v>173</v>
      </c>
      <c r="B35" s="150">
        <v>45</v>
      </c>
      <c r="C35" s="151">
        <v>40.9</v>
      </c>
      <c r="D35" s="151">
        <v>45.88</v>
      </c>
      <c r="E35" s="151">
        <v>2064.6</v>
      </c>
      <c r="F35" s="151">
        <v>224</v>
      </c>
      <c r="G35" s="151">
        <f t="shared" si="3"/>
        <v>1840.6</v>
      </c>
      <c r="H35" s="145">
        <f t="shared" si="2"/>
        <v>0.12169944583288059</v>
      </c>
    </row>
    <row r="36" spans="1:8">
      <c r="A36" s="149" t="s">
        <v>174</v>
      </c>
      <c r="B36" s="150">
        <v>42</v>
      </c>
      <c r="C36" s="151">
        <v>1044.27</v>
      </c>
      <c r="D36" s="151">
        <v>1135.55</v>
      </c>
      <c r="E36" s="151">
        <v>47693.1</v>
      </c>
      <c r="F36" s="151">
        <v>3833.75</v>
      </c>
      <c r="G36" s="151">
        <f t="shared" si="3"/>
        <v>43859.35</v>
      </c>
      <c r="H36" s="145">
        <f t="shared" si="2"/>
        <v>8.7410096136855658E-2</v>
      </c>
    </row>
    <row r="37" spans="1:8">
      <c r="A37" s="149" t="s">
        <v>175</v>
      </c>
      <c r="B37" s="150">
        <v>48</v>
      </c>
      <c r="C37" s="151">
        <v>1429.32</v>
      </c>
      <c r="D37" s="151">
        <v>1607.1</v>
      </c>
      <c r="E37" s="151">
        <v>77140.800000000003</v>
      </c>
      <c r="F37" s="151">
        <v>8533.35</v>
      </c>
      <c r="G37" s="151">
        <f t="shared" si="3"/>
        <v>68607.45</v>
      </c>
      <c r="H37" s="145">
        <f t="shared" si="2"/>
        <v>0.12437934947297999</v>
      </c>
    </row>
    <row r="38" spans="1:8">
      <c r="A38" s="149" t="s">
        <v>176</v>
      </c>
      <c r="B38" s="150">
        <v>82</v>
      </c>
      <c r="C38" s="151">
        <v>613.19000000000005</v>
      </c>
      <c r="D38" s="151">
        <v>590</v>
      </c>
      <c r="E38" s="151">
        <v>48380</v>
      </c>
      <c r="F38" s="151">
        <v>-1901.2</v>
      </c>
      <c r="G38" s="151">
        <f t="shared" si="3"/>
        <v>50281.2</v>
      </c>
      <c r="H38" s="145">
        <f t="shared" si="2"/>
        <v>-3.7811348973373751E-2</v>
      </c>
    </row>
    <row r="39" spans="1:8">
      <c r="A39" s="149" t="s">
        <v>177</v>
      </c>
      <c r="B39" s="150">
        <v>12</v>
      </c>
      <c r="C39" s="151">
        <v>2815.97</v>
      </c>
      <c r="D39" s="151">
        <v>2821.35</v>
      </c>
      <c r="E39" s="151">
        <v>33856.199999999997</v>
      </c>
      <c r="F39" s="151">
        <v>64.55</v>
      </c>
      <c r="G39" s="151">
        <f t="shared" si="3"/>
        <v>33791.649999999994</v>
      </c>
      <c r="H39" s="145">
        <f t="shared" si="2"/>
        <v>1.9102352208311818E-3</v>
      </c>
    </row>
    <row r="40" spans="1:8">
      <c r="A40" s="149" t="s">
        <v>335</v>
      </c>
      <c r="B40" s="150">
        <v>47</v>
      </c>
      <c r="C40" s="151">
        <v>591.04</v>
      </c>
      <c r="D40" s="151">
        <v>593.20000000000005</v>
      </c>
      <c r="E40" s="151">
        <v>27880.400000000001</v>
      </c>
      <c r="F40" s="151">
        <v>101.55</v>
      </c>
      <c r="G40" s="151">
        <f t="shared" si="3"/>
        <v>27778.850000000002</v>
      </c>
      <c r="H40" s="145">
        <f t="shared" si="2"/>
        <v>3.6556588915667852E-3</v>
      </c>
    </row>
    <row r="41" spans="1:8">
      <c r="A41" s="149" t="s">
        <v>282</v>
      </c>
      <c r="B41" s="150">
        <v>19</v>
      </c>
      <c r="C41" s="151">
        <v>2270.19</v>
      </c>
      <c r="D41" s="151">
        <v>2615.3000000000002</v>
      </c>
      <c r="E41" s="151">
        <v>49690.7</v>
      </c>
      <c r="F41" s="151">
        <v>6557.15</v>
      </c>
      <c r="G41" s="151">
        <f t="shared" si="3"/>
        <v>43133.549999999996</v>
      </c>
      <c r="H41" s="145">
        <f t="shared" si="2"/>
        <v>0.15201971551147542</v>
      </c>
    </row>
    <row r="42" spans="1:8">
      <c r="A42" s="149" t="s">
        <v>178</v>
      </c>
      <c r="B42" s="150">
        <v>87</v>
      </c>
      <c r="C42" s="151">
        <v>548.66999999999996</v>
      </c>
      <c r="D42" s="151">
        <v>930.8</v>
      </c>
      <c r="E42" s="151">
        <v>80979.600000000006</v>
      </c>
      <c r="F42" s="151">
        <v>33244.949999999997</v>
      </c>
      <c r="G42" s="151">
        <f t="shared" si="3"/>
        <v>47734.650000000009</v>
      </c>
      <c r="H42" s="145">
        <f t="shared" si="2"/>
        <v>0.69645320537596889</v>
      </c>
    </row>
    <row r="43" spans="1:8">
      <c r="A43" s="149" t="s">
        <v>179</v>
      </c>
      <c r="B43" s="150">
        <v>49</v>
      </c>
      <c r="C43" s="151">
        <v>1348.21</v>
      </c>
      <c r="D43" s="151">
        <v>1245</v>
      </c>
      <c r="E43" s="151">
        <v>61005</v>
      </c>
      <c r="F43" s="151">
        <v>-5057.45</v>
      </c>
      <c r="G43" s="151">
        <f t="shared" si="3"/>
        <v>66062.45</v>
      </c>
      <c r="H43" s="145">
        <f t="shared" si="2"/>
        <v>-7.6555592473485312E-2</v>
      </c>
    </row>
    <row r="44" spans="1:8">
      <c r="A44" s="149" t="s">
        <v>180</v>
      </c>
      <c r="B44" s="150">
        <v>90</v>
      </c>
      <c r="C44" s="151">
        <v>530.89</v>
      </c>
      <c r="D44" s="151">
        <v>482.25</v>
      </c>
      <c r="E44" s="151">
        <v>43402.5</v>
      </c>
      <c r="F44" s="151">
        <v>-4377.3</v>
      </c>
      <c r="G44" s="151">
        <f t="shared" si="3"/>
        <v>47779.8</v>
      </c>
      <c r="H44" s="145">
        <f t="shared" si="2"/>
        <v>-9.1614029359687571E-2</v>
      </c>
    </row>
    <row r="45" spans="1:8">
      <c r="A45" s="149" t="s">
        <v>284</v>
      </c>
      <c r="B45" s="150">
        <v>54</v>
      </c>
      <c r="C45" s="151">
        <v>988.1</v>
      </c>
      <c r="D45" s="151">
        <v>1178.7</v>
      </c>
      <c r="E45" s="151">
        <v>63649.8</v>
      </c>
      <c r="F45" s="151">
        <v>10292.25</v>
      </c>
      <c r="G45" s="151">
        <f t="shared" si="3"/>
        <v>53357.55</v>
      </c>
      <c r="H45" s="145">
        <f t="shared" si="2"/>
        <v>0.19289210242974048</v>
      </c>
    </row>
    <row r="46" spans="1:8">
      <c r="A46" s="149" t="s">
        <v>181</v>
      </c>
      <c r="B46" s="150">
        <v>28</v>
      </c>
      <c r="C46" s="151">
        <v>1649.78</v>
      </c>
      <c r="D46" s="151">
        <v>1638.55</v>
      </c>
      <c r="E46" s="151">
        <v>45879.4</v>
      </c>
      <c r="F46" s="151">
        <v>-314.45</v>
      </c>
      <c r="G46" s="151">
        <f t="shared" si="3"/>
        <v>46193.85</v>
      </c>
      <c r="H46" s="145">
        <f t="shared" si="2"/>
        <v>-6.8071832072884161E-3</v>
      </c>
    </row>
    <row r="47" spans="1:8">
      <c r="A47" s="149" t="s">
        <v>182</v>
      </c>
      <c r="B47" s="150">
        <v>770</v>
      </c>
      <c r="C47" s="151">
        <v>227.34</v>
      </c>
      <c r="D47" s="151">
        <v>337.15</v>
      </c>
      <c r="E47" s="151">
        <v>259605.5</v>
      </c>
      <c r="F47" s="151">
        <v>84551.15</v>
      </c>
      <c r="G47" s="151">
        <f t="shared" si="3"/>
        <v>175054.35</v>
      </c>
      <c r="H47" s="145">
        <f t="shared" si="2"/>
        <v>0.48299942275070568</v>
      </c>
    </row>
    <row r="48" spans="1:8">
      <c r="A48" s="149" t="s">
        <v>183</v>
      </c>
      <c r="B48" s="150">
        <v>21</v>
      </c>
      <c r="C48" s="151">
        <v>1067.58</v>
      </c>
      <c r="D48" s="151">
        <v>2000.75</v>
      </c>
      <c r="E48" s="151">
        <v>42015.75</v>
      </c>
      <c r="F48" s="151">
        <v>19596.650000000001</v>
      </c>
      <c r="G48" s="151">
        <f t="shared" si="3"/>
        <v>22419.1</v>
      </c>
      <c r="H48" s="145">
        <f t="shared" si="2"/>
        <v>0.87410511572721483</v>
      </c>
    </row>
    <row r="49" spans="1:8">
      <c r="A49" s="149" t="s">
        <v>313</v>
      </c>
      <c r="B49" s="150">
        <v>2</v>
      </c>
      <c r="C49" s="151">
        <v>345.31</v>
      </c>
      <c r="D49" s="151">
        <v>463.99</v>
      </c>
      <c r="E49" s="151">
        <v>927.98</v>
      </c>
      <c r="F49" s="151">
        <v>237.36</v>
      </c>
      <c r="G49" s="151">
        <f t="shared" si="3"/>
        <v>690.62</v>
      </c>
      <c r="H49" s="145">
        <f t="shared" ref="H49:H80" si="4">F49/G49</f>
        <v>0.34369117604471344</v>
      </c>
    </row>
    <row r="50" spans="1:8">
      <c r="A50" s="149" t="s">
        <v>185</v>
      </c>
      <c r="B50" s="150">
        <v>38</v>
      </c>
      <c r="C50" s="151">
        <v>1711.28</v>
      </c>
      <c r="D50" s="151">
        <v>1930.5</v>
      </c>
      <c r="E50" s="151">
        <v>73359</v>
      </c>
      <c r="F50" s="151">
        <v>8330.2000000000007</v>
      </c>
      <c r="G50" s="151">
        <f t="shared" si="3"/>
        <v>65028.800000000003</v>
      </c>
      <c r="H50" s="145">
        <f t="shared" si="4"/>
        <v>0.12810016485003567</v>
      </c>
    </row>
    <row r="51" spans="1:8">
      <c r="A51" s="149" t="s">
        <v>186</v>
      </c>
      <c r="B51" s="150">
        <v>52</v>
      </c>
      <c r="C51" s="151">
        <v>568.65</v>
      </c>
      <c r="D51" s="151">
        <v>717.9</v>
      </c>
      <c r="E51" s="151">
        <v>37330.800000000003</v>
      </c>
      <c r="F51" s="151">
        <v>7760.85</v>
      </c>
      <c r="G51" s="151">
        <f t="shared" si="3"/>
        <v>29569.950000000004</v>
      </c>
      <c r="H51" s="145">
        <f t="shared" si="4"/>
        <v>0.26245732576483893</v>
      </c>
    </row>
    <row r="52" spans="1:8">
      <c r="A52" s="149" t="s">
        <v>187</v>
      </c>
      <c r="B52" s="150">
        <v>8</v>
      </c>
      <c r="C52" s="151">
        <v>2728.63</v>
      </c>
      <c r="D52" s="151">
        <v>2478.15</v>
      </c>
      <c r="E52" s="151">
        <v>19825.2</v>
      </c>
      <c r="F52" s="151">
        <v>-2003.8</v>
      </c>
      <c r="G52" s="151">
        <f t="shared" si="3"/>
        <v>21829</v>
      </c>
      <c r="H52" s="145">
        <f t="shared" si="4"/>
        <v>-9.1795318154748271E-2</v>
      </c>
    </row>
    <row r="53" spans="1:8">
      <c r="A53" s="149" t="s">
        <v>314</v>
      </c>
      <c r="B53" s="150">
        <v>2</v>
      </c>
      <c r="C53" s="151">
        <v>960.12</v>
      </c>
      <c r="D53" s="151">
        <v>1000</v>
      </c>
      <c r="E53" s="151">
        <v>2000</v>
      </c>
      <c r="F53" s="151">
        <v>79.760000000000005</v>
      </c>
      <c r="G53" s="151">
        <f t="shared" si="3"/>
        <v>1920.24</v>
      </c>
      <c r="H53" s="145">
        <f t="shared" si="4"/>
        <v>4.1536474607340751E-2</v>
      </c>
    </row>
    <row r="54" spans="1:8">
      <c r="A54" s="149" t="s">
        <v>188</v>
      </c>
      <c r="B54" s="150">
        <v>62</v>
      </c>
      <c r="C54" s="151">
        <v>1053.22</v>
      </c>
      <c r="D54" s="151">
        <v>2085.5</v>
      </c>
      <c r="E54" s="151">
        <v>129301</v>
      </c>
      <c r="F54" s="151">
        <v>64001.65</v>
      </c>
      <c r="G54" s="151">
        <f t="shared" si="3"/>
        <v>65299.35</v>
      </c>
      <c r="H54" s="145">
        <f t="shared" si="4"/>
        <v>0.98012690784824053</v>
      </c>
    </row>
    <row r="55" spans="1:8">
      <c r="A55" s="149" t="s">
        <v>286</v>
      </c>
      <c r="B55" s="150">
        <v>5</v>
      </c>
      <c r="C55" s="151">
        <v>4717.7</v>
      </c>
      <c r="D55" s="151">
        <v>5068</v>
      </c>
      <c r="E55" s="151">
        <v>25340</v>
      </c>
      <c r="F55" s="151">
        <v>1751.5</v>
      </c>
      <c r="G55" s="151">
        <f t="shared" si="3"/>
        <v>23588.5</v>
      </c>
      <c r="H55" s="145">
        <f t="shared" si="4"/>
        <v>7.4252283951925721E-2</v>
      </c>
    </row>
    <row r="56" spans="1:8">
      <c r="A56" s="149" t="s">
        <v>189</v>
      </c>
      <c r="B56" s="150">
        <v>29</v>
      </c>
      <c r="C56" s="151">
        <v>775.92</v>
      </c>
      <c r="D56" s="151">
        <v>1264.5999999999999</v>
      </c>
      <c r="E56" s="151">
        <v>36673.4</v>
      </c>
      <c r="F56" s="151">
        <v>14171.8</v>
      </c>
      <c r="G56" s="151">
        <f t="shared" si="3"/>
        <v>22501.600000000002</v>
      </c>
      <c r="H56" s="145">
        <f t="shared" si="4"/>
        <v>0.62981299107619004</v>
      </c>
    </row>
    <row r="57" spans="1:8">
      <c r="A57" s="149" t="s">
        <v>324</v>
      </c>
      <c r="B57" s="150">
        <v>118</v>
      </c>
      <c r="C57" s="151">
        <v>184.31</v>
      </c>
      <c r="D57" s="151">
        <v>287.55</v>
      </c>
      <c r="E57" s="151">
        <v>33930.9</v>
      </c>
      <c r="F57" s="151">
        <v>12182.25</v>
      </c>
      <c r="G57" s="151">
        <f t="shared" si="3"/>
        <v>21748.65</v>
      </c>
      <c r="H57" s="145">
        <f t="shared" si="4"/>
        <v>0.56013821547544329</v>
      </c>
    </row>
    <row r="58" spans="1:8">
      <c r="A58" s="149" t="s">
        <v>191</v>
      </c>
      <c r="B58" s="150">
        <v>72</v>
      </c>
      <c r="C58" s="151">
        <v>468.01</v>
      </c>
      <c r="D58" s="151">
        <v>503.85</v>
      </c>
      <c r="E58" s="151">
        <v>36277.199999999997</v>
      </c>
      <c r="F58" s="151">
        <v>2580.6</v>
      </c>
      <c r="G58" s="151">
        <f t="shared" si="3"/>
        <v>33696.6</v>
      </c>
      <c r="H58" s="145">
        <f t="shared" si="4"/>
        <v>7.658339417033172E-2</v>
      </c>
    </row>
    <row r="59" spans="1:8">
      <c r="A59" s="149" t="s">
        <v>192</v>
      </c>
      <c r="B59" s="150">
        <v>66</v>
      </c>
      <c r="C59" s="151">
        <v>782.82</v>
      </c>
      <c r="D59" s="151">
        <v>708</v>
      </c>
      <c r="E59" s="151">
        <v>46728</v>
      </c>
      <c r="F59" s="151">
        <v>-4937.8999999999996</v>
      </c>
      <c r="G59" s="151">
        <f t="shared" si="3"/>
        <v>51665.9</v>
      </c>
      <c r="H59" s="145">
        <f t="shared" si="4"/>
        <v>-9.5573676254550863E-2</v>
      </c>
    </row>
    <row r="60" spans="1:8">
      <c r="A60" s="149" t="s">
        <v>265</v>
      </c>
      <c r="B60" s="150">
        <v>58</v>
      </c>
      <c r="C60" s="151">
        <v>342.44</v>
      </c>
      <c r="D60" s="151">
        <v>335.96</v>
      </c>
      <c r="E60" s="151">
        <v>19485.68</v>
      </c>
      <c r="F60" s="151">
        <v>-375.84</v>
      </c>
      <c r="G60" s="151">
        <f t="shared" si="3"/>
        <v>19861.52</v>
      </c>
      <c r="H60" s="145">
        <f t="shared" si="4"/>
        <v>-1.8923023011330451E-2</v>
      </c>
    </row>
    <row r="61" spans="1:8">
      <c r="A61" s="149" t="s">
        <v>194</v>
      </c>
      <c r="B61" s="150">
        <v>192</v>
      </c>
      <c r="C61" s="151">
        <v>104.85</v>
      </c>
      <c r="D61" s="151">
        <v>74</v>
      </c>
      <c r="E61" s="151">
        <v>14208</v>
      </c>
      <c r="F61" s="151">
        <v>-5923.1</v>
      </c>
      <c r="G61" s="151">
        <f t="shared" si="3"/>
        <v>20131.099999999999</v>
      </c>
      <c r="H61" s="145">
        <f t="shared" si="4"/>
        <v>-0.29422634630000349</v>
      </c>
    </row>
    <row r="62" spans="1:8">
      <c r="A62" s="149" t="s">
        <v>195</v>
      </c>
      <c r="B62" s="150">
        <v>16</v>
      </c>
      <c r="C62" s="151">
        <v>2389.54</v>
      </c>
      <c r="D62" s="151">
        <v>2157.35</v>
      </c>
      <c r="E62" s="151">
        <v>34517.599999999999</v>
      </c>
      <c r="F62" s="151">
        <v>-3715.05</v>
      </c>
      <c r="G62" s="151">
        <f t="shared" si="3"/>
        <v>38232.65</v>
      </c>
      <c r="H62" s="145">
        <f t="shared" si="4"/>
        <v>-9.7169565803050528E-2</v>
      </c>
    </row>
    <row r="63" spans="1:8">
      <c r="A63" s="149" t="s">
        <v>315</v>
      </c>
      <c r="B63" s="150">
        <v>102</v>
      </c>
      <c r="C63" s="151">
        <v>14.26</v>
      </c>
      <c r="D63" s="151">
        <v>60.2</v>
      </c>
      <c r="E63" s="151">
        <v>6140.4</v>
      </c>
      <c r="F63" s="151">
        <v>4685.7</v>
      </c>
      <c r="G63" s="151">
        <f t="shared" si="3"/>
        <v>1454.6999999999998</v>
      </c>
      <c r="H63" s="145">
        <f t="shared" si="4"/>
        <v>3.2210765106207466</v>
      </c>
    </row>
    <row r="64" spans="1:8">
      <c r="A64" s="149" t="s">
        <v>316</v>
      </c>
      <c r="B64" s="150">
        <v>4</v>
      </c>
      <c r="C64" s="151">
        <v>131.47999999999999</v>
      </c>
      <c r="D64" s="151">
        <v>204.81</v>
      </c>
      <c r="E64" s="151">
        <v>819.24</v>
      </c>
      <c r="F64" s="151">
        <v>293.32</v>
      </c>
      <c r="G64" s="151">
        <f t="shared" si="3"/>
        <v>525.92000000000007</v>
      </c>
      <c r="H64" s="145">
        <f t="shared" si="4"/>
        <v>0.55772741101308176</v>
      </c>
    </row>
    <row r="65" spans="1:8">
      <c r="A65" s="149" t="s">
        <v>198</v>
      </c>
      <c r="B65" s="150">
        <v>71</v>
      </c>
      <c r="C65" s="151">
        <v>454.23</v>
      </c>
      <c r="D65" s="151">
        <v>954.25</v>
      </c>
      <c r="E65" s="151">
        <v>67751.75</v>
      </c>
      <c r="F65" s="151">
        <v>35501.699999999997</v>
      </c>
      <c r="G65" s="151">
        <f t="shared" si="3"/>
        <v>32250.050000000003</v>
      </c>
      <c r="H65" s="145">
        <f t="shared" si="4"/>
        <v>1.1008262002694567</v>
      </c>
    </row>
    <row r="66" spans="1:8">
      <c r="A66" s="149" t="s">
        <v>199</v>
      </c>
      <c r="B66" s="150">
        <v>13</v>
      </c>
      <c r="C66" s="151">
        <v>3846.22</v>
      </c>
      <c r="D66" s="151">
        <v>3219.85</v>
      </c>
      <c r="E66" s="151">
        <v>41858.050000000003</v>
      </c>
      <c r="F66" s="151">
        <v>-8142.8</v>
      </c>
      <c r="G66" s="151">
        <f t="shared" ref="G66:G97" si="5">E66-F66</f>
        <v>50000.850000000006</v>
      </c>
      <c r="H66" s="145">
        <f t="shared" si="4"/>
        <v>-0.16285323149506456</v>
      </c>
    </row>
    <row r="67" spans="1:8">
      <c r="A67" s="149" t="s">
        <v>336</v>
      </c>
      <c r="B67" s="150">
        <v>159</v>
      </c>
      <c r="C67" s="151">
        <v>238.17</v>
      </c>
      <c r="D67" s="151">
        <v>208.05</v>
      </c>
      <c r="E67" s="151">
        <v>33079.949999999997</v>
      </c>
      <c r="F67" s="151">
        <v>-4789.8500000000004</v>
      </c>
      <c r="G67" s="151">
        <f t="shared" si="5"/>
        <v>37869.799999999996</v>
      </c>
      <c r="H67" s="145">
        <f t="shared" si="4"/>
        <v>-0.1264820516612182</v>
      </c>
    </row>
    <row r="68" spans="1:8">
      <c r="A68" s="149" t="s">
        <v>200</v>
      </c>
      <c r="B68" s="150">
        <v>300</v>
      </c>
      <c r="C68" s="151">
        <v>82.33</v>
      </c>
      <c r="D68" s="151">
        <v>140.9</v>
      </c>
      <c r="E68" s="151">
        <v>42270</v>
      </c>
      <c r="F68" s="151">
        <v>17570</v>
      </c>
      <c r="G68" s="151">
        <f t="shared" si="5"/>
        <v>24700</v>
      </c>
      <c r="H68" s="145">
        <f t="shared" si="4"/>
        <v>0.71133603238866394</v>
      </c>
    </row>
    <row r="69" spans="1:8">
      <c r="A69" s="149" t="s">
        <v>201</v>
      </c>
      <c r="B69" s="150">
        <v>9</v>
      </c>
      <c r="C69" s="151">
        <v>3657.46</v>
      </c>
      <c r="D69" s="151">
        <v>4345.25</v>
      </c>
      <c r="E69" s="151">
        <v>39107.25</v>
      </c>
      <c r="F69" s="151">
        <v>6190.1</v>
      </c>
      <c r="G69" s="151">
        <f t="shared" si="5"/>
        <v>32917.15</v>
      </c>
      <c r="H69" s="145">
        <f t="shared" si="4"/>
        <v>0.18805090963221299</v>
      </c>
    </row>
    <row r="70" spans="1:8">
      <c r="A70" s="149" t="s">
        <v>202</v>
      </c>
      <c r="B70" s="150">
        <v>27</v>
      </c>
      <c r="C70" s="151">
        <v>863.85</v>
      </c>
      <c r="D70" s="151">
        <v>1492.25</v>
      </c>
      <c r="E70" s="151">
        <v>40290.75</v>
      </c>
      <c r="F70" s="151">
        <v>16966.8</v>
      </c>
      <c r="G70" s="151">
        <f t="shared" si="5"/>
        <v>23323.95</v>
      </c>
      <c r="H70" s="145">
        <f t="shared" si="4"/>
        <v>0.72744110667361228</v>
      </c>
    </row>
    <row r="71" spans="1:8">
      <c r="A71" s="149" t="s">
        <v>203</v>
      </c>
      <c r="B71" s="150">
        <v>12</v>
      </c>
      <c r="C71" s="151">
        <v>2512.88</v>
      </c>
      <c r="D71" s="151">
        <v>2736.2</v>
      </c>
      <c r="E71" s="151">
        <v>32834.400000000001</v>
      </c>
      <c r="F71" s="151">
        <v>2679.9</v>
      </c>
      <c r="G71" s="151">
        <f t="shared" si="5"/>
        <v>30154.5</v>
      </c>
      <c r="H71" s="145">
        <f t="shared" si="4"/>
        <v>8.8872307615778745E-2</v>
      </c>
    </row>
    <row r="72" spans="1:8">
      <c r="A72" s="149" t="s">
        <v>204</v>
      </c>
      <c r="B72" s="150">
        <v>49</v>
      </c>
      <c r="C72" s="151">
        <v>488.91</v>
      </c>
      <c r="D72" s="151">
        <v>507.8</v>
      </c>
      <c r="E72" s="151">
        <v>24882.2</v>
      </c>
      <c r="F72" s="151">
        <v>925.85</v>
      </c>
      <c r="G72" s="151">
        <f t="shared" si="5"/>
        <v>23956.350000000002</v>
      </c>
      <c r="H72" s="145">
        <f t="shared" si="4"/>
        <v>3.8647373243419804E-2</v>
      </c>
    </row>
    <row r="73" spans="1:8">
      <c r="A73" s="149" t="s">
        <v>307</v>
      </c>
      <c r="B73" s="150">
        <v>20</v>
      </c>
      <c r="C73" s="151">
        <v>1000</v>
      </c>
      <c r="D73" s="151">
        <v>1091</v>
      </c>
      <c r="E73" s="151">
        <v>21820</v>
      </c>
      <c r="F73" s="151">
        <v>0</v>
      </c>
      <c r="G73" s="151">
        <f t="shared" si="5"/>
        <v>21820</v>
      </c>
      <c r="H73" s="145">
        <f t="shared" si="4"/>
        <v>0</v>
      </c>
    </row>
    <row r="74" spans="1:8">
      <c r="A74" s="149" t="s">
        <v>299</v>
      </c>
      <c r="B74" s="150">
        <v>20</v>
      </c>
      <c r="C74" s="151">
        <v>1103.22</v>
      </c>
      <c r="D74" s="151">
        <v>956.05</v>
      </c>
      <c r="E74" s="151">
        <v>19121</v>
      </c>
      <c r="F74" s="151">
        <v>-2943.35</v>
      </c>
      <c r="G74" s="151">
        <f t="shared" si="5"/>
        <v>22064.35</v>
      </c>
      <c r="H74" s="145">
        <f t="shared" si="4"/>
        <v>-0.13339844590935152</v>
      </c>
    </row>
    <row r="75" spans="1:8">
      <c r="A75" s="149" t="s">
        <v>206</v>
      </c>
      <c r="B75" s="150">
        <v>39</v>
      </c>
      <c r="C75" s="151">
        <v>1052.53</v>
      </c>
      <c r="D75" s="151">
        <v>1295.1500000000001</v>
      </c>
      <c r="E75" s="151">
        <v>50510.85</v>
      </c>
      <c r="F75" s="151">
        <v>9462.1</v>
      </c>
      <c r="G75" s="151">
        <f t="shared" si="5"/>
        <v>41048.75</v>
      </c>
      <c r="H75" s="145">
        <f t="shared" si="4"/>
        <v>0.23050884618898262</v>
      </c>
    </row>
    <row r="76" spans="1:8">
      <c r="A76" s="149" t="s">
        <v>207</v>
      </c>
      <c r="B76" s="150">
        <v>117</v>
      </c>
      <c r="C76" s="151">
        <v>291.98</v>
      </c>
      <c r="D76" s="151">
        <v>607.54999999999995</v>
      </c>
      <c r="E76" s="151">
        <v>71083.350000000006</v>
      </c>
      <c r="F76" s="151">
        <v>36921.800000000003</v>
      </c>
      <c r="G76" s="151">
        <f t="shared" si="5"/>
        <v>34161.550000000003</v>
      </c>
      <c r="H76" s="145">
        <f t="shared" si="4"/>
        <v>1.0807999051565282</v>
      </c>
    </row>
    <row r="77" spans="1:8">
      <c r="A77" s="149" t="s">
        <v>262</v>
      </c>
      <c r="B77" s="150">
        <v>10</v>
      </c>
      <c r="C77" s="151">
        <v>5284</v>
      </c>
      <c r="D77" s="151">
        <v>5007.42</v>
      </c>
      <c r="E77" s="151">
        <v>50074.2</v>
      </c>
      <c r="F77" s="151">
        <v>-2765.8</v>
      </c>
      <c r="G77" s="151">
        <f t="shared" si="5"/>
        <v>52840</v>
      </c>
      <c r="H77" s="145">
        <f t="shared" si="4"/>
        <v>-5.2342922028766087E-2</v>
      </c>
    </row>
    <row r="78" spans="1:8">
      <c r="A78" s="149" t="s">
        <v>306</v>
      </c>
      <c r="B78" s="150">
        <v>5</v>
      </c>
      <c r="C78" s="151">
        <v>4802</v>
      </c>
      <c r="D78" s="151">
        <v>4948</v>
      </c>
      <c r="E78" s="151">
        <v>24740</v>
      </c>
      <c r="F78" s="151">
        <v>730</v>
      </c>
      <c r="G78" s="151">
        <f t="shared" si="5"/>
        <v>24010</v>
      </c>
      <c r="H78" s="145">
        <f t="shared" si="4"/>
        <v>3.0403998334027488E-2</v>
      </c>
    </row>
    <row r="79" spans="1:8">
      <c r="A79" s="149" t="s">
        <v>210</v>
      </c>
      <c r="B79" s="150">
        <v>10</v>
      </c>
      <c r="C79" s="151">
        <v>5002.45</v>
      </c>
      <c r="D79" s="151">
        <v>4960</v>
      </c>
      <c r="E79" s="151">
        <v>49600</v>
      </c>
      <c r="F79" s="151">
        <v>-424.5</v>
      </c>
      <c r="G79" s="151">
        <f t="shared" si="5"/>
        <v>50024.5</v>
      </c>
      <c r="H79" s="145">
        <f t="shared" si="4"/>
        <v>-8.4858419374506493E-3</v>
      </c>
    </row>
    <row r="80" spans="1:8">
      <c r="A80" s="149" t="s">
        <v>329</v>
      </c>
      <c r="B80" s="150">
        <v>60</v>
      </c>
      <c r="C80" s="151">
        <v>504</v>
      </c>
      <c r="D80" s="151">
        <v>434.45</v>
      </c>
      <c r="E80" s="151">
        <v>26067</v>
      </c>
      <c r="F80" s="151">
        <v>-4173</v>
      </c>
      <c r="G80" s="151">
        <f t="shared" si="5"/>
        <v>30240</v>
      </c>
      <c r="H80" s="145">
        <f t="shared" si="4"/>
        <v>-0.13799603174603176</v>
      </c>
    </row>
    <row r="81" spans="1:8">
      <c r="A81" s="149" t="s">
        <v>211</v>
      </c>
      <c r="B81" s="150">
        <v>35</v>
      </c>
      <c r="C81" s="151">
        <v>984.23</v>
      </c>
      <c r="D81" s="151">
        <v>2766.75</v>
      </c>
      <c r="E81" s="151">
        <v>96836.25</v>
      </c>
      <c r="F81" s="151">
        <v>62388.2</v>
      </c>
      <c r="G81" s="151">
        <f t="shared" si="5"/>
        <v>34448.050000000003</v>
      </c>
      <c r="H81" s="145">
        <f t="shared" ref="H81:H112" si="6">F81/G81</f>
        <v>1.8110807433221907</v>
      </c>
    </row>
    <row r="82" spans="1:8">
      <c r="A82" s="149" t="s">
        <v>330</v>
      </c>
      <c r="B82" s="150">
        <v>65</v>
      </c>
      <c r="C82" s="151">
        <v>511.92</v>
      </c>
      <c r="D82" s="151">
        <v>543</v>
      </c>
      <c r="E82" s="151">
        <v>35295</v>
      </c>
      <c r="F82" s="151">
        <v>2020.4</v>
      </c>
      <c r="G82" s="151">
        <f t="shared" si="5"/>
        <v>33274.6</v>
      </c>
      <c r="H82" s="145">
        <f t="shared" si="6"/>
        <v>6.0718986854838231E-2</v>
      </c>
    </row>
    <row r="83" spans="1:8">
      <c r="A83" s="149" t="s">
        <v>289</v>
      </c>
      <c r="B83" s="150">
        <v>29</v>
      </c>
      <c r="C83" s="151">
        <v>626.02</v>
      </c>
      <c r="D83" s="151">
        <v>638.45000000000005</v>
      </c>
      <c r="E83" s="151">
        <v>18515.05</v>
      </c>
      <c r="F83" s="151">
        <v>360.6</v>
      </c>
      <c r="G83" s="151">
        <f t="shared" si="5"/>
        <v>18154.45</v>
      </c>
      <c r="H83" s="145">
        <f t="shared" si="6"/>
        <v>1.9862898628160038E-2</v>
      </c>
    </row>
    <row r="84" spans="1:8">
      <c r="A84" s="149" t="s">
        <v>290</v>
      </c>
      <c r="B84" s="150">
        <v>21</v>
      </c>
      <c r="C84" s="151">
        <v>652.55999999999995</v>
      </c>
      <c r="D84" s="151">
        <v>462.05</v>
      </c>
      <c r="E84" s="151">
        <v>9703.0499999999993</v>
      </c>
      <c r="F84" s="151">
        <v>-4000.65</v>
      </c>
      <c r="G84" s="151">
        <f t="shared" si="5"/>
        <v>13703.699999999999</v>
      </c>
      <c r="H84" s="145">
        <f t="shared" si="6"/>
        <v>-0.29193940322686579</v>
      </c>
    </row>
    <row r="85" spans="1:8">
      <c r="A85" s="149" t="s">
        <v>292</v>
      </c>
      <c r="B85" s="150">
        <v>32</v>
      </c>
      <c r="C85" s="151">
        <v>752.33</v>
      </c>
      <c r="D85" s="151">
        <v>910.95</v>
      </c>
      <c r="E85" s="151">
        <v>29150.400000000001</v>
      </c>
      <c r="F85" s="151">
        <v>5075.8999999999996</v>
      </c>
      <c r="G85" s="151">
        <f t="shared" si="5"/>
        <v>24074.5</v>
      </c>
      <c r="H85" s="145">
        <f t="shared" si="6"/>
        <v>0.21084134665309767</v>
      </c>
    </row>
    <row r="86" spans="1:8">
      <c r="A86" s="149" t="s">
        <v>212</v>
      </c>
      <c r="B86" s="150">
        <v>143</v>
      </c>
      <c r="C86" s="151">
        <v>500.9</v>
      </c>
      <c r="D86" s="151">
        <v>1040</v>
      </c>
      <c r="E86" s="151">
        <v>148720</v>
      </c>
      <c r="F86" s="151">
        <v>77091.7</v>
      </c>
      <c r="G86" s="151">
        <f t="shared" si="5"/>
        <v>71628.3</v>
      </c>
      <c r="H86" s="145">
        <f t="shared" si="6"/>
        <v>1.0762743217415462</v>
      </c>
    </row>
    <row r="87" spans="1:8">
      <c r="A87" s="149" t="s">
        <v>293</v>
      </c>
      <c r="B87" s="150">
        <v>50</v>
      </c>
      <c r="C87" s="151">
        <v>283.19</v>
      </c>
      <c r="D87" s="151">
        <v>345</v>
      </c>
      <c r="E87" s="151">
        <v>17250</v>
      </c>
      <c r="F87" s="151">
        <v>3090.35</v>
      </c>
      <c r="G87" s="151">
        <f t="shared" si="5"/>
        <v>14159.65</v>
      </c>
      <c r="H87" s="145">
        <f t="shared" si="6"/>
        <v>0.21825045110578298</v>
      </c>
    </row>
    <row r="88" spans="1:8">
      <c r="A88" s="149" t="s">
        <v>308</v>
      </c>
      <c r="B88" s="150">
        <v>71</v>
      </c>
      <c r="C88" s="151">
        <v>481.95</v>
      </c>
      <c r="D88" s="151">
        <v>468</v>
      </c>
      <c r="E88" s="151">
        <v>33228</v>
      </c>
      <c r="F88" s="151">
        <v>-990.45</v>
      </c>
      <c r="G88" s="151">
        <f t="shared" si="5"/>
        <v>34218.449999999997</v>
      </c>
      <c r="H88" s="145">
        <f t="shared" si="6"/>
        <v>-2.8944911297852479E-2</v>
      </c>
    </row>
    <row r="89" spans="1:8">
      <c r="A89" s="149" t="s">
        <v>213</v>
      </c>
      <c r="B89" s="150">
        <v>57</v>
      </c>
      <c r="C89" s="151">
        <v>468.04</v>
      </c>
      <c r="D89" s="151">
        <v>602.54999999999995</v>
      </c>
      <c r="E89" s="151">
        <v>34345.35</v>
      </c>
      <c r="F89" s="151">
        <v>7666.85</v>
      </c>
      <c r="G89" s="151">
        <f t="shared" si="5"/>
        <v>26678.5</v>
      </c>
      <c r="H89" s="145">
        <f t="shared" si="6"/>
        <v>0.28737935041325413</v>
      </c>
    </row>
    <row r="90" spans="1:8">
      <c r="A90" s="149" t="s">
        <v>214</v>
      </c>
      <c r="B90" s="150">
        <v>38</v>
      </c>
      <c r="C90" s="151">
        <v>684.41</v>
      </c>
      <c r="D90" s="151">
        <v>796.1</v>
      </c>
      <c r="E90" s="151">
        <v>30251.8</v>
      </c>
      <c r="F90" s="151">
        <v>4244.25</v>
      </c>
      <c r="G90" s="151">
        <f t="shared" si="5"/>
        <v>26007.55</v>
      </c>
      <c r="H90" s="145">
        <f t="shared" si="6"/>
        <v>0.16319299588004252</v>
      </c>
    </row>
    <row r="91" spans="1:8">
      <c r="A91" s="149" t="s">
        <v>302</v>
      </c>
      <c r="B91" s="150">
        <v>775</v>
      </c>
      <c r="C91" s="151">
        <v>99.29</v>
      </c>
      <c r="D91" s="151">
        <v>232.75</v>
      </c>
      <c r="E91" s="151">
        <v>180381.25</v>
      </c>
      <c r="F91" s="151">
        <v>103430.25</v>
      </c>
      <c r="G91" s="151">
        <f t="shared" si="5"/>
        <v>76951</v>
      </c>
      <c r="H91" s="145">
        <f t="shared" si="6"/>
        <v>1.3441053397616665</v>
      </c>
    </row>
    <row r="92" spans="1:8">
      <c r="A92" s="149" t="s">
        <v>215</v>
      </c>
      <c r="B92" s="150">
        <v>1050</v>
      </c>
      <c r="C92" s="151">
        <v>40.479999999999997</v>
      </c>
      <c r="D92" s="151">
        <v>112.05</v>
      </c>
      <c r="E92" s="151">
        <v>117652.5</v>
      </c>
      <c r="F92" s="151">
        <v>75152.25</v>
      </c>
      <c r="G92" s="151">
        <f t="shared" si="5"/>
        <v>42500.25</v>
      </c>
      <c r="H92" s="145">
        <f t="shared" si="6"/>
        <v>1.768277833659802</v>
      </c>
    </row>
    <row r="93" spans="1:8">
      <c r="A93" s="149" t="s">
        <v>337</v>
      </c>
      <c r="B93" s="150">
        <v>40</v>
      </c>
      <c r="C93" s="151">
        <v>749.6</v>
      </c>
      <c r="D93" s="151">
        <v>679.35</v>
      </c>
      <c r="E93" s="151">
        <v>27174</v>
      </c>
      <c r="F93" s="151">
        <v>-2810</v>
      </c>
      <c r="G93" s="151">
        <f t="shared" si="5"/>
        <v>29984</v>
      </c>
      <c r="H93" s="145">
        <f t="shared" si="6"/>
        <v>-9.3716648879402342E-2</v>
      </c>
    </row>
    <row r="94" spans="1:8">
      <c r="A94" s="149" t="s">
        <v>216</v>
      </c>
      <c r="B94" s="150">
        <v>15</v>
      </c>
      <c r="C94" s="151">
        <v>3393.18</v>
      </c>
      <c r="D94" s="151">
        <v>3439.25</v>
      </c>
      <c r="E94" s="151">
        <v>51588.75</v>
      </c>
      <c r="F94" s="151">
        <v>691.05</v>
      </c>
      <c r="G94" s="151">
        <f t="shared" si="5"/>
        <v>50897.7</v>
      </c>
      <c r="H94" s="145">
        <f t="shared" si="6"/>
        <v>1.3577234334753829E-2</v>
      </c>
    </row>
    <row r="95" spans="1:8">
      <c r="A95" s="149" t="s">
        <v>318</v>
      </c>
      <c r="B95" s="150">
        <v>31</v>
      </c>
      <c r="C95" s="151">
        <v>1210.2</v>
      </c>
      <c r="D95" s="151">
        <v>1114.75</v>
      </c>
      <c r="E95" s="151">
        <v>34557.25</v>
      </c>
      <c r="F95" s="151">
        <v>-2958.8</v>
      </c>
      <c r="G95" s="151">
        <f t="shared" si="5"/>
        <v>37516.050000000003</v>
      </c>
      <c r="H95" s="145">
        <f t="shared" si="6"/>
        <v>-7.886757800994508E-2</v>
      </c>
    </row>
    <row r="96" spans="1:8">
      <c r="A96" s="149" t="s">
        <v>217</v>
      </c>
      <c r="B96" s="150">
        <v>12</v>
      </c>
      <c r="C96" s="151">
        <v>2464.6799999999998</v>
      </c>
      <c r="D96" s="151">
        <v>2617.9</v>
      </c>
      <c r="E96" s="151">
        <v>31414.799999999999</v>
      </c>
      <c r="F96" s="151">
        <v>1838.7</v>
      </c>
      <c r="G96" s="151">
        <f t="shared" si="5"/>
        <v>29576.1</v>
      </c>
      <c r="H96" s="145">
        <f t="shared" si="6"/>
        <v>6.2168440058019823E-2</v>
      </c>
    </row>
    <row r="97" spans="1:8">
      <c r="A97" s="149" t="s">
        <v>220</v>
      </c>
      <c r="B97" s="150">
        <v>42</v>
      </c>
      <c r="C97" s="151">
        <v>315.58999999999997</v>
      </c>
      <c r="D97" s="151">
        <v>556.29999999999995</v>
      </c>
      <c r="E97" s="151">
        <v>23364.6</v>
      </c>
      <c r="F97" s="151">
        <v>10109.9</v>
      </c>
      <c r="G97" s="151">
        <f t="shared" si="5"/>
        <v>13254.699999999999</v>
      </c>
      <c r="H97" s="145">
        <f t="shared" si="6"/>
        <v>0.7627407636536474</v>
      </c>
    </row>
    <row r="98" spans="1:8">
      <c r="A98" s="149" t="s">
        <v>331</v>
      </c>
      <c r="B98" s="150">
        <v>41</v>
      </c>
      <c r="C98" s="151">
        <v>742.5</v>
      </c>
      <c r="D98" s="151">
        <v>783.8</v>
      </c>
      <c r="E98" s="151">
        <v>32135.8</v>
      </c>
      <c r="F98" s="151">
        <v>1693.3</v>
      </c>
      <c r="G98" s="151">
        <f t="shared" ref="G98:G129" si="7">E98-F98</f>
        <v>30442.5</v>
      </c>
      <c r="H98" s="145">
        <f t="shared" si="6"/>
        <v>5.5622895622895623E-2</v>
      </c>
    </row>
    <row r="99" spans="1:8">
      <c r="A99" s="149" t="s">
        <v>221</v>
      </c>
      <c r="B99" s="150">
        <v>40</v>
      </c>
      <c r="C99" s="151">
        <v>447.63</v>
      </c>
      <c r="D99" s="151">
        <v>1318.6</v>
      </c>
      <c r="E99" s="151">
        <v>52744</v>
      </c>
      <c r="F99" s="151">
        <v>34839</v>
      </c>
      <c r="G99" s="151">
        <f t="shared" si="7"/>
        <v>17905</v>
      </c>
      <c r="H99" s="145">
        <f t="shared" si="6"/>
        <v>1.9457693381736945</v>
      </c>
    </row>
    <row r="100" spans="1:8">
      <c r="A100" s="149" t="s">
        <v>309</v>
      </c>
      <c r="B100" s="150">
        <v>29</v>
      </c>
      <c r="C100" s="151">
        <v>1910.61</v>
      </c>
      <c r="D100" s="151">
        <v>1618</v>
      </c>
      <c r="E100" s="151">
        <v>46922</v>
      </c>
      <c r="F100" s="151">
        <v>-8485.6</v>
      </c>
      <c r="G100" s="151">
        <f t="shared" si="7"/>
        <v>55407.6</v>
      </c>
      <c r="H100" s="145">
        <f t="shared" si="6"/>
        <v>-0.15314866552602893</v>
      </c>
    </row>
    <row r="101" spans="1:8">
      <c r="A101" s="149"/>
      <c r="B101" s="150"/>
      <c r="C101" s="150"/>
      <c r="D101" s="150"/>
      <c r="E101" s="150"/>
      <c r="F101" s="150"/>
      <c r="G101" s="151"/>
      <c r="H101" s="145"/>
    </row>
    <row r="102" spans="1:8">
      <c r="A102" s="77"/>
      <c r="B102" s="76"/>
      <c r="C102" s="76"/>
      <c r="D102" s="76"/>
      <c r="E102" s="78"/>
      <c r="F102" s="78"/>
      <c r="G102" s="78"/>
      <c r="H102" s="136"/>
    </row>
    <row r="103" spans="1:8">
      <c r="A103" s="77"/>
      <c r="B103" s="76"/>
      <c r="C103" s="78"/>
      <c r="D103" s="78"/>
      <c r="E103" s="78"/>
      <c r="F103" s="78"/>
      <c r="G103" s="78"/>
      <c r="H103" s="136"/>
    </row>
    <row r="104" spans="1:8" ht="18">
      <c r="A104" s="44" t="s">
        <v>11</v>
      </c>
      <c r="B104" s="45">
        <f>SUM(B2:B103)</f>
        <v>8343</v>
      </c>
      <c r="C104" s="45"/>
      <c r="D104" s="45"/>
      <c r="E104" s="45">
        <f>SUM(E2:E103)</f>
        <v>4506927.22</v>
      </c>
      <c r="F104" s="45">
        <f>SUM(F2:F103)</f>
        <v>1006168.0499999998</v>
      </c>
      <c r="G104" s="45">
        <f>SUM(G2:G103)</f>
        <v>3500759.1700000009</v>
      </c>
      <c r="H104" s="64">
        <f>F104/G104</f>
        <v>0.28741424392241172</v>
      </c>
    </row>
  </sheetData>
  <autoFilter ref="A1:H96" xr:uid="{4FE5DDF8-57C8-414D-BC15-21FD3B79DE2D}">
    <sortState xmlns:xlrd2="http://schemas.microsoft.com/office/spreadsheetml/2017/richdata2" ref="A2:H100">
      <sortCondition ref="A1:A96"/>
    </sortState>
  </autoFilter>
  <pageMargins left="0.7" right="0.7" top="0.75" bottom="0.75" header="0.3" footer="0.3"/>
  <pageSetup paperSize="9"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EA1D-9013-4573-A739-2EA3460C8D58}">
  <dimension ref="A1:I18"/>
  <sheetViews>
    <sheetView workbookViewId="0">
      <selection activeCell="D15" sqref="D15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46" t="s">
        <v>223</v>
      </c>
      <c r="B1" s="146" t="s">
        <v>224</v>
      </c>
      <c r="C1" s="146" t="s">
        <v>225</v>
      </c>
      <c r="D1" s="146" t="s">
        <v>226</v>
      </c>
      <c r="E1" s="146" t="s">
        <v>227</v>
      </c>
      <c r="F1" s="146" t="s">
        <v>228</v>
      </c>
      <c r="G1" s="146" t="s">
        <v>229</v>
      </c>
      <c r="H1" s="146" t="s">
        <v>230</v>
      </c>
      <c r="I1" s="146" t="s">
        <v>231</v>
      </c>
    </row>
    <row r="2" spans="1:9">
      <c r="A2" s="139" t="s">
        <v>234</v>
      </c>
      <c r="B2" s="140" t="s">
        <v>235</v>
      </c>
      <c r="C2" s="166">
        <v>4080.9659999999999</v>
      </c>
      <c r="D2" s="166">
        <v>78.290000000000006</v>
      </c>
      <c r="E2" s="166">
        <v>68.607799999999997</v>
      </c>
      <c r="F2" s="166">
        <f t="shared" ref="F2:F8" si="0">C2*E2</f>
        <v>279986.09913479997</v>
      </c>
      <c r="G2" s="166">
        <f t="shared" ref="G2:G8" si="1">C2*D2</f>
        <v>319498.82814</v>
      </c>
      <c r="H2" s="166">
        <f t="shared" ref="H2:H3" si="2">G2-F2</f>
        <v>39512.729005200032</v>
      </c>
      <c r="I2" s="147">
        <f>H2/F2</f>
        <v>0.1411238955337441</v>
      </c>
    </row>
    <row r="3" spans="1:9">
      <c r="A3" s="139" t="s">
        <v>236</v>
      </c>
      <c r="B3" s="140" t="s">
        <v>237</v>
      </c>
      <c r="C3" s="166">
        <v>14235.332</v>
      </c>
      <c r="D3" s="166">
        <v>73.430000000000007</v>
      </c>
      <c r="E3" s="166">
        <v>47.766100000000002</v>
      </c>
      <c r="F3" s="166">
        <f t="shared" si="0"/>
        <v>679966.2918452</v>
      </c>
      <c r="G3" s="166">
        <f t="shared" si="1"/>
        <v>1045300.4287600002</v>
      </c>
      <c r="H3" s="166">
        <f t="shared" si="2"/>
        <v>365334.13691480015</v>
      </c>
      <c r="I3" s="147">
        <f t="shared" ref="I3:I18" si="3">H3/F3</f>
        <v>0.53728271724088861</v>
      </c>
    </row>
    <row r="4" spans="1:9">
      <c r="A4" s="139" t="s">
        <v>338</v>
      </c>
      <c r="B4" s="140" t="s">
        <v>237</v>
      </c>
      <c r="C4" s="166">
        <f>1481.96+188.88</f>
        <v>1670.8400000000001</v>
      </c>
      <c r="D4" s="166">
        <v>27.1</v>
      </c>
      <c r="E4" s="166">
        <v>26.9</v>
      </c>
      <c r="F4" s="166">
        <f t="shared" si="0"/>
        <v>44945.596000000005</v>
      </c>
      <c r="G4" s="166">
        <f t="shared" si="1"/>
        <v>45279.764000000003</v>
      </c>
      <c r="H4" s="166">
        <f>G4-F4</f>
        <v>334.16799999999785</v>
      </c>
      <c r="I4" s="147">
        <f t="shared" si="3"/>
        <v>7.4349442379181667E-3</v>
      </c>
    </row>
    <row r="5" spans="1:9">
      <c r="A5" s="139" t="s">
        <v>303</v>
      </c>
      <c r="B5" s="140" t="s">
        <v>241</v>
      </c>
      <c r="C5" s="166">
        <v>1857.5519999999999</v>
      </c>
      <c r="D5" s="166">
        <v>580.38</v>
      </c>
      <c r="E5" s="166">
        <v>366.02140000000003</v>
      </c>
      <c r="F5" s="166">
        <f t="shared" si="0"/>
        <v>679903.78361280006</v>
      </c>
      <c r="G5" s="166">
        <f t="shared" si="1"/>
        <v>1078086.0297599998</v>
      </c>
      <c r="H5" s="166">
        <f t="shared" ref="H5:H14" si="4">G5-F5</f>
        <v>398182.24614719977</v>
      </c>
      <c r="I5" s="147">
        <f t="shared" si="3"/>
        <v>0.58564499234197742</v>
      </c>
    </row>
    <row r="6" spans="1:9">
      <c r="A6" s="139" t="s">
        <v>242</v>
      </c>
      <c r="B6" s="140" t="s">
        <v>237</v>
      </c>
      <c r="C6" s="166">
        <v>5856.576</v>
      </c>
      <c r="D6" s="166">
        <v>89.48</v>
      </c>
      <c r="E6" s="166">
        <v>44.3917</v>
      </c>
      <c r="F6" s="166">
        <f t="shared" si="0"/>
        <v>259983.36481920001</v>
      </c>
      <c r="G6" s="166">
        <f t="shared" si="1"/>
        <v>524046.42048000003</v>
      </c>
      <c r="H6" s="166">
        <f t="shared" si="4"/>
        <v>264063.05566080002</v>
      </c>
      <c r="I6" s="147">
        <f t="shared" si="3"/>
        <v>1.015692122626527</v>
      </c>
    </row>
    <row r="7" spans="1:9">
      <c r="A7" s="139" t="s">
        <v>272</v>
      </c>
      <c r="B7" s="140" t="s">
        <v>235</v>
      </c>
      <c r="C7" s="166">
        <v>5805.7370000000001</v>
      </c>
      <c r="D7" s="166">
        <v>88.47</v>
      </c>
      <c r="E7" s="166">
        <v>41.940399999999997</v>
      </c>
      <c r="F7" s="166">
        <f t="shared" si="0"/>
        <v>243494.93207479999</v>
      </c>
      <c r="G7" s="166">
        <f t="shared" si="1"/>
        <v>513633.55239000003</v>
      </c>
      <c r="H7" s="166">
        <f t="shared" si="4"/>
        <v>270138.62031520007</v>
      </c>
      <c r="I7" s="147">
        <f t="shared" si="3"/>
        <v>1.1094219416123836</v>
      </c>
    </row>
    <row r="8" spans="1:9">
      <c r="A8" s="139" t="s">
        <v>244</v>
      </c>
      <c r="B8" s="140" t="s">
        <v>233</v>
      </c>
      <c r="C8" s="166">
        <v>5841.7389999999996</v>
      </c>
      <c r="D8" s="166">
        <v>20.350000000000001</v>
      </c>
      <c r="E8" s="166">
        <v>23.964300000000001</v>
      </c>
      <c r="F8" s="166">
        <f t="shared" si="0"/>
        <v>139993.1859177</v>
      </c>
      <c r="G8" s="166">
        <f t="shared" si="1"/>
        <v>118879.38864999999</v>
      </c>
      <c r="H8" s="166">
        <f t="shared" si="4"/>
        <v>-21113.797267700007</v>
      </c>
      <c r="I8" s="147">
        <f t="shared" si="3"/>
        <v>-0.15082017834862696</v>
      </c>
    </row>
    <row r="9" spans="1:9">
      <c r="A9" s="139" t="s">
        <v>273</v>
      </c>
      <c r="B9" s="140" t="s">
        <v>233</v>
      </c>
      <c r="C9" s="166">
        <v>19719.66</v>
      </c>
      <c r="D9" s="166">
        <v>8.66</v>
      </c>
      <c r="E9" s="166">
        <v>8.3699999999999992</v>
      </c>
      <c r="F9" s="166">
        <f>C9*E9</f>
        <v>165053.55419999998</v>
      </c>
      <c r="G9" s="166">
        <f>C9*D9</f>
        <v>170772.2556</v>
      </c>
      <c r="H9" s="166">
        <f t="shared" si="4"/>
        <v>5718.7014000000199</v>
      </c>
      <c r="I9" s="147">
        <f t="shared" si="3"/>
        <v>3.4647550776583158E-2</v>
      </c>
    </row>
    <row r="10" spans="1:9">
      <c r="A10" s="139" t="s">
        <v>246</v>
      </c>
      <c r="B10" s="140" t="s">
        <v>241</v>
      </c>
      <c r="C10" s="166">
        <v>18021.929</v>
      </c>
      <c r="D10" s="166">
        <v>11.9</v>
      </c>
      <c r="E10" s="166">
        <v>11.1248</v>
      </c>
      <c r="F10" s="166">
        <f t="shared" ref="F10:F14" si="5">C10*E10</f>
        <v>200490.35573920002</v>
      </c>
      <c r="G10" s="166">
        <f t="shared" ref="G10:G14" si="6">C10*D10</f>
        <v>214460.95510000002</v>
      </c>
      <c r="H10" s="166">
        <f t="shared" si="4"/>
        <v>13970.599360799999</v>
      </c>
      <c r="I10" s="147">
        <f t="shared" si="3"/>
        <v>6.9682151589242042E-2</v>
      </c>
    </row>
    <row r="11" spans="1:9">
      <c r="A11" s="139" t="s">
        <v>250</v>
      </c>
      <c r="B11" s="140" t="s">
        <v>251</v>
      </c>
      <c r="C11" s="166">
        <v>14846.114</v>
      </c>
      <c r="D11" s="166">
        <v>52.88</v>
      </c>
      <c r="E11" s="166">
        <v>41.488</v>
      </c>
      <c r="F11" s="166">
        <f t="shared" si="5"/>
        <v>615935.57763199997</v>
      </c>
      <c r="G11" s="166">
        <f t="shared" si="6"/>
        <v>785062.50832000002</v>
      </c>
      <c r="H11" s="166">
        <f t="shared" si="4"/>
        <v>169126.93068800005</v>
      </c>
      <c r="I11" s="147">
        <f t="shared" si="3"/>
        <v>0.27458542229078298</v>
      </c>
    </row>
    <row r="12" spans="1:9">
      <c r="A12" s="139" t="s">
        <v>274</v>
      </c>
      <c r="B12" s="140" t="s">
        <v>233</v>
      </c>
      <c r="C12" s="166">
        <v>6809.741</v>
      </c>
      <c r="D12" s="166">
        <v>29.23</v>
      </c>
      <c r="E12" s="166">
        <v>35.241999999999997</v>
      </c>
      <c r="F12" s="166">
        <f t="shared" si="5"/>
        <v>239988.89232199997</v>
      </c>
      <c r="G12" s="166">
        <f t="shared" si="6"/>
        <v>199048.72943000001</v>
      </c>
      <c r="H12" s="166">
        <f t="shared" si="4"/>
        <v>-40940.162891999964</v>
      </c>
      <c r="I12" s="147">
        <f t="shared" si="3"/>
        <v>-0.17059190738323579</v>
      </c>
    </row>
    <row r="13" spans="1:9">
      <c r="A13" s="139" t="s">
        <v>253</v>
      </c>
      <c r="B13" s="140" t="s">
        <v>235</v>
      </c>
      <c r="C13" s="166">
        <v>895.52</v>
      </c>
      <c r="D13" s="166">
        <v>152.38999999999999</v>
      </c>
      <c r="E13" s="166">
        <v>139.57660000000001</v>
      </c>
      <c r="F13" s="166">
        <f t="shared" si="5"/>
        <v>124993.636832</v>
      </c>
      <c r="G13" s="166">
        <f t="shared" si="6"/>
        <v>136468.2928</v>
      </c>
      <c r="H13" s="166">
        <f t="shared" si="4"/>
        <v>11474.655967999992</v>
      </c>
      <c r="I13" s="147">
        <f t="shared" si="3"/>
        <v>9.1801920952365876E-2</v>
      </c>
    </row>
    <row r="14" spans="1:9">
      <c r="A14" s="142" t="s">
        <v>255</v>
      </c>
      <c r="B14" s="143" t="s">
        <v>241</v>
      </c>
      <c r="C14" s="167">
        <v>18996.168000000001</v>
      </c>
      <c r="D14" s="167">
        <v>16.05</v>
      </c>
      <c r="E14" s="167">
        <v>9.4700000000000006</v>
      </c>
      <c r="F14" s="166">
        <f t="shared" si="5"/>
        <v>179893.71096000003</v>
      </c>
      <c r="G14" s="166">
        <f t="shared" si="6"/>
        <v>304888.49640000006</v>
      </c>
      <c r="H14" s="166">
        <f t="shared" si="4"/>
        <v>124994.78544000004</v>
      </c>
      <c r="I14" s="147">
        <f t="shared" si="3"/>
        <v>0.69482576557550169</v>
      </c>
    </row>
    <row r="15" spans="1:9">
      <c r="A15"/>
      <c r="B15"/>
      <c r="C15"/>
      <c r="D15"/>
      <c r="E15"/>
      <c r="F15"/>
      <c r="G15"/>
      <c r="H15"/>
      <c r="I15" s="147"/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152"/>
      <c r="B17" s="153"/>
      <c r="C17" s="154"/>
      <c r="D17" s="153"/>
      <c r="E17" s="153"/>
      <c r="F17" s="154"/>
      <c r="G17" s="154"/>
      <c r="H17" s="154"/>
      <c r="I17" s="147"/>
    </row>
    <row r="18" spans="1:9">
      <c r="A18" s="74" t="s">
        <v>11</v>
      </c>
      <c r="B18" s="75"/>
      <c r="C18" s="75">
        <f>SUM(C2:C15)</f>
        <v>118637.87400000001</v>
      </c>
      <c r="D18" s="75"/>
      <c r="E18" s="75"/>
      <c r="F18" s="75">
        <f t="shared" ref="F18:H18" si="7">SUM(F2:F15)</f>
        <v>3854628.9810897005</v>
      </c>
      <c r="G18" s="75">
        <f t="shared" si="7"/>
        <v>5455425.6498300005</v>
      </c>
      <c r="H18" s="75">
        <f t="shared" si="7"/>
        <v>1600796.6687403</v>
      </c>
      <c r="I18" s="53">
        <f t="shared" si="3"/>
        <v>0.41529202332924819</v>
      </c>
    </row>
  </sheetData>
  <hyperlinks>
    <hyperlink ref="A2" r:id="rId1" location="/mf/1831632/15690/NULL" xr:uid="{834388D6-EB71-4528-908C-E0AA29AA0A46}"/>
    <hyperlink ref="A3" r:id="rId2" location="/mf/1831632/22335/NULL" xr:uid="{008CAF30-A8E0-4EFE-B2A1-64A28435862A}"/>
    <hyperlink ref="A5" r:id="rId3" location="/mf/1831632/16071/NULL" xr:uid="{AD01B558-9888-41A3-BC1F-9B7E57C2A61E}"/>
    <hyperlink ref="A6" r:id="rId4" location="/mf/1831632/16617/NULL" xr:uid="{8636BDA7-466E-4F61-87AB-7E35217A8BFD}"/>
    <hyperlink ref="A7" r:id="rId5" location="/mf/1831632/17134/NULL" xr:uid="{01A4E7CF-7C35-47B8-9E5F-BC24267C82D8}"/>
    <hyperlink ref="A8" r:id="rId6" location="/mf/1831632/38228/NULL" xr:uid="{587A30C2-EA87-4A47-9605-04892457F1A5}"/>
    <hyperlink ref="A9" r:id="rId7" location="/mf/1831632/42135/NULL" xr:uid="{371E9FFD-E779-4CCA-9FCB-F77DC2CC183E}"/>
    <hyperlink ref="A10" r:id="rId8" location="/mf/1831632/41574/NULL" xr:uid="{F7178975-9E6E-4014-8B69-9CF7619B11B4}"/>
    <hyperlink ref="A11" r:id="rId9" location="/mf/1831632/19701/NULL" xr:uid="{9C3B611F-D971-473A-B17A-50DAC65EB008}"/>
    <hyperlink ref="A12" r:id="rId10" location="/mf/1831632/17348/NULL" xr:uid="{C4602F48-EEA3-4BB1-8C44-6EC31FF0025F}"/>
    <hyperlink ref="A13" r:id="rId11" location="/mf/1831632/17375/NULL" xr:uid="{72763784-0C83-48EB-9C59-CF6926F0E52F}"/>
    <hyperlink ref="A14" r:id="rId12" location="/mf/1831632/36491/NULL" xr:uid="{979431FB-154D-425C-A116-6312282FCA02}"/>
  </hyperlinks>
  <pageMargins left="0.7" right="0.7" top="0.75" bottom="0.75" header="0.3" footer="0.3"/>
  <pageSetup paperSize="9"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4043-B6D1-4376-89A1-31A00F31C348}">
  <dimension ref="A1:I104"/>
  <sheetViews>
    <sheetView workbookViewId="0">
      <selection activeCell="G2" sqref="G2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48" t="s">
        <v>137</v>
      </c>
      <c r="D1" s="148" t="s">
        <v>138</v>
      </c>
      <c r="E1" s="148" t="s">
        <v>140</v>
      </c>
      <c r="F1" s="148" t="s">
        <v>141</v>
      </c>
      <c r="G1" s="148" t="s">
        <v>129</v>
      </c>
      <c r="H1" s="148" t="s">
        <v>142</v>
      </c>
    </row>
    <row r="2" spans="1:8">
      <c r="A2" s="149" t="s">
        <v>143</v>
      </c>
      <c r="B2" s="150">
        <v>100</v>
      </c>
      <c r="C2" s="150">
        <v>109.73</v>
      </c>
      <c r="D2" s="150">
        <v>103.5</v>
      </c>
      <c r="E2" s="150">
        <v>10350</v>
      </c>
      <c r="F2" s="150">
        <v>-622.5</v>
      </c>
      <c r="G2" s="151">
        <f>E2-F2</f>
        <v>10972.5</v>
      </c>
      <c r="H2" s="145">
        <f>F2/G2</f>
        <v>-5.673274094326726E-2</v>
      </c>
    </row>
    <row r="3" spans="1:8">
      <c r="A3" s="149" t="s">
        <v>259</v>
      </c>
      <c r="B3" s="150">
        <v>13</v>
      </c>
      <c r="C3" s="150">
        <v>133.75</v>
      </c>
      <c r="D3" s="150">
        <v>434.05</v>
      </c>
      <c r="E3" s="150">
        <v>5642.65</v>
      </c>
      <c r="F3" s="150">
        <v>3903.9</v>
      </c>
      <c r="G3" s="151">
        <f t="shared" ref="G3:G66" si="0">E3-F3</f>
        <v>1738.7499999999995</v>
      </c>
      <c r="H3" s="145">
        <f t="shared" ref="H3:H66" si="1">F3/G3</f>
        <v>2.2452336448598138</v>
      </c>
    </row>
    <row r="4" spans="1:8">
      <c r="A4" s="149" t="s">
        <v>144</v>
      </c>
      <c r="B4" s="150">
        <v>34</v>
      </c>
      <c r="C4" s="150">
        <v>1047.74</v>
      </c>
      <c r="D4" s="150">
        <v>1346.5</v>
      </c>
      <c r="E4" s="150">
        <v>45781</v>
      </c>
      <c r="F4" s="150">
        <v>10157.85</v>
      </c>
      <c r="G4" s="151">
        <f t="shared" si="0"/>
        <v>35623.15</v>
      </c>
      <c r="H4" s="145">
        <f t="shared" si="1"/>
        <v>0.285147439235441</v>
      </c>
    </row>
    <row r="5" spans="1:8">
      <c r="A5" s="149" t="s">
        <v>317</v>
      </c>
      <c r="B5" s="150">
        <v>13</v>
      </c>
      <c r="C5" s="150">
        <v>2592.56</v>
      </c>
      <c r="D5" s="150">
        <v>3301.1</v>
      </c>
      <c r="E5" s="150">
        <v>42914.3</v>
      </c>
      <c r="F5" s="150">
        <v>9211.0499999999993</v>
      </c>
      <c r="G5" s="151">
        <f t="shared" si="0"/>
        <v>33703.25</v>
      </c>
      <c r="H5" s="145">
        <f t="shared" si="1"/>
        <v>0.2732985691290899</v>
      </c>
    </row>
    <row r="6" spans="1:8">
      <c r="A6" s="149" t="s">
        <v>145</v>
      </c>
      <c r="B6" s="150">
        <v>250</v>
      </c>
      <c r="C6" s="150">
        <v>183.59</v>
      </c>
      <c r="D6" s="150">
        <v>287.25</v>
      </c>
      <c r="E6" s="150">
        <v>71812.5</v>
      </c>
      <c r="F6" s="150">
        <v>25915</v>
      </c>
      <c r="G6" s="151">
        <f t="shared" si="0"/>
        <v>45897.5</v>
      </c>
      <c r="H6" s="145">
        <f t="shared" si="1"/>
        <v>0.56462770303393428</v>
      </c>
    </row>
    <row r="7" spans="1:8">
      <c r="A7" s="149" t="s">
        <v>276</v>
      </c>
      <c r="B7" s="150">
        <v>18</v>
      </c>
      <c r="C7" s="150">
        <v>2605.02</v>
      </c>
      <c r="D7" s="150">
        <v>3121.35</v>
      </c>
      <c r="E7" s="150">
        <v>56184.3</v>
      </c>
      <c r="F7" s="150">
        <v>9294</v>
      </c>
      <c r="G7" s="151">
        <f t="shared" si="0"/>
        <v>46890.3</v>
      </c>
      <c r="H7" s="145">
        <f t="shared" si="1"/>
        <v>0.19820730513560372</v>
      </c>
    </row>
    <row r="8" spans="1:8">
      <c r="A8" s="149" t="s">
        <v>277</v>
      </c>
      <c r="B8" s="150">
        <v>72</v>
      </c>
      <c r="C8" s="150">
        <v>578.16999999999996</v>
      </c>
      <c r="D8" s="150">
        <v>617.1</v>
      </c>
      <c r="E8" s="150">
        <v>44431.199999999997</v>
      </c>
      <c r="F8" s="150">
        <v>2803</v>
      </c>
      <c r="G8" s="151">
        <f t="shared" si="0"/>
        <v>41628.199999999997</v>
      </c>
      <c r="H8" s="145">
        <f t="shared" si="1"/>
        <v>6.7334162899188532E-2</v>
      </c>
    </row>
    <row r="9" spans="1:8">
      <c r="A9" s="149" t="s">
        <v>146</v>
      </c>
      <c r="B9" s="150">
        <v>76</v>
      </c>
      <c r="C9" s="150">
        <v>603.67999999999995</v>
      </c>
      <c r="D9" s="150">
        <v>872.15</v>
      </c>
      <c r="E9" s="150">
        <v>66283.399999999994</v>
      </c>
      <c r="F9" s="150">
        <v>20403.95</v>
      </c>
      <c r="G9" s="151">
        <f t="shared" si="0"/>
        <v>45879.45</v>
      </c>
      <c r="H9" s="145">
        <f t="shared" si="1"/>
        <v>0.44472961205942968</v>
      </c>
    </row>
    <row r="10" spans="1:8">
      <c r="A10" s="149" t="s">
        <v>147</v>
      </c>
      <c r="B10" s="150">
        <v>20</v>
      </c>
      <c r="C10" s="150">
        <v>2859.69</v>
      </c>
      <c r="D10" s="150">
        <v>3801</v>
      </c>
      <c r="E10" s="150">
        <v>76020</v>
      </c>
      <c r="F10" s="150">
        <v>18826.2</v>
      </c>
      <c r="G10" s="151">
        <f t="shared" si="0"/>
        <v>57193.8</v>
      </c>
      <c r="H10" s="145">
        <f t="shared" si="1"/>
        <v>0.32916504935849689</v>
      </c>
    </row>
    <row r="11" spans="1:8">
      <c r="A11" s="149" t="s">
        <v>148</v>
      </c>
      <c r="B11" s="150">
        <v>4</v>
      </c>
      <c r="C11" s="150">
        <v>6983.56</v>
      </c>
      <c r="D11" s="150">
        <v>7175.05</v>
      </c>
      <c r="E11" s="150">
        <v>28700.2</v>
      </c>
      <c r="F11" s="150">
        <v>765.95</v>
      </c>
      <c r="G11" s="151">
        <f t="shared" si="0"/>
        <v>27934.25</v>
      </c>
      <c r="H11" s="145">
        <f t="shared" si="1"/>
        <v>2.7419744578787691E-2</v>
      </c>
    </row>
    <row r="12" spans="1:8">
      <c r="A12" s="149" t="s">
        <v>149</v>
      </c>
      <c r="B12" s="150">
        <v>10</v>
      </c>
      <c r="C12" s="150">
        <v>1889.87</v>
      </c>
      <c r="D12" s="150">
        <v>1945</v>
      </c>
      <c r="E12" s="150">
        <v>19450</v>
      </c>
      <c r="F12" s="150">
        <v>551.35</v>
      </c>
      <c r="G12" s="151">
        <f t="shared" si="0"/>
        <v>18898.650000000001</v>
      </c>
      <c r="H12" s="145">
        <f t="shared" si="1"/>
        <v>2.9174041532067103E-2</v>
      </c>
    </row>
    <row r="13" spans="1:8">
      <c r="A13" s="149" t="s">
        <v>152</v>
      </c>
      <c r="B13" s="150">
        <v>180</v>
      </c>
      <c r="C13" s="150">
        <v>322.89</v>
      </c>
      <c r="D13" s="150">
        <v>821.6</v>
      </c>
      <c r="E13" s="150">
        <v>147888</v>
      </c>
      <c r="F13" s="150">
        <v>89768</v>
      </c>
      <c r="G13" s="151">
        <f t="shared" si="0"/>
        <v>58120</v>
      </c>
      <c r="H13" s="145">
        <f t="shared" si="1"/>
        <v>1.5445285615966964</v>
      </c>
    </row>
    <row r="14" spans="1:8">
      <c r="A14" s="149" t="s">
        <v>310</v>
      </c>
      <c r="B14" s="150">
        <v>6</v>
      </c>
      <c r="C14" s="150">
        <v>0</v>
      </c>
      <c r="D14" s="150">
        <v>28.55</v>
      </c>
      <c r="E14" s="150">
        <v>171.3</v>
      </c>
      <c r="F14" s="150">
        <v>171.3</v>
      </c>
      <c r="G14" s="151">
        <f t="shared" si="0"/>
        <v>0</v>
      </c>
      <c r="H14" s="145">
        <v>0</v>
      </c>
    </row>
    <row r="15" spans="1:8">
      <c r="A15" s="149" t="s">
        <v>153</v>
      </c>
      <c r="B15" s="150">
        <v>46</v>
      </c>
      <c r="C15" s="150">
        <v>417.93</v>
      </c>
      <c r="D15" s="150">
        <v>496.15</v>
      </c>
      <c r="E15" s="150">
        <v>22822.9</v>
      </c>
      <c r="F15" s="150">
        <v>3598.3</v>
      </c>
      <c r="G15" s="151">
        <f t="shared" si="0"/>
        <v>19224.600000000002</v>
      </c>
      <c r="H15" s="145">
        <f t="shared" si="1"/>
        <v>0.18717164466360808</v>
      </c>
    </row>
    <row r="16" spans="1:8">
      <c r="A16" s="149" t="s">
        <v>154</v>
      </c>
      <c r="B16" s="150">
        <v>14</v>
      </c>
      <c r="C16" s="150">
        <v>3489.94</v>
      </c>
      <c r="D16" s="150">
        <v>3744.9</v>
      </c>
      <c r="E16" s="150">
        <v>52428.6</v>
      </c>
      <c r="F16" s="150">
        <v>3569.5</v>
      </c>
      <c r="G16" s="151">
        <f t="shared" si="0"/>
        <v>48859.1</v>
      </c>
      <c r="H16" s="145">
        <f t="shared" si="1"/>
        <v>7.3057014967529074E-2</v>
      </c>
    </row>
    <row r="17" spans="1:8">
      <c r="A17" s="149" t="s">
        <v>155</v>
      </c>
      <c r="B17" s="150">
        <v>180</v>
      </c>
      <c r="C17" s="150">
        <v>155.25</v>
      </c>
      <c r="D17" s="150">
        <v>121.95</v>
      </c>
      <c r="E17" s="150">
        <v>21951</v>
      </c>
      <c r="F17" s="150">
        <v>-5994</v>
      </c>
      <c r="G17" s="151">
        <f t="shared" si="0"/>
        <v>27945</v>
      </c>
      <c r="H17" s="145">
        <f t="shared" si="1"/>
        <v>-0.2144927536231884</v>
      </c>
    </row>
    <row r="18" spans="1:8">
      <c r="A18" s="149" t="s">
        <v>157</v>
      </c>
      <c r="B18" s="150">
        <v>40</v>
      </c>
      <c r="C18" s="150">
        <v>777.11</v>
      </c>
      <c r="D18" s="150">
        <v>1174</v>
      </c>
      <c r="E18" s="150">
        <v>46960</v>
      </c>
      <c r="F18" s="150">
        <v>15875.45</v>
      </c>
      <c r="G18" s="151">
        <f t="shared" si="0"/>
        <v>31084.55</v>
      </c>
      <c r="H18" s="145">
        <f t="shared" si="1"/>
        <v>0.51071834721750842</v>
      </c>
    </row>
    <row r="19" spans="1:8">
      <c r="A19" s="149" t="s">
        <v>158</v>
      </c>
      <c r="B19" s="150">
        <v>250</v>
      </c>
      <c r="C19" s="150">
        <v>163.66999999999999</v>
      </c>
      <c r="D19" s="150">
        <v>245.85</v>
      </c>
      <c r="E19" s="150">
        <v>61462.5</v>
      </c>
      <c r="F19" s="150">
        <v>20545</v>
      </c>
      <c r="G19" s="151">
        <f t="shared" si="0"/>
        <v>40917.5</v>
      </c>
      <c r="H19" s="145">
        <f t="shared" si="1"/>
        <v>0.50210790004276895</v>
      </c>
    </row>
    <row r="20" spans="1:8">
      <c r="A20" s="149" t="s">
        <v>159</v>
      </c>
      <c r="B20" s="150">
        <v>7</v>
      </c>
      <c r="C20" s="150">
        <v>4175.84</v>
      </c>
      <c r="D20" s="150">
        <v>3822.5</v>
      </c>
      <c r="E20" s="150">
        <v>26757.5</v>
      </c>
      <c r="F20" s="150">
        <v>-2473.35</v>
      </c>
      <c r="G20" s="151">
        <f t="shared" si="0"/>
        <v>29230.85</v>
      </c>
      <c r="H20" s="145">
        <f t="shared" si="1"/>
        <v>-8.4614371460289384E-2</v>
      </c>
    </row>
    <row r="21" spans="1:8">
      <c r="A21" s="149" t="s">
        <v>160</v>
      </c>
      <c r="B21" s="150">
        <v>35</v>
      </c>
      <c r="C21" s="150">
        <v>1545.44</v>
      </c>
      <c r="D21" s="150">
        <v>1605.25</v>
      </c>
      <c r="E21" s="150">
        <v>56183.75</v>
      </c>
      <c r="F21" s="150">
        <v>2093.25</v>
      </c>
      <c r="G21" s="151">
        <f t="shared" si="0"/>
        <v>54090.5</v>
      </c>
      <c r="H21" s="145">
        <f t="shared" si="1"/>
        <v>3.8699032177554285E-2</v>
      </c>
    </row>
    <row r="22" spans="1:8">
      <c r="A22" s="149" t="s">
        <v>279</v>
      </c>
      <c r="B22" s="150">
        <v>72</v>
      </c>
      <c r="C22" s="150">
        <v>559.89</v>
      </c>
      <c r="D22" s="150">
        <v>558.1</v>
      </c>
      <c r="E22" s="150">
        <v>40183.199999999997</v>
      </c>
      <c r="F22" s="150">
        <v>-128.85</v>
      </c>
      <c r="G22" s="151">
        <f t="shared" si="0"/>
        <v>40312.049999999996</v>
      </c>
      <c r="H22" s="145">
        <f t="shared" si="1"/>
        <v>-3.1963147495599952E-3</v>
      </c>
    </row>
    <row r="23" spans="1:8">
      <c r="A23" s="149" t="s">
        <v>332</v>
      </c>
      <c r="B23" s="150">
        <v>11</v>
      </c>
      <c r="C23" s="150">
        <v>2298.16</v>
      </c>
      <c r="D23" s="150">
        <v>3747.85</v>
      </c>
      <c r="E23" s="150">
        <v>41226.35</v>
      </c>
      <c r="F23" s="150">
        <v>15946.6</v>
      </c>
      <c r="G23" s="151">
        <f t="shared" si="0"/>
        <v>25279.75</v>
      </c>
      <c r="H23" s="145">
        <f t="shared" si="1"/>
        <v>0.63080528881812514</v>
      </c>
    </row>
    <row r="24" spans="1:8">
      <c r="A24" s="149" t="s">
        <v>161</v>
      </c>
      <c r="B24" s="150">
        <v>55</v>
      </c>
      <c r="C24" s="150">
        <v>325.14</v>
      </c>
      <c r="D24" s="150">
        <v>386.85</v>
      </c>
      <c r="E24" s="150">
        <v>21276.75</v>
      </c>
      <c r="F24" s="150">
        <v>3393.85</v>
      </c>
      <c r="G24" s="151">
        <f t="shared" si="0"/>
        <v>17882.900000000001</v>
      </c>
      <c r="H24" s="145">
        <f t="shared" si="1"/>
        <v>0.18978185864708741</v>
      </c>
    </row>
    <row r="25" spans="1:8">
      <c r="A25" s="149" t="s">
        <v>162</v>
      </c>
      <c r="B25" s="150">
        <v>12</v>
      </c>
      <c r="C25" s="150">
        <v>3205.4</v>
      </c>
      <c r="D25" s="150">
        <v>4200</v>
      </c>
      <c r="E25" s="150">
        <v>50400</v>
      </c>
      <c r="F25" s="150">
        <v>11935.25</v>
      </c>
      <c r="G25" s="151">
        <f t="shared" si="0"/>
        <v>38464.75</v>
      </c>
      <c r="H25" s="145">
        <f t="shared" si="1"/>
        <v>0.31029059073567355</v>
      </c>
    </row>
    <row r="26" spans="1:8">
      <c r="A26" s="149" t="s">
        <v>164</v>
      </c>
      <c r="B26" s="150">
        <v>10</v>
      </c>
      <c r="C26" s="150">
        <v>2469.04</v>
      </c>
      <c r="D26" s="150">
        <v>3715</v>
      </c>
      <c r="E26" s="150">
        <v>37150</v>
      </c>
      <c r="F26" s="150">
        <v>12459.65</v>
      </c>
      <c r="G26" s="151">
        <f t="shared" si="0"/>
        <v>24690.35</v>
      </c>
      <c r="H26" s="145">
        <f t="shared" si="1"/>
        <v>0.50463642678212339</v>
      </c>
    </row>
    <row r="27" spans="1:8">
      <c r="A27" s="149" t="s">
        <v>270</v>
      </c>
      <c r="B27" s="150">
        <v>61</v>
      </c>
      <c r="C27" s="150">
        <v>360.97</v>
      </c>
      <c r="D27" s="150">
        <v>341.68</v>
      </c>
      <c r="E27" s="150">
        <v>20842.48</v>
      </c>
      <c r="F27" s="150">
        <v>-1176.69</v>
      </c>
      <c r="G27" s="151">
        <f t="shared" si="0"/>
        <v>22019.17</v>
      </c>
      <c r="H27" s="145">
        <f t="shared" si="1"/>
        <v>-5.3439343989805252E-2</v>
      </c>
    </row>
    <row r="28" spans="1:8">
      <c r="A28" s="149" t="s">
        <v>166</v>
      </c>
      <c r="B28" s="150">
        <v>31</v>
      </c>
      <c r="C28" s="150">
        <v>1356.45</v>
      </c>
      <c r="D28" s="150">
        <v>1360.95</v>
      </c>
      <c r="E28" s="150">
        <v>42189.45</v>
      </c>
      <c r="F28" s="150">
        <v>139.55000000000001</v>
      </c>
      <c r="G28" s="151">
        <f t="shared" si="0"/>
        <v>42049.899999999994</v>
      </c>
      <c r="H28" s="145">
        <f t="shared" si="1"/>
        <v>3.3186761442952307E-3</v>
      </c>
    </row>
    <row r="29" spans="1:8">
      <c r="A29" s="149" t="s">
        <v>168</v>
      </c>
      <c r="B29" s="150">
        <v>60</v>
      </c>
      <c r="C29" s="150">
        <v>716.58</v>
      </c>
      <c r="D29" s="150">
        <v>725.95</v>
      </c>
      <c r="E29" s="150">
        <v>43557</v>
      </c>
      <c r="F29" s="150">
        <v>562.29999999999995</v>
      </c>
      <c r="G29" s="151">
        <f t="shared" si="0"/>
        <v>42994.7</v>
      </c>
      <c r="H29" s="145">
        <f t="shared" si="1"/>
        <v>1.3078356169481355E-2</v>
      </c>
    </row>
    <row r="30" spans="1:8">
      <c r="A30" s="149" t="s">
        <v>169</v>
      </c>
      <c r="B30" s="150">
        <v>306</v>
      </c>
      <c r="C30" s="150">
        <v>184.89</v>
      </c>
      <c r="D30" s="150">
        <v>165.45</v>
      </c>
      <c r="E30" s="150">
        <v>50627.7</v>
      </c>
      <c r="F30" s="150">
        <v>-5948.05</v>
      </c>
      <c r="G30" s="151">
        <f t="shared" si="0"/>
        <v>56575.75</v>
      </c>
      <c r="H30" s="145">
        <f t="shared" si="1"/>
        <v>-0.1051342668899661</v>
      </c>
    </row>
    <row r="31" spans="1:8">
      <c r="A31" s="149" t="s">
        <v>170</v>
      </c>
      <c r="B31" s="150">
        <v>521</v>
      </c>
      <c r="C31" s="150">
        <v>75.53</v>
      </c>
      <c r="D31" s="150">
        <v>136.85</v>
      </c>
      <c r="E31" s="150">
        <v>71298.850000000006</v>
      </c>
      <c r="F31" s="150">
        <v>31947.25</v>
      </c>
      <c r="G31" s="151">
        <f t="shared" si="0"/>
        <v>39351.600000000006</v>
      </c>
      <c r="H31" s="145">
        <f t="shared" si="1"/>
        <v>0.81184119578365288</v>
      </c>
    </row>
    <row r="32" spans="1:8">
      <c r="A32" s="149" t="s">
        <v>325</v>
      </c>
      <c r="B32" s="150">
        <v>44</v>
      </c>
      <c r="C32" s="150">
        <v>661.86</v>
      </c>
      <c r="D32" s="150">
        <v>634.04999999999995</v>
      </c>
      <c r="E32" s="150">
        <v>27898.2</v>
      </c>
      <c r="F32" s="150">
        <v>-1223.8</v>
      </c>
      <c r="G32" s="151">
        <f t="shared" si="0"/>
        <v>29122</v>
      </c>
      <c r="H32" s="145">
        <f t="shared" si="1"/>
        <v>-4.2023212691436024E-2</v>
      </c>
    </row>
    <row r="33" spans="1:8">
      <c r="A33" s="149" t="s">
        <v>334</v>
      </c>
      <c r="B33" s="150">
        <v>16</v>
      </c>
      <c r="C33" s="150">
        <v>3533.32</v>
      </c>
      <c r="D33" s="150">
        <v>1836</v>
      </c>
      <c r="E33" s="150">
        <v>29376</v>
      </c>
      <c r="F33" s="150">
        <v>-27157.1</v>
      </c>
      <c r="G33" s="151">
        <f t="shared" si="0"/>
        <v>56533.1</v>
      </c>
      <c r="H33" s="145">
        <f t="shared" si="1"/>
        <v>-0.48037521381279286</v>
      </c>
    </row>
    <row r="34" spans="1:8">
      <c r="A34" s="149" t="s">
        <v>172</v>
      </c>
      <c r="B34" s="150">
        <v>18</v>
      </c>
      <c r="C34" s="150">
        <v>1556.41</v>
      </c>
      <c r="D34" s="150">
        <v>1248.1500000000001</v>
      </c>
      <c r="E34" s="150">
        <v>22466.7</v>
      </c>
      <c r="F34" s="150">
        <v>-5548.65</v>
      </c>
      <c r="G34" s="151">
        <f t="shared" si="0"/>
        <v>28015.35</v>
      </c>
      <c r="H34" s="145">
        <f t="shared" si="1"/>
        <v>-0.19805749348125223</v>
      </c>
    </row>
    <row r="35" spans="1:8">
      <c r="A35" s="149" t="s">
        <v>173</v>
      </c>
      <c r="B35" s="150">
        <v>45</v>
      </c>
      <c r="C35" s="150">
        <v>40.9</v>
      </c>
      <c r="D35" s="150">
        <v>43.23</v>
      </c>
      <c r="E35" s="150">
        <v>1945.35</v>
      </c>
      <c r="F35" s="150">
        <v>104.75</v>
      </c>
      <c r="G35" s="151">
        <f t="shared" si="0"/>
        <v>1840.6</v>
      </c>
      <c r="H35" s="145">
        <f t="shared" si="1"/>
        <v>5.6910789959795718E-2</v>
      </c>
    </row>
    <row r="36" spans="1:8">
      <c r="A36" s="149" t="s">
        <v>174</v>
      </c>
      <c r="B36" s="150">
        <v>42</v>
      </c>
      <c r="C36" s="150">
        <v>1044.27</v>
      </c>
      <c r="D36" s="150">
        <v>1048.25</v>
      </c>
      <c r="E36" s="150">
        <v>44026.5</v>
      </c>
      <c r="F36" s="150">
        <v>167.15</v>
      </c>
      <c r="G36" s="151">
        <f t="shared" si="0"/>
        <v>43859.35</v>
      </c>
      <c r="H36" s="145">
        <f t="shared" si="1"/>
        <v>3.8110459913336613E-3</v>
      </c>
    </row>
    <row r="37" spans="1:8">
      <c r="A37" s="149" t="s">
        <v>175</v>
      </c>
      <c r="B37" s="150">
        <v>48</v>
      </c>
      <c r="C37" s="150">
        <v>1429.32</v>
      </c>
      <c r="D37" s="150">
        <v>1515.3</v>
      </c>
      <c r="E37" s="150">
        <v>72734.399999999994</v>
      </c>
      <c r="F37" s="150">
        <v>4126.95</v>
      </c>
      <c r="G37" s="151">
        <f t="shared" si="0"/>
        <v>68607.45</v>
      </c>
      <c r="H37" s="145">
        <f t="shared" si="1"/>
        <v>6.0153088330786232E-2</v>
      </c>
    </row>
    <row r="38" spans="1:8">
      <c r="A38" s="149" t="s">
        <v>176</v>
      </c>
      <c r="B38" s="150">
        <v>78</v>
      </c>
      <c r="C38" s="150">
        <v>617.39</v>
      </c>
      <c r="D38" s="150">
        <v>545.25</v>
      </c>
      <c r="E38" s="150">
        <v>42529.5</v>
      </c>
      <c r="F38" s="150">
        <v>-5626.7</v>
      </c>
      <c r="G38" s="151">
        <f t="shared" si="0"/>
        <v>48156.2</v>
      </c>
      <c r="H38" s="145">
        <f t="shared" si="1"/>
        <v>-0.11684269107612312</v>
      </c>
    </row>
    <row r="39" spans="1:8">
      <c r="A39" s="149" t="s">
        <v>177</v>
      </c>
      <c r="B39" s="150">
        <v>12</v>
      </c>
      <c r="C39" s="150">
        <v>2815.97</v>
      </c>
      <c r="D39" s="150">
        <v>2645</v>
      </c>
      <c r="E39" s="150">
        <v>31740</v>
      </c>
      <c r="F39" s="150">
        <v>-2051.65</v>
      </c>
      <c r="G39" s="151">
        <f t="shared" si="0"/>
        <v>33791.65</v>
      </c>
      <c r="H39" s="145">
        <f t="shared" si="1"/>
        <v>-6.0714703188509585E-2</v>
      </c>
    </row>
    <row r="40" spans="1:8">
      <c r="A40" s="149" t="s">
        <v>335</v>
      </c>
      <c r="B40" s="150">
        <v>47</v>
      </c>
      <c r="C40" s="150">
        <v>591.04</v>
      </c>
      <c r="D40" s="150">
        <v>569.25</v>
      </c>
      <c r="E40" s="150">
        <v>26754.75</v>
      </c>
      <c r="F40" s="150">
        <v>-1024.0999999999999</v>
      </c>
      <c r="G40" s="151">
        <f t="shared" si="0"/>
        <v>27778.85</v>
      </c>
      <c r="H40" s="145">
        <f t="shared" si="1"/>
        <v>-3.6866176965569125E-2</v>
      </c>
    </row>
    <row r="41" spans="1:8">
      <c r="A41" s="149" t="s">
        <v>282</v>
      </c>
      <c r="B41" s="150">
        <v>19</v>
      </c>
      <c r="C41" s="150">
        <v>2270.19</v>
      </c>
      <c r="D41" s="150">
        <v>2530.1</v>
      </c>
      <c r="E41" s="150">
        <v>48071.9</v>
      </c>
      <c r="F41" s="150">
        <v>4938.3500000000004</v>
      </c>
      <c r="G41" s="151">
        <f t="shared" si="0"/>
        <v>43133.55</v>
      </c>
      <c r="H41" s="145">
        <f t="shared" si="1"/>
        <v>0.11448976492776505</v>
      </c>
    </row>
    <row r="42" spans="1:8">
      <c r="A42" s="149" t="s">
        <v>178</v>
      </c>
      <c r="B42" s="150">
        <v>87</v>
      </c>
      <c r="C42" s="150">
        <v>548.66999999999996</v>
      </c>
      <c r="D42" s="150">
        <v>909.6</v>
      </c>
      <c r="E42" s="150">
        <v>79135.199999999997</v>
      </c>
      <c r="F42" s="150">
        <v>31400.55</v>
      </c>
      <c r="G42" s="151">
        <f t="shared" si="0"/>
        <v>47734.649999999994</v>
      </c>
      <c r="H42" s="145">
        <f t="shared" si="1"/>
        <v>0.65781460637084388</v>
      </c>
    </row>
    <row r="43" spans="1:8">
      <c r="A43" s="149" t="s">
        <v>179</v>
      </c>
      <c r="B43" s="150">
        <v>46</v>
      </c>
      <c r="C43" s="150">
        <v>1362.12</v>
      </c>
      <c r="D43" s="150">
        <v>1162.05</v>
      </c>
      <c r="E43" s="150">
        <v>53454.3</v>
      </c>
      <c r="F43" s="150">
        <v>-9203.15</v>
      </c>
      <c r="G43" s="151">
        <f t="shared" si="0"/>
        <v>62657.450000000004</v>
      </c>
      <c r="H43" s="145">
        <f t="shared" si="1"/>
        <v>-0.14688037894935077</v>
      </c>
    </row>
    <row r="44" spans="1:8">
      <c r="A44" s="149" t="s">
        <v>180</v>
      </c>
      <c r="B44" s="150">
        <v>75</v>
      </c>
      <c r="C44" s="150">
        <v>542.61</v>
      </c>
      <c r="D44" s="150">
        <v>520</v>
      </c>
      <c r="E44" s="150">
        <v>39000</v>
      </c>
      <c r="F44" s="150">
        <v>-1696.05</v>
      </c>
      <c r="G44" s="151">
        <f t="shared" si="0"/>
        <v>40696.050000000003</v>
      </c>
      <c r="H44" s="145">
        <f t="shared" si="1"/>
        <v>-4.1676034897735768E-2</v>
      </c>
    </row>
    <row r="45" spans="1:8">
      <c r="A45" s="149" t="s">
        <v>284</v>
      </c>
      <c r="B45" s="150">
        <v>54</v>
      </c>
      <c r="C45" s="150">
        <v>988.1</v>
      </c>
      <c r="D45" s="150">
        <v>1145.05</v>
      </c>
      <c r="E45" s="150">
        <v>61832.7</v>
      </c>
      <c r="F45" s="150">
        <v>8475.15</v>
      </c>
      <c r="G45" s="151">
        <f t="shared" si="0"/>
        <v>53357.549999999996</v>
      </c>
      <c r="H45" s="145">
        <f t="shared" si="1"/>
        <v>0.15883694060165807</v>
      </c>
    </row>
    <row r="46" spans="1:8">
      <c r="A46" s="149" t="s">
        <v>181</v>
      </c>
      <c r="B46" s="150">
        <v>27</v>
      </c>
      <c r="C46" s="150">
        <v>1652.29</v>
      </c>
      <c r="D46" s="150">
        <v>1542.15</v>
      </c>
      <c r="E46" s="150">
        <v>41638.050000000003</v>
      </c>
      <c r="F46" s="150">
        <v>-2973.85</v>
      </c>
      <c r="G46" s="151">
        <f t="shared" si="0"/>
        <v>44611.9</v>
      </c>
      <c r="H46" s="145">
        <f t="shared" si="1"/>
        <v>-6.6660465032872387E-2</v>
      </c>
    </row>
    <row r="47" spans="1:8">
      <c r="A47" s="149" t="s">
        <v>182</v>
      </c>
      <c r="B47" s="150">
        <v>770</v>
      </c>
      <c r="C47" s="150">
        <v>227.34</v>
      </c>
      <c r="D47" s="150">
        <v>356.9</v>
      </c>
      <c r="E47" s="150">
        <v>274813</v>
      </c>
      <c r="F47" s="150">
        <v>99758.65</v>
      </c>
      <c r="G47" s="151">
        <f t="shared" si="0"/>
        <v>175054.35</v>
      </c>
      <c r="H47" s="145">
        <f t="shared" si="1"/>
        <v>0.56987244247286628</v>
      </c>
    </row>
    <row r="48" spans="1:8">
      <c r="A48" s="149" t="s">
        <v>183</v>
      </c>
      <c r="B48" s="150">
        <v>21</v>
      </c>
      <c r="C48" s="150">
        <v>1067.58</v>
      </c>
      <c r="D48" s="150">
        <v>2005</v>
      </c>
      <c r="E48" s="150">
        <v>42105</v>
      </c>
      <c r="F48" s="150">
        <v>19685.900000000001</v>
      </c>
      <c r="G48" s="151">
        <f t="shared" si="0"/>
        <v>22419.1</v>
      </c>
      <c r="H48" s="145">
        <f t="shared" si="1"/>
        <v>0.87808609623044653</v>
      </c>
    </row>
    <row r="49" spans="1:8">
      <c r="A49" s="149" t="s">
        <v>313</v>
      </c>
      <c r="B49" s="150">
        <v>2</v>
      </c>
      <c r="C49" s="150">
        <v>345.31</v>
      </c>
      <c r="D49" s="150">
        <v>454.8</v>
      </c>
      <c r="E49" s="150">
        <v>909.6</v>
      </c>
      <c r="F49" s="150">
        <v>218.98</v>
      </c>
      <c r="G49" s="151">
        <f t="shared" si="0"/>
        <v>690.62</v>
      </c>
      <c r="H49" s="145">
        <f t="shared" si="1"/>
        <v>0.31707740870522139</v>
      </c>
    </row>
    <row r="50" spans="1:8">
      <c r="A50" s="149" t="s">
        <v>185</v>
      </c>
      <c r="B50" s="150">
        <v>38</v>
      </c>
      <c r="C50" s="150">
        <v>1711.28</v>
      </c>
      <c r="D50" s="150">
        <v>1903</v>
      </c>
      <c r="E50" s="150">
        <v>72314</v>
      </c>
      <c r="F50" s="150">
        <v>7285.2</v>
      </c>
      <c r="G50" s="151">
        <f t="shared" si="0"/>
        <v>65028.800000000003</v>
      </c>
      <c r="H50" s="145">
        <f t="shared" si="1"/>
        <v>0.11203036193194399</v>
      </c>
    </row>
    <row r="51" spans="1:8">
      <c r="A51" s="149" t="s">
        <v>186</v>
      </c>
      <c r="B51" s="150">
        <v>51</v>
      </c>
      <c r="C51" s="150">
        <v>566.28</v>
      </c>
      <c r="D51" s="150">
        <v>703.85</v>
      </c>
      <c r="E51" s="150">
        <v>35896.35</v>
      </c>
      <c r="F51" s="150">
        <v>7016</v>
      </c>
      <c r="G51" s="151">
        <f t="shared" si="0"/>
        <v>28880.35</v>
      </c>
      <c r="H51" s="145">
        <f t="shared" si="1"/>
        <v>0.24293334395185656</v>
      </c>
    </row>
    <row r="52" spans="1:8">
      <c r="A52" s="149" t="s">
        <v>187</v>
      </c>
      <c r="B52" s="150">
        <v>8</v>
      </c>
      <c r="C52" s="150">
        <v>2728.63</v>
      </c>
      <c r="D52" s="150">
        <v>2616.85</v>
      </c>
      <c r="E52" s="150">
        <v>20934.8</v>
      </c>
      <c r="F52" s="150">
        <v>-894.2</v>
      </c>
      <c r="G52" s="151">
        <f t="shared" si="0"/>
        <v>21829</v>
      </c>
      <c r="H52" s="145">
        <f t="shared" si="1"/>
        <v>-4.0963855421686748E-2</v>
      </c>
    </row>
    <row r="53" spans="1:8">
      <c r="A53" s="149" t="s">
        <v>314</v>
      </c>
      <c r="B53" s="150">
        <v>2</v>
      </c>
      <c r="C53" s="150">
        <v>963.28</v>
      </c>
      <c r="D53" s="150">
        <v>1000.01</v>
      </c>
      <c r="E53" s="150">
        <v>2000.02</v>
      </c>
      <c r="F53" s="150">
        <v>73.459999999999994</v>
      </c>
      <c r="G53" s="151">
        <f t="shared" si="0"/>
        <v>1926.56</v>
      </c>
      <c r="H53" s="145">
        <f t="shared" si="1"/>
        <v>3.8130138692799596E-2</v>
      </c>
    </row>
    <row r="54" spans="1:8">
      <c r="A54" s="149" t="s">
        <v>188</v>
      </c>
      <c r="B54" s="150">
        <v>62</v>
      </c>
      <c r="C54" s="150">
        <v>1053.22</v>
      </c>
      <c r="D54" s="150">
        <v>2009.8</v>
      </c>
      <c r="E54" s="150">
        <v>124607.6</v>
      </c>
      <c r="F54" s="150">
        <v>59308.25</v>
      </c>
      <c r="G54" s="151">
        <f t="shared" si="0"/>
        <v>65299.350000000006</v>
      </c>
      <c r="H54" s="145">
        <f t="shared" si="1"/>
        <v>0.90825176667149055</v>
      </c>
    </row>
    <row r="55" spans="1:8">
      <c r="A55" s="149" t="s">
        <v>339</v>
      </c>
      <c r="B55" s="150">
        <v>5</v>
      </c>
      <c r="C55" s="150">
        <v>4717.7</v>
      </c>
      <c r="D55" s="150">
        <v>4838.8</v>
      </c>
      <c r="E55" s="150">
        <v>24194</v>
      </c>
      <c r="F55" s="150">
        <v>605.5</v>
      </c>
      <c r="G55" s="151">
        <f t="shared" si="0"/>
        <v>23588.5</v>
      </c>
      <c r="H55" s="145">
        <f t="shared" si="1"/>
        <v>2.5669288000508723E-2</v>
      </c>
    </row>
    <row r="56" spans="1:8">
      <c r="A56" s="149" t="s">
        <v>189</v>
      </c>
      <c r="B56" s="150">
        <v>29</v>
      </c>
      <c r="C56" s="150">
        <v>775.92</v>
      </c>
      <c r="D56" s="150">
        <v>1340.2</v>
      </c>
      <c r="E56" s="150">
        <v>38865.800000000003</v>
      </c>
      <c r="F56" s="150">
        <v>16364.2</v>
      </c>
      <c r="G56" s="151">
        <f t="shared" si="0"/>
        <v>22501.600000000002</v>
      </c>
      <c r="H56" s="145">
        <f t="shared" si="1"/>
        <v>0.72724606250222201</v>
      </c>
    </row>
    <row r="57" spans="1:8">
      <c r="A57" s="149" t="s">
        <v>324</v>
      </c>
      <c r="B57" s="150">
        <v>118</v>
      </c>
      <c r="C57" s="150">
        <v>184.31</v>
      </c>
      <c r="D57" s="150">
        <v>300.45</v>
      </c>
      <c r="E57" s="150">
        <v>35453.1</v>
      </c>
      <c r="F57" s="150">
        <v>13704.45</v>
      </c>
      <c r="G57" s="151">
        <f t="shared" si="0"/>
        <v>21748.649999999998</v>
      </c>
      <c r="H57" s="145">
        <f t="shared" si="1"/>
        <v>0.63012876661310024</v>
      </c>
    </row>
    <row r="58" spans="1:8">
      <c r="A58" s="149" t="s">
        <v>191</v>
      </c>
      <c r="B58" s="150">
        <v>72</v>
      </c>
      <c r="C58" s="150">
        <v>468.01</v>
      </c>
      <c r="D58" s="150">
        <v>533</v>
      </c>
      <c r="E58" s="150">
        <v>38376</v>
      </c>
      <c r="F58" s="150">
        <v>4679.3999999999996</v>
      </c>
      <c r="G58" s="151">
        <f t="shared" si="0"/>
        <v>33696.6</v>
      </c>
      <c r="H58" s="145">
        <f t="shared" si="1"/>
        <v>0.13886860988942504</v>
      </c>
    </row>
    <row r="59" spans="1:8">
      <c r="A59" s="149" t="s">
        <v>192</v>
      </c>
      <c r="B59" s="150">
        <v>55</v>
      </c>
      <c r="C59" s="150">
        <v>808.45</v>
      </c>
      <c r="D59" s="150">
        <v>730.85</v>
      </c>
      <c r="E59" s="150">
        <v>40196.75</v>
      </c>
      <c r="F59" s="150">
        <v>-4268</v>
      </c>
      <c r="G59" s="151">
        <f t="shared" si="0"/>
        <v>44464.75</v>
      </c>
      <c r="H59" s="145">
        <f t="shared" si="1"/>
        <v>-9.5986146329395755E-2</v>
      </c>
    </row>
    <row r="60" spans="1:8">
      <c r="A60" s="149" t="s">
        <v>220</v>
      </c>
      <c r="B60" s="150">
        <v>42</v>
      </c>
      <c r="C60" s="150">
        <v>315.58999999999997</v>
      </c>
      <c r="D60" s="150">
        <v>536.95000000000005</v>
      </c>
      <c r="E60" s="150">
        <v>22551.9</v>
      </c>
      <c r="F60" s="150">
        <v>9297.2000000000007</v>
      </c>
      <c r="G60" s="151">
        <f t="shared" si="0"/>
        <v>13254.7</v>
      </c>
      <c r="H60" s="145">
        <f t="shared" si="1"/>
        <v>0.7014266637494625</v>
      </c>
    </row>
    <row r="61" spans="1:8">
      <c r="A61" s="149" t="s">
        <v>265</v>
      </c>
      <c r="B61" s="150">
        <v>58</v>
      </c>
      <c r="C61" s="150">
        <v>342.44</v>
      </c>
      <c r="D61" s="150">
        <v>354</v>
      </c>
      <c r="E61" s="150">
        <v>20532</v>
      </c>
      <c r="F61" s="150">
        <v>670.48</v>
      </c>
      <c r="G61" s="151">
        <f t="shared" si="0"/>
        <v>19861.52</v>
      </c>
      <c r="H61" s="145">
        <f t="shared" si="1"/>
        <v>3.3757738581941366E-2</v>
      </c>
    </row>
    <row r="62" spans="1:8">
      <c r="A62" s="149" t="s">
        <v>340</v>
      </c>
      <c r="B62" s="150">
        <v>7</v>
      </c>
      <c r="C62" s="150">
        <v>3454.67</v>
      </c>
      <c r="D62" s="150">
        <v>3483.95</v>
      </c>
      <c r="E62" s="150">
        <v>24387.65</v>
      </c>
      <c r="F62" s="150">
        <v>204.95</v>
      </c>
      <c r="G62" s="151">
        <f t="shared" si="0"/>
        <v>24182.7</v>
      </c>
      <c r="H62" s="145">
        <f t="shared" si="1"/>
        <v>8.4750668866586439E-3</v>
      </c>
    </row>
    <row r="63" spans="1:8">
      <c r="A63" s="149" t="s">
        <v>194</v>
      </c>
      <c r="B63" s="150">
        <v>192</v>
      </c>
      <c r="C63" s="150">
        <v>104.85</v>
      </c>
      <c r="D63" s="150">
        <v>64.5</v>
      </c>
      <c r="E63" s="150">
        <v>12384</v>
      </c>
      <c r="F63" s="150">
        <v>-7747.1</v>
      </c>
      <c r="G63" s="151">
        <f t="shared" si="0"/>
        <v>20131.099999999999</v>
      </c>
      <c r="H63" s="145">
        <f t="shared" si="1"/>
        <v>-0.38483242346419227</v>
      </c>
    </row>
    <row r="64" spans="1:8">
      <c r="A64" s="149" t="s">
        <v>195</v>
      </c>
      <c r="B64" s="150">
        <v>14</v>
      </c>
      <c r="C64" s="150">
        <v>2452.2600000000002</v>
      </c>
      <c r="D64" s="150">
        <v>2003.3</v>
      </c>
      <c r="E64" s="150">
        <v>28046.2</v>
      </c>
      <c r="F64" s="150">
        <v>-6285.5</v>
      </c>
      <c r="G64" s="151">
        <f t="shared" si="0"/>
        <v>34331.699999999997</v>
      </c>
      <c r="H64" s="145">
        <f t="shared" si="1"/>
        <v>-0.1830815252376084</v>
      </c>
    </row>
    <row r="65" spans="1:8">
      <c r="A65" s="149" t="s">
        <v>315</v>
      </c>
      <c r="B65" s="150">
        <v>73</v>
      </c>
      <c r="C65" s="150">
        <v>19.93</v>
      </c>
      <c r="D65" s="150">
        <v>81.7</v>
      </c>
      <c r="E65" s="150">
        <v>5964.1</v>
      </c>
      <c r="F65" s="150">
        <v>4509.3999999999996</v>
      </c>
      <c r="G65" s="151">
        <f t="shared" si="0"/>
        <v>1454.7000000000007</v>
      </c>
      <c r="H65" s="145">
        <f t="shared" si="1"/>
        <v>3.0998831374166476</v>
      </c>
    </row>
    <row r="66" spans="1:8">
      <c r="A66" s="149" t="s">
        <v>316</v>
      </c>
      <c r="B66" s="150">
        <v>4</v>
      </c>
      <c r="C66" s="150">
        <v>131.47999999999999</v>
      </c>
      <c r="D66" s="150">
        <v>197.43</v>
      </c>
      <c r="E66" s="150">
        <v>789.72</v>
      </c>
      <c r="F66" s="150">
        <v>263.8</v>
      </c>
      <c r="G66" s="151">
        <f t="shared" si="0"/>
        <v>525.92000000000007</v>
      </c>
      <c r="H66" s="145">
        <f t="shared" si="1"/>
        <v>0.50159720109522354</v>
      </c>
    </row>
    <row r="67" spans="1:8">
      <c r="A67" s="149" t="s">
        <v>198</v>
      </c>
      <c r="B67" s="150">
        <v>71</v>
      </c>
      <c r="C67" s="150">
        <v>454.23</v>
      </c>
      <c r="D67" s="150">
        <v>920.5</v>
      </c>
      <c r="E67" s="150">
        <v>65355.5</v>
      </c>
      <c r="F67" s="150">
        <v>33105.449999999997</v>
      </c>
      <c r="G67" s="151">
        <f t="shared" ref="G67:G101" si="2">E67-F67</f>
        <v>32250.050000000003</v>
      </c>
      <c r="H67" s="145">
        <f t="shared" ref="H67:H101" si="3">F67/G67</f>
        <v>1.0265239898852869</v>
      </c>
    </row>
    <row r="68" spans="1:8">
      <c r="A68" s="149" t="s">
        <v>199</v>
      </c>
      <c r="B68" s="150">
        <v>13</v>
      </c>
      <c r="C68" s="150">
        <v>3846.22</v>
      </c>
      <c r="D68" s="150">
        <v>2992.75</v>
      </c>
      <c r="E68" s="150">
        <v>38905.75</v>
      </c>
      <c r="F68" s="150">
        <v>-11095.1</v>
      </c>
      <c r="G68" s="151">
        <f t="shared" si="2"/>
        <v>50000.85</v>
      </c>
      <c r="H68" s="145">
        <f t="shared" si="3"/>
        <v>-0.2218982277301286</v>
      </c>
    </row>
    <row r="69" spans="1:8">
      <c r="A69" s="149" t="s">
        <v>336</v>
      </c>
      <c r="B69" s="150">
        <v>159</v>
      </c>
      <c r="C69" s="150">
        <v>238.17</v>
      </c>
      <c r="D69" s="150">
        <v>195.2</v>
      </c>
      <c r="E69" s="150">
        <v>31036.799999999999</v>
      </c>
      <c r="F69" s="150">
        <v>-6833</v>
      </c>
      <c r="G69" s="151">
        <f t="shared" si="2"/>
        <v>37869.800000000003</v>
      </c>
      <c r="H69" s="145">
        <f t="shared" si="3"/>
        <v>-0.18043401338269544</v>
      </c>
    </row>
    <row r="70" spans="1:8">
      <c r="A70" s="149" t="s">
        <v>200</v>
      </c>
      <c r="B70" s="150">
        <v>300</v>
      </c>
      <c r="C70" s="150">
        <v>82.33</v>
      </c>
      <c r="D70" s="150">
        <v>136.05000000000001</v>
      </c>
      <c r="E70" s="150">
        <v>40815</v>
      </c>
      <c r="F70" s="150">
        <v>16115</v>
      </c>
      <c r="G70" s="151">
        <f t="shared" si="2"/>
        <v>24700</v>
      </c>
      <c r="H70" s="145">
        <f t="shared" si="3"/>
        <v>0.65242914979757083</v>
      </c>
    </row>
    <row r="71" spans="1:8">
      <c r="A71" s="149" t="s">
        <v>201</v>
      </c>
      <c r="B71" s="150">
        <v>8</v>
      </c>
      <c r="C71" s="150">
        <v>3646.27</v>
      </c>
      <c r="D71" s="150">
        <v>3787</v>
      </c>
      <c r="E71" s="150">
        <v>30296</v>
      </c>
      <c r="F71" s="150">
        <v>1125.8499999999999</v>
      </c>
      <c r="G71" s="151">
        <f t="shared" si="2"/>
        <v>29170.15</v>
      </c>
      <c r="H71" s="145">
        <f t="shared" si="3"/>
        <v>3.8595961967970674E-2</v>
      </c>
    </row>
    <row r="72" spans="1:8">
      <c r="A72" s="149" t="s">
        <v>202</v>
      </c>
      <c r="B72" s="150">
        <v>27</v>
      </c>
      <c r="C72" s="150">
        <v>863.85</v>
      </c>
      <c r="D72" s="150">
        <v>1454.45</v>
      </c>
      <c r="E72" s="150">
        <v>39270.15</v>
      </c>
      <c r="F72" s="150">
        <v>15946.2</v>
      </c>
      <c r="G72" s="151">
        <f t="shared" si="2"/>
        <v>23323.95</v>
      </c>
      <c r="H72" s="145">
        <f t="shared" si="3"/>
        <v>0.68368350986861148</v>
      </c>
    </row>
    <row r="73" spans="1:8">
      <c r="A73" s="149" t="s">
        <v>203</v>
      </c>
      <c r="B73" s="150">
        <v>12</v>
      </c>
      <c r="C73" s="150">
        <v>2512.88</v>
      </c>
      <c r="D73" s="150">
        <v>2613.4499999999998</v>
      </c>
      <c r="E73" s="150">
        <v>31361.4</v>
      </c>
      <c r="F73" s="150">
        <v>1206.9000000000001</v>
      </c>
      <c r="G73" s="151">
        <f t="shared" si="2"/>
        <v>30154.5</v>
      </c>
      <c r="H73" s="145">
        <f t="shared" si="3"/>
        <v>4.0023877033278615E-2</v>
      </c>
    </row>
    <row r="74" spans="1:8">
      <c r="A74" s="149" t="s">
        <v>204</v>
      </c>
      <c r="B74" s="150">
        <v>49</v>
      </c>
      <c r="C74" s="150">
        <v>488.91</v>
      </c>
      <c r="D74" s="150">
        <v>445.15</v>
      </c>
      <c r="E74" s="150">
        <v>21812.35</v>
      </c>
      <c r="F74" s="150">
        <v>-2144</v>
      </c>
      <c r="G74" s="151">
        <f t="shared" si="2"/>
        <v>23956.35</v>
      </c>
      <c r="H74" s="145">
        <f t="shared" si="3"/>
        <v>-8.9496104373162022E-2</v>
      </c>
    </row>
    <row r="75" spans="1:8">
      <c r="A75" s="149" t="s">
        <v>307</v>
      </c>
      <c r="B75" s="150">
        <v>20</v>
      </c>
      <c r="C75" s="150">
        <v>1000</v>
      </c>
      <c r="D75" s="150">
        <v>1160.01</v>
      </c>
      <c r="E75" s="150">
        <v>23200.2</v>
      </c>
      <c r="F75" s="150">
        <v>0</v>
      </c>
      <c r="G75" s="151">
        <f t="shared" si="2"/>
        <v>23200.2</v>
      </c>
      <c r="H75" s="145">
        <f t="shared" si="3"/>
        <v>0</v>
      </c>
    </row>
    <row r="76" spans="1:8">
      <c r="A76" s="149" t="s">
        <v>299</v>
      </c>
      <c r="B76" s="150">
        <v>20</v>
      </c>
      <c r="C76" s="150">
        <v>1103.22</v>
      </c>
      <c r="D76" s="150">
        <v>933.7</v>
      </c>
      <c r="E76" s="150">
        <v>18674</v>
      </c>
      <c r="F76" s="150">
        <v>-3390.35</v>
      </c>
      <c r="G76" s="151">
        <f t="shared" si="2"/>
        <v>22064.35</v>
      </c>
      <c r="H76" s="145">
        <f t="shared" si="3"/>
        <v>-0.15365737037347577</v>
      </c>
    </row>
    <row r="77" spans="1:8">
      <c r="A77" s="149" t="s">
        <v>206</v>
      </c>
      <c r="B77" s="150">
        <v>39</v>
      </c>
      <c r="C77" s="150">
        <v>1052.53</v>
      </c>
      <c r="D77" s="150">
        <v>1271.8</v>
      </c>
      <c r="E77" s="150">
        <v>49600.2</v>
      </c>
      <c r="F77" s="150">
        <v>8551.4500000000007</v>
      </c>
      <c r="G77" s="151">
        <f t="shared" si="2"/>
        <v>41048.75</v>
      </c>
      <c r="H77" s="145">
        <f t="shared" si="3"/>
        <v>0.20832424860683946</v>
      </c>
    </row>
    <row r="78" spans="1:8">
      <c r="A78" s="149" t="s">
        <v>207</v>
      </c>
      <c r="B78" s="150">
        <v>117</v>
      </c>
      <c r="C78" s="150">
        <v>291.98</v>
      </c>
      <c r="D78" s="150">
        <v>577.1</v>
      </c>
      <c r="E78" s="150">
        <v>67520.7</v>
      </c>
      <c r="F78" s="150">
        <v>33359.15</v>
      </c>
      <c r="G78" s="151">
        <f t="shared" si="2"/>
        <v>34161.549999999996</v>
      </c>
      <c r="H78" s="145">
        <f t="shared" si="3"/>
        <v>0.97651160442075979</v>
      </c>
    </row>
    <row r="79" spans="1:8">
      <c r="A79" s="149" t="s">
        <v>262</v>
      </c>
      <c r="B79" s="150">
        <v>10</v>
      </c>
      <c r="C79" s="150">
        <v>5284</v>
      </c>
      <c r="D79" s="150">
        <v>4935</v>
      </c>
      <c r="E79" s="150">
        <v>49350</v>
      </c>
      <c r="F79" s="150">
        <v>-3490</v>
      </c>
      <c r="G79" s="151">
        <f t="shared" si="2"/>
        <v>52840</v>
      </c>
      <c r="H79" s="145">
        <f t="shared" si="3"/>
        <v>-6.6048448145344441E-2</v>
      </c>
    </row>
    <row r="80" spans="1:8">
      <c r="A80" s="149" t="s">
        <v>209</v>
      </c>
      <c r="B80" s="150">
        <v>5</v>
      </c>
      <c r="C80" s="150">
        <v>4802</v>
      </c>
      <c r="D80" s="150">
        <v>4880</v>
      </c>
      <c r="E80" s="150">
        <v>24400</v>
      </c>
      <c r="F80" s="150">
        <v>390</v>
      </c>
      <c r="G80" s="151">
        <f t="shared" si="2"/>
        <v>24010</v>
      </c>
      <c r="H80" s="145">
        <f t="shared" si="3"/>
        <v>1.624323198667222E-2</v>
      </c>
    </row>
    <row r="81" spans="1:8">
      <c r="A81" s="149" t="s">
        <v>210</v>
      </c>
      <c r="B81" s="150">
        <v>10</v>
      </c>
      <c r="C81" s="150">
        <v>5002.45</v>
      </c>
      <c r="D81" s="150">
        <v>4880</v>
      </c>
      <c r="E81" s="150">
        <v>48800</v>
      </c>
      <c r="F81" s="150">
        <v>-1224.5</v>
      </c>
      <c r="G81" s="151">
        <f t="shared" si="2"/>
        <v>50024.5</v>
      </c>
      <c r="H81" s="145">
        <f t="shared" si="3"/>
        <v>-2.4478005777169187E-2</v>
      </c>
    </row>
    <row r="82" spans="1:8">
      <c r="A82" s="149" t="s">
        <v>329</v>
      </c>
      <c r="B82" s="150">
        <v>60</v>
      </c>
      <c r="C82" s="150">
        <v>504</v>
      </c>
      <c r="D82" s="150">
        <v>395.2</v>
      </c>
      <c r="E82" s="150">
        <v>23712</v>
      </c>
      <c r="F82" s="150">
        <v>-6528</v>
      </c>
      <c r="G82" s="151">
        <f t="shared" si="2"/>
        <v>30240</v>
      </c>
      <c r="H82" s="145">
        <f t="shared" si="3"/>
        <v>-0.21587301587301588</v>
      </c>
    </row>
    <row r="83" spans="1:8">
      <c r="A83" s="149" t="s">
        <v>211</v>
      </c>
      <c r="B83" s="150">
        <v>35</v>
      </c>
      <c r="C83" s="150">
        <v>984.23</v>
      </c>
      <c r="D83" s="150">
        <v>2907.9</v>
      </c>
      <c r="E83" s="150">
        <v>101776.5</v>
      </c>
      <c r="F83" s="150">
        <v>67328.45</v>
      </c>
      <c r="G83" s="151">
        <f t="shared" si="2"/>
        <v>34448.050000000003</v>
      </c>
      <c r="H83" s="145">
        <f t="shared" si="3"/>
        <v>1.9544923442691238</v>
      </c>
    </row>
    <row r="84" spans="1:8">
      <c r="A84" s="149" t="s">
        <v>330</v>
      </c>
      <c r="B84" s="150">
        <v>65</v>
      </c>
      <c r="C84" s="150">
        <v>511.92</v>
      </c>
      <c r="D84" s="150">
        <v>474.95</v>
      </c>
      <c r="E84" s="150">
        <v>30871.75</v>
      </c>
      <c r="F84" s="150">
        <v>-2402.85</v>
      </c>
      <c r="G84" s="151">
        <f t="shared" si="2"/>
        <v>33274.6</v>
      </c>
      <c r="H84" s="145">
        <f t="shared" si="3"/>
        <v>-7.2212738845846378E-2</v>
      </c>
    </row>
    <row r="85" spans="1:8">
      <c r="A85" s="149" t="s">
        <v>289</v>
      </c>
      <c r="B85" s="150">
        <v>29</v>
      </c>
      <c r="C85" s="150">
        <v>626.02</v>
      </c>
      <c r="D85" s="150">
        <v>621.15</v>
      </c>
      <c r="E85" s="150">
        <v>18013.349999999999</v>
      </c>
      <c r="F85" s="150">
        <v>-141.1</v>
      </c>
      <c r="G85" s="151">
        <f t="shared" si="2"/>
        <v>18154.449999999997</v>
      </c>
      <c r="H85" s="145">
        <f t="shared" si="3"/>
        <v>-7.7721991026993391E-3</v>
      </c>
    </row>
    <row r="86" spans="1:8">
      <c r="A86" s="149" t="s">
        <v>290</v>
      </c>
      <c r="B86" s="150">
        <v>21</v>
      </c>
      <c r="C86" s="150">
        <v>652.55999999999995</v>
      </c>
      <c r="D86" s="150">
        <v>468</v>
      </c>
      <c r="E86" s="150">
        <v>9828</v>
      </c>
      <c r="F86" s="150">
        <v>-3875.7</v>
      </c>
      <c r="G86" s="151">
        <f t="shared" si="2"/>
        <v>13703.7</v>
      </c>
      <c r="H86" s="145">
        <f t="shared" si="3"/>
        <v>-0.28282142778957503</v>
      </c>
    </row>
    <row r="87" spans="1:8">
      <c r="A87" s="149" t="s">
        <v>292</v>
      </c>
      <c r="B87" s="150">
        <v>32</v>
      </c>
      <c r="C87" s="150">
        <v>752.33</v>
      </c>
      <c r="D87" s="150">
        <v>955</v>
      </c>
      <c r="E87" s="150">
        <v>30560</v>
      </c>
      <c r="F87" s="150">
        <v>6485.5</v>
      </c>
      <c r="G87" s="151">
        <f t="shared" si="2"/>
        <v>24074.5</v>
      </c>
      <c r="H87" s="145">
        <f t="shared" si="3"/>
        <v>0.2693929261251532</v>
      </c>
    </row>
    <row r="88" spans="1:8">
      <c r="A88" s="149" t="s">
        <v>212</v>
      </c>
      <c r="B88" s="150">
        <v>143</v>
      </c>
      <c r="C88" s="150">
        <v>500.9</v>
      </c>
      <c r="D88" s="150">
        <v>1050.1500000000001</v>
      </c>
      <c r="E88" s="150">
        <v>150171.45000000001</v>
      </c>
      <c r="F88" s="150">
        <v>78543.149999999994</v>
      </c>
      <c r="G88" s="151">
        <f t="shared" si="2"/>
        <v>71628.300000000017</v>
      </c>
      <c r="H88" s="145">
        <f t="shared" si="3"/>
        <v>1.0965379605546965</v>
      </c>
    </row>
    <row r="89" spans="1:8">
      <c r="A89" s="149" t="s">
        <v>293</v>
      </c>
      <c r="B89" s="150">
        <v>50</v>
      </c>
      <c r="C89" s="150">
        <v>283.19</v>
      </c>
      <c r="D89" s="150">
        <v>330.35</v>
      </c>
      <c r="E89" s="150">
        <v>16517.5</v>
      </c>
      <c r="F89" s="150">
        <v>2357.85</v>
      </c>
      <c r="G89" s="151">
        <f t="shared" si="2"/>
        <v>14159.65</v>
      </c>
      <c r="H89" s="145">
        <f t="shared" si="3"/>
        <v>0.16651894644288523</v>
      </c>
    </row>
    <row r="90" spans="1:8">
      <c r="A90" s="149" t="s">
        <v>308</v>
      </c>
      <c r="B90" s="150">
        <v>71</v>
      </c>
      <c r="C90" s="150">
        <v>481.95</v>
      </c>
      <c r="D90" s="150">
        <v>408.25</v>
      </c>
      <c r="E90" s="150">
        <v>28985.75</v>
      </c>
      <c r="F90" s="150">
        <v>-5232.7</v>
      </c>
      <c r="G90" s="151">
        <f t="shared" si="2"/>
        <v>34218.449999999997</v>
      </c>
      <c r="H90" s="145">
        <f t="shared" si="3"/>
        <v>-0.15292042743023135</v>
      </c>
    </row>
    <row r="91" spans="1:8">
      <c r="A91" s="149" t="s">
        <v>213</v>
      </c>
      <c r="B91" s="150">
        <v>57</v>
      </c>
      <c r="C91" s="150">
        <v>468.04</v>
      </c>
      <c r="D91" s="150">
        <v>642.70000000000005</v>
      </c>
      <c r="E91" s="150">
        <v>36633.9</v>
      </c>
      <c r="F91" s="150">
        <v>9955.4</v>
      </c>
      <c r="G91" s="151">
        <f t="shared" si="2"/>
        <v>26678.5</v>
      </c>
      <c r="H91" s="145">
        <f t="shared" si="3"/>
        <v>0.37316190940270255</v>
      </c>
    </row>
    <row r="92" spans="1:8">
      <c r="A92" s="149" t="s">
        <v>214</v>
      </c>
      <c r="B92" s="150">
        <v>38</v>
      </c>
      <c r="C92" s="150">
        <v>684.41</v>
      </c>
      <c r="D92" s="150">
        <v>764.6</v>
      </c>
      <c r="E92" s="150">
        <v>29054.799999999999</v>
      </c>
      <c r="F92" s="150">
        <v>3047.25</v>
      </c>
      <c r="G92" s="151">
        <f t="shared" si="2"/>
        <v>26007.55</v>
      </c>
      <c r="H92" s="145">
        <f t="shared" si="3"/>
        <v>0.11716789932154317</v>
      </c>
    </row>
    <row r="93" spans="1:8">
      <c r="A93" s="149" t="s">
        <v>302</v>
      </c>
      <c r="B93" s="150">
        <v>775</v>
      </c>
      <c r="C93" s="150">
        <v>99.29</v>
      </c>
      <c r="D93" s="150">
        <v>234.7</v>
      </c>
      <c r="E93" s="150">
        <v>181892.5</v>
      </c>
      <c r="F93" s="150">
        <v>104941.5</v>
      </c>
      <c r="G93" s="151">
        <f t="shared" si="2"/>
        <v>76951</v>
      </c>
      <c r="H93" s="145">
        <f t="shared" si="3"/>
        <v>1.3637444607607438</v>
      </c>
    </row>
    <row r="94" spans="1:8">
      <c r="A94" s="149" t="s">
        <v>215</v>
      </c>
      <c r="B94" s="150">
        <v>1050</v>
      </c>
      <c r="C94" s="150">
        <v>40.479999999999997</v>
      </c>
      <c r="D94" s="150">
        <v>102.25</v>
      </c>
      <c r="E94" s="150">
        <v>107362.5</v>
      </c>
      <c r="F94" s="150">
        <v>64862.25</v>
      </c>
      <c r="G94" s="151">
        <f t="shared" si="2"/>
        <v>42500.25</v>
      </c>
      <c r="H94" s="145">
        <f t="shared" si="3"/>
        <v>1.5261616108140541</v>
      </c>
    </row>
    <row r="95" spans="1:8">
      <c r="A95" s="149" t="s">
        <v>337</v>
      </c>
      <c r="B95" s="150">
        <v>40</v>
      </c>
      <c r="C95" s="150">
        <v>749.6</v>
      </c>
      <c r="D95" s="150">
        <v>681.55</v>
      </c>
      <c r="E95" s="150">
        <v>27262</v>
      </c>
      <c r="F95" s="150">
        <v>-2722</v>
      </c>
      <c r="G95" s="151">
        <f t="shared" si="2"/>
        <v>29984</v>
      </c>
      <c r="H95" s="145">
        <f t="shared" si="3"/>
        <v>-9.0781750266808958E-2</v>
      </c>
    </row>
    <row r="96" spans="1:8">
      <c r="A96" s="149" t="s">
        <v>216</v>
      </c>
      <c r="B96" s="150">
        <v>15</v>
      </c>
      <c r="C96" s="150">
        <v>3393.18</v>
      </c>
      <c r="D96" s="150">
        <v>3213.45</v>
      </c>
      <c r="E96" s="150">
        <v>48201.75</v>
      </c>
      <c r="F96" s="150">
        <v>-2695.95</v>
      </c>
      <c r="G96" s="151">
        <f t="shared" si="2"/>
        <v>50897.7</v>
      </c>
      <c r="H96" s="145">
        <f t="shared" si="3"/>
        <v>-5.2968012307039417E-2</v>
      </c>
    </row>
    <row r="97" spans="1:8">
      <c r="A97" s="149" t="s">
        <v>318</v>
      </c>
      <c r="B97" s="150">
        <v>30</v>
      </c>
      <c r="C97" s="150">
        <v>1215.4000000000001</v>
      </c>
      <c r="D97" s="150">
        <v>1059.6500000000001</v>
      </c>
      <c r="E97" s="150">
        <v>31789.5</v>
      </c>
      <c r="F97" s="150">
        <v>-4672.3500000000004</v>
      </c>
      <c r="G97" s="151">
        <f t="shared" si="2"/>
        <v>36461.85</v>
      </c>
      <c r="H97" s="145">
        <f t="shared" si="3"/>
        <v>-0.12814352535595425</v>
      </c>
    </row>
    <row r="98" spans="1:8">
      <c r="A98" s="149" t="s">
        <v>217</v>
      </c>
      <c r="B98" s="150">
        <v>12</v>
      </c>
      <c r="C98" s="150">
        <v>2464.6799999999998</v>
      </c>
      <c r="D98" s="150">
        <v>2753</v>
      </c>
      <c r="E98" s="150">
        <v>33036</v>
      </c>
      <c r="F98" s="150">
        <v>3459.9</v>
      </c>
      <c r="G98" s="151">
        <f t="shared" si="2"/>
        <v>29576.1</v>
      </c>
      <c r="H98" s="145">
        <f t="shared" si="3"/>
        <v>0.11698296935701463</v>
      </c>
    </row>
    <row r="99" spans="1:8">
      <c r="A99" s="149" t="s">
        <v>331</v>
      </c>
      <c r="B99" s="150">
        <v>41</v>
      </c>
      <c r="C99" s="150">
        <v>742.5</v>
      </c>
      <c r="D99" s="150">
        <v>723.8</v>
      </c>
      <c r="E99" s="150">
        <v>29675.8</v>
      </c>
      <c r="F99" s="150">
        <v>-766.7</v>
      </c>
      <c r="G99" s="151">
        <f t="shared" si="2"/>
        <v>30442.5</v>
      </c>
      <c r="H99" s="145">
        <f t="shared" si="3"/>
        <v>-2.5185185185185185E-2</v>
      </c>
    </row>
    <row r="100" spans="1:8">
      <c r="A100" s="149" t="s">
        <v>221</v>
      </c>
      <c r="B100" s="150">
        <v>40</v>
      </c>
      <c r="C100" s="150">
        <v>447.63</v>
      </c>
      <c r="D100" s="150">
        <v>1190</v>
      </c>
      <c r="E100" s="150">
        <v>47600</v>
      </c>
      <c r="F100" s="150">
        <v>29695</v>
      </c>
      <c r="G100" s="151">
        <f t="shared" si="2"/>
        <v>17905</v>
      </c>
      <c r="H100" s="145">
        <f t="shared" si="3"/>
        <v>1.6584752862328958</v>
      </c>
    </row>
    <row r="101" spans="1:8">
      <c r="A101" s="149" t="s">
        <v>309</v>
      </c>
      <c r="B101" s="150">
        <v>29</v>
      </c>
      <c r="C101" s="150">
        <v>1910.61</v>
      </c>
      <c r="D101" s="150">
        <v>1764.95</v>
      </c>
      <c r="E101" s="150">
        <v>51183.55</v>
      </c>
      <c r="F101" s="150">
        <v>-4224.05</v>
      </c>
      <c r="G101" s="151">
        <f t="shared" si="2"/>
        <v>55407.600000000006</v>
      </c>
      <c r="H101" s="145">
        <f t="shared" si="3"/>
        <v>-7.6235931532858306E-2</v>
      </c>
    </row>
    <row r="102" spans="1:8">
      <c r="A102" s="77"/>
      <c r="B102" s="76"/>
      <c r="C102" s="76"/>
      <c r="D102" s="76"/>
      <c r="E102" s="78"/>
      <c r="F102" s="78"/>
      <c r="G102" s="78"/>
      <c r="H102" s="136"/>
    </row>
    <row r="103" spans="1:8">
      <c r="A103" s="77"/>
      <c r="B103" s="76"/>
      <c r="C103" s="78"/>
      <c r="D103" s="78"/>
      <c r="E103" s="78"/>
      <c r="F103" s="78"/>
      <c r="G103" s="78"/>
      <c r="H103" s="136"/>
    </row>
    <row r="104" spans="1:8" ht="18">
      <c r="A104" s="44" t="s">
        <v>11</v>
      </c>
      <c r="B104" s="45">
        <f>SUM(B2:B103)</f>
        <v>8281</v>
      </c>
      <c r="C104" s="45"/>
      <c r="D104" s="45"/>
      <c r="E104" s="45">
        <f>SUM(E2:E103)</f>
        <v>4425398.67</v>
      </c>
      <c r="F104" s="45">
        <f>SUM(F2:F103)</f>
        <v>933690.83000000031</v>
      </c>
      <c r="G104" s="45">
        <f>SUM(G2:G103)</f>
        <v>3491707.8400000022</v>
      </c>
      <c r="H104" s="64">
        <f>F104/G104</f>
        <v>0.26740233512778655</v>
      </c>
    </row>
  </sheetData>
  <pageMargins left="0.7" right="0.7" top="0.75" bottom="0.75" header="0.3" footer="0.3"/>
  <pageSetup paperSize="9"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3314-73B1-4B12-9C2A-DD6C0D09802A}">
  <dimension ref="A1:I17"/>
  <sheetViews>
    <sheetView workbookViewId="0">
      <selection activeCell="I13" sqref="I13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46" t="s">
        <v>223</v>
      </c>
      <c r="B1" s="146" t="s">
        <v>224</v>
      </c>
      <c r="C1" s="146" t="s">
        <v>225</v>
      </c>
      <c r="D1" s="146" t="s">
        <v>226</v>
      </c>
      <c r="E1" s="146" t="s">
        <v>227</v>
      </c>
      <c r="F1" s="146" t="s">
        <v>228</v>
      </c>
      <c r="G1" s="146" t="s">
        <v>229</v>
      </c>
      <c r="H1" s="146" t="s">
        <v>230</v>
      </c>
      <c r="I1" s="146" t="s">
        <v>231</v>
      </c>
    </row>
    <row r="2" spans="1:9">
      <c r="A2" s="139" t="s">
        <v>234</v>
      </c>
      <c r="B2" s="140" t="s">
        <v>235</v>
      </c>
      <c r="C2" s="141">
        <v>4080.9659999999999</v>
      </c>
      <c r="D2" s="140">
        <v>78.099999999999994</v>
      </c>
      <c r="E2" s="140">
        <v>68.607799999999997</v>
      </c>
      <c r="F2" s="141">
        <v>279986.10960000003</v>
      </c>
      <c r="G2" s="141">
        <v>318723.44459999999</v>
      </c>
      <c r="H2" s="141">
        <v>38737.334999999999</v>
      </c>
      <c r="I2" s="147">
        <f>H2/F2</f>
        <v>0.13835448856852861</v>
      </c>
    </row>
    <row r="3" spans="1:9">
      <c r="A3" s="139" t="s">
        <v>236</v>
      </c>
      <c r="B3" s="140" t="s">
        <v>237</v>
      </c>
      <c r="C3" s="141">
        <v>14235.332</v>
      </c>
      <c r="D3" s="140">
        <v>71.41</v>
      </c>
      <c r="E3" s="140">
        <v>47.766100000000002</v>
      </c>
      <c r="F3" s="141">
        <v>679966.92570000002</v>
      </c>
      <c r="G3" s="141">
        <v>1016545.0581</v>
      </c>
      <c r="H3" s="141">
        <v>336578.1324</v>
      </c>
      <c r="I3" s="147">
        <f t="shared" ref="I3:I17" si="0">H3/F3</f>
        <v>0.49499191751643751</v>
      </c>
    </row>
    <row r="4" spans="1:9">
      <c r="A4" s="139" t="s">
        <v>303</v>
      </c>
      <c r="B4" s="140" t="s">
        <v>241</v>
      </c>
      <c r="C4" s="141">
        <v>1857.5519999999999</v>
      </c>
      <c r="D4" s="140">
        <v>562.16380000000004</v>
      </c>
      <c r="E4" s="140">
        <v>366.02140000000003</v>
      </c>
      <c r="F4" s="141">
        <v>679903.69869999995</v>
      </c>
      <c r="G4" s="141">
        <v>1044248.491</v>
      </c>
      <c r="H4" s="141">
        <v>364344.79229999997</v>
      </c>
      <c r="I4" s="147">
        <f t="shared" si="0"/>
        <v>0.53587705581928757</v>
      </c>
    </row>
    <row r="5" spans="1:9">
      <c r="A5" s="139" t="s">
        <v>242</v>
      </c>
      <c r="B5" s="140" t="s">
        <v>237</v>
      </c>
      <c r="C5" s="141">
        <v>5856.576</v>
      </c>
      <c r="D5" s="140">
        <v>85.911000000000001</v>
      </c>
      <c r="E5" s="140">
        <v>44.3917</v>
      </c>
      <c r="F5" s="141">
        <v>259983.36480000001</v>
      </c>
      <c r="G5" s="141">
        <v>503144.30070000002</v>
      </c>
      <c r="H5" s="141">
        <v>243160.93590000001</v>
      </c>
      <c r="I5" s="147">
        <f t="shared" si="0"/>
        <v>0.93529421040865002</v>
      </c>
    </row>
    <row r="6" spans="1:9">
      <c r="A6" s="139" t="s">
        <v>272</v>
      </c>
      <c r="B6" s="140" t="s">
        <v>235</v>
      </c>
      <c r="C6" s="141">
        <v>5805.7370000000001</v>
      </c>
      <c r="D6" s="140">
        <v>86.385999999999996</v>
      </c>
      <c r="E6" s="140">
        <v>41.940399999999997</v>
      </c>
      <c r="F6" s="141">
        <v>243495.1642</v>
      </c>
      <c r="G6" s="141">
        <v>501534.39649999997</v>
      </c>
      <c r="H6" s="141">
        <v>258039.2323</v>
      </c>
      <c r="I6" s="147">
        <f t="shared" si="0"/>
        <v>1.0597304186626635</v>
      </c>
    </row>
    <row r="7" spans="1:9">
      <c r="A7" s="139" t="s">
        <v>244</v>
      </c>
      <c r="B7" s="140" t="s">
        <v>233</v>
      </c>
      <c r="C7" s="141">
        <v>5841.7389999999996</v>
      </c>
      <c r="D7" s="140">
        <v>19.534500000000001</v>
      </c>
      <c r="E7" s="140">
        <v>23.964300000000001</v>
      </c>
      <c r="F7" s="141">
        <v>139992.99739999999</v>
      </c>
      <c r="G7" s="141">
        <v>114115.45050000001</v>
      </c>
      <c r="H7" s="141">
        <v>-25877.546900000001</v>
      </c>
      <c r="I7" s="147">
        <f t="shared" si="0"/>
        <v>-0.18484886659052277</v>
      </c>
    </row>
    <row r="8" spans="1:9">
      <c r="A8" s="139" t="s">
        <v>273</v>
      </c>
      <c r="B8" s="140" t="s">
        <v>233</v>
      </c>
      <c r="C8" s="141">
        <v>14692.45</v>
      </c>
      <c r="D8" s="140">
        <v>8.2605000000000004</v>
      </c>
      <c r="E8" s="140">
        <v>8.5073000000000008</v>
      </c>
      <c r="F8" s="141">
        <v>124993.7518</v>
      </c>
      <c r="G8" s="141">
        <v>121366.9832</v>
      </c>
      <c r="H8" s="141">
        <v>-3626.7685999999999</v>
      </c>
      <c r="I8" s="147">
        <f t="shared" si="0"/>
        <v>-2.901559916213348E-2</v>
      </c>
    </row>
    <row r="9" spans="1:9">
      <c r="A9" s="139" t="s">
        <v>246</v>
      </c>
      <c r="B9" s="140" t="s">
        <v>241</v>
      </c>
      <c r="C9" s="141">
        <v>18021.929</v>
      </c>
      <c r="D9" s="140">
        <v>11.508100000000001</v>
      </c>
      <c r="E9" s="140">
        <v>11.1248</v>
      </c>
      <c r="F9" s="141">
        <v>200489.98130000001</v>
      </c>
      <c r="G9" s="141">
        <v>207398.1611</v>
      </c>
      <c r="H9" s="141">
        <v>6908.1797999999999</v>
      </c>
      <c r="I9" s="147">
        <f t="shared" si="0"/>
        <v>3.4456483836282345E-2</v>
      </c>
    </row>
    <row r="10" spans="1:9">
      <c r="A10" s="139" t="s">
        <v>250</v>
      </c>
      <c r="B10" s="140" t="s">
        <v>251</v>
      </c>
      <c r="C10" s="141">
        <v>14846.114</v>
      </c>
      <c r="D10" s="140">
        <v>51.705399999999997</v>
      </c>
      <c r="E10" s="140">
        <v>41.488</v>
      </c>
      <c r="F10" s="141">
        <v>615935.4351</v>
      </c>
      <c r="G10" s="141">
        <v>767624.26280000003</v>
      </c>
      <c r="H10" s="141">
        <v>151688.82769999999</v>
      </c>
      <c r="I10" s="147">
        <f t="shared" si="0"/>
        <v>0.24627390965965873</v>
      </c>
    </row>
    <row r="11" spans="1:9">
      <c r="A11" s="139" t="s">
        <v>274</v>
      </c>
      <c r="B11" s="140" t="s">
        <v>233</v>
      </c>
      <c r="C11" s="141">
        <v>6809.741</v>
      </c>
      <c r="D11" s="140">
        <v>28.17</v>
      </c>
      <c r="E11" s="140">
        <v>35.241999999999997</v>
      </c>
      <c r="F11" s="141">
        <v>239988.8371</v>
      </c>
      <c r="G11" s="141">
        <v>191830.40400000001</v>
      </c>
      <c r="H11" s="141">
        <v>-48158.433100000002</v>
      </c>
      <c r="I11" s="147">
        <f t="shared" si="0"/>
        <v>-0.20066947147184622</v>
      </c>
    </row>
    <row r="12" spans="1:9">
      <c r="A12" s="139" t="s">
        <v>253</v>
      </c>
      <c r="B12" s="140" t="s">
        <v>235</v>
      </c>
      <c r="C12" s="140">
        <v>895.52</v>
      </c>
      <c r="D12" s="140">
        <v>144.35720000000001</v>
      </c>
      <c r="E12" s="140">
        <v>139.57660000000001</v>
      </c>
      <c r="F12" s="141">
        <v>124993.62270000001</v>
      </c>
      <c r="G12" s="141">
        <v>129274.7597</v>
      </c>
      <c r="H12" s="141">
        <v>4281.1369999999997</v>
      </c>
      <c r="I12" s="147">
        <f t="shared" si="0"/>
        <v>3.42508434232301E-2</v>
      </c>
    </row>
    <row r="13" spans="1:9">
      <c r="A13" s="142" t="s">
        <v>255</v>
      </c>
      <c r="B13" s="143" t="s">
        <v>241</v>
      </c>
      <c r="C13" s="144">
        <v>18996.168000000001</v>
      </c>
      <c r="D13" s="143">
        <v>15.6953</v>
      </c>
      <c r="E13" s="143">
        <v>9.4700000000000006</v>
      </c>
      <c r="F13" s="144">
        <v>179893.71100000001</v>
      </c>
      <c r="G13" s="144">
        <v>298150.55560000002</v>
      </c>
      <c r="H13" s="144">
        <v>118256.8447</v>
      </c>
      <c r="I13" s="147">
        <f t="shared" si="0"/>
        <v>0.65737064426893721</v>
      </c>
    </row>
    <row r="14" spans="1:9">
      <c r="A14"/>
      <c r="B14"/>
      <c r="C14"/>
      <c r="D14"/>
      <c r="E14"/>
      <c r="F14"/>
      <c r="G14"/>
      <c r="H14"/>
      <c r="I14" s="147"/>
    </row>
    <row r="15" spans="1:9">
      <c r="A15" s="152"/>
      <c r="B15" s="153"/>
      <c r="C15" s="154"/>
      <c r="D15" s="153"/>
      <c r="E15" s="153"/>
      <c r="F15" s="154"/>
      <c r="G15" s="154"/>
      <c r="H15" s="154"/>
      <c r="I15" s="147"/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74" t="s">
        <v>11</v>
      </c>
      <c r="B17" s="75"/>
      <c r="C17" s="75">
        <f>SUM(C2:C14)</f>
        <v>111939.82400000001</v>
      </c>
      <c r="D17" s="75"/>
      <c r="E17" s="75"/>
      <c r="F17" s="75">
        <f t="shared" ref="F17:H17" si="1">SUM(F2:F14)</f>
        <v>3769623.5994000006</v>
      </c>
      <c r="G17" s="75">
        <f t="shared" si="1"/>
        <v>5213956.2677999996</v>
      </c>
      <c r="H17" s="75">
        <f t="shared" si="1"/>
        <v>1444332.6685000001</v>
      </c>
      <c r="I17" s="53">
        <f t="shared" si="0"/>
        <v>0.38315036777939582</v>
      </c>
    </row>
  </sheetData>
  <hyperlinks>
    <hyperlink ref="A2" r:id="rId1" location="/mf/1831632/15690/NULL" xr:uid="{838AB462-DE7D-4698-B469-FC6A585265E7}"/>
    <hyperlink ref="A3" r:id="rId2" location="/mf/1831632/22335/NULL" xr:uid="{16FA9FD2-A4DB-46CF-BF6E-896094BEEF18}"/>
    <hyperlink ref="A4" r:id="rId3" location="/mf/1831632/16071/NULL" xr:uid="{35CB3F32-7D19-4BDE-97AC-712512BE2500}"/>
    <hyperlink ref="A5" r:id="rId4" location="/mf/1831632/16617/NULL" xr:uid="{73C31ABA-BF87-4B33-A109-0EE2D8B7F621}"/>
    <hyperlink ref="A6" r:id="rId5" location="/mf/1831632/17134/NULL" xr:uid="{DE34DD4A-BAF8-4F22-B136-335D51C008BF}"/>
    <hyperlink ref="A7" r:id="rId6" location="/mf/1831632/38228/NULL" xr:uid="{8CDD759B-50D9-49AB-913E-BBFA20646CD0}"/>
    <hyperlink ref="A8" r:id="rId7" location="/mf/1831632/42135/NULL" xr:uid="{53C754CE-3C93-45A9-A2F8-69C4466107E5}"/>
    <hyperlink ref="A9" r:id="rId8" location="/mf/1831632/41574/NULL" xr:uid="{69C2796B-88CA-4392-B43F-29F3E74BA320}"/>
    <hyperlink ref="A10" r:id="rId9" location="/mf/1831632/19701/NULL" xr:uid="{8D436984-A25C-4F67-939A-59EE95E257EE}"/>
    <hyperlink ref="A11" r:id="rId10" location="/mf/1831632/17348/NULL" xr:uid="{18AA39FD-7796-4878-93DA-D3F952C19CBF}"/>
    <hyperlink ref="A12" r:id="rId11" location="/mf/1831632/17375/NULL" xr:uid="{8C3FE9DF-79BD-4B26-A295-5A3BB7053168}"/>
    <hyperlink ref="A13" r:id="rId12" location="/mf/1831632/36491/NULL" xr:uid="{A6827BE9-ED72-4C68-918A-4E75DA7D907D}"/>
  </hyperlinks>
  <pageMargins left="0.7" right="0.7" top="0.75" bottom="0.75" header="0.3" footer="0.3"/>
  <pageSetup paperSize="9"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8030-D5B7-4BB4-B664-5CE0F844462F}">
  <dimension ref="A1:I104"/>
  <sheetViews>
    <sheetView topLeftCell="A92" workbookViewId="0"/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48" t="s">
        <v>137</v>
      </c>
      <c r="D1" s="148" t="s">
        <v>138</v>
      </c>
      <c r="E1" s="148" t="s">
        <v>140</v>
      </c>
      <c r="F1" s="148" t="s">
        <v>141</v>
      </c>
      <c r="G1" s="148" t="s">
        <v>129</v>
      </c>
      <c r="H1" s="148" t="s">
        <v>142</v>
      </c>
    </row>
    <row r="2" spans="1:8">
      <c r="A2" s="149" t="s">
        <v>143</v>
      </c>
      <c r="B2" s="150">
        <v>100</v>
      </c>
      <c r="C2" s="151">
        <v>109.73</v>
      </c>
      <c r="D2" s="151">
        <v>100.87</v>
      </c>
      <c r="E2" s="151">
        <v>10087</v>
      </c>
      <c r="F2" s="151">
        <v>-885.5</v>
      </c>
      <c r="G2" s="151">
        <f>C2*B2</f>
        <v>10973</v>
      </c>
      <c r="H2" s="145">
        <f>F2/G2</f>
        <v>-8.0698077098332266E-2</v>
      </c>
    </row>
    <row r="3" spans="1:8">
      <c r="A3" s="149" t="s">
        <v>264</v>
      </c>
      <c r="B3" s="150">
        <v>13</v>
      </c>
      <c r="C3" s="151">
        <v>133.75</v>
      </c>
      <c r="D3" s="151">
        <v>402.75</v>
      </c>
      <c r="E3" s="151">
        <v>5235.75</v>
      </c>
      <c r="F3" s="151">
        <v>3497</v>
      </c>
      <c r="G3" s="151">
        <f t="shared" ref="G3:G66" si="0">C3*B3</f>
        <v>1738.75</v>
      </c>
      <c r="H3" s="145">
        <f t="shared" ref="H3:H66" si="1">F3/G3</f>
        <v>2.0112149532710282</v>
      </c>
    </row>
    <row r="4" spans="1:8">
      <c r="A4" s="149" t="s">
        <v>144</v>
      </c>
      <c r="B4" s="150">
        <v>34</v>
      </c>
      <c r="C4" s="151">
        <v>1047.74</v>
      </c>
      <c r="D4" s="151">
        <v>1272.45</v>
      </c>
      <c r="E4" s="151">
        <v>43263.3</v>
      </c>
      <c r="F4" s="151">
        <v>7640.15</v>
      </c>
      <c r="G4" s="151">
        <f t="shared" si="0"/>
        <v>35623.160000000003</v>
      </c>
      <c r="H4" s="145">
        <f t="shared" si="1"/>
        <v>0.21447142813832346</v>
      </c>
    </row>
    <row r="5" spans="1:8">
      <c r="A5" s="149" t="s">
        <v>317</v>
      </c>
      <c r="B5" s="150">
        <v>13</v>
      </c>
      <c r="C5" s="151">
        <v>2592.56</v>
      </c>
      <c r="D5" s="151">
        <v>3283.85</v>
      </c>
      <c r="E5" s="151">
        <v>42690.05</v>
      </c>
      <c r="F5" s="151">
        <v>8986.7999999999993</v>
      </c>
      <c r="G5" s="151">
        <f t="shared" si="0"/>
        <v>33703.279999999999</v>
      </c>
      <c r="H5" s="145">
        <f t="shared" si="1"/>
        <v>0.26664467078575138</v>
      </c>
    </row>
    <row r="6" spans="1:8">
      <c r="A6" s="149" t="s">
        <v>145</v>
      </c>
      <c r="B6" s="150">
        <v>250</v>
      </c>
      <c r="C6" s="151">
        <v>183.59</v>
      </c>
      <c r="D6" s="151">
        <v>278.85000000000002</v>
      </c>
      <c r="E6" s="151">
        <v>69712.5</v>
      </c>
      <c r="F6" s="151">
        <v>23815</v>
      </c>
      <c r="G6" s="151">
        <f t="shared" si="0"/>
        <v>45897.5</v>
      </c>
      <c r="H6" s="145">
        <f t="shared" si="1"/>
        <v>0.51887357699221093</v>
      </c>
    </row>
    <row r="7" spans="1:8">
      <c r="A7" s="149" t="s">
        <v>276</v>
      </c>
      <c r="B7" s="150">
        <v>16</v>
      </c>
      <c r="C7" s="151">
        <v>2539.91</v>
      </c>
      <c r="D7" s="151">
        <v>3342.45</v>
      </c>
      <c r="E7" s="151">
        <v>53479.199999999997</v>
      </c>
      <c r="F7" s="151">
        <v>12840.7</v>
      </c>
      <c r="G7" s="151">
        <f t="shared" si="0"/>
        <v>40638.559999999998</v>
      </c>
      <c r="H7" s="145">
        <f t="shared" si="1"/>
        <v>0.31597330220362141</v>
      </c>
    </row>
    <row r="8" spans="1:8">
      <c r="A8" s="149" t="s">
        <v>277</v>
      </c>
      <c r="B8" s="150">
        <v>72</v>
      </c>
      <c r="C8" s="151">
        <v>578.16999999999996</v>
      </c>
      <c r="D8" s="151">
        <v>617.29999999999995</v>
      </c>
      <c r="E8" s="151">
        <v>44445.599999999999</v>
      </c>
      <c r="F8" s="151">
        <v>2817.4</v>
      </c>
      <c r="G8" s="151">
        <f t="shared" si="0"/>
        <v>41628.239999999998</v>
      </c>
      <c r="H8" s="145">
        <f t="shared" si="1"/>
        <v>6.7680017219080124E-2</v>
      </c>
    </row>
    <row r="9" spans="1:8">
      <c r="A9" s="149" t="s">
        <v>146</v>
      </c>
      <c r="B9" s="150">
        <v>76</v>
      </c>
      <c r="C9" s="151">
        <v>603.67999999999995</v>
      </c>
      <c r="D9" s="151">
        <v>733.5</v>
      </c>
      <c r="E9" s="151">
        <v>55746</v>
      </c>
      <c r="F9" s="151">
        <v>9866.5499999999993</v>
      </c>
      <c r="G9" s="151">
        <f t="shared" si="0"/>
        <v>45879.679999999993</v>
      </c>
      <c r="H9" s="145">
        <f t="shared" si="1"/>
        <v>0.21505272050720495</v>
      </c>
    </row>
    <row r="10" spans="1:8">
      <c r="A10" s="149" t="s">
        <v>147</v>
      </c>
      <c r="B10" s="150">
        <v>20</v>
      </c>
      <c r="C10" s="151">
        <v>2859.69</v>
      </c>
      <c r="D10" s="151">
        <v>3527.75</v>
      </c>
      <c r="E10" s="151">
        <v>70555</v>
      </c>
      <c r="F10" s="151">
        <v>13361.2</v>
      </c>
      <c r="G10" s="151">
        <f t="shared" si="0"/>
        <v>57193.8</v>
      </c>
      <c r="H10" s="145">
        <f t="shared" si="1"/>
        <v>0.23361273424741844</v>
      </c>
    </row>
    <row r="11" spans="1:8">
      <c r="A11" s="149" t="s">
        <v>148</v>
      </c>
      <c r="B11" s="150">
        <v>3</v>
      </c>
      <c r="C11" s="151">
        <v>6901.42</v>
      </c>
      <c r="D11" s="151">
        <v>7337.55</v>
      </c>
      <c r="E11" s="151">
        <v>22012.65</v>
      </c>
      <c r="F11" s="151">
        <v>1308.4000000000001</v>
      </c>
      <c r="G11" s="151">
        <f t="shared" si="0"/>
        <v>20704.260000000002</v>
      </c>
      <c r="H11" s="145">
        <f t="shared" si="1"/>
        <v>6.319472417753641E-2</v>
      </c>
    </row>
    <row r="12" spans="1:8">
      <c r="A12" s="149" t="s">
        <v>149</v>
      </c>
      <c r="B12" s="150">
        <v>10</v>
      </c>
      <c r="C12" s="151">
        <v>1889.87</v>
      </c>
      <c r="D12" s="151">
        <v>1884.35</v>
      </c>
      <c r="E12" s="151">
        <v>18843.5</v>
      </c>
      <c r="F12" s="151">
        <v>-55.15</v>
      </c>
      <c r="G12" s="151">
        <f t="shared" si="0"/>
        <v>18898.699999999997</v>
      </c>
      <c r="H12" s="145">
        <f t="shared" si="1"/>
        <v>-2.9181901400625442E-3</v>
      </c>
    </row>
    <row r="13" spans="1:8">
      <c r="A13" s="149" t="s">
        <v>152</v>
      </c>
      <c r="B13" s="150">
        <v>180</v>
      </c>
      <c r="C13" s="151">
        <v>322.89</v>
      </c>
      <c r="D13" s="151">
        <v>799.9</v>
      </c>
      <c r="E13" s="151">
        <v>143982</v>
      </c>
      <c r="F13" s="151">
        <v>85862</v>
      </c>
      <c r="G13" s="151">
        <f t="shared" si="0"/>
        <v>58120.2</v>
      </c>
      <c r="H13" s="145">
        <f t="shared" si="1"/>
        <v>1.4773176967732389</v>
      </c>
    </row>
    <row r="14" spans="1:8">
      <c r="A14" s="149" t="s">
        <v>310</v>
      </c>
      <c r="B14" s="150">
        <v>6</v>
      </c>
      <c r="C14" s="151">
        <v>0</v>
      </c>
      <c r="D14" s="151">
        <v>28.74</v>
      </c>
      <c r="E14" s="151">
        <v>172.44</v>
      </c>
      <c r="F14" s="151">
        <v>172.44</v>
      </c>
      <c r="G14" s="151">
        <f t="shared" si="0"/>
        <v>0</v>
      </c>
      <c r="H14" s="145">
        <v>0</v>
      </c>
    </row>
    <row r="15" spans="1:8">
      <c r="A15" s="149" t="s">
        <v>153</v>
      </c>
      <c r="B15" s="150">
        <v>46</v>
      </c>
      <c r="C15" s="151">
        <v>417.93</v>
      </c>
      <c r="D15" s="151">
        <v>508.7</v>
      </c>
      <c r="E15" s="151">
        <v>23400.2</v>
      </c>
      <c r="F15" s="151">
        <v>4175.6000000000004</v>
      </c>
      <c r="G15" s="151">
        <f t="shared" si="0"/>
        <v>19224.78</v>
      </c>
      <c r="H15" s="145">
        <f t="shared" si="1"/>
        <v>0.2171988444081025</v>
      </c>
    </row>
    <row r="16" spans="1:8">
      <c r="A16" s="149" t="s">
        <v>154</v>
      </c>
      <c r="B16" s="150">
        <v>14</v>
      </c>
      <c r="C16" s="151">
        <v>3489.94</v>
      </c>
      <c r="D16" s="151">
        <v>3851</v>
      </c>
      <c r="E16" s="151">
        <v>53914</v>
      </c>
      <c r="F16" s="151">
        <v>5054.8999999999996</v>
      </c>
      <c r="G16" s="151">
        <f t="shared" si="0"/>
        <v>48859.16</v>
      </c>
      <c r="H16" s="145">
        <f t="shared" si="1"/>
        <v>0.10345859404869014</v>
      </c>
    </row>
    <row r="17" spans="1:8">
      <c r="A17" s="149" t="s">
        <v>155</v>
      </c>
      <c r="B17" s="150">
        <v>180</v>
      </c>
      <c r="C17" s="151">
        <v>155.25</v>
      </c>
      <c r="D17" s="151">
        <v>112.75</v>
      </c>
      <c r="E17" s="151">
        <v>20295</v>
      </c>
      <c r="F17" s="151">
        <v>-7650</v>
      </c>
      <c r="G17" s="151">
        <f t="shared" si="0"/>
        <v>27945</v>
      </c>
      <c r="H17" s="145">
        <f t="shared" si="1"/>
        <v>-0.27375201288244766</v>
      </c>
    </row>
    <row r="18" spans="1:8">
      <c r="A18" s="149" t="s">
        <v>157</v>
      </c>
      <c r="B18" s="150">
        <v>40</v>
      </c>
      <c r="C18" s="151">
        <v>777.11</v>
      </c>
      <c r="D18" s="151">
        <v>1115.2</v>
      </c>
      <c r="E18" s="151">
        <v>44608</v>
      </c>
      <c r="F18" s="151">
        <v>13523.45</v>
      </c>
      <c r="G18" s="151">
        <f t="shared" si="0"/>
        <v>31084.400000000001</v>
      </c>
      <c r="H18" s="145">
        <f t="shared" si="1"/>
        <v>0.43505584794945373</v>
      </c>
    </row>
    <row r="19" spans="1:8">
      <c r="A19" s="149" t="s">
        <v>158</v>
      </c>
      <c r="B19" s="150">
        <v>250</v>
      </c>
      <c r="C19" s="151">
        <v>163.66999999999999</v>
      </c>
      <c r="D19" s="151">
        <v>212.85</v>
      </c>
      <c r="E19" s="151">
        <v>53212.5</v>
      </c>
      <c r="F19" s="151">
        <v>12295</v>
      </c>
      <c r="G19" s="151">
        <f t="shared" si="0"/>
        <v>40917.5</v>
      </c>
      <c r="H19" s="145">
        <f t="shared" si="1"/>
        <v>0.30048267856051813</v>
      </c>
    </row>
    <row r="20" spans="1:8">
      <c r="A20" s="149" t="s">
        <v>159</v>
      </c>
      <c r="B20" s="150">
        <v>7</v>
      </c>
      <c r="C20" s="151">
        <v>4175.84</v>
      </c>
      <c r="D20" s="151">
        <v>3361.95</v>
      </c>
      <c r="E20" s="151">
        <v>23533.65</v>
      </c>
      <c r="F20" s="151">
        <v>-5697.2</v>
      </c>
      <c r="G20" s="151">
        <f t="shared" si="0"/>
        <v>29230.880000000001</v>
      </c>
      <c r="H20" s="145">
        <f t="shared" si="1"/>
        <v>-0.19490347194473789</v>
      </c>
    </row>
    <row r="21" spans="1:8">
      <c r="A21" s="149" t="s">
        <v>160</v>
      </c>
      <c r="B21" s="150">
        <v>35</v>
      </c>
      <c r="C21" s="151">
        <v>1545.44</v>
      </c>
      <c r="D21" s="151">
        <v>1629.4</v>
      </c>
      <c r="E21" s="151">
        <v>57029</v>
      </c>
      <c r="F21" s="151">
        <v>2938.5</v>
      </c>
      <c r="G21" s="151">
        <f t="shared" si="0"/>
        <v>54090.400000000001</v>
      </c>
      <c r="H21" s="145">
        <f t="shared" si="1"/>
        <v>5.4325721384940767E-2</v>
      </c>
    </row>
    <row r="22" spans="1:8">
      <c r="A22" s="149" t="s">
        <v>279</v>
      </c>
      <c r="B22" s="150">
        <v>72</v>
      </c>
      <c r="C22" s="151">
        <v>559.89</v>
      </c>
      <c r="D22" s="151">
        <v>572.95000000000005</v>
      </c>
      <c r="E22" s="151">
        <v>41252.400000000001</v>
      </c>
      <c r="F22" s="151">
        <v>940.35</v>
      </c>
      <c r="G22" s="151">
        <f t="shared" si="0"/>
        <v>40312.080000000002</v>
      </c>
      <c r="H22" s="145">
        <f t="shared" si="1"/>
        <v>2.3326754660141575E-2</v>
      </c>
    </row>
    <row r="23" spans="1:8">
      <c r="A23" s="149" t="s">
        <v>332</v>
      </c>
      <c r="B23" s="150">
        <v>11</v>
      </c>
      <c r="C23" s="151">
        <v>2298.16</v>
      </c>
      <c r="D23" s="151">
        <v>3705.2</v>
      </c>
      <c r="E23" s="151">
        <v>40757.199999999997</v>
      </c>
      <c r="F23" s="151">
        <v>15477.45</v>
      </c>
      <c r="G23" s="151">
        <f t="shared" si="0"/>
        <v>25279.759999999998</v>
      </c>
      <c r="H23" s="145">
        <f t="shared" si="1"/>
        <v>0.61224671436754152</v>
      </c>
    </row>
    <row r="24" spans="1:8">
      <c r="A24" s="149" t="s">
        <v>161</v>
      </c>
      <c r="B24" s="150">
        <v>55</v>
      </c>
      <c r="C24" s="151">
        <v>325.14</v>
      </c>
      <c r="D24" s="151">
        <v>356.7</v>
      </c>
      <c r="E24" s="151">
        <v>19618.5</v>
      </c>
      <c r="F24" s="151">
        <v>1735.6</v>
      </c>
      <c r="G24" s="151">
        <f t="shared" si="0"/>
        <v>17882.7</v>
      </c>
      <c r="H24" s="145">
        <f t="shared" si="1"/>
        <v>9.7054695320057921E-2</v>
      </c>
    </row>
    <row r="25" spans="1:8">
      <c r="A25" s="149" t="s">
        <v>162</v>
      </c>
      <c r="B25" s="150">
        <v>12</v>
      </c>
      <c r="C25" s="151">
        <v>3205.4</v>
      </c>
      <c r="D25" s="151">
        <v>4391.75</v>
      </c>
      <c r="E25" s="151">
        <v>52701</v>
      </c>
      <c r="F25" s="151">
        <v>14236.25</v>
      </c>
      <c r="G25" s="151">
        <f t="shared" si="0"/>
        <v>38464.800000000003</v>
      </c>
      <c r="H25" s="145">
        <f t="shared" si="1"/>
        <v>0.3701111145774838</v>
      </c>
    </row>
    <row r="26" spans="1:8">
      <c r="A26" s="149" t="s">
        <v>164</v>
      </c>
      <c r="B26" s="150">
        <v>10</v>
      </c>
      <c r="C26" s="151">
        <v>2469.04</v>
      </c>
      <c r="D26" s="151">
        <v>3673.85</v>
      </c>
      <c r="E26" s="151">
        <v>36738.5</v>
      </c>
      <c r="F26" s="151">
        <v>12048.15</v>
      </c>
      <c r="G26" s="151">
        <f t="shared" si="0"/>
        <v>24690.400000000001</v>
      </c>
      <c r="H26" s="145">
        <f t="shared" si="1"/>
        <v>0.48796900819751804</v>
      </c>
    </row>
    <row r="27" spans="1:8">
      <c r="A27" s="149" t="s">
        <v>165</v>
      </c>
      <c r="B27" s="150">
        <v>61</v>
      </c>
      <c r="C27" s="151">
        <v>360.97</v>
      </c>
      <c r="D27" s="151">
        <v>345.84</v>
      </c>
      <c r="E27" s="151">
        <v>21096.240000000002</v>
      </c>
      <c r="F27" s="151">
        <v>-922.93</v>
      </c>
      <c r="G27" s="151">
        <f t="shared" si="0"/>
        <v>22019.170000000002</v>
      </c>
      <c r="H27" s="145">
        <f t="shared" si="1"/>
        <v>-4.1914840568468288E-2</v>
      </c>
    </row>
    <row r="28" spans="1:8">
      <c r="A28" s="149" t="s">
        <v>166</v>
      </c>
      <c r="B28" s="150">
        <v>31</v>
      </c>
      <c r="C28" s="151">
        <v>1356.45</v>
      </c>
      <c r="D28" s="151">
        <v>1423.95</v>
      </c>
      <c r="E28" s="151">
        <v>44142.45</v>
      </c>
      <c r="F28" s="151">
        <v>2092.5500000000002</v>
      </c>
      <c r="G28" s="151">
        <f t="shared" si="0"/>
        <v>42049.950000000004</v>
      </c>
      <c r="H28" s="145">
        <f t="shared" si="1"/>
        <v>4.9763436103966829E-2</v>
      </c>
    </row>
    <row r="29" spans="1:8">
      <c r="A29" s="149" t="s">
        <v>168</v>
      </c>
      <c r="B29" s="150">
        <v>60</v>
      </c>
      <c r="C29" s="151">
        <v>716.58</v>
      </c>
      <c r="D29" s="151">
        <v>710.95</v>
      </c>
      <c r="E29" s="151">
        <v>42657</v>
      </c>
      <c r="F29" s="151">
        <v>-337.7</v>
      </c>
      <c r="G29" s="151">
        <f t="shared" si="0"/>
        <v>42994.8</v>
      </c>
      <c r="H29" s="145">
        <f t="shared" si="1"/>
        <v>-7.8544382111325091E-3</v>
      </c>
    </row>
    <row r="30" spans="1:8">
      <c r="A30" s="149" t="s">
        <v>169</v>
      </c>
      <c r="B30" s="150">
        <v>306</v>
      </c>
      <c r="C30" s="151">
        <v>184.89</v>
      </c>
      <c r="D30" s="151">
        <v>156.94999999999999</v>
      </c>
      <c r="E30" s="151">
        <v>48026.7</v>
      </c>
      <c r="F30" s="151">
        <v>-8549.0499999999993</v>
      </c>
      <c r="G30" s="151">
        <f t="shared" si="0"/>
        <v>56576.34</v>
      </c>
      <c r="H30" s="145">
        <f t="shared" si="1"/>
        <v>-0.15110645191965405</v>
      </c>
    </row>
    <row r="31" spans="1:8">
      <c r="A31" s="149" t="s">
        <v>170</v>
      </c>
      <c r="B31" s="150">
        <v>521</v>
      </c>
      <c r="C31" s="151">
        <v>75.53</v>
      </c>
      <c r="D31" s="151">
        <v>118.75</v>
      </c>
      <c r="E31" s="151">
        <v>61868.75</v>
      </c>
      <c r="F31" s="151">
        <v>22517.15</v>
      </c>
      <c r="G31" s="151">
        <f t="shared" si="0"/>
        <v>39351.129999999997</v>
      </c>
      <c r="H31" s="145">
        <f t="shared" si="1"/>
        <v>0.57221101401662422</v>
      </c>
    </row>
    <row r="32" spans="1:8">
      <c r="A32" s="149" t="s">
        <v>325</v>
      </c>
      <c r="B32" s="150">
        <v>44</v>
      </c>
      <c r="C32" s="151">
        <v>661.86</v>
      </c>
      <c r="D32" s="151">
        <v>649.75</v>
      </c>
      <c r="E32" s="151">
        <v>28589</v>
      </c>
      <c r="F32" s="151">
        <v>-533</v>
      </c>
      <c r="G32" s="151">
        <f t="shared" si="0"/>
        <v>29121.84</v>
      </c>
      <c r="H32" s="145">
        <f t="shared" si="1"/>
        <v>-1.8302414957296655E-2</v>
      </c>
    </row>
    <row r="33" spans="1:8">
      <c r="A33" s="149" t="s">
        <v>334</v>
      </c>
      <c r="B33" s="150">
        <v>16</v>
      </c>
      <c r="C33" s="151">
        <v>3533.32</v>
      </c>
      <c r="D33" s="151">
        <v>2095.3000000000002</v>
      </c>
      <c r="E33" s="151">
        <v>33524.800000000003</v>
      </c>
      <c r="F33" s="151">
        <v>-23008.3</v>
      </c>
      <c r="G33" s="151">
        <f t="shared" si="0"/>
        <v>56533.120000000003</v>
      </c>
      <c r="H33" s="145">
        <f t="shared" si="1"/>
        <v>-0.40698797448292257</v>
      </c>
    </row>
    <row r="34" spans="1:8">
      <c r="A34" s="149" t="s">
        <v>172</v>
      </c>
      <c r="B34" s="150">
        <v>18</v>
      </c>
      <c r="C34" s="151">
        <v>1556.41</v>
      </c>
      <c r="D34" s="151">
        <v>1193.9000000000001</v>
      </c>
      <c r="E34" s="151">
        <v>21490.2</v>
      </c>
      <c r="F34" s="151">
        <v>-6525.15</v>
      </c>
      <c r="G34" s="151">
        <f t="shared" si="0"/>
        <v>28015.38</v>
      </c>
      <c r="H34" s="145">
        <f t="shared" si="1"/>
        <v>-0.23291313557053303</v>
      </c>
    </row>
    <row r="35" spans="1:8">
      <c r="A35" s="149" t="s">
        <v>173</v>
      </c>
      <c r="B35" s="150">
        <v>45</v>
      </c>
      <c r="C35" s="151">
        <v>40.9</v>
      </c>
      <c r="D35" s="151">
        <v>43.17</v>
      </c>
      <c r="E35" s="151">
        <v>1942.65</v>
      </c>
      <c r="F35" s="151">
        <v>102.05</v>
      </c>
      <c r="G35" s="151">
        <f t="shared" si="0"/>
        <v>1840.5</v>
      </c>
      <c r="H35" s="145">
        <f t="shared" si="1"/>
        <v>5.5446889432219502E-2</v>
      </c>
    </row>
    <row r="36" spans="1:8">
      <c r="A36" s="149" t="s">
        <v>174</v>
      </c>
      <c r="B36" s="150">
        <v>39</v>
      </c>
      <c r="C36" s="151">
        <v>1047.1400000000001</v>
      </c>
      <c r="D36" s="151">
        <v>932.55</v>
      </c>
      <c r="E36" s="151">
        <v>36369.449999999997</v>
      </c>
      <c r="F36" s="151">
        <v>-4468.8999999999996</v>
      </c>
      <c r="G36" s="151">
        <f t="shared" si="0"/>
        <v>40838.460000000006</v>
      </c>
      <c r="H36" s="145">
        <f t="shared" si="1"/>
        <v>-0.10942871009337764</v>
      </c>
    </row>
    <row r="37" spans="1:8">
      <c r="A37" s="149" t="s">
        <v>175</v>
      </c>
      <c r="B37" s="150">
        <v>48</v>
      </c>
      <c r="C37" s="151">
        <v>1429.32</v>
      </c>
      <c r="D37" s="151">
        <v>1422.4</v>
      </c>
      <c r="E37" s="151">
        <v>68275.199999999997</v>
      </c>
      <c r="F37" s="151">
        <v>-332.25</v>
      </c>
      <c r="G37" s="151">
        <f t="shared" si="0"/>
        <v>68607.360000000001</v>
      </c>
      <c r="H37" s="145">
        <f t="shared" si="1"/>
        <v>-4.8427748859597572E-3</v>
      </c>
    </row>
    <row r="38" spans="1:8">
      <c r="A38" s="149" t="s">
        <v>176</v>
      </c>
      <c r="B38" s="150">
        <v>78</v>
      </c>
      <c r="C38" s="151">
        <v>617.39</v>
      </c>
      <c r="D38" s="151">
        <v>530.45000000000005</v>
      </c>
      <c r="E38" s="151">
        <v>41375.1</v>
      </c>
      <c r="F38" s="151">
        <v>-6781.1</v>
      </c>
      <c r="G38" s="151">
        <f t="shared" si="0"/>
        <v>48156.42</v>
      </c>
      <c r="H38" s="145">
        <f t="shared" si="1"/>
        <v>-0.14081403891734479</v>
      </c>
    </row>
    <row r="39" spans="1:8">
      <c r="A39" s="149" t="s">
        <v>177</v>
      </c>
      <c r="B39" s="150">
        <v>12</v>
      </c>
      <c r="C39" s="151">
        <v>2815.97</v>
      </c>
      <c r="D39" s="151">
        <v>2550.1</v>
      </c>
      <c r="E39" s="151">
        <v>30601.200000000001</v>
      </c>
      <c r="F39" s="151">
        <v>-3190.45</v>
      </c>
      <c r="G39" s="151">
        <f t="shared" si="0"/>
        <v>33791.64</v>
      </c>
      <c r="H39" s="145">
        <f t="shared" si="1"/>
        <v>-9.4415364273530367E-2</v>
      </c>
    </row>
    <row r="40" spans="1:8">
      <c r="A40" s="149" t="s">
        <v>335</v>
      </c>
      <c r="B40" s="150">
        <v>47</v>
      </c>
      <c r="C40" s="151">
        <v>591.04</v>
      </c>
      <c r="D40" s="151">
        <v>591.95000000000005</v>
      </c>
      <c r="E40" s="151">
        <v>27821.65</v>
      </c>
      <c r="F40" s="151">
        <v>42.8</v>
      </c>
      <c r="G40" s="151">
        <f t="shared" si="0"/>
        <v>27778.879999999997</v>
      </c>
      <c r="H40" s="145">
        <f t="shared" si="1"/>
        <v>1.5407388634818971E-3</v>
      </c>
    </row>
    <row r="41" spans="1:8">
      <c r="A41" s="149" t="s">
        <v>282</v>
      </c>
      <c r="B41" s="150">
        <v>19</v>
      </c>
      <c r="C41" s="151">
        <v>2270.19</v>
      </c>
      <c r="D41" s="151">
        <v>2696.85</v>
      </c>
      <c r="E41" s="151">
        <v>51240.15</v>
      </c>
      <c r="F41" s="151">
        <v>8106.6</v>
      </c>
      <c r="G41" s="151">
        <f t="shared" si="0"/>
        <v>43133.61</v>
      </c>
      <c r="H41" s="145">
        <f t="shared" si="1"/>
        <v>0.18794160748427965</v>
      </c>
    </row>
    <row r="42" spans="1:8">
      <c r="A42" s="149" t="s">
        <v>178</v>
      </c>
      <c r="B42" s="150">
        <v>87</v>
      </c>
      <c r="C42" s="151">
        <v>548.66999999999996</v>
      </c>
      <c r="D42" s="151">
        <v>862.8</v>
      </c>
      <c r="E42" s="151">
        <v>75063.600000000006</v>
      </c>
      <c r="F42" s="151">
        <v>27328.95</v>
      </c>
      <c r="G42" s="151">
        <f t="shared" si="0"/>
        <v>47734.289999999994</v>
      </c>
      <c r="H42" s="145">
        <f t="shared" si="1"/>
        <v>0.57252239427882989</v>
      </c>
    </row>
    <row r="43" spans="1:8">
      <c r="A43" s="149" t="s">
        <v>179</v>
      </c>
      <c r="B43" s="150">
        <v>46</v>
      </c>
      <c r="C43" s="151">
        <v>1362.12</v>
      </c>
      <c r="D43" s="151">
        <v>1151.1500000000001</v>
      </c>
      <c r="E43" s="151">
        <v>52952.9</v>
      </c>
      <c r="F43" s="151">
        <v>-9704.5499999999993</v>
      </c>
      <c r="G43" s="151">
        <f t="shared" si="0"/>
        <v>62657.52</v>
      </c>
      <c r="H43" s="145">
        <f t="shared" si="1"/>
        <v>-0.1548824466720036</v>
      </c>
    </row>
    <row r="44" spans="1:8">
      <c r="A44" s="149" t="s">
        <v>180</v>
      </c>
      <c r="B44" s="150">
        <v>75</v>
      </c>
      <c r="C44" s="151">
        <v>542.61</v>
      </c>
      <c r="D44" s="151">
        <v>525.95000000000005</v>
      </c>
      <c r="E44" s="151">
        <v>39446.25</v>
      </c>
      <c r="F44" s="151">
        <v>-1249.8</v>
      </c>
      <c r="G44" s="151">
        <f t="shared" si="0"/>
        <v>40695.75</v>
      </c>
      <c r="H44" s="145">
        <f t="shared" si="1"/>
        <v>-3.0710823611802215E-2</v>
      </c>
    </row>
    <row r="45" spans="1:8">
      <c r="A45" s="149" t="s">
        <v>284</v>
      </c>
      <c r="B45" s="150">
        <v>54</v>
      </c>
      <c r="C45" s="151">
        <v>988.1</v>
      </c>
      <c r="D45" s="151">
        <v>1186.3</v>
      </c>
      <c r="E45" s="151">
        <v>64060.2</v>
      </c>
      <c r="F45" s="151">
        <v>10702.65</v>
      </c>
      <c r="G45" s="151">
        <f t="shared" si="0"/>
        <v>53357.4</v>
      </c>
      <c r="H45" s="145">
        <f t="shared" si="1"/>
        <v>0.20058417389153144</v>
      </c>
    </row>
    <row r="46" spans="1:8">
      <c r="A46" s="149" t="s">
        <v>181</v>
      </c>
      <c r="B46" s="150">
        <v>26</v>
      </c>
      <c r="C46" s="151">
        <v>1657.94</v>
      </c>
      <c r="D46" s="151">
        <v>1413.45</v>
      </c>
      <c r="E46" s="151">
        <v>36749.699999999997</v>
      </c>
      <c r="F46" s="151">
        <v>-6356.65</v>
      </c>
      <c r="G46" s="151">
        <f t="shared" si="0"/>
        <v>43106.44</v>
      </c>
      <c r="H46" s="145">
        <f t="shared" si="1"/>
        <v>-0.14746404481557743</v>
      </c>
    </row>
    <row r="47" spans="1:8">
      <c r="A47" s="149" t="s">
        <v>182</v>
      </c>
      <c r="B47" s="150">
        <v>770</v>
      </c>
      <c r="C47" s="151">
        <v>227.34</v>
      </c>
      <c r="D47" s="151">
        <v>332.2</v>
      </c>
      <c r="E47" s="151">
        <v>255794</v>
      </c>
      <c r="F47" s="151">
        <v>80739.649999999994</v>
      </c>
      <c r="G47" s="151">
        <f t="shared" si="0"/>
        <v>175051.8</v>
      </c>
      <c r="H47" s="145">
        <f t="shared" si="1"/>
        <v>0.46123290363195352</v>
      </c>
    </row>
    <row r="48" spans="1:8">
      <c r="A48" s="149" t="s">
        <v>183</v>
      </c>
      <c r="B48" s="150">
        <v>21</v>
      </c>
      <c r="C48" s="151">
        <v>1067.58</v>
      </c>
      <c r="D48" s="151">
        <v>1919.8</v>
      </c>
      <c r="E48" s="151">
        <v>40315.800000000003</v>
      </c>
      <c r="F48" s="151">
        <v>17896.7</v>
      </c>
      <c r="G48" s="151">
        <f t="shared" si="0"/>
        <v>22419.18</v>
      </c>
      <c r="H48" s="145">
        <f t="shared" si="1"/>
        <v>0.79827629734896643</v>
      </c>
    </row>
    <row r="49" spans="1:8">
      <c r="A49" s="149" t="s">
        <v>313</v>
      </c>
      <c r="B49" s="150">
        <v>2</v>
      </c>
      <c r="C49" s="151">
        <v>345.31</v>
      </c>
      <c r="D49" s="151">
        <v>447.75</v>
      </c>
      <c r="E49" s="151">
        <v>895.5</v>
      </c>
      <c r="F49" s="151">
        <v>204.88</v>
      </c>
      <c r="G49" s="151">
        <f t="shared" si="0"/>
        <v>690.62</v>
      </c>
      <c r="H49" s="145">
        <f t="shared" si="1"/>
        <v>0.29666097130114966</v>
      </c>
    </row>
    <row r="50" spans="1:8">
      <c r="A50" s="149" t="s">
        <v>185</v>
      </c>
      <c r="B50" s="150">
        <v>38</v>
      </c>
      <c r="C50" s="151">
        <v>1711.28</v>
      </c>
      <c r="D50" s="151">
        <v>1821.25</v>
      </c>
      <c r="E50" s="151">
        <v>69207.5</v>
      </c>
      <c r="F50" s="151">
        <v>4178.7</v>
      </c>
      <c r="G50" s="151">
        <f t="shared" si="0"/>
        <v>65028.639999999999</v>
      </c>
      <c r="H50" s="145">
        <f t="shared" si="1"/>
        <v>6.4259378636859085E-2</v>
      </c>
    </row>
    <row r="51" spans="1:8">
      <c r="A51" s="149" t="s">
        <v>186</v>
      </c>
      <c r="B51" s="150">
        <v>46</v>
      </c>
      <c r="C51" s="151">
        <v>555.47</v>
      </c>
      <c r="D51" s="151">
        <v>659.9</v>
      </c>
      <c r="E51" s="151">
        <v>30355.4</v>
      </c>
      <c r="F51" s="151">
        <v>4803.8</v>
      </c>
      <c r="G51" s="151">
        <f t="shared" si="0"/>
        <v>25551.620000000003</v>
      </c>
      <c r="H51" s="145">
        <f t="shared" si="1"/>
        <v>0.18800373518391397</v>
      </c>
    </row>
    <row r="52" spans="1:8">
      <c r="A52" s="149" t="s">
        <v>187</v>
      </c>
      <c r="B52" s="150">
        <v>6</v>
      </c>
      <c r="C52" s="151">
        <v>2783.52</v>
      </c>
      <c r="D52" s="151">
        <v>2521.35</v>
      </c>
      <c r="E52" s="151">
        <v>15128.1</v>
      </c>
      <c r="F52" s="151">
        <v>-1573</v>
      </c>
      <c r="G52" s="151">
        <f t="shared" si="0"/>
        <v>16701.12</v>
      </c>
      <c r="H52" s="145">
        <f t="shared" si="1"/>
        <v>-9.4185300147535025E-2</v>
      </c>
    </row>
    <row r="53" spans="1:8">
      <c r="A53" s="149" t="s">
        <v>314</v>
      </c>
      <c r="B53" s="150">
        <v>2</v>
      </c>
      <c r="C53" s="151">
        <v>967.84</v>
      </c>
      <c r="D53" s="151">
        <v>1000</v>
      </c>
      <c r="E53" s="151">
        <v>2000</v>
      </c>
      <c r="F53" s="151">
        <v>64.319999999999993</v>
      </c>
      <c r="G53" s="151">
        <f t="shared" si="0"/>
        <v>1935.68</v>
      </c>
      <c r="H53" s="145">
        <f t="shared" si="1"/>
        <v>3.322863283187303E-2</v>
      </c>
    </row>
    <row r="54" spans="1:8">
      <c r="A54" s="149" t="s">
        <v>188</v>
      </c>
      <c r="B54" s="150">
        <v>62</v>
      </c>
      <c r="C54" s="151">
        <v>1053.22</v>
      </c>
      <c r="D54" s="151">
        <v>1848.7</v>
      </c>
      <c r="E54" s="151">
        <v>114619.4</v>
      </c>
      <c r="F54" s="151">
        <v>49320.05</v>
      </c>
      <c r="G54" s="151">
        <f t="shared" si="0"/>
        <v>65299.64</v>
      </c>
      <c r="H54" s="145">
        <f t="shared" si="1"/>
        <v>0.75528823742366735</v>
      </c>
    </row>
    <row r="55" spans="1:8">
      <c r="A55" s="149" t="s">
        <v>339</v>
      </c>
      <c r="B55" s="150">
        <v>5</v>
      </c>
      <c r="C55" s="151">
        <v>4717.7</v>
      </c>
      <c r="D55" s="151">
        <v>4459.8999999999996</v>
      </c>
      <c r="E55" s="151">
        <v>22299.5</v>
      </c>
      <c r="F55" s="151">
        <v>-1289</v>
      </c>
      <c r="G55" s="151">
        <f t="shared" si="0"/>
        <v>23588.5</v>
      </c>
      <c r="H55" s="145">
        <f t="shared" si="1"/>
        <v>-5.4645272060537972E-2</v>
      </c>
    </row>
    <row r="56" spans="1:8">
      <c r="A56" s="149" t="s">
        <v>189</v>
      </c>
      <c r="B56" s="150">
        <v>29</v>
      </c>
      <c r="C56" s="151">
        <v>775.92</v>
      </c>
      <c r="D56" s="151">
        <v>1268.7</v>
      </c>
      <c r="E56" s="151">
        <v>36792.300000000003</v>
      </c>
      <c r="F56" s="151">
        <v>14290.7</v>
      </c>
      <c r="G56" s="151">
        <f t="shared" si="0"/>
        <v>22501.68</v>
      </c>
      <c r="H56" s="145">
        <f t="shared" si="1"/>
        <v>0.63509480181035372</v>
      </c>
    </row>
    <row r="57" spans="1:8">
      <c r="A57" s="149" t="s">
        <v>324</v>
      </c>
      <c r="B57" s="150">
        <v>118</v>
      </c>
      <c r="C57" s="151">
        <v>184.31</v>
      </c>
      <c r="D57" s="151">
        <v>275.85000000000002</v>
      </c>
      <c r="E57" s="151">
        <v>32550.3</v>
      </c>
      <c r="F57" s="151">
        <v>10801.65</v>
      </c>
      <c r="G57" s="151">
        <f t="shared" si="0"/>
        <v>21748.58</v>
      </c>
      <c r="H57" s="145">
        <f t="shared" si="1"/>
        <v>0.4966600118260594</v>
      </c>
    </row>
    <row r="58" spans="1:8">
      <c r="A58" s="149" t="s">
        <v>191</v>
      </c>
      <c r="B58" s="150">
        <v>72</v>
      </c>
      <c r="C58" s="151">
        <v>468.01</v>
      </c>
      <c r="D58" s="151">
        <v>537.85</v>
      </c>
      <c r="E58" s="151">
        <v>38725.199999999997</v>
      </c>
      <c r="F58" s="151">
        <v>5028.6000000000004</v>
      </c>
      <c r="G58" s="151">
        <f t="shared" si="0"/>
        <v>33696.720000000001</v>
      </c>
      <c r="H58" s="145">
        <f t="shared" si="1"/>
        <v>0.14923114178471972</v>
      </c>
    </row>
    <row r="59" spans="1:8">
      <c r="A59" s="149" t="s">
        <v>192</v>
      </c>
      <c r="B59" s="150">
        <v>55</v>
      </c>
      <c r="C59" s="151">
        <v>808.45</v>
      </c>
      <c r="D59" s="151">
        <v>762</v>
      </c>
      <c r="E59" s="151">
        <v>41910</v>
      </c>
      <c r="F59" s="151">
        <v>-2554.75</v>
      </c>
      <c r="G59" s="151">
        <f t="shared" si="0"/>
        <v>44464.75</v>
      </c>
      <c r="H59" s="145">
        <f t="shared" si="1"/>
        <v>-5.7455624961345785E-2</v>
      </c>
    </row>
    <row r="60" spans="1:8">
      <c r="A60" s="149" t="s">
        <v>220</v>
      </c>
      <c r="B60" s="150">
        <v>42</v>
      </c>
      <c r="C60" s="151">
        <v>315.58999999999997</v>
      </c>
      <c r="D60" s="151">
        <v>559.1</v>
      </c>
      <c r="E60" s="151">
        <v>23482.2</v>
      </c>
      <c r="F60" s="151">
        <v>10227.5</v>
      </c>
      <c r="G60" s="151">
        <f t="shared" si="0"/>
        <v>13254.779999999999</v>
      </c>
      <c r="H60" s="145">
        <f t="shared" si="1"/>
        <v>0.77160843107165877</v>
      </c>
    </row>
    <row r="61" spans="1:8">
      <c r="A61" s="149" t="s">
        <v>265</v>
      </c>
      <c r="B61" s="150">
        <v>58</v>
      </c>
      <c r="C61" s="151">
        <v>342.44</v>
      </c>
      <c r="D61" s="151">
        <v>363.6</v>
      </c>
      <c r="E61" s="151">
        <v>21088.799999999999</v>
      </c>
      <c r="F61" s="151">
        <v>1227.28</v>
      </c>
      <c r="G61" s="151">
        <f t="shared" si="0"/>
        <v>19861.52</v>
      </c>
      <c r="H61" s="145">
        <f t="shared" si="1"/>
        <v>6.1791846746875365E-2</v>
      </c>
    </row>
    <row r="62" spans="1:8">
      <c r="A62" s="149" t="s">
        <v>340</v>
      </c>
      <c r="B62" s="150">
        <v>7</v>
      </c>
      <c r="C62" s="151">
        <v>3454.67</v>
      </c>
      <c r="D62" s="151">
        <v>3143.3</v>
      </c>
      <c r="E62" s="151">
        <v>22003.1</v>
      </c>
      <c r="F62" s="151">
        <v>-2179.6</v>
      </c>
      <c r="G62" s="151">
        <f t="shared" si="0"/>
        <v>24182.690000000002</v>
      </c>
      <c r="H62" s="145">
        <f t="shared" si="1"/>
        <v>-9.0130585141686051E-2</v>
      </c>
    </row>
    <row r="63" spans="1:8">
      <c r="A63" s="149" t="s">
        <v>194</v>
      </c>
      <c r="B63" s="150">
        <v>128</v>
      </c>
      <c r="C63" s="151">
        <v>157.27000000000001</v>
      </c>
      <c r="D63" s="151">
        <v>109</v>
      </c>
      <c r="E63" s="151">
        <v>13952</v>
      </c>
      <c r="F63" s="151">
        <v>-6179.1</v>
      </c>
      <c r="G63" s="151">
        <f t="shared" si="0"/>
        <v>20130.560000000001</v>
      </c>
      <c r="H63" s="145">
        <f t="shared" si="1"/>
        <v>-0.30695122242004197</v>
      </c>
    </row>
    <row r="64" spans="1:8">
      <c r="A64" s="149" t="s">
        <v>195</v>
      </c>
      <c r="B64" s="150">
        <v>13</v>
      </c>
      <c r="C64" s="151">
        <v>2477.59</v>
      </c>
      <c r="D64" s="151">
        <v>2087.65</v>
      </c>
      <c r="E64" s="151">
        <v>27139.45</v>
      </c>
      <c r="F64" s="151">
        <v>-5069.25</v>
      </c>
      <c r="G64" s="151">
        <f t="shared" si="0"/>
        <v>32208.670000000002</v>
      </c>
      <c r="H64" s="145">
        <f t="shared" si="1"/>
        <v>-0.15738774683959317</v>
      </c>
    </row>
    <row r="65" spans="1:8">
      <c r="A65" s="149" t="s">
        <v>315</v>
      </c>
      <c r="B65" s="150">
        <v>73</v>
      </c>
      <c r="C65" s="151">
        <v>19.93</v>
      </c>
      <c r="D65" s="151">
        <v>87.5</v>
      </c>
      <c r="E65" s="151">
        <v>6387.5</v>
      </c>
      <c r="F65" s="151">
        <v>4932.8</v>
      </c>
      <c r="G65" s="151">
        <f t="shared" si="0"/>
        <v>1454.8899999999999</v>
      </c>
      <c r="H65" s="145">
        <f t="shared" si="1"/>
        <v>3.3904968760524854</v>
      </c>
    </row>
    <row r="66" spans="1:8">
      <c r="A66" s="149" t="s">
        <v>316</v>
      </c>
      <c r="B66" s="150">
        <v>4</v>
      </c>
      <c r="C66" s="151">
        <v>131.47999999999999</v>
      </c>
      <c r="D66" s="151">
        <v>186.83</v>
      </c>
      <c r="E66" s="151">
        <v>747.32</v>
      </c>
      <c r="F66" s="151">
        <v>221.4</v>
      </c>
      <c r="G66" s="151">
        <f t="shared" si="0"/>
        <v>525.91999999999996</v>
      </c>
      <c r="H66" s="145">
        <f t="shared" si="1"/>
        <v>0.42097657438393676</v>
      </c>
    </row>
    <row r="67" spans="1:8">
      <c r="A67" s="149" t="s">
        <v>198</v>
      </c>
      <c r="B67" s="150">
        <v>71</v>
      </c>
      <c r="C67" s="151">
        <v>454.23</v>
      </c>
      <c r="D67" s="151">
        <v>917.8</v>
      </c>
      <c r="E67" s="151">
        <v>65163.8</v>
      </c>
      <c r="F67" s="151">
        <v>32913.75</v>
      </c>
      <c r="G67" s="151">
        <f t="shared" ref="G67:G101" si="2">C67*B67</f>
        <v>32250.33</v>
      </c>
      <c r="H67" s="145">
        <f t="shared" ref="H67:H101" si="3">F67/G67</f>
        <v>1.0205709522972322</v>
      </c>
    </row>
    <row r="68" spans="1:8">
      <c r="A68" s="149" t="s">
        <v>199</v>
      </c>
      <c r="B68" s="150">
        <v>12</v>
      </c>
      <c r="C68" s="151">
        <v>3920.56</v>
      </c>
      <c r="D68" s="151">
        <v>2987.9</v>
      </c>
      <c r="E68" s="151">
        <v>35854.800000000003</v>
      </c>
      <c r="F68" s="151">
        <v>-11191.95</v>
      </c>
      <c r="G68" s="151">
        <f t="shared" si="2"/>
        <v>47046.720000000001</v>
      </c>
      <c r="H68" s="145">
        <f t="shared" si="3"/>
        <v>-0.23789012283959435</v>
      </c>
    </row>
    <row r="69" spans="1:8">
      <c r="A69" s="149" t="s">
        <v>336</v>
      </c>
      <c r="B69" s="150">
        <v>159</v>
      </c>
      <c r="C69" s="151">
        <v>238.17</v>
      </c>
      <c r="D69" s="151">
        <v>175</v>
      </c>
      <c r="E69" s="151">
        <v>27825</v>
      </c>
      <c r="F69" s="151">
        <v>-10044.799999999999</v>
      </c>
      <c r="G69" s="151">
        <f t="shared" si="2"/>
        <v>37869.03</v>
      </c>
      <c r="H69" s="145">
        <f t="shared" si="3"/>
        <v>-0.26525105079269257</v>
      </c>
    </row>
    <row r="70" spans="1:8">
      <c r="A70" s="149" t="s">
        <v>200</v>
      </c>
      <c r="B70" s="150">
        <v>300</v>
      </c>
      <c r="C70" s="151">
        <v>82.33</v>
      </c>
      <c r="D70" s="151">
        <v>126.85</v>
      </c>
      <c r="E70" s="151">
        <v>38055</v>
      </c>
      <c r="F70" s="151">
        <v>13355</v>
      </c>
      <c r="G70" s="151">
        <f t="shared" si="2"/>
        <v>24699</v>
      </c>
      <c r="H70" s="145">
        <f t="shared" si="3"/>
        <v>0.54071015020851043</v>
      </c>
    </row>
    <row r="71" spans="1:8">
      <c r="A71" s="149" t="s">
        <v>201</v>
      </c>
      <c r="B71" s="150">
        <v>8</v>
      </c>
      <c r="C71" s="151">
        <v>3646.27</v>
      </c>
      <c r="D71" s="151">
        <v>3241.2</v>
      </c>
      <c r="E71" s="151">
        <v>25929.599999999999</v>
      </c>
      <c r="F71" s="151">
        <v>-3240.55</v>
      </c>
      <c r="G71" s="151">
        <f t="shared" si="2"/>
        <v>29170.16</v>
      </c>
      <c r="H71" s="145">
        <f t="shared" si="3"/>
        <v>-0.1110912658689565</v>
      </c>
    </row>
    <row r="72" spans="1:8">
      <c r="A72" s="149" t="s">
        <v>202</v>
      </c>
      <c r="B72" s="150">
        <v>27</v>
      </c>
      <c r="C72" s="151">
        <v>863.85</v>
      </c>
      <c r="D72" s="151">
        <v>1399.1</v>
      </c>
      <c r="E72" s="151">
        <v>37775.699999999997</v>
      </c>
      <c r="F72" s="151">
        <v>14451.75</v>
      </c>
      <c r="G72" s="151">
        <f t="shared" si="2"/>
        <v>23323.95</v>
      </c>
      <c r="H72" s="145">
        <f t="shared" si="3"/>
        <v>0.61960988597557443</v>
      </c>
    </row>
    <row r="73" spans="1:8">
      <c r="A73" s="149" t="s">
        <v>203</v>
      </c>
      <c r="B73" s="150">
        <v>9</v>
      </c>
      <c r="C73" s="151">
        <v>2466.2199999999998</v>
      </c>
      <c r="D73" s="151">
        <v>2690.5</v>
      </c>
      <c r="E73" s="151">
        <v>24214.5</v>
      </c>
      <c r="F73" s="151">
        <v>2018.55</v>
      </c>
      <c r="G73" s="151">
        <f t="shared" si="2"/>
        <v>22195.98</v>
      </c>
      <c r="H73" s="145">
        <f t="shared" si="3"/>
        <v>9.094214357735049E-2</v>
      </c>
    </row>
    <row r="74" spans="1:8">
      <c r="A74" s="149" t="s">
        <v>204</v>
      </c>
      <c r="B74" s="150">
        <v>49</v>
      </c>
      <c r="C74" s="151">
        <v>488.91</v>
      </c>
      <c r="D74" s="151">
        <v>449.8</v>
      </c>
      <c r="E74" s="151">
        <v>22040.2</v>
      </c>
      <c r="F74" s="151">
        <v>-1916.15</v>
      </c>
      <c r="G74" s="151">
        <f t="shared" si="2"/>
        <v>23956.59</v>
      </c>
      <c r="H74" s="145">
        <f t="shared" si="3"/>
        <v>-7.9984254854301051E-2</v>
      </c>
    </row>
    <row r="75" spans="1:8">
      <c r="A75" s="149" t="s">
        <v>307</v>
      </c>
      <c r="B75" s="150">
        <v>20</v>
      </c>
      <c r="C75" s="151">
        <v>1000</v>
      </c>
      <c r="D75" s="151">
        <v>1142.6199999999999</v>
      </c>
      <c r="E75" s="151">
        <v>22852.400000000001</v>
      </c>
      <c r="F75" s="151">
        <v>0</v>
      </c>
      <c r="G75" s="151">
        <f t="shared" si="2"/>
        <v>20000</v>
      </c>
      <c r="H75" s="145">
        <f t="shared" si="3"/>
        <v>0</v>
      </c>
    </row>
    <row r="76" spans="1:8">
      <c r="A76" s="149" t="s">
        <v>299</v>
      </c>
      <c r="B76" s="150">
        <v>15</v>
      </c>
      <c r="C76" s="151">
        <v>1143.53</v>
      </c>
      <c r="D76" s="151">
        <v>1008.7</v>
      </c>
      <c r="E76" s="151">
        <v>15130.5</v>
      </c>
      <c r="F76" s="151">
        <v>-2022.5</v>
      </c>
      <c r="G76" s="151">
        <f>C76</f>
        <v>1143.53</v>
      </c>
      <c r="H76" s="145">
        <f t="shared" si="3"/>
        <v>-1.7686462095441309</v>
      </c>
    </row>
    <row r="77" spans="1:8">
      <c r="A77" s="149" t="s">
        <v>206</v>
      </c>
      <c r="B77" s="150">
        <v>39</v>
      </c>
      <c r="C77" s="151">
        <v>1052.53</v>
      </c>
      <c r="D77" s="151">
        <v>1252.1500000000001</v>
      </c>
      <c r="E77" s="151">
        <v>48833.85</v>
      </c>
      <c r="F77" s="151">
        <v>7785.1</v>
      </c>
      <c r="G77" s="151">
        <f t="shared" si="2"/>
        <v>41048.67</v>
      </c>
      <c r="H77" s="145">
        <f t="shared" si="3"/>
        <v>0.18965535302361808</v>
      </c>
    </row>
    <row r="78" spans="1:8">
      <c r="A78" s="149" t="s">
        <v>207</v>
      </c>
      <c r="B78" s="150">
        <v>117</v>
      </c>
      <c r="C78" s="151">
        <v>291.98</v>
      </c>
      <c r="D78" s="151">
        <v>531.04999999999995</v>
      </c>
      <c r="E78" s="151">
        <v>62132.85</v>
      </c>
      <c r="F78" s="151">
        <v>27971.3</v>
      </c>
      <c r="G78" s="151">
        <f t="shared" si="2"/>
        <v>34161.660000000003</v>
      </c>
      <c r="H78" s="145">
        <f t="shared" si="3"/>
        <v>0.81879217813185878</v>
      </c>
    </row>
    <row r="79" spans="1:8">
      <c r="A79" s="149" t="s">
        <v>305</v>
      </c>
      <c r="B79" s="150">
        <v>10</v>
      </c>
      <c r="C79" s="151">
        <v>5284</v>
      </c>
      <c r="D79" s="151">
        <v>4904</v>
      </c>
      <c r="E79" s="151">
        <v>49040</v>
      </c>
      <c r="F79" s="151">
        <v>-3800</v>
      </c>
      <c r="G79" s="151">
        <f t="shared" si="2"/>
        <v>52840</v>
      </c>
      <c r="H79" s="145">
        <f t="shared" si="3"/>
        <v>-7.1915215745647243E-2</v>
      </c>
    </row>
    <row r="80" spans="1:8">
      <c r="A80" s="149" t="s">
        <v>306</v>
      </c>
      <c r="B80" s="150">
        <v>5</v>
      </c>
      <c r="C80" s="151">
        <v>4802</v>
      </c>
      <c r="D80" s="151">
        <v>4828</v>
      </c>
      <c r="E80" s="151">
        <v>24140</v>
      </c>
      <c r="F80" s="151">
        <v>130</v>
      </c>
      <c r="G80" s="151">
        <f t="shared" si="2"/>
        <v>24010</v>
      </c>
      <c r="H80" s="145">
        <f t="shared" si="3"/>
        <v>5.414410662224073E-3</v>
      </c>
    </row>
    <row r="81" spans="1:8">
      <c r="A81" s="149" t="s">
        <v>311</v>
      </c>
      <c r="B81" s="150">
        <v>10</v>
      </c>
      <c r="C81" s="151">
        <v>5002.45</v>
      </c>
      <c r="D81" s="151">
        <v>4844</v>
      </c>
      <c r="E81" s="151">
        <v>48440</v>
      </c>
      <c r="F81" s="151">
        <v>-1584.5</v>
      </c>
      <c r="G81" s="151">
        <f t="shared" si="2"/>
        <v>50024.5</v>
      </c>
      <c r="H81" s="145">
        <f t="shared" si="3"/>
        <v>-3.1674479505042527E-2</v>
      </c>
    </row>
    <row r="82" spans="1:8">
      <c r="A82" s="149" t="s">
        <v>329</v>
      </c>
      <c r="B82" s="150">
        <v>60</v>
      </c>
      <c r="C82" s="151">
        <v>504</v>
      </c>
      <c r="D82" s="151">
        <v>443.05</v>
      </c>
      <c r="E82" s="151">
        <v>26583</v>
      </c>
      <c r="F82" s="151">
        <v>-3657</v>
      </c>
      <c r="G82" s="151">
        <f t="shared" si="2"/>
        <v>30240</v>
      </c>
      <c r="H82" s="145">
        <f t="shared" si="3"/>
        <v>-0.12093253968253968</v>
      </c>
    </row>
    <row r="83" spans="1:8">
      <c r="A83" s="149" t="s">
        <v>211</v>
      </c>
      <c r="B83" s="150">
        <v>35</v>
      </c>
      <c r="C83" s="151">
        <v>984.23</v>
      </c>
      <c r="D83" s="151">
        <v>2770.8</v>
      </c>
      <c r="E83" s="151">
        <v>96978</v>
      </c>
      <c r="F83" s="151">
        <v>62529.95</v>
      </c>
      <c r="G83" s="151">
        <f t="shared" si="2"/>
        <v>34448.050000000003</v>
      </c>
      <c r="H83" s="145">
        <f t="shared" si="3"/>
        <v>1.8151956351665768</v>
      </c>
    </row>
    <row r="84" spans="1:8">
      <c r="A84" s="149" t="s">
        <v>330</v>
      </c>
      <c r="B84" s="150">
        <v>65</v>
      </c>
      <c r="C84" s="151">
        <v>511.92</v>
      </c>
      <c r="D84" s="151">
        <v>440</v>
      </c>
      <c r="E84" s="151">
        <v>28600</v>
      </c>
      <c r="F84" s="151">
        <v>-4674.6000000000004</v>
      </c>
      <c r="G84" s="151">
        <f t="shared" si="2"/>
        <v>33274.800000000003</v>
      </c>
      <c r="H84" s="145">
        <f t="shared" si="3"/>
        <v>-0.14048469111760251</v>
      </c>
    </row>
    <row r="85" spans="1:8">
      <c r="A85" s="149" t="s">
        <v>289</v>
      </c>
      <c r="B85" s="150">
        <v>29</v>
      </c>
      <c r="C85" s="151">
        <v>626.02</v>
      </c>
      <c r="D85" s="151">
        <v>649.45000000000005</v>
      </c>
      <c r="E85" s="151">
        <v>18834.05</v>
      </c>
      <c r="F85" s="151">
        <v>679.6</v>
      </c>
      <c r="G85" s="151">
        <f t="shared" si="2"/>
        <v>18154.579999999998</v>
      </c>
      <c r="H85" s="145">
        <f t="shared" si="3"/>
        <v>3.7434079995240878E-2</v>
      </c>
    </row>
    <row r="86" spans="1:8">
      <c r="A86" s="149" t="s">
        <v>290</v>
      </c>
      <c r="B86" s="150">
        <v>21</v>
      </c>
      <c r="C86" s="151">
        <v>652.55999999999995</v>
      </c>
      <c r="D86" s="151">
        <v>463.75</v>
      </c>
      <c r="E86" s="151">
        <v>9738.75</v>
      </c>
      <c r="F86" s="151">
        <v>-3964.95</v>
      </c>
      <c r="G86" s="151">
        <f t="shared" si="2"/>
        <v>13703.759999999998</v>
      </c>
      <c r="H86" s="145">
        <f t="shared" si="3"/>
        <v>-0.28933300057794359</v>
      </c>
    </row>
    <row r="87" spans="1:8">
      <c r="A87" s="149" t="s">
        <v>292</v>
      </c>
      <c r="B87" s="150">
        <v>32</v>
      </c>
      <c r="C87" s="151">
        <v>752.33</v>
      </c>
      <c r="D87" s="151">
        <v>909</v>
      </c>
      <c r="E87" s="151">
        <v>29088</v>
      </c>
      <c r="F87" s="151">
        <v>5013.5</v>
      </c>
      <c r="G87" s="151">
        <f t="shared" si="2"/>
        <v>24074.560000000001</v>
      </c>
      <c r="H87" s="145">
        <f t="shared" si="3"/>
        <v>0.20824887349966104</v>
      </c>
    </row>
    <row r="88" spans="1:8">
      <c r="A88" s="149" t="s">
        <v>212</v>
      </c>
      <c r="B88" s="150">
        <v>143</v>
      </c>
      <c r="C88" s="151">
        <v>500.9</v>
      </c>
      <c r="D88" s="151">
        <v>949</v>
      </c>
      <c r="E88" s="151">
        <v>135707</v>
      </c>
      <c r="F88" s="151">
        <v>64078.7</v>
      </c>
      <c r="G88" s="151">
        <f t="shared" si="2"/>
        <v>71628.7</v>
      </c>
      <c r="H88" s="145">
        <f t="shared" si="3"/>
        <v>0.89459532282451026</v>
      </c>
    </row>
    <row r="89" spans="1:8">
      <c r="A89" s="149" t="s">
        <v>293</v>
      </c>
      <c r="B89" s="150">
        <v>50</v>
      </c>
      <c r="C89" s="151">
        <v>283.19</v>
      </c>
      <c r="D89" s="151">
        <v>343.2</v>
      </c>
      <c r="E89" s="151">
        <v>17160</v>
      </c>
      <c r="F89" s="151">
        <v>3000.35</v>
      </c>
      <c r="G89" s="151">
        <f t="shared" si="2"/>
        <v>14159.5</v>
      </c>
      <c r="H89" s="145">
        <f t="shared" si="3"/>
        <v>0.21189660651859174</v>
      </c>
    </row>
    <row r="90" spans="1:8">
      <c r="A90" s="149" t="s">
        <v>308</v>
      </c>
      <c r="B90" s="150">
        <v>71</v>
      </c>
      <c r="C90" s="151">
        <v>481.95</v>
      </c>
      <c r="D90" s="151">
        <v>450.95</v>
      </c>
      <c r="E90" s="151">
        <v>32017.45</v>
      </c>
      <c r="F90" s="151">
        <v>-2201</v>
      </c>
      <c r="G90" s="151">
        <f t="shared" si="2"/>
        <v>34218.449999999997</v>
      </c>
      <c r="H90" s="145">
        <f t="shared" si="3"/>
        <v>-6.4322025106338832E-2</v>
      </c>
    </row>
    <row r="91" spans="1:8">
      <c r="A91" s="149" t="s">
        <v>213</v>
      </c>
      <c r="B91" s="150">
        <v>57</v>
      </c>
      <c r="C91" s="151">
        <v>468.04</v>
      </c>
      <c r="D91" s="151">
        <v>559.85</v>
      </c>
      <c r="E91" s="151">
        <v>31911.45</v>
      </c>
      <c r="F91" s="151">
        <v>5232.95</v>
      </c>
      <c r="G91" s="151">
        <f t="shared" si="2"/>
        <v>26678.280000000002</v>
      </c>
      <c r="H91" s="145">
        <f t="shared" si="3"/>
        <v>0.19615020158720875</v>
      </c>
    </row>
    <row r="92" spans="1:8">
      <c r="A92" s="149" t="s">
        <v>214</v>
      </c>
      <c r="B92" s="150">
        <v>38</v>
      </c>
      <c r="C92" s="151">
        <v>684.41</v>
      </c>
      <c r="D92" s="151">
        <v>804.6</v>
      </c>
      <c r="E92" s="151">
        <v>30574.799999999999</v>
      </c>
      <c r="F92" s="151">
        <v>4567.25</v>
      </c>
      <c r="G92" s="151">
        <f t="shared" si="2"/>
        <v>26007.579999999998</v>
      </c>
      <c r="H92" s="145">
        <f t="shared" si="3"/>
        <v>0.17561226380924333</v>
      </c>
    </row>
    <row r="93" spans="1:8">
      <c r="A93" s="149" t="s">
        <v>302</v>
      </c>
      <c r="B93" s="150">
        <v>775</v>
      </c>
      <c r="C93" s="151">
        <v>99.29</v>
      </c>
      <c r="D93" s="151">
        <v>195.65</v>
      </c>
      <c r="E93" s="151">
        <v>151628.75</v>
      </c>
      <c r="F93" s="151">
        <v>74677.75</v>
      </c>
      <c r="G93" s="151">
        <f t="shared" si="2"/>
        <v>76949.75</v>
      </c>
      <c r="H93" s="145">
        <f t="shared" si="3"/>
        <v>0.97047423805795341</v>
      </c>
    </row>
    <row r="94" spans="1:8">
      <c r="A94" s="149" t="s">
        <v>215</v>
      </c>
      <c r="B94" s="150">
        <v>1050</v>
      </c>
      <c r="C94" s="151">
        <v>40.479999999999997</v>
      </c>
      <c r="D94" s="151">
        <v>99.3</v>
      </c>
      <c r="E94" s="151">
        <v>104265</v>
      </c>
      <c r="F94" s="151">
        <v>61764.75</v>
      </c>
      <c r="G94" s="151">
        <f t="shared" si="2"/>
        <v>42504</v>
      </c>
      <c r="H94" s="145">
        <f t="shared" si="3"/>
        <v>1.4531514680971203</v>
      </c>
    </row>
    <row r="95" spans="1:8">
      <c r="A95" s="149" t="s">
        <v>337</v>
      </c>
      <c r="B95" s="150">
        <v>40</v>
      </c>
      <c r="C95" s="151">
        <v>749.6</v>
      </c>
      <c r="D95" s="151">
        <v>769</v>
      </c>
      <c r="E95" s="151">
        <v>30760</v>
      </c>
      <c r="F95" s="151">
        <v>776</v>
      </c>
      <c r="G95" s="151">
        <f t="shared" si="2"/>
        <v>29984</v>
      </c>
      <c r="H95" s="145">
        <f t="shared" si="3"/>
        <v>2.5880469583778015E-2</v>
      </c>
    </row>
    <row r="96" spans="1:8">
      <c r="A96" s="149" t="s">
        <v>216</v>
      </c>
      <c r="B96" s="150">
        <v>14</v>
      </c>
      <c r="C96" s="151">
        <v>3410.89</v>
      </c>
      <c r="D96" s="151">
        <v>3004.6</v>
      </c>
      <c r="E96" s="151">
        <v>42064.4</v>
      </c>
      <c r="F96" s="151">
        <v>-5688</v>
      </c>
      <c r="G96" s="151">
        <f t="shared" si="2"/>
        <v>47752.46</v>
      </c>
      <c r="H96" s="145">
        <f t="shared" si="3"/>
        <v>-0.11911428227990768</v>
      </c>
    </row>
    <row r="97" spans="1:8">
      <c r="A97" s="149" t="s">
        <v>318</v>
      </c>
      <c r="B97" s="150">
        <v>28</v>
      </c>
      <c r="C97" s="151">
        <v>1229.17</v>
      </c>
      <c r="D97" s="151">
        <v>1008.6</v>
      </c>
      <c r="E97" s="151">
        <v>28240.799999999999</v>
      </c>
      <c r="F97" s="151">
        <v>-6175.85</v>
      </c>
      <c r="G97" s="151">
        <f t="shared" si="2"/>
        <v>34416.76</v>
      </c>
      <c r="H97" s="145">
        <f t="shared" si="3"/>
        <v>-0.1794430969097614</v>
      </c>
    </row>
    <row r="98" spans="1:8">
      <c r="A98" s="149" t="s">
        <v>217</v>
      </c>
      <c r="B98" s="150">
        <v>9</v>
      </c>
      <c r="C98" s="151">
        <v>2390.9699999999998</v>
      </c>
      <c r="D98" s="151">
        <v>2606.9499999999998</v>
      </c>
      <c r="E98" s="151">
        <v>23462.55</v>
      </c>
      <c r="F98" s="151">
        <v>1943.85</v>
      </c>
      <c r="G98" s="151">
        <f t="shared" si="2"/>
        <v>21518.73</v>
      </c>
      <c r="H98" s="145">
        <f t="shared" si="3"/>
        <v>9.0332933216783706E-2</v>
      </c>
    </row>
    <row r="99" spans="1:8">
      <c r="A99" s="149" t="s">
        <v>331</v>
      </c>
      <c r="B99" s="150">
        <v>41</v>
      </c>
      <c r="C99" s="151">
        <v>742.5</v>
      </c>
      <c r="D99" s="151">
        <v>673.35</v>
      </c>
      <c r="E99" s="151">
        <v>27607.35</v>
      </c>
      <c r="F99" s="151">
        <v>-2835.15</v>
      </c>
      <c r="G99" s="151">
        <f t="shared" si="2"/>
        <v>30442.5</v>
      </c>
      <c r="H99" s="145">
        <f t="shared" si="3"/>
        <v>-9.3131313131313134E-2</v>
      </c>
    </row>
    <row r="100" spans="1:8">
      <c r="A100" s="149" t="s">
        <v>221</v>
      </c>
      <c r="B100" s="150">
        <v>40</v>
      </c>
      <c r="C100" s="151">
        <v>447.63</v>
      </c>
      <c r="D100" s="151">
        <v>1044.2</v>
      </c>
      <c r="E100" s="151">
        <v>41768</v>
      </c>
      <c r="F100" s="151">
        <v>23863</v>
      </c>
      <c r="G100" s="151">
        <f t="shared" si="2"/>
        <v>17905.2</v>
      </c>
      <c r="H100" s="145">
        <f t="shared" si="3"/>
        <v>1.3327413265420101</v>
      </c>
    </row>
    <row r="101" spans="1:8">
      <c r="A101" s="149" t="s">
        <v>309</v>
      </c>
      <c r="B101" s="150">
        <v>29</v>
      </c>
      <c r="C101" s="151">
        <v>1910.61</v>
      </c>
      <c r="D101" s="151">
        <v>1623.8</v>
      </c>
      <c r="E101" s="151">
        <v>47090.2</v>
      </c>
      <c r="F101" s="151">
        <v>-8317.4</v>
      </c>
      <c r="G101" s="151">
        <f t="shared" si="2"/>
        <v>55407.689999999995</v>
      </c>
      <c r="H101" s="145">
        <f t="shared" si="3"/>
        <v>-0.15011273705870071</v>
      </c>
    </row>
    <row r="102" spans="1:8">
      <c r="A102" s="77"/>
      <c r="B102" s="76"/>
      <c r="C102" s="76"/>
      <c r="D102" s="76"/>
      <c r="E102" s="78"/>
      <c r="F102" s="78"/>
      <c r="G102" s="78"/>
      <c r="H102" s="136"/>
    </row>
    <row r="103" spans="1:8">
      <c r="A103" s="77"/>
      <c r="B103" s="76"/>
      <c r="C103" s="78"/>
      <c r="D103" s="78"/>
      <c r="E103" s="78"/>
      <c r="F103" s="78"/>
      <c r="G103" s="78"/>
      <c r="H103" s="136"/>
    </row>
    <row r="104" spans="1:8" ht="18">
      <c r="A104" s="44" t="s">
        <v>11</v>
      </c>
      <c r="B104" s="45">
        <f>SUM(B2:B103)</f>
        <v>8187</v>
      </c>
      <c r="C104" s="45"/>
      <c r="D104" s="45"/>
      <c r="E104" s="45">
        <f>SUM(E2:E103)</f>
        <v>4191479.2499999991</v>
      </c>
      <c r="F104" s="45">
        <f>SUM(F2:F103)</f>
        <v>757769.98999999987</v>
      </c>
      <c r="G104" s="45">
        <f>SUM(G2:G103)</f>
        <v>3414848.0199999996</v>
      </c>
      <c r="H104" s="64">
        <f>F104/G104</f>
        <v>0.22190445535552705</v>
      </c>
    </row>
  </sheetData>
  <pageMargins left="0.7" right="0.7" top="0.75" bottom="0.75" header="0.3" footer="0.3"/>
  <pageSetup paperSize="9"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E5CE-9D90-412E-BD24-4413D76E326E}">
  <dimension ref="A1:I17"/>
  <sheetViews>
    <sheetView workbookViewId="0">
      <selection activeCell="F14" sqref="F14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46" t="s">
        <v>223</v>
      </c>
      <c r="B1" s="146" t="s">
        <v>224</v>
      </c>
      <c r="C1" s="146" t="s">
        <v>225</v>
      </c>
      <c r="D1" s="146" t="s">
        <v>226</v>
      </c>
      <c r="E1" s="146" t="s">
        <v>227</v>
      </c>
      <c r="F1" s="146" t="s">
        <v>228</v>
      </c>
      <c r="G1" s="146" t="s">
        <v>229</v>
      </c>
      <c r="H1" s="146" t="s">
        <v>230</v>
      </c>
      <c r="I1" s="146" t="s">
        <v>231</v>
      </c>
    </row>
    <row r="2" spans="1:9">
      <c r="A2" s="139" t="s">
        <v>234</v>
      </c>
      <c r="B2" s="140" t="s">
        <v>235</v>
      </c>
      <c r="C2" s="155">
        <v>4080.9659999999999</v>
      </c>
      <c r="D2" s="155">
        <v>77.040000000000006</v>
      </c>
      <c r="E2" s="155">
        <v>68.607799999999997</v>
      </c>
      <c r="F2" s="157">
        <v>279986.10960000003</v>
      </c>
      <c r="G2" s="157">
        <v>314397.62060000002</v>
      </c>
      <c r="H2" s="157">
        <v>34411.511100000003</v>
      </c>
      <c r="I2" s="147">
        <f>H2/F2</f>
        <v>0.12290435103784877</v>
      </c>
    </row>
    <row r="3" spans="1:9">
      <c r="A3" s="139" t="s">
        <v>236</v>
      </c>
      <c r="B3" s="140" t="s">
        <v>237</v>
      </c>
      <c r="C3" s="155">
        <v>13104.844999999999</v>
      </c>
      <c r="D3" s="155">
        <v>70.75</v>
      </c>
      <c r="E3" s="155">
        <v>45.782400000000003</v>
      </c>
      <c r="F3" s="157">
        <v>599970.89850000001</v>
      </c>
      <c r="G3" s="157">
        <v>927167.78370000003</v>
      </c>
      <c r="H3" s="157">
        <v>327196.88530000002</v>
      </c>
      <c r="I3" s="147">
        <f t="shared" ref="I3:I17" si="0">H3/F3</f>
        <v>0.54535459322782476</v>
      </c>
    </row>
    <row r="4" spans="1:9">
      <c r="A4" s="139" t="s">
        <v>303</v>
      </c>
      <c r="B4" s="140" t="s">
        <v>241</v>
      </c>
      <c r="C4" s="155">
        <v>1857.5519999999999</v>
      </c>
      <c r="D4" s="155">
        <v>529.38070000000005</v>
      </c>
      <c r="E4" s="155">
        <v>366.02140000000003</v>
      </c>
      <c r="F4" s="157">
        <v>679903.69869999995</v>
      </c>
      <c r="G4" s="157">
        <v>983352.17799999996</v>
      </c>
      <c r="H4" s="157">
        <v>303448.47940000001</v>
      </c>
      <c r="I4" s="147">
        <f t="shared" si="0"/>
        <v>0.44631097018622534</v>
      </c>
    </row>
    <row r="5" spans="1:9">
      <c r="A5" s="139" t="s">
        <v>242</v>
      </c>
      <c r="B5" s="140" t="s">
        <v>237</v>
      </c>
      <c r="C5" s="155">
        <v>5856.576</v>
      </c>
      <c r="D5" s="155">
        <v>84.334000000000003</v>
      </c>
      <c r="E5" s="155">
        <v>44.3917</v>
      </c>
      <c r="F5" s="157">
        <v>259983.36480000001</v>
      </c>
      <c r="G5" s="157">
        <v>493908.4804</v>
      </c>
      <c r="H5" s="157">
        <v>233925.11559999999</v>
      </c>
      <c r="I5" s="147">
        <f t="shared" si="0"/>
        <v>0.89976955171710271</v>
      </c>
    </row>
    <row r="6" spans="1:9">
      <c r="A6" s="139" t="s">
        <v>272</v>
      </c>
      <c r="B6" s="140" t="s">
        <v>235</v>
      </c>
      <c r="C6" s="155">
        <v>5805.7370000000001</v>
      </c>
      <c r="D6" s="155">
        <v>84.831000000000003</v>
      </c>
      <c r="E6" s="155">
        <v>41.940399999999997</v>
      </c>
      <c r="F6" s="157">
        <v>243495.1642</v>
      </c>
      <c r="G6" s="157">
        <v>492506.4754</v>
      </c>
      <c r="H6" s="157">
        <v>249011.3112</v>
      </c>
      <c r="I6" s="147">
        <f t="shared" si="0"/>
        <v>1.0226540310076515</v>
      </c>
    </row>
    <row r="7" spans="1:9">
      <c r="A7" s="139" t="s">
        <v>244</v>
      </c>
      <c r="B7" s="140" t="s">
        <v>233</v>
      </c>
      <c r="C7" s="155">
        <v>5841.7389999999996</v>
      </c>
      <c r="D7" s="155">
        <v>19.119700000000002</v>
      </c>
      <c r="E7" s="155">
        <v>23.964300000000001</v>
      </c>
      <c r="F7" s="157">
        <v>139992.99739999999</v>
      </c>
      <c r="G7" s="157">
        <v>111692.2972</v>
      </c>
      <c r="H7" s="157">
        <v>-28300.7003</v>
      </c>
      <c r="I7" s="147">
        <f t="shared" si="0"/>
        <v>-0.20215797093862356</v>
      </c>
    </row>
    <row r="8" spans="1:9">
      <c r="A8" s="139" t="s">
        <v>273</v>
      </c>
      <c r="B8" s="140" t="s">
        <v>233</v>
      </c>
      <c r="C8" s="155">
        <v>9886.1530000000002</v>
      </c>
      <c r="D8" s="155">
        <v>8.0896000000000008</v>
      </c>
      <c r="E8" s="155">
        <v>8.5975000000000001</v>
      </c>
      <c r="F8" s="157">
        <v>84995.748200000002</v>
      </c>
      <c r="G8" s="157">
        <v>79975.023300000001</v>
      </c>
      <c r="H8" s="157">
        <v>-5020.7249000000002</v>
      </c>
      <c r="I8" s="147">
        <f t="shared" si="0"/>
        <v>-5.9070306530933037E-2</v>
      </c>
    </row>
    <row r="9" spans="1:9">
      <c r="A9" s="139" t="s">
        <v>246</v>
      </c>
      <c r="B9" s="140" t="s">
        <v>241</v>
      </c>
      <c r="C9" s="155">
        <v>14372.177</v>
      </c>
      <c r="D9" s="155">
        <v>10.866400000000001</v>
      </c>
      <c r="E9" s="155">
        <v>11.1669</v>
      </c>
      <c r="F9" s="157">
        <v>160491.98420000001</v>
      </c>
      <c r="G9" s="157">
        <v>156173.8242</v>
      </c>
      <c r="H9" s="157">
        <v>-4318.16</v>
      </c>
      <c r="I9" s="147">
        <f t="shared" si="0"/>
        <v>-2.6905767422121508E-2</v>
      </c>
    </row>
    <row r="10" spans="1:9">
      <c r="A10" s="139" t="s">
        <v>250</v>
      </c>
      <c r="B10" s="140" t="s">
        <v>251</v>
      </c>
      <c r="C10" s="155">
        <v>14080.628000000001</v>
      </c>
      <c r="D10" s="155">
        <v>49.892000000000003</v>
      </c>
      <c r="E10" s="155">
        <v>40.902799999999999</v>
      </c>
      <c r="F10" s="157">
        <v>575937.41370000003</v>
      </c>
      <c r="G10" s="157">
        <v>702510.69220000005</v>
      </c>
      <c r="H10" s="157">
        <v>126573.2785</v>
      </c>
      <c r="I10" s="147">
        <f t="shared" si="0"/>
        <v>0.21976915458027657</v>
      </c>
    </row>
    <row r="11" spans="1:9">
      <c r="A11" s="139" t="s">
        <v>274</v>
      </c>
      <c r="B11" s="140" t="s">
        <v>233</v>
      </c>
      <c r="C11" s="155">
        <v>6809.741</v>
      </c>
      <c r="D11" s="155">
        <v>26.95</v>
      </c>
      <c r="E11" s="155">
        <v>35.241999999999997</v>
      </c>
      <c r="F11" s="157">
        <v>239988.8371</v>
      </c>
      <c r="G11" s="157">
        <v>183522.51990000001</v>
      </c>
      <c r="H11" s="157">
        <v>-56466.317199999998</v>
      </c>
      <c r="I11" s="147">
        <f t="shared" si="0"/>
        <v>-0.2352872653675607</v>
      </c>
    </row>
    <row r="12" spans="1:9">
      <c r="A12" s="139" t="s">
        <v>253</v>
      </c>
      <c r="B12" s="140" t="s">
        <v>235</v>
      </c>
      <c r="C12" s="155">
        <v>614.69299999999998</v>
      </c>
      <c r="D12" s="155">
        <v>140.71019999999999</v>
      </c>
      <c r="E12" s="155">
        <v>138.27340000000001</v>
      </c>
      <c r="F12" s="157">
        <v>84995.713900000002</v>
      </c>
      <c r="G12" s="157">
        <v>86493.574999999997</v>
      </c>
      <c r="H12" s="157">
        <v>1497.8610000000001</v>
      </c>
      <c r="I12" s="147">
        <f t="shared" si="0"/>
        <v>1.7622782741283618E-2</v>
      </c>
    </row>
    <row r="13" spans="1:9">
      <c r="A13" s="142" t="s">
        <v>255</v>
      </c>
      <c r="B13" s="143" t="s">
        <v>241</v>
      </c>
      <c r="C13" s="156">
        <v>18996.168000000001</v>
      </c>
      <c r="D13" s="156">
        <v>15.482699999999999</v>
      </c>
      <c r="E13" s="156">
        <v>9.4700000000000006</v>
      </c>
      <c r="F13" s="158">
        <v>179893.71100000001</v>
      </c>
      <c r="G13" s="158">
        <v>294111.97029999999</v>
      </c>
      <c r="H13" s="158">
        <v>114218.25930000001</v>
      </c>
      <c r="I13" s="147">
        <f t="shared" si="0"/>
        <v>0.63492080220636504</v>
      </c>
    </row>
    <row r="14" spans="1:9">
      <c r="A14"/>
      <c r="B14"/>
      <c r="C14"/>
      <c r="D14"/>
      <c r="E14"/>
      <c r="F14"/>
      <c r="G14"/>
      <c r="H14"/>
      <c r="I14" s="147"/>
    </row>
    <row r="15" spans="1:9">
      <c r="A15" s="152"/>
      <c r="B15" s="153"/>
      <c r="C15" s="154"/>
      <c r="D15" s="153"/>
      <c r="E15" s="153"/>
      <c r="F15" s="154"/>
      <c r="G15" s="154"/>
      <c r="H15" s="154"/>
      <c r="I15" s="147"/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74" t="s">
        <v>11</v>
      </c>
      <c r="B17" s="75"/>
      <c r="C17" s="75">
        <f>SUM(C2:C14)</f>
        <v>101306.97499999999</v>
      </c>
      <c r="D17" s="75"/>
      <c r="E17" s="75"/>
      <c r="F17" s="75">
        <f t="shared" ref="F17:H17" si="1">SUM(F2:F14)</f>
        <v>3529635.6412999993</v>
      </c>
      <c r="G17" s="75">
        <f t="shared" si="1"/>
        <v>4825812.4402000001</v>
      </c>
      <c r="H17" s="75">
        <f t="shared" si="1"/>
        <v>1296176.7990000003</v>
      </c>
      <c r="I17" s="53">
        <f t="shared" si="0"/>
        <v>0.36722679922922746</v>
      </c>
    </row>
  </sheetData>
  <hyperlinks>
    <hyperlink ref="A2" r:id="rId1" location="/mf/1831632/15690/NULL" xr:uid="{4D0EB604-5884-4695-9E49-92DA79564179}"/>
    <hyperlink ref="A3" r:id="rId2" location="/mf/1831632/22335/NULL" xr:uid="{F8F3A439-DA1A-442C-BB35-FF52C53DC10D}"/>
    <hyperlink ref="A4" r:id="rId3" location="/mf/1831632/16071/NULL" xr:uid="{C04691D3-1EB2-4092-9E10-9C8C3DF722E9}"/>
    <hyperlink ref="A5" r:id="rId4" location="/mf/1831632/16617/NULL" xr:uid="{18E96B6B-4350-4A4D-9975-98B928438D2F}"/>
    <hyperlink ref="A6" r:id="rId5" location="/mf/1831632/17134/NULL" xr:uid="{9B2EE577-A4CB-4162-9288-C6CEE67CE7D9}"/>
    <hyperlink ref="A7" r:id="rId6" location="/mf/1831632/38228/NULL" xr:uid="{A690A1BB-E82B-4E3D-8EA2-F4A9E0E57C90}"/>
    <hyperlink ref="A8" r:id="rId7" location="/mf/1831632/42135/NULL" xr:uid="{A0D3EA1F-A506-4AA1-9FAD-0A5877DD90A6}"/>
    <hyperlink ref="A9" r:id="rId8" location="/mf/1831632/41574/NULL" xr:uid="{40D7201E-E5EB-407E-B8A5-A65079E5F993}"/>
    <hyperlink ref="A10" r:id="rId9" location="/mf/1831632/19701/NULL" xr:uid="{D79AB78F-4A0F-40FC-B770-9465A83A7E3E}"/>
    <hyperlink ref="A11" r:id="rId10" location="/mf/1831632/17348/NULL" xr:uid="{47C28E8A-45FC-4B22-BEC6-84795F35F02C}"/>
    <hyperlink ref="A12" r:id="rId11" location="/mf/1831632/17375/NULL" xr:uid="{0D984747-D630-49F4-9B4E-60F1CBB3C510}"/>
    <hyperlink ref="A13" r:id="rId12" location="/mf/1831632/36491/NULL" xr:uid="{5DBF4552-3A96-4020-833D-5C650B566976}"/>
  </hyperlinks>
  <pageMargins left="0.7" right="0.7" top="0.75" bottom="0.75" header="0.3" footer="0.3"/>
  <pageSetup paperSize="9"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09CC-2E44-4F9B-8D3A-FEB92318A2C0}">
  <dimension ref="A1:I104"/>
  <sheetViews>
    <sheetView workbookViewId="0"/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48" t="s">
        <v>137</v>
      </c>
      <c r="D1" s="148" t="s">
        <v>138</v>
      </c>
      <c r="E1" s="148" t="s">
        <v>140</v>
      </c>
      <c r="F1" s="148" t="s">
        <v>141</v>
      </c>
      <c r="G1" s="148" t="s">
        <v>129</v>
      </c>
      <c r="H1" s="148" t="s">
        <v>142</v>
      </c>
    </row>
    <row r="2" spans="1:8">
      <c r="A2" s="149" t="s">
        <v>143</v>
      </c>
      <c r="B2" s="150">
        <v>100</v>
      </c>
      <c r="C2" s="151">
        <v>109.73</v>
      </c>
      <c r="D2" s="151">
        <v>105.95</v>
      </c>
      <c r="E2" s="151">
        <v>10595</v>
      </c>
      <c r="F2" s="151">
        <v>-377.5</v>
      </c>
      <c r="G2" s="151">
        <f>C2*B2</f>
        <v>10973</v>
      </c>
      <c r="H2" s="145">
        <f>F2/G2</f>
        <v>-3.4402624624077283E-2</v>
      </c>
    </row>
    <row r="3" spans="1:8">
      <c r="A3" s="149" t="s">
        <v>259</v>
      </c>
      <c r="B3" s="150">
        <v>13</v>
      </c>
      <c r="C3" s="151">
        <v>133.75</v>
      </c>
      <c r="D3" s="151">
        <v>346.45</v>
      </c>
      <c r="E3" s="151">
        <v>4503.8500000000004</v>
      </c>
      <c r="F3" s="151">
        <v>2765.1</v>
      </c>
      <c r="G3" s="151">
        <f t="shared" ref="G3:G66" si="0">C3*B3</f>
        <v>1738.75</v>
      </c>
      <c r="H3" s="145">
        <f t="shared" ref="H3:H66" si="1">F3/G3</f>
        <v>1.5902803738317757</v>
      </c>
    </row>
    <row r="4" spans="1:8">
      <c r="A4" s="149" t="s">
        <v>144</v>
      </c>
      <c r="B4" s="150">
        <v>43</v>
      </c>
      <c r="C4" s="151">
        <v>1183.94</v>
      </c>
      <c r="D4" s="151">
        <v>1354.1</v>
      </c>
      <c r="E4" s="151">
        <v>58226.3</v>
      </c>
      <c r="F4" s="151">
        <v>7316.7</v>
      </c>
      <c r="G4" s="151">
        <f t="shared" si="0"/>
        <v>50909.420000000006</v>
      </c>
      <c r="H4" s="145">
        <f t="shared" si="1"/>
        <v>0.14371996381023391</v>
      </c>
    </row>
    <row r="5" spans="1:8">
      <c r="A5" s="149" t="s">
        <v>317</v>
      </c>
      <c r="B5" s="150">
        <v>13</v>
      </c>
      <c r="C5" s="151">
        <v>2592.56</v>
      </c>
      <c r="D5" s="151">
        <v>2977.85</v>
      </c>
      <c r="E5" s="151">
        <v>38712.050000000003</v>
      </c>
      <c r="F5" s="151">
        <v>5008.8</v>
      </c>
      <c r="G5" s="151">
        <f t="shared" si="0"/>
        <v>33703.279999999999</v>
      </c>
      <c r="H5" s="145">
        <f t="shared" si="1"/>
        <v>0.14861461555077132</v>
      </c>
    </row>
    <row r="6" spans="1:8">
      <c r="A6" s="149" t="s">
        <v>145</v>
      </c>
      <c r="B6" s="150">
        <v>250</v>
      </c>
      <c r="C6" s="151">
        <v>183.59</v>
      </c>
      <c r="D6" s="151">
        <v>251.95</v>
      </c>
      <c r="E6" s="151">
        <v>62987.5</v>
      </c>
      <c r="F6" s="151">
        <v>17090</v>
      </c>
      <c r="G6" s="151">
        <f t="shared" si="0"/>
        <v>45897.5</v>
      </c>
      <c r="H6" s="145">
        <f t="shared" si="1"/>
        <v>0.37235143526335857</v>
      </c>
    </row>
    <row r="7" spans="1:8">
      <c r="A7" s="149" t="s">
        <v>276</v>
      </c>
      <c r="B7" s="150">
        <v>14</v>
      </c>
      <c r="C7" s="151">
        <v>2411.04</v>
      </c>
      <c r="D7" s="151">
        <v>3431.05</v>
      </c>
      <c r="E7" s="151">
        <v>48034.7</v>
      </c>
      <c r="F7" s="151">
        <v>14280.1</v>
      </c>
      <c r="G7" s="151">
        <f t="shared" si="0"/>
        <v>33754.559999999998</v>
      </c>
      <c r="H7" s="145">
        <f t="shared" si="1"/>
        <v>0.42305691438430842</v>
      </c>
    </row>
    <row r="8" spans="1:8">
      <c r="A8" s="149" t="s">
        <v>277</v>
      </c>
      <c r="B8" s="150">
        <v>72</v>
      </c>
      <c r="C8" s="151">
        <v>578.16999999999996</v>
      </c>
      <c r="D8" s="151">
        <v>645.20000000000005</v>
      </c>
      <c r="E8" s="151">
        <v>46454.400000000001</v>
      </c>
      <c r="F8" s="151">
        <v>4826.2</v>
      </c>
      <c r="G8" s="151">
        <f t="shared" si="0"/>
        <v>41628.239999999998</v>
      </c>
      <c r="H8" s="145">
        <f t="shared" si="1"/>
        <v>0.11593572055892827</v>
      </c>
    </row>
    <row r="9" spans="1:8">
      <c r="A9" s="149" t="s">
        <v>146</v>
      </c>
      <c r="B9" s="150">
        <v>76</v>
      </c>
      <c r="C9" s="151">
        <v>603.67999999999995</v>
      </c>
      <c r="D9" s="151">
        <v>751.1</v>
      </c>
      <c r="E9" s="151">
        <v>57083.6</v>
      </c>
      <c r="F9" s="151">
        <v>11204.15</v>
      </c>
      <c r="G9" s="151">
        <f t="shared" si="0"/>
        <v>45879.679999999993</v>
      </c>
      <c r="H9" s="145">
        <f t="shared" si="1"/>
        <v>0.24420723945764228</v>
      </c>
    </row>
    <row r="10" spans="1:8">
      <c r="A10" s="149" t="s">
        <v>341</v>
      </c>
      <c r="B10" s="150">
        <v>20</v>
      </c>
      <c r="C10" s="151">
        <v>2859.69</v>
      </c>
      <c r="D10" s="151">
        <v>4040.75</v>
      </c>
      <c r="E10" s="151">
        <v>80815</v>
      </c>
      <c r="F10" s="151">
        <v>23621.200000000001</v>
      </c>
      <c r="G10" s="151">
        <f t="shared" si="0"/>
        <v>57193.8</v>
      </c>
      <c r="H10" s="145">
        <f t="shared" si="1"/>
        <v>0.41300280799667094</v>
      </c>
    </row>
    <row r="11" spans="1:8">
      <c r="A11" s="149" t="s">
        <v>148</v>
      </c>
      <c r="B11" s="150">
        <v>2</v>
      </c>
      <c r="C11" s="151">
        <v>6752.48</v>
      </c>
      <c r="D11" s="151">
        <v>7190.7</v>
      </c>
      <c r="E11" s="151">
        <v>14381.4</v>
      </c>
      <c r="F11" s="151">
        <v>876.45</v>
      </c>
      <c r="G11" s="151">
        <f t="shared" si="0"/>
        <v>13504.96</v>
      </c>
      <c r="H11" s="145">
        <f t="shared" si="1"/>
        <v>6.4898378077387867E-2</v>
      </c>
    </row>
    <row r="12" spans="1:8">
      <c r="A12" s="149" t="s">
        <v>149</v>
      </c>
      <c r="B12" s="150">
        <v>10</v>
      </c>
      <c r="C12" s="151">
        <v>1889.87</v>
      </c>
      <c r="D12" s="151">
        <v>1993.6</v>
      </c>
      <c r="E12" s="151">
        <v>19936</v>
      </c>
      <c r="F12" s="151">
        <v>1037.3499999999999</v>
      </c>
      <c r="G12" s="151">
        <f t="shared" si="0"/>
        <v>18898.699999999997</v>
      </c>
      <c r="H12" s="145">
        <f t="shared" si="1"/>
        <v>5.4890018890188221E-2</v>
      </c>
    </row>
    <row r="13" spans="1:8">
      <c r="A13" s="149" t="s">
        <v>152</v>
      </c>
      <c r="B13" s="150">
        <v>180</v>
      </c>
      <c r="C13" s="151">
        <v>322.89</v>
      </c>
      <c r="D13" s="151">
        <v>735</v>
      </c>
      <c r="E13" s="151">
        <v>132300</v>
      </c>
      <c r="F13" s="151">
        <v>74180</v>
      </c>
      <c r="G13" s="151">
        <f t="shared" si="0"/>
        <v>58120.2</v>
      </c>
      <c r="H13" s="145">
        <f t="shared" si="1"/>
        <v>1.2763204531298928</v>
      </c>
    </row>
    <row r="14" spans="1:8">
      <c r="A14" s="149" t="s">
        <v>304</v>
      </c>
      <c r="B14" s="150">
        <v>6</v>
      </c>
      <c r="C14" s="151">
        <v>0</v>
      </c>
      <c r="D14" s="151">
        <v>28.52</v>
      </c>
      <c r="E14" s="151">
        <v>171.12</v>
      </c>
      <c r="F14" s="151">
        <v>171.12</v>
      </c>
      <c r="G14" s="151">
        <f t="shared" si="0"/>
        <v>0</v>
      </c>
      <c r="H14" s="145">
        <v>0</v>
      </c>
    </row>
    <row r="15" spans="1:8">
      <c r="A15" s="149" t="s">
        <v>153</v>
      </c>
      <c r="B15" s="150">
        <v>54</v>
      </c>
      <c r="C15" s="151">
        <v>414.23</v>
      </c>
      <c r="D15" s="151">
        <v>521.85</v>
      </c>
      <c r="E15" s="151">
        <v>28179.9</v>
      </c>
      <c r="F15" s="151">
        <v>5811.3</v>
      </c>
      <c r="G15" s="151">
        <f t="shared" si="0"/>
        <v>22368.420000000002</v>
      </c>
      <c r="H15" s="145">
        <f t="shared" si="1"/>
        <v>0.25979930634349674</v>
      </c>
    </row>
    <row r="16" spans="1:8">
      <c r="A16" s="149" t="s">
        <v>154</v>
      </c>
      <c r="B16" s="150">
        <v>14</v>
      </c>
      <c r="C16" s="151">
        <v>3489.94</v>
      </c>
      <c r="D16" s="151">
        <v>3704.25</v>
      </c>
      <c r="E16" s="151">
        <v>51859.5</v>
      </c>
      <c r="F16" s="151">
        <v>3000.4</v>
      </c>
      <c r="G16" s="151">
        <f t="shared" si="0"/>
        <v>48859.16</v>
      </c>
      <c r="H16" s="145">
        <f t="shared" si="1"/>
        <v>6.1409160534073852E-2</v>
      </c>
    </row>
    <row r="17" spans="1:8">
      <c r="A17" s="149" t="s">
        <v>155</v>
      </c>
      <c r="B17" s="150">
        <v>180</v>
      </c>
      <c r="C17" s="151">
        <v>155.25</v>
      </c>
      <c r="D17" s="151">
        <v>114</v>
      </c>
      <c r="E17" s="151">
        <v>20520</v>
      </c>
      <c r="F17" s="151">
        <v>-7425</v>
      </c>
      <c r="G17" s="151">
        <f t="shared" si="0"/>
        <v>27945</v>
      </c>
      <c r="H17" s="145">
        <f t="shared" si="1"/>
        <v>-0.26570048309178745</v>
      </c>
    </row>
    <row r="18" spans="1:8">
      <c r="A18" s="149" t="s">
        <v>157</v>
      </c>
      <c r="B18" s="150">
        <v>47</v>
      </c>
      <c r="C18" s="151">
        <v>723.87</v>
      </c>
      <c r="D18" s="151">
        <v>1015.6</v>
      </c>
      <c r="E18" s="151">
        <v>47733.2</v>
      </c>
      <c r="F18" s="151">
        <v>13711.3</v>
      </c>
      <c r="G18" s="151">
        <f t="shared" si="0"/>
        <v>34021.89</v>
      </c>
      <c r="H18" s="145">
        <f t="shared" si="1"/>
        <v>0.40301405947758928</v>
      </c>
    </row>
    <row r="19" spans="1:8">
      <c r="A19" s="149" t="s">
        <v>158</v>
      </c>
      <c r="B19" s="150">
        <v>250</v>
      </c>
      <c r="C19" s="151">
        <v>163.66999999999999</v>
      </c>
      <c r="D19" s="151">
        <v>229.3</v>
      </c>
      <c r="E19" s="151">
        <v>57325</v>
      </c>
      <c r="F19" s="151">
        <v>16407.5</v>
      </c>
      <c r="G19" s="151">
        <f t="shared" si="0"/>
        <v>40917.5</v>
      </c>
      <c r="H19" s="145">
        <f t="shared" si="1"/>
        <v>0.40098979654182199</v>
      </c>
    </row>
    <row r="20" spans="1:8">
      <c r="A20" s="149" t="s">
        <v>159</v>
      </c>
      <c r="B20" s="150">
        <v>6</v>
      </c>
      <c r="C20" s="151">
        <v>4323.6400000000003</v>
      </c>
      <c r="D20" s="151">
        <v>3468.35</v>
      </c>
      <c r="E20" s="151">
        <v>20810.099999999999</v>
      </c>
      <c r="F20" s="151">
        <v>-5131.75</v>
      </c>
      <c r="G20" s="151">
        <f t="shared" si="0"/>
        <v>25941.840000000004</v>
      </c>
      <c r="H20" s="145">
        <f t="shared" si="1"/>
        <v>-0.19781750253644304</v>
      </c>
    </row>
    <row r="21" spans="1:8">
      <c r="A21" s="149" t="s">
        <v>160</v>
      </c>
      <c r="B21" s="150">
        <v>35</v>
      </c>
      <c r="C21" s="151">
        <v>1545.44</v>
      </c>
      <c r="D21" s="151">
        <v>1674.3</v>
      </c>
      <c r="E21" s="151">
        <v>58600.5</v>
      </c>
      <c r="F21" s="151">
        <v>4510</v>
      </c>
      <c r="G21" s="151">
        <f t="shared" si="0"/>
        <v>54090.400000000001</v>
      </c>
      <c r="H21" s="145">
        <f t="shared" si="1"/>
        <v>8.3378936003431284E-2</v>
      </c>
    </row>
    <row r="22" spans="1:8">
      <c r="A22" s="149" t="s">
        <v>279</v>
      </c>
      <c r="B22" s="150">
        <v>72</v>
      </c>
      <c r="C22" s="151">
        <v>559.89</v>
      </c>
      <c r="D22" s="151">
        <v>570.85</v>
      </c>
      <c r="E22" s="151">
        <v>41101.199999999997</v>
      </c>
      <c r="F22" s="151">
        <v>789.15</v>
      </c>
      <c r="G22" s="151">
        <f t="shared" si="0"/>
        <v>40312.080000000002</v>
      </c>
      <c r="H22" s="145">
        <f t="shared" si="1"/>
        <v>1.9576017908279602E-2</v>
      </c>
    </row>
    <row r="23" spans="1:8">
      <c r="A23" s="149" t="s">
        <v>332</v>
      </c>
      <c r="B23" s="150">
        <v>11</v>
      </c>
      <c r="C23" s="151">
        <v>2298.16</v>
      </c>
      <c r="D23" s="151">
        <v>3592</v>
      </c>
      <c r="E23" s="151">
        <v>39512</v>
      </c>
      <c r="F23" s="151">
        <v>14232.25</v>
      </c>
      <c r="G23" s="151">
        <f t="shared" si="0"/>
        <v>25279.759999999998</v>
      </c>
      <c r="H23" s="145">
        <f t="shared" si="1"/>
        <v>0.56298991762580031</v>
      </c>
    </row>
    <row r="24" spans="1:8">
      <c r="A24" s="149" t="s">
        <v>161</v>
      </c>
      <c r="B24" s="150">
        <v>55</v>
      </c>
      <c r="C24" s="151">
        <v>325.14</v>
      </c>
      <c r="D24" s="151">
        <v>395</v>
      </c>
      <c r="E24" s="151">
        <v>21725</v>
      </c>
      <c r="F24" s="151">
        <v>3842.1</v>
      </c>
      <c r="G24" s="151">
        <f t="shared" si="0"/>
        <v>17882.7</v>
      </c>
      <c r="H24" s="145">
        <f t="shared" si="1"/>
        <v>0.21485010652753778</v>
      </c>
    </row>
    <row r="25" spans="1:8">
      <c r="A25" s="149" t="s">
        <v>162</v>
      </c>
      <c r="B25" s="150">
        <v>12</v>
      </c>
      <c r="C25" s="151">
        <v>3205.4</v>
      </c>
      <c r="D25" s="151">
        <v>4576.8</v>
      </c>
      <c r="E25" s="151">
        <v>54921.599999999999</v>
      </c>
      <c r="F25" s="151">
        <v>16456.849999999999</v>
      </c>
      <c r="G25" s="151">
        <f t="shared" si="0"/>
        <v>38464.800000000003</v>
      </c>
      <c r="H25" s="145">
        <f t="shared" si="1"/>
        <v>0.42784181901374757</v>
      </c>
    </row>
    <row r="26" spans="1:8">
      <c r="A26" s="149" t="s">
        <v>164</v>
      </c>
      <c r="B26" s="150">
        <v>10</v>
      </c>
      <c r="C26" s="151">
        <v>2469.04</v>
      </c>
      <c r="D26" s="151">
        <v>3422.1</v>
      </c>
      <c r="E26" s="151">
        <v>34221</v>
      </c>
      <c r="F26" s="151">
        <v>9530.65</v>
      </c>
      <c r="G26" s="151">
        <f t="shared" si="0"/>
        <v>24690.400000000001</v>
      </c>
      <c r="H26" s="145">
        <f t="shared" si="1"/>
        <v>0.3860063020445193</v>
      </c>
    </row>
    <row r="27" spans="1:8">
      <c r="A27" s="149" t="s">
        <v>165</v>
      </c>
      <c r="B27" s="150">
        <v>61</v>
      </c>
      <c r="C27" s="151">
        <v>360.97</v>
      </c>
      <c r="D27" s="151">
        <v>365.94</v>
      </c>
      <c r="E27" s="151">
        <v>22322.34</v>
      </c>
      <c r="F27" s="151">
        <v>303.17</v>
      </c>
      <c r="G27" s="151">
        <f t="shared" si="0"/>
        <v>22019.170000000002</v>
      </c>
      <c r="H27" s="145">
        <f t="shared" si="1"/>
        <v>1.3768457212510734E-2</v>
      </c>
    </row>
    <row r="28" spans="1:8">
      <c r="A28" s="149" t="s">
        <v>166</v>
      </c>
      <c r="B28" s="150">
        <v>31</v>
      </c>
      <c r="C28" s="151">
        <v>1356.45</v>
      </c>
      <c r="D28" s="151">
        <v>1518.65</v>
      </c>
      <c r="E28" s="151">
        <v>47078.15</v>
      </c>
      <c r="F28" s="151">
        <v>5028.25</v>
      </c>
      <c r="G28" s="151">
        <f t="shared" si="0"/>
        <v>42049.950000000004</v>
      </c>
      <c r="H28" s="145">
        <f t="shared" si="1"/>
        <v>0.11957802565758104</v>
      </c>
    </row>
    <row r="29" spans="1:8">
      <c r="A29" s="149" t="s">
        <v>168</v>
      </c>
      <c r="B29" s="150">
        <v>68</v>
      </c>
      <c r="C29" s="151">
        <v>715.68</v>
      </c>
      <c r="D29" s="151">
        <v>692</v>
      </c>
      <c r="E29" s="151">
        <v>47056</v>
      </c>
      <c r="F29" s="151">
        <v>-1610.3</v>
      </c>
      <c r="G29" s="151">
        <f t="shared" si="0"/>
        <v>48666.239999999998</v>
      </c>
      <c r="H29" s="145">
        <f t="shared" si="1"/>
        <v>-3.3088646256624714E-2</v>
      </c>
    </row>
    <row r="30" spans="1:8">
      <c r="A30" s="149" t="s">
        <v>169</v>
      </c>
      <c r="B30" s="150">
        <v>306</v>
      </c>
      <c r="C30" s="151">
        <v>184.89</v>
      </c>
      <c r="D30" s="151">
        <v>159.4</v>
      </c>
      <c r="E30" s="151">
        <v>48776.4</v>
      </c>
      <c r="F30" s="151">
        <v>-7799.35</v>
      </c>
      <c r="G30" s="151">
        <f t="shared" si="0"/>
        <v>56576.34</v>
      </c>
      <c r="H30" s="145">
        <f t="shared" si="1"/>
        <v>-0.1378553296307255</v>
      </c>
    </row>
    <row r="31" spans="1:8">
      <c r="A31" s="149" t="s">
        <v>170</v>
      </c>
      <c r="B31" s="150">
        <v>521</v>
      </c>
      <c r="C31" s="151">
        <v>75.53</v>
      </c>
      <c r="D31" s="151">
        <v>119.55</v>
      </c>
      <c r="E31" s="151">
        <v>62285.55</v>
      </c>
      <c r="F31" s="151">
        <v>22933.95</v>
      </c>
      <c r="G31" s="151">
        <f t="shared" si="0"/>
        <v>39351.129999999997</v>
      </c>
      <c r="H31" s="145">
        <f t="shared" si="1"/>
        <v>0.5828028318373577</v>
      </c>
    </row>
    <row r="32" spans="1:8">
      <c r="A32" s="149" t="s">
        <v>325</v>
      </c>
      <c r="B32" s="150">
        <v>38</v>
      </c>
      <c r="C32" s="151">
        <v>657.8</v>
      </c>
      <c r="D32" s="151">
        <v>613.1</v>
      </c>
      <c r="E32" s="151">
        <v>23297.8</v>
      </c>
      <c r="F32" s="151">
        <v>-1698.6</v>
      </c>
      <c r="G32" s="151">
        <f t="shared" si="0"/>
        <v>24996.399999999998</v>
      </c>
      <c r="H32" s="145">
        <f t="shared" si="1"/>
        <v>-6.7953785345089696E-2</v>
      </c>
    </row>
    <row r="33" spans="1:8">
      <c r="A33" s="149" t="s">
        <v>342</v>
      </c>
      <c r="B33" s="150">
        <v>134</v>
      </c>
      <c r="C33" s="151">
        <v>141.13</v>
      </c>
      <c r="D33" s="151">
        <v>124.4</v>
      </c>
      <c r="E33" s="151">
        <v>16669.599999999999</v>
      </c>
      <c r="F33" s="151">
        <v>-2242.15</v>
      </c>
      <c r="G33" s="151">
        <f t="shared" si="0"/>
        <v>18911.419999999998</v>
      </c>
      <c r="H33" s="145">
        <f t="shared" si="1"/>
        <v>-0.11856063690616571</v>
      </c>
    </row>
    <row r="34" spans="1:8">
      <c r="A34" s="149" t="s">
        <v>334</v>
      </c>
      <c r="B34" s="150">
        <v>14</v>
      </c>
      <c r="C34" s="151">
        <v>3701.8</v>
      </c>
      <c r="D34" s="151">
        <v>2566.25</v>
      </c>
      <c r="E34" s="151">
        <v>35927.5</v>
      </c>
      <c r="F34" s="151">
        <v>-15897.7</v>
      </c>
      <c r="G34" s="151">
        <f t="shared" si="0"/>
        <v>51825.200000000004</v>
      </c>
      <c r="H34" s="145">
        <f t="shared" si="1"/>
        <v>-0.30675617267275379</v>
      </c>
    </row>
    <row r="35" spans="1:8">
      <c r="A35" s="149" t="s">
        <v>172</v>
      </c>
      <c r="B35" s="150">
        <v>13</v>
      </c>
      <c r="C35" s="151">
        <v>1617.22</v>
      </c>
      <c r="D35" s="151">
        <v>1420.05</v>
      </c>
      <c r="E35" s="151">
        <v>18460.650000000001</v>
      </c>
      <c r="F35" s="151">
        <v>-2563.1999999999998</v>
      </c>
      <c r="G35" s="151">
        <f t="shared" si="0"/>
        <v>21023.86</v>
      </c>
      <c r="H35" s="145">
        <f t="shared" si="1"/>
        <v>-0.12191862008213523</v>
      </c>
    </row>
    <row r="36" spans="1:8">
      <c r="A36" s="149" t="s">
        <v>173</v>
      </c>
      <c r="B36" s="150">
        <v>45</v>
      </c>
      <c r="C36" s="151">
        <v>40.9</v>
      </c>
      <c r="D36" s="151">
        <v>43.37</v>
      </c>
      <c r="E36" s="151">
        <v>1951.65</v>
      </c>
      <c r="F36" s="151">
        <v>111.05</v>
      </c>
      <c r="G36" s="151">
        <f t="shared" si="0"/>
        <v>1840.5</v>
      </c>
      <c r="H36" s="145">
        <f t="shared" si="1"/>
        <v>6.0336864982341754E-2</v>
      </c>
    </row>
    <row r="37" spans="1:8">
      <c r="A37" s="149" t="s">
        <v>174</v>
      </c>
      <c r="B37" s="150">
        <v>38</v>
      </c>
      <c r="C37" s="151">
        <v>1050.99</v>
      </c>
      <c r="D37" s="151">
        <v>924.45</v>
      </c>
      <c r="E37" s="151">
        <v>35129.1</v>
      </c>
      <c r="F37" s="151">
        <v>-4808.3500000000004</v>
      </c>
      <c r="G37" s="151">
        <f t="shared" si="0"/>
        <v>39937.620000000003</v>
      </c>
      <c r="H37" s="145">
        <f t="shared" si="1"/>
        <v>-0.12039650835477927</v>
      </c>
    </row>
    <row r="38" spans="1:8">
      <c r="A38" s="149" t="s">
        <v>175</v>
      </c>
      <c r="B38" s="150">
        <v>48</v>
      </c>
      <c r="C38" s="151">
        <v>1429.32</v>
      </c>
      <c r="D38" s="151">
        <v>1486.15</v>
      </c>
      <c r="E38" s="151">
        <v>71335.199999999997</v>
      </c>
      <c r="F38" s="151">
        <v>2727.75</v>
      </c>
      <c r="G38" s="151">
        <f t="shared" si="0"/>
        <v>68607.360000000001</v>
      </c>
      <c r="H38" s="145">
        <f t="shared" si="1"/>
        <v>3.9758853860577058E-2</v>
      </c>
    </row>
    <row r="39" spans="1:8">
      <c r="A39" s="149" t="s">
        <v>176</v>
      </c>
      <c r="B39" s="150">
        <v>95</v>
      </c>
      <c r="C39" s="151">
        <v>629.88</v>
      </c>
      <c r="D39" s="151">
        <v>574.9</v>
      </c>
      <c r="E39" s="151">
        <v>54615.5</v>
      </c>
      <c r="F39" s="151">
        <v>-5222.8999999999996</v>
      </c>
      <c r="G39" s="151">
        <f t="shared" si="0"/>
        <v>59838.6</v>
      </c>
      <c r="H39" s="145">
        <f t="shared" si="1"/>
        <v>-8.7283124939420365E-2</v>
      </c>
    </row>
    <row r="40" spans="1:8">
      <c r="A40" s="149" t="s">
        <v>177</v>
      </c>
      <c r="B40" s="150">
        <v>12</v>
      </c>
      <c r="C40" s="151">
        <v>2815.97</v>
      </c>
      <c r="D40" s="151">
        <v>2825.15</v>
      </c>
      <c r="E40" s="151">
        <v>33901.800000000003</v>
      </c>
      <c r="F40" s="151">
        <v>110.15</v>
      </c>
      <c r="G40" s="151">
        <f t="shared" si="0"/>
        <v>33791.64</v>
      </c>
      <c r="H40" s="145">
        <f t="shared" si="1"/>
        <v>3.2596819805135236E-3</v>
      </c>
    </row>
    <row r="41" spans="1:8">
      <c r="A41" s="149" t="s">
        <v>335</v>
      </c>
      <c r="B41" s="150">
        <v>43</v>
      </c>
      <c r="C41" s="151">
        <v>586.95000000000005</v>
      </c>
      <c r="D41" s="151">
        <v>599.04999999999995</v>
      </c>
      <c r="E41" s="151">
        <v>25759.15</v>
      </c>
      <c r="F41" s="151">
        <v>520.1</v>
      </c>
      <c r="G41" s="151">
        <f t="shared" si="0"/>
        <v>25238.850000000002</v>
      </c>
      <c r="H41" s="145">
        <f t="shared" si="1"/>
        <v>2.0607119579537102E-2</v>
      </c>
    </row>
    <row r="42" spans="1:8">
      <c r="A42" s="149" t="s">
        <v>343</v>
      </c>
      <c r="B42" s="150">
        <v>71</v>
      </c>
      <c r="C42" s="151">
        <v>356.55</v>
      </c>
      <c r="D42" s="151">
        <v>414.9</v>
      </c>
      <c r="E42" s="151">
        <v>29457.9</v>
      </c>
      <c r="F42" s="151">
        <v>4142.8500000000004</v>
      </c>
      <c r="G42" s="151">
        <f t="shared" si="0"/>
        <v>25315.05</v>
      </c>
      <c r="H42" s="145">
        <f t="shared" si="1"/>
        <v>0.16365166175851917</v>
      </c>
    </row>
    <row r="43" spans="1:8">
      <c r="A43" s="149" t="s">
        <v>282</v>
      </c>
      <c r="B43" s="150">
        <v>19</v>
      </c>
      <c r="C43" s="151">
        <v>2270.19</v>
      </c>
      <c r="D43" s="151">
        <v>2603.6</v>
      </c>
      <c r="E43" s="151">
        <v>49468.4</v>
      </c>
      <c r="F43" s="151">
        <v>6334.85</v>
      </c>
      <c r="G43" s="151">
        <f t="shared" si="0"/>
        <v>43133.61</v>
      </c>
      <c r="H43" s="145">
        <f t="shared" si="1"/>
        <v>0.14686575039742791</v>
      </c>
    </row>
    <row r="44" spans="1:8">
      <c r="A44" s="149" t="s">
        <v>178</v>
      </c>
      <c r="B44" s="150">
        <v>87</v>
      </c>
      <c r="C44" s="151">
        <v>548.66999999999996</v>
      </c>
      <c r="D44" s="151">
        <v>872.4</v>
      </c>
      <c r="E44" s="151">
        <v>75898.8</v>
      </c>
      <c r="F44" s="151">
        <v>28164.15</v>
      </c>
      <c r="G44" s="151">
        <f t="shared" si="0"/>
        <v>47734.289999999994</v>
      </c>
      <c r="H44" s="145">
        <f t="shared" si="1"/>
        <v>0.59001925031251135</v>
      </c>
    </row>
    <row r="45" spans="1:8">
      <c r="A45" s="149" t="s">
        <v>179</v>
      </c>
      <c r="B45" s="150">
        <v>52</v>
      </c>
      <c r="C45" s="151">
        <v>1360.88</v>
      </c>
      <c r="D45" s="151">
        <v>1259</v>
      </c>
      <c r="E45" s="151">
        <v>65468</v>
      </c>
      <c r="F45" s="151">
        <v>-5297.65</v>
      </c>
      <c r="G45" s="151">
        <f t="shared" si="0"/>
        <v>70765.760000000009</v>
      </c>
      <c r="H45" s="145">
        <f t="shared" si="1"/>
        <v>-7.4861769307642545E-2</v>
      </c>
    </row>
    <row r="46" spans="1:8">
      <c r="A46" s="149" t="s">
        <v>180</v>
      </c>
      <c r="B46" s="150">
        <v>82</v>
      </c>
      <c r="C46" s="151">
        <v>532.54</v>
      </c>
      <c r="D46" s="151">
        <v>592.9</v>
      </c>
      <c r="E46" s="151">
        <v>48617.8</v>
      </c>
      <c r="F46" s="151">
        <v>4949.45</v>
      </c>
      <c r="G46" s="151">
        <f t="shared" si="0"/>
        <v>43668.28</v>
      </c>
      <c r="H46" s="145">
        <f t="shared" si="1"/>
        <v>0.11334199560871186</v>
      </c>
    </row>
    <row r="47" spans="1:8">
      <c r="A47" s="149" t="s">
        <v>284</v>
      </c>
      <c r="B47" s="150">
        <v>54</v>
      </c>
      <c r="C47" s="151">
        <v>988.1</v>
      </c>
      <c r="D47" s="151">
        <v>1099.5</v>
      </c>
      <c r="E47" s="151">
        <v>59373</v>
      </c>
      <c r="F47" s="151">
        <v>6015.45</v>
      </c>
      <c r="G47" s="151">
        <f t="shared" si="0"/>
        <v>53357.4</v>
      </c>
      <c r="H47" s="145">
        <f t="shared" si="1"/>
        <v>0.1127388141101328</v>
      </c>
    </row>
    <row r="48" spans="1:8">
      <c r="A48" s="149" t="s">
        <v>181</v>
      </c>
      <c r="B48" s="150">
        <v>25</v>
      </c>
      <c r="C48" s="151">
        <v>1668.37</v>
      </c>
      <c r="D48" s="151">
        <v>1453</v>
      </c>
      <c r="E48" s="151">
        <v>36325</v>
      </c>
      <c r="F48" s="151">
        <v>-5384.3</v>
      </c>
      <c r="G48" s="151">
        <f t="shared" si="0"/>
        <v>41709.25</v>
      </c>
      <c r="H48" s="145">
        <f t="shared" si="1"/>
        <v>-0.12909126872336474</v>
      </c>
    </row>
    <row r="49" spans="1:8">
      <c r="A49" s="149" t="s">
        <v>182</v>
      </c>
      <c r="B49" s="150">
        <v>770</v>
      </c>
      <c r="C49" s="151">
        <v>227.34</v>
      </c>
      <c r="D49" s="151">
        <v>323.14999999999998</v>
      </c>
      <c r="E49" s="151">
        <v>248825.5</v>
      </c>
      <c r="F49" s="151">
        <v>73771.149999999994</v>
      </c>
      <c r="G49" s="151">
        <f t="shared" si="0"/>
        <v>175051.8</v>
      </c>
      <c r="H49" s="145">
        <f t="shared" si="1"/>
        <v>0.42142468686411677</v>
      </c>
    </row>
    <row r="50" spans="1:8">
      <c r="A50" s="149" t="s">
        <v>183</v>
      </c>
      <c r="B50" s="150">
        <v>27</v>
      </c>
      <c r="C50" s="151">
        <v>965.51</v>
      </c>
      <c r="D50" s="151">
        <v>1794.25</v>
      </c>
      <c r="E50" s="151">
        <v>48444.75</v>
      </c>
      <c r="F50" s="151">
        <v>22376</v>
      </c>
      <c r="G50" s="151">
        <f t="shared" si="0"/>
        <v>26068.77</v>
      </c>
      <c r="H50" s="145">
        <f t="shared" si="1"/>
        <v>0.85834506192658877</v>
      </c>
    </row>
    <row r="51" spans="1:8">
      <c r="A51" s="149" t="s">
        <v>313</v>
      </c>
      <c r="B51" s="150">
        <v>2</v>
      </c>
      <c r="C51" s="151">
        <v>345.31</v>
      </c>
      <c r="D51" s="151">
        <v>460.75</v>
      </c>
      <c r="E51" s="151">
        <v>921.5</v>
      </c>
      <c r="F51" s="151">
        <v>230.88</v>
      </c>
      <c r="G51" s="151">
        <f t="shared" si="0"/>
        <v>690.62</v>
      </c>
      <c r="H51" s="145">
        <f t="shared" si="1"/>
        <v>0.33430830268454431</v>
      </c>
    </row>
    <row r="52" spans="1:8">
      <c r="A52" s="149" t="s">
        <v>185</v>
      </c>
      <c r="B52" s="150">
        <v>38</v>
      </c>
      <c r="C52" s="151">
        <v>1711.28</v>
      </c>
      <c r="D52" s="151">
        <v>1918.85</v>
      </c>
      <c r="E52" s="151">
        <v>72916.3</v>
      </c>
      <c r="F52" s="151">
        <v>7887.5</v>
      </c>
      <c r="G52" s="151">
        <f t="shared" si="0"/>
        <v>65028.639999999999</v>
      </c>
      <c r="H52" s="145">
        <f t="shared" si="1"/>
        <v>0.12129271041190466</v>
      </c>
    </row>
    <row r="53" spans="1:8">
      <c r="A53" s="149" t="s">
        <v>186</v>
      </c>
      <c r="B53" s="150">
        <v>46</v>
      </c>
      <c r="C53" s="151">
        <v>555.47</v>
      </c>
      <c r="D53" s="151">
        <v>564.20000000000005</v>
      </c>
      <c r="E53" s="151">
        <v>25953.200000000001</v>
      </c>
      <c r="F53" s="151">
        <v>401.6</v>
      </c>
      <c r="G53" s="151">
        <f t="shared" si="0"/>
        <v>25551.620000000003</v>
      </c>
      <c r="H53" s="145">
        <f t="shared" si="1"/>
        <v>1.5717203057966578E-2</v>
      </c>
    </row>
    <row r="54" spans="1:8">
      <c r="A54" s="149" t="s">
        <v>187</v>
      </c>
      <c r="B54" s="150">
        <v>4</v>
      </c>
      <c r="C54" s="151">
        <v>2888.83</v>
      </c>
      <c r="D54" s="151">
        <v>2442.8000000000002</v>
      </c>
      <c r="E54" s="151">
        <v>9771.2000000000007</v>
      </c>
      <c r="F54" s="151">
        <v>-1784.1</v>
      </c>
      <c r="G54" s="151">
        <f t="shared" si="0"/>
        <v>11555.32</v>
      </c>
      <c r="H54" s="145">
        <f t="shared" si="1"/>
        <v>-0.15439641654233721</v>
      </c>
    </row>
    <row r="55" spans="1:8">
      <c r="A55" s="149" t="s">
        <v>314</v>
      </c>
      <c r="B55" s="150">
        <v>2</v>
      </c>
      <c r="C55" s="151">
        <v>971.51</v>
      </c>
      <c r="D55" s="151">
        <v>1000</v>
      </c>
      <c r="E55" s="151">
        <v>2000</v>
      </c>
      <c r="F55" s="151">
        <v>56.97</v>
      </c>
      <c r="G55" s="151">
        <f t="shared" si="0"/>
        <v>1943.02</v>
      </c>
      <c r="H55" s="145">
        <f t="shared" si="1"/>
        <v>2.9320336383567847E-2</v>
      </c>
    </row>
    <row r="56" spans="1:8">
      <c r="A56" s="149" t="s">
        <v>188</v>
      </c>
      <c r="B56" s="150">
        <v>62</v>
      </c>
      <c r="C56" s="151">
        <v>1053.22</v>
      </c>
      <c r="D56" s="151">
        <v>1940.5</v>
      </c>
      <c r="E56" s="151">
        <v>120311</v>
      </c>
      <c r="F56" s="151">
        <v>55011.65</v>
      </c>
      <c r="G56" s="151">
        <f t="shared" si="0"/>
        <v>65299.64</v>
      </c>
      <c r="H56" s="145">
        <f t="shared" si="1"/>
        <v>0.84244951426991022</v>
      </c>
    </row>
    <row r="57" spans="1:8">
      <c r="A57" s="149" t="s">
        <v>339</v>
      </c>
      <c r="B57" s="150">
        <v>5</v>
      </c>
      <c r="C57" s="151">
        <v>4717.7</v>
      </c>
      <c r="D57" s="151">
        <v>4523.95</v>
      </c>
      <c r="E57" s="151">
        <v>22619.75</v>
      </c>
      <c r="F57" s="151">
        <v>-968.75</v>
      </c>
      <c r="G57" s="151">
        <f t="shared" si="0"/>
        <v>23588.5</v>
      </c>
      <c r="H57" s="145">
        <f t="shared" si="1"/>
        <v>-4.1068741123852726E-2</v>
      </c>
    </row>
    <row r="58" spans="1:8">
      <c r="A58" s="149" t="s">
        <v>189</v>
      </c>
      <c r="B58" s="150">
        <v>29</v>
      </c>
      <c r="C58" s="151">
        <v>775.92</v>
      </c>
      <c r="D58" s="151">
        <v>1315.95</v>
      </c>
      <c r="E58" s="151">
        <v>38162.550000000003</v>
      </c>
      <c r="F58" s="151">
        <v>15660.95</v>
      </c>
      <c r="G58" s="151">
        <f t="shared" si="0"/>
        <v>22501.68</v>
      </c>
      <c r="H58" s="145">
        <f t="shared" si="1"/>
        <v>0.69599025494985267</v>
      </c>
    </row>
    <row r="59" spans="1:8">
      <c r="A59" s="149" t="s">
        <v>324</v>
      </c>
      <c r="B59" s="150">
        <v>118</v>
      </c>
      <c r="C59" s="151">
        <v>184.31</v>
      </c>
      <c r="D59" s="151">
        <v>273.55</v>
      </c>
      <c r="E59" s="151">
        <v>32278.9</v>
      </c>
      <c r="F59" s="151">
        <v>10530.25</v>
      </c>
      <c r="G59" s="151">
        <f t="shared" si="0"/>
        <v>21748.58</v>
      </c>
      <c r="H59" s="145">
        <f t="shared" si="1"/>
        <v>0.48418103618719011</v>
      </c>
    </row>
    <row r="60" spans="1:8">
      <c r="A60" s="149" t="s">
        <v>191</v>
      </c>
      <c r="B60" s="150">
        <v>72</v>
      </c>
      <c r="C60" s="151">
        <v>468.01</v>
      </c>
      <c r="D60" s="151">
        <v>523.54999999999995</v>
      </c>
      <c r="E60" s="151">
        <v>37695.599999999999</v>
      </c>
      <c r="F60" s="151">
        <v>3999</v>
      </c>
      <c r="G60" s="151">
        <f t="shared" si="0"/>
        <v>33696.720000000001</v>
      </c>
      <c r="H60" s="145">
        <f t="shared" si="1"/>
        <v>0.11867623911169989</v>
      </c>
    </row>
    <row r="61" spans="1:8">
      <c r="A61" s="149" t="s">
        <v>220</v>
      </c>
      <c r="B61" s="150">
        <v>42</v>
      </c>
      <c r="C61" s="151">
        <v>315.58999999999997</v>
      </c>
      <c r="D61" s="151">
        <v>570.65</v>
      </c>
      <c r="E61" s="151">
        <v>23967.3</v>
      </c>
      <c r="F61" s="151">
        <v>10712.6</v>
      </c>
      <c r="G61" s="151">
        <f t="shared" si="0"/>
        <v>13254.779999999999</v>
      </c>
      <c r="H61" s="145">
        <f t="shared" si="1"/>
        <v>0.80820654888274279</v>
      </c>
    </row>
    <row r="62" spans="1:8">
      <c r="A62" s="149" t="s">
        <v>193</v>
      </c>
      <c r="B62" s="150">
        <v>64</v>
      </c>
      <c r="C62" s="151">
        <v>342.44</v>
      </c>
      <c r="D62" s="151">
        <v>375.7</v>
      </c>
      <c r="E62" s="151">
        <v>24044.799999999999</v>
      </c>
      <c r="F62" s="151">
        <v>2128.64</v>
      </c>
      <c r="G62" s="151">
        <f t="shared" si="0"/>
        <v>21916.16</v>
      </c>
      <c r="H62" s="145">
        <f t="shared" si="1"/>
        <v>9.7126503913094256E-2</v>
      </c>
    </row>
    <row r="63" spans="1:8">
      <c r="A63" s="149" t="s">
        <v>340</v>
      </c>
      <c r="B63" s="150">
        <v>6</v>
      </c>
      <c r="C63" s="151">
        <v>3510.57</v>
      </c>
      <c r="D63" s="151">
        <v>3210.65</v>
      </c>
      <c r="E63" s="151">
        <v>19263.900000000001</v>
      </c>
      <c r="F63" s="151">
        <v>-1799.5</v>
      </c>
      <c r="G63" s="151">
        <f t="shared" si="0"/>
        <v>21063.420000000002</v>
      </c>
      <c r="H63" s="145">
        <f t="shared" si="1"/>
        <v>-8.5432470130681532E-2</v>
      </c>
    </row>
    <row r="64" spans="1:8">
      <c r="A64" s="149" t="s">
        <v>194</v>
      </c>
      <c r="B64" s="150">
        <v>128</v>
      </c>
      <c r="C64" s="151">
        <v>157.27000000000001</v>
      </c>
      <c r="D64" s="151">
        <v>125.75</v>
      </c>
      <c r="E64" s="151">
        <v>16096</v>
      </c>
      <c r="F64" s="151">
        <v>-4035.1</v>
      </c>
      <c r="G64" s="151">
        <f t="shared" si="0"/>
        <v>20130.560000000001</v>
      </c>
      <c r="H64" s="145">
        <f t="shared" si="1"/>
        <v>-0.20044648534367646</v>
      </c>
    </row>
    <row r="65" spans="1:8">
      <c r="A65" s="149" t="s">
        <v>195</v>
      </c>
      <c r="B65" s="150">
        <v>11</v>
      </c>
      <c r="C65" s="151">
        <v>2558.52</v>
      </c>
      <c r="D65" s="151">
        <v>2071.9</v>
      </c>
      <c r="E65" s="151">
        <v>22790.9</v>
      </c>
      <c r="F65" s="151">
        <v>-5352.8</v>
      </c>
      <c r="G65" s="151">
        <f t="shared" si="0"/>
        <v>28143.72</v>
      </c>
      <c r="H65" s="145">
        <f t="shared" si="1"/>
        <v>-0.19019518386339829</v>
      </c>
    </row>
    <row r="66" spans="1:8">
      <c r="A66" s="149" t="s">
        <v>315</v>
      </c>
      <c r="B66" s="150">
        <v>73</v>
      </c>
      <c r="C66" s="151">
        <v>19.93</v>
      </c>
      <c r="D66" s="151">
        <v>81.8</v>
      </c>
      <c r="E66" s="151">
        <v>5971.4</v>
      </c>
      <c r="F66" s="151">
        <v>4516.7</v>
      </c>
      <c r="G66" s="151">
        <f t="shared" si="0"/>
        <v>1454.8899999999999</v>
      </c>
      <c r="H66" s="145">
        <f t="shared" si="1"/>
        <v>3.1044958725401921</v>
      </c>
    </row>
    <row r="67" spans="1:8">
      <c r="A67" s="149" t="s">
        <v>344</v>
      </c>
      <c r="B67" s="150">
        <v>305</v>
      </c>
      <c r="C67" s="151">
        <v>82.65</v>
      </c>
      <c r="D67" s="151">
        <v>77.099999999999994</v>
      </c>
      <c r="E67" s="151">
        <v>23515.5</v>
      </c>
      <c r="F67" s="151">
        <v>-1692.75</v>
      </c>
      <c r="G67" s="151">
        <f t="shared" ref="G67:G101" si="2">C67*B67</f>
        <v>25208.25</v>
      </c>
      <c r="H67" s="145">
        <f t="shared" ref="H67:H101" si="3">F67/G67</f>
        <v>-6.7150635208711437E-2</v>
      </c>
    </row>
    <row r="68" spans="1:8">
      <c r="A68" s="149" t="s">
        <v>316</v>
      </c>
      <c r="B68" s="150">
        <v>4</v>
      </c>
      <c r="C68" s="151">
        <v>131.47999999999999</v>
      </c>
      <c r="D68" s="151">
        <v>191.61</v>
      </c>
      <c r="E68" s="151">
        <v>766.44</v>
      </c>
      <c r="F68" s="151">
        <v>240.52</v>
      </c>
      <c r="G68" s="151">
        <f t="shared" si="2"/>
        <v>525.91999999999996</v>
      </c>
      <c r="H68" s="145">
        <f t="shared" si="3"/>
        <v>0.45733191359902653</v>
      </c>
    </row>
    <row r="69" spans="1:8">
      <c r="A69" s="149" t="s">
        <v>198</v>
      </c>
      <c r="B69" s="150">
        <v>75</v>
      </c>
      <c r="C69" s="151">
        <v>440.03</v>
      </c>
      <c r="D69" s="151">
        <v>1023.3</v>
      </c>
      <c r="E69" s="151">
        <v>76747.5</v>
      </c>
      <c r="F69" s="151">
        <v>43745.45</v>
      </c>
      <c r="G69" s="151">
        <f t="shared" si="2"/>
        <v>33002.25</v>
      </c>
      <c r="H69" s="145">
        <f t="shared" si="3"/>
        <v>1.325529319970608</v>
      </c>
    </row>
    <row r="70" spans="1:8">
      <c r="A70" s="149" t="s">
        <v>199</v>
      </c>
      <c r="B70" s="150">
        <v>12</v>
      </c>
      <c r="C70" s="151">
        <v>3920.56</v>
      </c>
      <c r="D70" s="151">
        <v>3147.7</v>
      </c>
      <c r="E70" s="151">
        <v>37772.400000000001</v>
      </c>
      <c r="F70" s="151">
        <v>-9274.35</v>
      </c>
      <c r="G70" s="151">
        <f t="shared" si="2"/>
        <v>47046.720000000001</v>
      </c>
      <c r="H70" s="145">
        <f t="shared" si="3"/>
        <v>-0.19713063950047952</v>
      </c>
    </row>
    <row r="71" spans="1:8">
      <c r="A71" s="149" t="s">
        <v>336</v>
      </c>
      <c r="B71" s="150">
        <v>92</v>
      </c>
      <c r="C71" s="151">
        <v>273.5</v>
      </c>
      <c r="D71" s="151">
        <v>190.75</v>
      </c>
      <c r="E71" s="151">
        <v>17549</v>
      </c>
      <c r="F71" s="151">
        <v>-7612.95</v>
      </c>
      <c r="G71" s="151">
        <f t="shared" si="2"/>
        <v>25162</v>
      </c>
      <c r="H71" s="145">
        <f t="shared" si="3"/>
        <v>-0.30255742786741913</v>
      </c>
    </row>
    <row r="72" spans="1:8">
      <c r="A72" s="149" t="s">
        <v>200</v>
      </c>
      <c r="B72" s="150">
        <v>300</v>
      </c>
      <c r="C72" s="151">
        <v>82.33</v>
      </c>
      <c r="D72" s="151">
        <v>132.75</v>
      </c>
      <c r="E72" s="151">
        <v>39825</v>
      </c>
      <c r="F72" s="151">
        <v>15125</v>
      </c>
      <c r="G72" s="151">
        <f t="shared" si="2"/>
        <v>24699</v>
      </c>
      <c r="H72" s="145">
        <f t="shared" si="3"/>
        <v>0.61237297056560991</v>
      </c>
    </row>
    <row r="73" spans="1:8">
      <c r="A73" s="149" t="s">
        <v>201</v>
      </c>
      <c r="B73" s="150">
        <v>7</v>
      </c>
      <c r="C73" s="151">
        <v>3711.43</v>
      </c>
      <c r="D73" s="151">
        <v>3414.45</v>
      </c>
      <c r="E73" s="151">
        <v>23901.15</v>
      </c>
      <c r="F73" s="151">
        <v>-2078.85</v>
      </c>
      <c r="G73" s="151">
        <f t="shared" si="2"/>
        <v>25980.01</v>
      </c>
      <c r="H73" s="145">
        <f t="shared" si="3"/>
        <v>-8.0017290216593456E-2</v>
      </c>
    </row>
    <row r="74" spans="1:8">
      <c r="A74" s="149" t="s">
        <v>202</v>
      </c>
      <c r="B74" s="150">
        <v>30</v>
      </c>
      <c r="C74" s="151">
        <v>860.12</v>
      </c>
      <c r="D74" s="151">
        <v>1389.65</v>
      </c>
      <c r="E74" s="151">
        <v>41689.5</v>
      </c>
      <c r="F74" s="151">
        <v>15885.9</v>
      </c>
      <c r="G74" s="151">
        <f t="shared" si="2"/>
        <v>25803.599999999999</v>
      </c>
      <c r="H74" s="145">
        <f t="shared" si="3"/>
        <v>0.61564665395526208</v>
      </c>
    </row>
    <row r="75" spans="1:8">
      <c r="A75" s="149" t="s">
        <v>203</v>
      </c>
      <c r="B75" s="150">
        <v>6</v>
      </c>
      <c r="C75" s="151">
        <v>2267.13</v>
      </c>
      <c r="D75" s="151">
        <v>2866.7</v>
      </c>
      <c r="E75" s="151">
        <v>17200.2</v>
      </c>
      <c r="F75" s="151">
        <v>3597.45</v>
      </c>
      <c r="G75" s="151">
        <f t="shared" si="2"/>
        <v>13602.78</v>
      </c>
      <c r="H75" s="145">
        <f t="shared" si="3"/>
        <v>0.26446432273402937</v>
      </c>
    </row>
    <row r="76" spans="1:8">
      <c r="A76" s="149" t="s">
        <v>307</v>
      </c>
      <c r="B76" s="150">
        <v>20</v>
      </c>
      <c r="C76" s="151">
        <v>20000</v>
      </c>
      <c r="D76" s="151">
        <v>1136</v>
      </c>
      <c r="E76" s="151">
        <v>22720</v>
      </c>
      <c r="F76" s="151">
        <v>0</v>
      </c>
      <c r="G76" s="151">
        <f>C76</f>
        <v>20000</v>
      </c>
      <c r="H76" s="145">
        <f t="shared" si="3"/>
        <v>0</v>
      </c>
    </row>
    <row r="77" spans="1:8">
      <c r="A77" s="149" t="s">
        <v>299</v>
      </c>
      <c r="B77" s="150">
        <v>10</v>
      </c>
      <c r="C77" s="151">
        <v>1210.3499999999999</v>
      </c>
      <c r="D77" s="151">
        <v>1007.9</v>
      </c>
      <c r="E77" s="151">
        <v>10079</v>
      </c>
      <c r="F77" s="151">
        <v>-2024.5</v>
      </c>
      <c r="G77" s="151">
        <f t="shared" si="2"/>
        <v>12103.5</v>
      </c>
      <c r="H77" s="145">
        <f t="shared" si="3"/>
        <v>-0.16726566695583922</v>
      </c>
    </row>
    <row r="78" spans="1:8">
      <c r="A78" s="149" t="s">
        <v>328</v>
      </c>
      <c r="B78" s="150">
        <v>150</v>
      </c>
      <c r="C78" s="151">
        <v>168</v>
      </c>
      <c r="D78" s="151">
        <v>206.4</v>
      </c>
      <c r="E78" s="151">
        <v>30960</v>
      </c>
      <c r="F78" s="151">
        <v>5760</v>
      </c>
      <c r="G78" s="151">
        <f t="shared" si="2"/>
        <v>25200</v>
      </c>
      <c r="H78" s="145">
        <f t="shared" si="3"/>
        <v>0.22857142857142856</v>
      </c>
    </row>
    <row r="79" spans="1:8">
      <c r="A79" s="149" t="s">
        <v>206</v>
      </c>
      <c r="B79" s="150">
        <v>44</v>
      </c>
      <c r="C79" s="151">
        <v>1033.6099999999999</v>
      </c>
      <c r="D79" s="151">
        <v>1288.6500000000001</v>
      </c>
      <c r="E79" s="151">
        <v>56700.6</v>
      </c>
      <c r="F79" s="151">
        <v>11221.9</v>
      </c>
      <c r="G79" s="151">
        <f t="shared" si="2"/>
        <v>45478.84</v>
      </c>
      <c r="H79" s="145">
        <f t="shared" si="3"/>
        <v>0.2467499171043061</v>
      </c>
    </row>
    <row r="80" spans="1:8">
      <c r="A80" s="149" t="s">
        <v>207</v>
      </c>
      <c r="B80" s="150">
        <v>117</v>
      </c>
      <c r="C80" s="151">
        <v>291.98</v>
      </c>
      <c r="D80" s="151">
        <v>536.70000000000005</v>
      </c>
      <c r="E80" s="151">
        <v>62793.9</v>
      </c>
      <c r="F80" s="151">
        <v>28632.35</v>
      </c>
      <c r="G80" s="151">
        <f t="shared" si="2"/>
        <v>34161.660000000003</v>
      </c>
      <c r="H80" s="145">
        <f t="shared" si="3"/>
        <v>0.83814281858668449</v>
      </c>
    </row>
    <row r="81" spans="1:8">
      <c r="A81" s="149" t="s">
        <v>262</v>
      </c>
      <c r="B81" s="150">
        <v>10</v>
      </c>
      <c r="C81" s="151">
        <v>5284</v>
      </c>
      <c r="D81" s="151">
        <v>4962.8500000000004</v>
      </c>
      <c r="E81" s="151">
        <v>49628.5</v>
      </c>
      <c r="F81" s="151">
        <v>-3211.5</v>
      </c>
      <c r="G81" s="151">
        <f t="shared" si="2"/>
        <v>52840</v>
      </c>
      <c r="H81" s="145">
        <f t="shared" si="3"/>
        <v>-6.07778198334595E-2</v>
      </c>
    </row>
    <row r="82" spans="1:8">
      <c r="A82" s="149" t="s">
        <v>209</v>
      </c>
      <c r="B82" s="150">
        <v>5</v>
      </c>
      <c r="C82" s="151">
        <v>4802</v>
      </c>
      <c r="D82" s="151">
        <v>4880.38</v>
      </c>
      <c r="E82" s="151">
        <v>24401.9</v>
      </c>
      <c r="F82" s="151">
        <v>391.9</v>
      </c>
      <c r="G82" s="151">
        <f t="shared" si="2"/>
        <v>24010</v>
      </c>
      <c r="H82" s="145">
        <f t="shared" si="3"/>
        <v>1.6322365680966264E-2</v>
      </c>
    </row>
    <row r="83" spans="1:8">
      <c r="A83" s="149" t="s">
        <v>210</v>
      </c>
      <c r="B83" s="150">
        <v>10</v>
      </c>
      <c r="C83" s="151">
        <v>5002.45</v>
      </c>
      <c r="D83" s="151">
        <v>4969.08</v>
      </c>
      <c r="E83" s="151">
        <v>49690.8</v>
      </c>
      <c r="F83" s="151">
        <v>-333.7</v>
      </c>
      <c r="G83" s="151">
        <f t="shared" si="2"/>
        <v>50024.5</v>
      </c>
      <c r="H83" s="145">
        <f t="shared" si="3"/>
        <v>-6.6707313416425945E-3</v>
      </c>
    </row>
    <row r="84" spans="1:8">
      <c r="A84" s="149" t="s">
        <v>211</v>
      </c>
      <c r="B84" s="150">
        <v>35</v>
      </c>
      <c r="C84" s="151">
        <v>984.23</v>
      </c>
      <c r="D84" s="151">
        <v>2913.9</v>
      </c>
      <c r="E84" s="151">
        <v>101986.5</v>
      </c>
      <c r="F84" s="151">
        <v>67538.45</v>
      </c>
      <c r="G84" s="151">
        <f t="shared" si="2"/>
        <v>34448.050000000003</v>
      </c>
      <c r="H84" s="145">
        <f t="shared" si="3"/>
        <v>1.9605884803348808</v>
      </c>
    </row>
    <row r="85" spans="1:8">
      <c r="A85" s="149" t="s">
        <v>330</v>
      </c>
      <c r="B85" s="150">
        <v>48</v>
      </c>
      <c r="C85" s="151">
        <v>528.09</v>
      </c>
      <c r="D85" s="151">
        <v>499.05</v>
      </c>
      <c r="E85" s="151">
        <v>23954.400000000001</v>
      </c>
      <c r="F85" s="151">
        <v>-1393.7</v>
      </c>
      <c r="G85" s="151">
        <f t="shared" si="2"/>
        <v>25348.32</v>
      </c>
      <c r="H85" s="145">
        <f t="shared" si="3"/>
        <v>-5.4981947521571449E-2</v>
      </c>
    </row>
    <row r="86" spans="1:8">
      <c r="A86" s="149" t="s">
        <v>289</v>
      </c>
      <c r="B86" s="150">
        <v>22</v>
      </c>
      <c r="C86" s="151">
        <v>597.13</v>
      </c>
      <c r="D86" s="151">
        <v>703.75</v>
      </c>
      <c r="E86" s="151">
        <v>15482.5</v>
      </c>
      <c r="F86" s="151">
        <v>2345.5500000000002</v>
      </c>
      <c r="G86" s="151">
        <f t="shared" si="2"/>
        <v>13136.86</v>
      </c>
      <c r="H86" s="145">
        <f t="shared" si="3"/>
        <v>0.17854723274816053</v>
      </c>
    </row>
    <row r="87" spans="1:8">
      <c r="A87" s="149" t="s">
        <v>290</v>
      </c>
      <c r="B87" s="150">
        <v>21</v>
      </c>
      <c r="C87" s="151">
        <v>652.55999999999995</v>
      </c>
      <c r="D87" s="151">
        <v>524</v>
      </c>
      <c r="E87" s="151">
        <v>11004</v>
      </c>
      <c r="F87" s="151">
        <v>-2699.7</v>
      </c>
      <c r="G87" s="151">
        <f t="shared" si="2"/>
        <v>13703.759999999998</v>
      </c>
      <c r="H87" s="145">
        <f t="shared" si="3"/>
        <v>-0.19700432582006691</v>
      </c>
    </row>
    <row r="88" spans="1:8">
      <c r="A88" s="149" t="s">
        <v>292</v>
      </c>
      <c r="B88" s="150">
        <v>32</v>
      </c>
      <c r="C88" s="151">
        <v>752.33</v>
      </c>
      <c r="D88" s="151">
        <v>842.1</v>
      </c>
      <c r="E88" s="151">
        <v>26947.200000000001</v>
      </c>
      <c r="F88" s="151">
        <v>2872.7</v>
      </c>
      <c r="G88" s="151">
        <f t="shared" si="2"/>
        <v>24074.560000000001</v>
      </c>
      <c r="H88" s="145">
        <f t="shared" si="3"/>
        <v>0.11932512992968509</v>
      </c>
    </row>
    <row r="89" spans="1:8">
      <c r="A89" s="149" t="s">
        <v>212</v>
      </c>
      <c r="B89" s="150">
        <v>149</v>
      </c>
      <c r="C89" s="151">
        <v>500.26</v>
      </c>
      <c r="D89" s="151">
        <v>869.55</v>
      </c>
      <c r="E89" s="151">
        <v>129562.95</v>
      </c>
      <c r="F89" s="151">
        <v>55024.65</v>
      </c>
      <c r="G89" s="151">
        <f t="shared" si="2"/>
        <v>74538.740000000005</v>
      </c>
      <c r="H89" s="145">
        <f t="shared" si="3"/>
        <v>0.73820204097895936</v>
      </c>
    </row>
    <row r="90" spans="1:8">
      <c r="A90" s="149" t="s">
        <v>345</v>
      </c>
      <c r="B90" s="150">
        <v>45</v>
      </c>
      <c r="C90" s="151">
        <v>368.55</v>
      </c>
      <c r="D90" s="151">
        <v>475.25</v>
      </c>
      <c r="E90" s="151">
        <v>21386.25</v>
      </c>
      <c r="F90" s="151">
        <v>4801.3999999999996</v>
      </c>
      <c r="G90" s="151">
        <f t="shared" si="2"/>
        <v>16584.75</v>
      </c>
      <c r="H90" s="145">
        <f t="shared" si="3"/>
        <v>0.28950692654396354</v>
      </c>
    </row>
    <row r="91" spans="1:8">
      <c r="A91" s="149" t="s">
        <v>293</v>
      </c>
      <c r="B91" s="150">
        <v>50</v>
      </c>
      <c r="C91" s="151">
        <v>283.19</v>
      </c>
      <c r="D91" s="151">
        <v>339.85</v>
      </c>
      <c r="E91" s="151">
        <v>16992.5</v>
      </c>
      <c r="F91" s="151">
        <v>2832.85</v>
      </c>
      <c r="G91" s="151">
        <f t="shared" si="2"/>
        <v>14159.5</v>
      </c>
      <c r="H91" s="145">
        <f t="shared" si="3"/>
        <v>0.20006709276457502</v>
      </c>
    </row>
    <row r="92" spans="1:8">
      <c r="A92" s="149" t="s">
        <v>213</v>
      </c>
      <c r="B92" s="150">
        <v>57</v>
      </c>
      <c r="C92" s="151">
        <v>468.04</v>
      </c>
      <c r="D92" s="151">
        <v>594.04999999999995</v>
      </c>
      <c r="E92" s="151">
        <v>33860.85</v>
      </c>
      <c r="F92" s="151">
        <v>7182.35</v>
      </c>
      <c r="G92" s="151">
        <f t="shared" si="2"/>
        <v>26678.280000000002</v>
      </c>
      <c r="H92" s="145">
        <f t="shared" si="3"/>
        <v>0.26922087930706179</v>
      </c>
    </row>
    <row r="93" spans="1:8">
      <c r="A93" s="149" t="s">
        <v>214</v>
      </c>
      <c r="B93" s="150">
        <v>38</v>
      </c>
      <c r="C93" s="151">
        <v>684.41</v>
      </c>
      <c r="D93" s="151">
        <v>833.7</v>
      </c>
      <c r="E93" s="151">
        <v>31680.6</v>
      </c>
      <c r="F93" s="151">
        <v>5673.05</v>
      </c>
      <c r="G93" s="151">
        <f t="shared" si="2"/>
        <v>26007.579999999998</v>
      </c>
      <c r="H93" s="145">
        <f t="shared" si="3"/>
        <v>0.21813063729881829</v>
      </c>
    </row>
    <row r="94" spans="1:8">
      <c r="A94" s="149" t="s">
        <v>302</v>
      </c>
      <c r="B94" s="150">
        <v>775</v>
      </c>
      <c r="C94" s="151">
        <v>99.29</v>
      </c>
      <c r="D94" s="151">
        <v>230</v>
      </c>
      <c r="E94" s="151">
        <v>178250</v>
      </c>
      <c r="F94" s="151">
        <v>101299</v>
      </c>
      <c r="G94" s="151">
        <f t="shared" si="2"/>
        <v>76949.75</v>
      </c>
      <c r="H94" s="145">
        <f t="shared" si="3"/>
        <v>1.316430527714515</v>
      </c>
    </row>
    <row r="95" spans="1:8">
      <c r="A95" s="149" t="s">
        <v>215</v>
      </c>
      <c r="B95" s="150">
        <v>1050</v>
      </c>
      <c r="C95" s="151">
        <v>40.479999999999997</v>
      </c>
      <c r="D95" s="151">
        <v>105.55</v>
      </c>
      <c r="E95" s="151">
        <v>110827.5</v>
      </c>
      <c r="F95" s="151">
        <v>68327.25</v>
      </c>
      <c r="G95" s="151">
        <f t="shared" si="2"/>
        <v>42504</v>
      </c>
      <c r="H95" s="145">
        <f t="shared" si="3"/>
        <v>1.6075487012987013</v>
      </c>
    </row>
    <row r="96" spans="1:8">
      <c r="A96" s="149" t="s">
        <v>216</v>
      </c>
      <c r="B96" s="150">
        <v>13</v>
      </c>
      <c r="C96" s="151">
        <v>3440.04</v>
      </c>
      <c r="D96" s="151">
        <v>3130.4</v>
      </c>
      <c r="E96" s="151">
        <v>40695.199999999997</v>
      </c>
      <c r="F96" s="151">
        <v>-4025.35</v>
      </c>
      <c r="G96" s="151">
        <f t="shared" si="2"/>
        <v>44720.52</v>
      </c>
      <c r="H96" s="145">
        <f t="shared" si="3"/>
        <v>-9.0011252105297535E-2</v>
      </c>
    </row>
    <row r="97" spans="1:8">
      <c r="A97" s="149" t="s">
        <v>318</v>
      </c>
      <c r="B97" s="150">
        <v>27</v>
      </c>
      <c r="C97" s="151">
        <v>1236.01</v>
      </c>
      <c r="D97" s="151">
        <v>1056.45</v>
      </c>
      <c r="E97" s="151">
        <v>28524.15</v>
      </c>
      <c r="F97" s="151">
        <v>-4848.2</v>
      </c>
      <c r="G97" s="151">
        <f t="shared" si="2"/>
        <v>33372.269999999997</v>
      </c>
      <c r="H97" s="145">
        <f t="shared" si="3"/>
        <v>-0.14527630275075684</v>
      </c>
    </row>
    <row r="98" spans="1:8">
      <c r="A98" s="149" t="s">
        <v>217</v>
      </c>
      <c r="B98" s="150">
        <v>6</v>
      </c>
      <c r="C98" s="151">
        <v>2272.4499999999998</v>
      </c>
      <c r="D98" s="151">
        <v>2612.6</v>
      </c>
      <c r="E98" s="151">
        <v>15675.6</v>
      </c>
      <c r="F98" s="151">
        <v>2040.9</v>
      </c>
      <c r="G98" s="151">
        <f t="shared" si="2"/>
        <v>13634.699999999999</v>
      </c>
      <c r="H98" s="145">
        <f t="shared" si="3"/>
        <v>0.14968426147990058</v>
      </c>
    </row>
    <row r="99" spans="1:8">
      <c r="A99" s="149" t="s">
        <v>221</v>
      </c>
      <c r="B99" s="150">
        <v>40</v>
      </c>
      <c r="C99" s="151">
        <v>447.63</v>
      </c>
      <c r="D99" s="151">
        <v>1029.55</v>
      </c>
      <c r="E99" s="151">
        <v>41182</v>
      </c>
      <c r="F99" s="151">
        <v>23277</v>
      </c>
      <c r="G99" s="151">
        <f t="shared" si="2"/>
        <v>17905.2</v>
      </c>
      <c r="H99" s="145">
        <f t="shared" si="3"/>
        <v>1.3000134039273508</v>
      </c>
    </row>
    <row r="100" spans="1:8">
      <c r="A100" s="149" t="s">
        <v>346</v>
      </c>
      <c r="B100" s="150">
        <v>93</v>
      </c>
      <c r="C100" s="151">
        <v>271.33</v>
      </c>
      <c r="D100" s="151">
        <v>327.64999999999998</v>
      </c>
      <c r="E100" s="151">
        <v>30471.45</v>
      </c>
      <c r="F100" s="151">
        <v>5237.3500000000004</v>
      </c>
      <c r="G100" s="151">
        <f t="shared" si="2"/>
        <v>25233.69</v>
      </c>
      <c r="H100" s="145">
        <f t="shared" si="3"/>
        <v>0.20755386944992987</v>
      </c>
    </row>
    <row r="101" spans="1:8">
      <c r="A101" s="149" t="s">
        <v>309</v>
      </c>
      <c r="B101" s="150">
        <v>29</v>
      </c>
      <c r="C101" s="151">
        <v>1910.61</v>
      </c>
      <c r="D101" s="151">
        <v>1623.55</v>
      </c>
      <c r="E101" s="151">
        <v>47082.95</v>
      </c>
      <c r="F101" s="151">
        <v>-8324.65</v>
      </c>
      <c r="G101" s="151">
        <f t="shared" si="2"/>
        <v>55407.689999999995</v>
      </c>
      <c r="H101" s="145">
        <f t="shared" si="3"/>
        <v>-0.15024358532182086</v>
      </c>
    </row>
    <row r="102" spans="1:8">
      <c r="A102" s="77"/>
      <c r="B102" s="76"/>
      <c r="C102" s="76"/>
      <c r="D102" s="76"/>
      <c r="E102" s="78"/>
      <c r="F102" s="78"/>
      <c r="G102" s="78"/>
      <c r="H102" s="136"/>
    </row>
    <row r="103" spans="1:8">
      <c r="A103" s="77"/>
      <c r="B103" s="76"/>
      <c r="C103" s="78"/>
      <c r="D103" s="78"/>
      <c r="E103" s="78"/>
      <c r="F103" s="78"/>
      <c r="G103" s="78"/>
      <c r="H103" s="136"/>
    </row>
    <row r="104" spans="1:8" ht="18">
      <c r="A104" s="44" t="s">
        <v>11</v>
      </c>
      <c r="B104" s="45">
        <f>SUM(B2:B103)</f>
        <v>8628</v>
      </c>
      <c r="C104" s="45"/>
      <c r="D104" s="45"/>
      <c r="E104" s="45">
        <f>SUM(E2:E103)</f>
        <v>4223427.75</v>
      </c>
      <c r="F104" s="45">
        <f>SUM(F2:F103)</f>
        <v>885427.50000000035</v>
      </c>
      <c r="G104" s="45">
        <f>SUM(G2:G103)</f>
        <v>3335279.6500000008</v>
      </c>
      <c r="H104" s="64">
        <f>F104/G104</f>
        <v>0.26547324150165341</v>
      </c>
    </row>
  </sheetData>
  <pageMargins left="0.7" right="0.7" top="0.75" bottom="0.75" header="0.3" footer="0.3"/>
  <pageSetup paperSize="9"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3B00-2466-475B-ACA9-63630B3A78AC}">
  <dimension ref="A1:I17"/>
  <sheetViews>
    <sheetView workbookViewId="0">
      <selection activeCell="B15" sqref="B15"/>
    </sheetView>
  </sheetViews>
  <sheetFormatPr defaultColWidth="8.7109375" defaultRowHeight="15"/>
  <cols>
    <col min="1" max="1" width="56.28515625" style="22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46" t="s">
        <v>223</v>
      </c>
      <c r="B1" s="146" t="s">
        <v>224</v>
      </c>
      <c r="C1" s="146" t="s">
        <v>225</v>
      </c>
      <c r="D1" s="146" t="s">
        <v>226</v>
      </c>
      <c r="E1" s="146" t="s">
        <v>227</v>
      </c>
      <c r="F1" s="146" t="s">
        <v>228</v>
      </c>
      <c r="G1" s="146" t="s">
        <v>229</v>
      </c>
      <c r="H1" s="146" t="s">
        <v>230</v>
      </c>
      <c r="I1" s="146" t="s">
        <v>231</v>
      </c>
    </row>
    <row r="2" spans="1:9">
      <c r="A2" s="139" t="s">
        <v>234</v>
      </c>
      <c r="B2" s="140" t="s">
        <v>235</v>
      </c>
      <c r="C2" s="141">
        <v>4080.9659999999999</v>
      </c>
      <c r="D2" s="140">
        <v>77.73</v>
      </c>
      <c r="E2" s="140">
        <v>68.607799999999997</v>
      </c>
      <c r="F2" s="141">
        <v>279986.10960000003</v>
      </c>
      <c r="G2" s="141">
        <v>317213.48719999997</v>
      </c>
      <c r="H2" s="141">
        <v>37227.3776</v>
      </c>
      <c r="I2" s="147">
        <f>H2/F2</f>
        <v>0.13296151603086526</v>
      </c>
    </row>
    <row r="3" spans="1:9">
      <c r="A3" s="139" t="s">
        <v>236</v>
      </c>
      <c r="B3" s="140" t="s">
        <v>237</v>
      </c>
      <c r="C3" s="141">
        <v>13104.844999999999</v>
      </c>
      <c r="D3" s="140">
        <v>70.42</v>
      </c>
      <c r="E3" s="140">
        <v>45.782400000000003</v>
      </c>
      <c r="F3" s="141">
        <v>599970.89850000001</v>
      </c>
      <c r="G3" s="141">
        <v>922843.18489999999</v>
      </c>
      <c r="H3" s="141">
        <v>322872.28639999998</v>
      </c>
      <c r="I3" s="147">
        <f t="shared" ref="I3:I17" si="0">H3/F3</f>
        <v>0.53814657878777095</v>
      </c>
    </row>
    <row r="4" spans="1:9">
      <c r="A4" s="139" t="s">
        <v>303</v>
      </c>
      <c r="B4" s="140" t="s">
        <v>241</v>
      </c>
      <c r="C4" s="141">
        <v>1857.5519999999999</v>
      </c>
      <c r="D4" s="140">
        <v>541.83010000000002</v>
      </c>
      <c r="E4" s="140">
        <v>366.02140000000003</v>
      </c>
      <c r="F4" s="141">
        <v>679903.69869999995</v>
      </c>
      <c r="G4" s="141">
        <v>1006477.5858999999</v>
      </c>
      <c r="H4" s="141">
        <v>326573.8872</v>
      </c>
      <c r="I4" s="147">
        <f t="shared" si="0"/>
        <v>0.48032373970669801</v>
      </c>
    </row>
    <row r="5" spans="1:9">
      <c r="A5" s="139" t="s">
        <v>242</v>
      </c>
      <c r="B5" s="140" t="s">
        <v>237</v>
      </c>
      <c r="C5" s="141">
        <v>5856.576</v>
      </c>
      <c r="D5" s="140">
        <v>83.734999999999999</v>
      </c>
      <c r="E5" s="140">
        <v>44.3917</v>
      </c>
      <c r="F5" s="141">
        <v>259983.36480000001</v>
      </c>
      <c r="G5" s="141">
        <v>490400.39140000002</v>
      </c>
      <c r="H5" s="141">
        <v>230417.02650000001</v>
      </c>
      <c r="I5" s="147">
        <f t="shared" si="0"/>
        <v>0.88627603799672028</v>
      </c>
    </row>
    <row r="6" spans="1:9">
      <c r="A6" s="139" t="s">
        <v>272</v>
      </c>
      <c r="B6" s="140" t="s">
        <v>235</v>
      </c>
      <c r="C6" s="141">
        <v>5805.7370000000001</v>
      </c>
      <c r="D6" s="140">
        <v>86.313000000000002</v>
      </c>
      <c r="E6" s="140">
        <v>41.940399999999997</v>
      </c>
      <c r="F6" s="141">
        <v>243495.1642</v>
      </c>
      <c r="G6" s="141">
        <v>501110.57770000002</v>
      </c>
      <c r="H6" s="141">
        <v>257615.41339999999</v>
      </c>
      <c r="I6" s="147">
        <f t="shared" si="0"/>
        <v>1.0579898547324005</v>
      </c>
    </row>
    <row r="7" spans="1:9">
      <c r="A7" s="139" t="s">
        <v>244</v>
      </c>
      <c r="B7" s="140" t="s">
        <v>233</v>
      </c>
      <c r="C7" s="141">
        <v>5841.7389999999996</v>
      </c>
      <c r="D7" s="140">
        <v>20.422999999999998</v>
      </c>
      <c r="E7" s="140">
        <v>23.964300000000001</v>
      </c>
      <c r="F7" s="141">
        <v>139992.99739999999</v>
      </c>
      <c r="G7" s="141">
        <v>119305.83560000001</v>
      </c>
      <c r="H7" s="141">
        <v>-20687.161800000002</v>
      </c>
      <c r="I7" s="147">
        <f t="shared" si="0"/>
        <v>-0.1477728328145648</v>
      </c>
    </row>
    <row r="8" spans="1:9">
      <c r="A8" s="139" t="s">
        <v>273</v>
      </c>
      <c r="B8" s="140" t="s">
        <v>233</v>
      </c>
      <c r="C8" s="141">
        <v>5176.2389999999996</v>
      </c>
      <c r="D8" s="140">
        <v>8.6420999999999992</v>
      </c>
      <c r="E8" s="140">
        <v>8.6930999999999994</v>
      </c>
      <c r="F8" s="141">
        <v>44997.745499999997</v>
      </c>
      <c r="G8" s="141">
        <v>44733.575100000002</v>
      </c>
      <c r="H8" s="140">
        <v>-264.1705</v>
      </c>
      <c r="I8" s="147">
        <f t="shared" si="0"/>
        <v>-5.8707496801145296E-3</v>
      </c>
    </row>
    <row r="9" spans="1:9">
      <c r="A9" s="139" t="s">
        <v>246</v>
      </c>
      <c r="B9" s="140" t="s">
        <v>241</v>
      </c>
      <c r="C9" s="141">
        <v>10864.596</v>
      </c>
      <c r="D9" s="140">
        <v>11.154199999999999</v>
      </c>
      <c r="E9" s="140">
        <v>11.0905</v>
      </c>
      <c r="F9" s="141">
        <v>120493.98579999999</v>
      </c>
      <c r="G9" s="141">
        <v>121185.87669999999</v>
      </c>
      <c r="H9" s="140">
        <v>691.89089999999999</v>
      </c>
      <c r="I9" s="147">
        <f t="shared" si="0"/>
        <v>5.7421197863636447E-3</v>
      </c>
    </row>
    <row r="10" spans="1:9">
      <c r="A10" s="139" t="s">
        <v>250</v>
      </c>
      <c r="B10" s="140" t="s">
        <v>251</v>
      </c>
      <c r="C10" s="141">
        <v>13283.026</v>
      </c>
      <c r="D10" s="140">
        <v>51.130899999999997</v>
      </c>
      <c r="E10" s="140">
        <v>40.347700000000003</v>
      </c>
      <c r="F10" s="141">
        <v>535939.42810000002</v>
      </c>
      <c r="G10" s="141">
        <v>679173.07409999997</v>
      </c>
      <c r="H10" s="141">
        <v>143233.64600000001</v>
      </c>
      <c r="I10" s="147">
        <f t="shared" si="0"/>
        <v>0.2672571534954773</v>
      </c>
    </row>
    <row r="11" spans="1:9">
      <c r="A11" s="139" t="s">
        <v>274</v>
      </c>
      <c r="B11" s="140" t="s">
        <v>233</v>
      </c>
      <c r="C11" s="141">
        <v>5399.8710000000001</v>
      </c>
      <c r="D11" s="140">
        <v>28.11</v>
      </c>
      <c r="E11" s="140">
        <v>37.036200000000001</v>
      </c>
      <c r="F11" s="141">
        <v>199990.82519999999</v>
      </c>
      <c r="G11" s="141">
        <v>151790.3738</v>
      </c>
      <c r="H11" s="141">
        <v>-48200.451399999998</v>
      </c>
      <c r="I11" s="147">
        <f t="shared" si="0"/>
        <v>-0.2410133132447318</v>
      </c>
    </row>
    <row r="12" spans="1:9">
      <c r="A12" s="139" t="s">
        <v>253</v>
      </c>
      <c r="B12" s="140" t="s">
        <v>235</v>
      </c>
      <c r="C12" s="140">
        <v>344.61900000000003</v>
      </c>
      <c r="D12" s="140">
        <v>140.34870000000001</v>
      </c>
      <c r="E12" s="140">
        <v>130.57249999999999</v>
      </c>
      <c r="F12" s="141">
        <v>44997.754500000003</v>
      </c>
      <c r="G12" s="141">
        <v>48366.828600000001</v>
      </c>
      <c r="H12" s="141">
        <v>3369.0740999999998</v>
      </c>
      <c r="I12" s="147">
        <f t="shared" si="0"/>
        <v>7.4872049448600805E-2</v>
      </c>
    </row>
    <row r="13" spans="1:9">
      <c r="A13" s="142" t="s">
        <v>255</v>
      </c>
      <c r="B13" s="143" t="s">
        <v>241</v>
      </c>
      <c r="C13" s="144">
        <v>18996.168000000001</v>
      </c>
      <c r="D13" s="143">
        <v>15.9762</v>
      </c>
      <c r="E13" s="143">
        <v>9.4700000000000006</v>
      </c>
      <c r="F13" s="144">
        <v>179893.71100000001</v>
      </c>
      <c r="G13" s="144">
        <v>303486.57919999998</v>
      </c>
      <c r="H13" s="144">
        <v>123592.8682</v>
      </c>
      <c r="I13" s="147">
        <f t="shared" si="0"/>
        <v>0.68703273456846969</v>
      </c>
    </row>
    <row r="14" spans="1:9">
      <c r="A14"/>
      <c r="B14"/>
      <c r="C14"/>
      <c r="D14"/>
      <c r="E14"/>
      <c r="F14"/>
      <c r="G14"/>
      <c r="H14"/>
      <c r="I14" s="147"/>
    </row>
    <row r="15" spans="1:9">
      <c r="A15" s="152"/>
      <c r="B15" s="153"/>
      <c r="C15" s="154"/>
      <c r="D15" s="153"/>
      <c r="E15" s="153"/>
      <c r="F15" s="154"/>
      <c r="G15" s="154"/>
      <c r="H15" s="154"/>
      <c r="I15" s="147"/>
    </row>
    <row r="16" spans="1:9">
      <c r="A16" s="152"/>
      <c r="B16" s="153"/>
      <c r="C16" s="154"/>
      <c r="D16" s="153"/>
      <c r="E16" s="153"/>
      <c r="F16" s="154"/>
      <c r="G16" s="154"/>
      <c r="H16" s="154"/>
      <c r="I16" s="147"/>
    </row>
    <row r="17" spans="1:9">
      <c r="A17" s="74" t="s">
        <v>11</v>
      </c>
      <c r="B17" s="75"/>
      <c r="C17" s="75">
        <f>SUM(C2:C14)</f>
        <v>90611.934000000008</v>
      </c>
      <c r="D17" s="75"/>
      <c r="E17" s="75"/>
      <c r="F17" s="75">
        <f t="shared" ref="F17:H17" si="1">SUM(F2:F14)</f>
        <v>3329645.6832999997</v>
      </c>
      <c r="G17" s="75">
        <f t="shared" si="1"/>
        <v>4706087.3701999988</v>
      </c>
      <c r="H17" s="75">
        <f t="shared" si="1"/>
        <v>1376441.6865999999</v>
      </c>
      <c r="I17" s="53">
        <f t="shared" si="0"/>
        <v>0.41338983709396177</v>
      </c>
    </row>
  </sheetData>
  <hyperlinks>
    <hyperlink ref="A2" r:id="rId1" location="/mf/1831632/15690/NULL" xr:uid="{DDDA84DC-17A3-4FCA-9E3C-994C516EBA5E}"/>
    <hyperlink ref="A3" r:id="rId2" location="/mf/1831632/22335/NULL" xr:uid="{7C1012F0-DB28-4147-A080-6BD3284313C7}"/>
    <hyperlink ref="A4" r:id="rId3" location="/mf/1831632/16071/NULL" xr:uid="{BBB69FB1-1EA7-41A4-B258-64E220023AD6}"/>
    <hyperlink ref="A5" r:id="rId4" location="/mf/1831632/16617/NULL" xr:uid="{8A94BECE-D923-4838-803E-5E7C1D677AF7}"/>
    <hyperlink ref="A6" r:id="rId5" location="/mf/1831632/17134/NULL" xr:uid="{C483E1FA-6582-4406-8825-28D1433ADA99}"/>
    <hyperlink ref="A7" r:id="rId6" location="/mf/1831632/38228/NULL" xr:uid="{228318F2-64D1-4FF4-B331-423A6C3C251B}"/>
    <hyperlink ref="A8" r:id="rId7" location="/mf/1831632/42135/NULL" xr:uid="{8D0A8F58-4483-4858-B70C-5A79B3FFC03B}"/>
    <hyperlink ref="A9" r:id="rId8" location="/mf/1831632/41574/NULL" xr:uid="{1F5BF436-1320-439F-817A-643DB843F4CB}"/>
    <hyperlink ref="A10" r:id="rId9" location="/mf/1831632/19701/NULL" xr:uid="{75EB13BE-800C-41AE-858F-F791CC9A1E70}"/>
    <hyperlink ref="A11" r:id="rId10" location="/mf/1831632/17348/NULL" xr:uid="{33522472-0AE1-4D52-BEEF-A920740AE3E2}"/>
    <hyperlink ref="A12" r:id="rId11" location="/mf/1831632/17375/NULL" xr:uid="{13983FAD-291E-4109-8B74-FA69C580567E}"/>
    <hyperlink ref="A13" r:id="rId12" location="/mf/1831632/36491/NULL" xr:uid="{58ED4941-FFC1-4011-BF0D-0760CB3520E7}"/>
  </hyperlinks>
  <pageMargins left="0.7" right="0.7" top="0.75" bottom="0.75" header="0.3" footer="0.3"/>
  <pageSetup paperSize="9"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60C7-B7FB-442F-9EEC-7383E5B37895}">
  <dimension ref="A1:I104"/>
  <sheetViews>
    <sheetView workbookViewId="0"/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  <col min="9" max="9" width="13" style="6" bestFit="1" customWidth="1"/>
  </cols>
  <sheetData>
    <row r="1" spans="1:8">
      <c r="A1" s="148" t="s">
        <v>114</v>
      </c>
      <c r="B1" s="148" t="s">
        <v>136</v>
      </c>
      <c r="C1" s="148" t="s">
        <v>137</v>
      </c>
      <c r="D1" s="148" t="s">
        <v>138</v>
      </c>
      <c r="E1" s="148" t="s">
        <v>140</v>
      </c>
      <c r="F1" s="148" t="s">
        <v>141</v>
      </c>
      <c r="G1" s="148" t="s">
        <v>129</v>
      </c>
      <c r="H1" s="148" t="s">
        <v>142</v>
      </c>
    </row>
    <row r="2" spans="1:8">
      <c r="A2" s="149" t="s">
        <v>143</v>
      </c>
      <c r="B2" s="150">
        <v>100</v>
      </c>
      <c r="C2" s="151">
        <v>109.73</v>
      </c>
      <c r="D2" s="151">
        <v>105.95</v>
      </c>
      <c r="E2" s="151">
        <f>B2*D2</f>
        <v>10595</v>
      </c>
      <c r="F2" s="151">
        <v>-377.5</v>
      </c>
      <c r="G2" s="151">
        <f>C2*B2</f>
        <v>10973</v>
      </c>
      <c r="H2" s="145">
        <f>F2/G2</f>
        <v>-3.4402624624077283E-2</v>
      </c>
    </row>
    <row r="3" spans="1:8">
      <c r="A3" s="149" t="s">
        <v>264</v>
      </c>
      <c r="B3" s="150">
        <v>13</v>
      </c>
      <c r="C3" s="151">
        <v>133.75</v>
      </c>
      <c r="D3" s="151">
        <v>304.45</v>
      </c>
      <c r="E3" s="151">
        <v>3957.85</v>
      </c>
      <c r="F3" s="151">
        <v>2219.1</v>
      </c>
      <c r="G3" s="151">
        <f t="shared" ref="G3:G66" si="0">C3*B3</f>
        <v>1738.75</v>
      </c>
      <c r="H3" s="145">
        <f t="shared" ref="H3:H66" si="1">F3/G3</f>
        <v>1.2762616822429906</v>
      </c>
    </row>
    <row r="4" spans="1:8">
      <c r="A4" s="149" t="s">
        <v>144</v>
      </c>
      <c r="B4" s="150">
        <v>43</v>
      </c>
      <c r="C4" s="151">
        <v>1183.94</v>
      </c>
      <c r="D4" s="151">
        <v>1277.45</v>
      </c>
      <c r="E4" s="151">
        <v>54930.35</v>
      </c>
      <c r="F4" s="151">
        <v>4020.75</v>
      </c>
      <c r="G4" s="151">
        <f t="shared" si="0"/>
        <v>50909.420000000006</v>
      </c>
      <c r="H4" s="145">
        <f t="shared" si="1"/>
        <v>7.8978507317506261E-2</v>
      </c>
    </row>
    <row r="5" spans="1:8">
      <c r="A5" s="149" t="s">
        <v>317</v>
      </c>
      <c r="B5" s="150">
        <v>13</v>
      </c>
      <c r="C5" s="151">
        <v>2592.56</v>
      </c>
      <c r="D5" s="151">
        <v>3212.9</v>
      </c>
      <c r="E5" s="151">
        <v>41767.699999999997</v>
      </c>
      <c r="F5" s="151">
        <v>8064.45</v>
      </c>
      <c r="G5" s="151">
        <f t="shared" si="0"/>
        <v>33703.279999999999</v>
      </c>
      <c r="H5" s="145">
        <f t="shared" si="1"/>
        <v>0.23927789817489575</v>
      </c>
    </row>
    <row r="6" spans="1:8">
      <c r="A6" s="149" t="s">
        <v>145</v>
      </c>
      <c r="B6" s="150">
        <v>250</v>
      </c>
      <c r="C6" s="151">
        <v>183.59</v>
      </c>
      <c r="D6" s="151">
        <v>222.9</v>
      </c>
      <c r="E6" s="151">
        <v>55725</v>
      </c>
      <c r="F6" s="151">
        <v>9827.5</v>
      </c>
      <c r="G6" s="151">
        <f t="shared" si="0"/>
        <v>45897.5</v>
      </c>
      <c r="H6" s="145">
        <f t="shared" si="1"/>
        <v>0.21411841603573178</v>
      </c>
    </row>
    <row r="7" spans="1:8">
      <c r="A7" s="149" t="s">
        <v>276</v>
      </c>
      <c r="B7" s="150">
        <v>14</v>
      </c>
      <c r="C7" s="151">
        <v>2411.04</v>
      </c>
      <c r="D7" s="151">
        <v>3332.35</v>
      </c>
      <c r="E7" s="151">
        <v>46652.9</v>
      </c>
      <c r="F7" s="151">
        <v>12898.3</v>
      </c>
      <c r="G7" s="151">
        <f t="shared" si="0"/>
        <v>33754.559999999998</v>
      </c>
      <c r="H7" s="145">
        <f t="shared" si="1"/>
        <v>0.38212022316392213</v>
      </c>
    </row>
    <row r="8" spans="1:8">
      <c r="A8" s="149" t="s">
        <v>277</v>
      </c>
      <c r="B8" s="150">
        <v>72</v>
      </c>
      <c r="C8" s="151">
        <v>578.16999999999996</v>
      </c>
      <c r="D8" s="151">
        <v>600.9</v>
      </c>
      <c r="E8" s="151">
        <v>43264.800000000003</v>
      </c>
      <c r="F8" s="151">
        <v>1636.6</v>
      </c>
      <c r="G8" s="151">
        <f t="shared" si="0"/>
        <v>41628.239999999998</v>
      </c>
      <c r="H8" s="145">
        <f t="shared" si="1"/>
        <v>3.9314657549778705E-2</v>
      </c>
    </row>
    <row r="9" spans="1:8">
      <c r="A9" s="149" t="s">
        <v>146</v>
      </c>
      <c r="B9" s="150">
        <v>76</v>
      </c>
      <c r="C9" s="151">
        <v>603.67999999999995</v>
      </c>
      <c r="D9" s="151">
        <v>728</v>
      </c>
      <c r="E9" s="151">
        <v>55328</v>
      </c>
      <c r="F9" s="151">
        <v>9448.5499999999993</v>
      </c>
      <c r="G9" s="151">
        <f t="shared" si="0"/>
        <v>45879.679999999993</v>
      </c>
      <c r="H9" s="145">
        <f t="shared" si="1"/>
        <v>0.20594193333519328</v>
      </c>
    </row>
    <row r="10" spans="1:8">
      <c r="A10" s="149" t="s">
        <v>147</v>
      </c>
      <c r="B10" s="150">
        <v>20</v>
      </c>
      <c r="C10" s="151">
        <v>2859.69</v>
      </c>
      <c r="D10" s="151">
        <v>3940.5</v>
      </c>
      <c r="E10" s="151">
        <v>78810</v>
      </c>
      <c r="F10" s="151">
        <v>21616.2</v>
      </c>
      <c r="G10" s="151">
        <f t="shared" si="0"/>
        <v>57193.8</v>
      </c>
      <c r="H10" s="145">
        <f t="shared" si="1"/>
        <v>0.37794656064118837</v>
      </c>
    </row>
    <row r="11" spans="1:8">
      <c r="A11" s="149" t="s">
        <v>148</v>
      </c>
      <c r="B11" s="150">
        <v>2</v>
      </c>
      <c r="C11" s="151">
        <v>6752.48</v>
      </c>
      <c r="D11" s="151">
        <v>7295</v>
      </c>
      <c r="E11" s="151">
        <v>14590</v>
      </c>
      <c r="F11" s="151">
        <v>1085.05</v>
      </c>
      <c r="G11" s="151">
        <f t="shared" si="0"/>
        <v>13504.96</v>
      </c>
      <c r="H11" s="145">
        <f t="shared" si="1"/>
        <v>8.0344554889462835E-2</v>
      </c>
    </row>
    <row r="12" spans="1:8">
      <c r="A12" s="149" t="s">
        <v>149</v>
      </c>
      <c r="B12" s="150">
        <v>10</v>
      </c>
      <c r="C12" s="151">
        <v>1889.87</v>
      </c>
      <c r="D12" s="151">
        <v>2342.6999999999998</v>
      </c>
      <c r="E12" s="151">
        <v>23427</v>
      </c>
      <c r="F12" s="151">
        <v>4528.3500000000004</v>
      </c>
      <c r="G12" s="151">
        <f t="shared" si="0"/>
        <v>18898.699999999997</v>
      </c>
      <c r="H12" s="145">
        <f t="shared" si="1"/>
        <v>0.23961171932460967</v>
      </c>
    </row>
    <row r="13" spans="1:8">
      <c r="A13" s="149" t="s">
        <v>152</v>
      </c>
      <c r="B13" s="150">
        <v>180</v>
      </c>
      <c r="C13" s="151">
        <v>322.89</v>
      </c>
      <c r="D13" s="151">
        <v>687.75</v>
      </c>
      <c r="E13" s="151">
        <v>123795</v>
      </c>
      <c r="F13" s="151">
        <v>65675</v>
      </c>
      <c r="G13" s="151">
        <f t="shared" si="0"/>
        <v>58120.2</v>
      </c>
      <c r="H13" s="145">
        <f t="shared" si="1"/>
        <v>1.1299857880736819</v>
      </c>
    </row>
    <row r="14" spans="1:8">
      <c r="A14" s="149" t="s">
        <v>310</v>
      </c>
      <c r="B14" s="150">
        <v>6</v>
      </c>
      <c r="C14" s="151">
        <v>0</v>
      </c>
      <c r="D14" s="151">
        <v>28.26</v>
      </c>
      <c r="E14" s="151">
        <v>169.56</v>
      </c>
      <c r="F14" s="151">
        <v>169.56</v>
      </c>
      <c r="G14" s="151">
        <f t="shared" si="0"/>
        <v>0</v>
      </c>
      <c r="H14" s="145">
        <v>0</v>
      </c>
    </row>
    <row r="15" spans="1:8">
      <c r="A15" s="149" t="s">
        <v>153</v>
      </c>
      <c r="B15" s="150">
        <v>54</v>
      </c>
      <c r="C15" s="151">
        <v>414.23</v>
      </c>
      <c r="D15" s="151">
        <v>481.6</v>
      </c>
      <c r="E15" s="151">
        <v>26006.400000000001</v>
      </c>
      <c r="F15" s="151">
        <v>3637.8</v>
      </c>
      <c r="G15" s="151">
        <f t="shared" si="0"/>
        <v>22368.420000000002</v>
      </c>
      <c r="H15" s="145">
        <f t="shared" si="1"/>
        <v>0.16263106647675607</v>
      </c>
    </row>
    <row r="16" spans="1:8">
      <c r="A16" s="149" t="s">
        <v>154</v>
      </c>
      <c r="B16" s="150">
        <v>14</v>
      </c>
      <c r="C16" s="151">
        <v>3489.94</v>
      </c>
      <c r="D16" s="151">
        <v>3862.3</v>
      </c>
      <c r="E16" s="151">
        <v>54072.2</v>
      </c>
      <c r="F16" s="151">
        <v>5213.1000000000004</v>
      </c>
      <c r="G16" s="151">
        <f t="shared" si="0"/>
        <v>48859.16</v>
      </c>
      <c r="H16" s="145">
        <f t="shared" si="1"/>
        <v>0.10669647206378496</v>
      </c>
    </row>
    <row r="17" spans="1:8">
      <c r="A17" s="149" t="s">
        <v>155</v>
      </c>
      <c r="B17" s="150">
        <v>180</v>
      </c>
      <c r="C17" s="151">
        <v>155.25</v>
      </c>
      <c r="D17" s="151">
        <v>114.15</v>
      </c>
      <c r="E17" s="151">
        <v>20547</v>
      </c>
      <c r="F17" s="151">
        <v>-7398</v>
      </c>
      <c r="G17" s="151">
        <f t="shared" si="0"/>
        <v>27945</v>
      </c>
      <c r="H17" s="145">
        <f t="shared" si="1"/>
        <v>-0.26473429951690819</v>
      </c>
    </row>
    <row r="18" spans="1:8">
      <c r="A18" s="149" t="s">
        <v>157</v>
      </c>
      <c r="B18" s="150">
        <v>47</v>
      </c>
      <c r="C18" s="151">
        <v>723.87</v>
      </c>
      <c r="D18" s="151">
        <v>1003.4</v>
      </c>
      <c r="E18" s="151">
        <v>47159.8</v>
      </c>
      <c r="F18" s="151">
        <v>13137.9</v>
      </c>
      <c r="G18" s="151">
        <f t="shared" si="0"/>
        <v>34021.89</v>
      </c>
      <c r="H18" s="145">
        <f t="shared" si="1"/>
        <v>0.38616020450362987</v>
      </c>
    </row>
    <row r="19" spans="1:8">
      <c r="A19" s="149" t="s">
        <v>158</v>
      </c>
      <c r="B19" s="150">
        <v>250</v>
      </c>
      <c r="C19" s="151">
        <v>163.66999999999999</v>
      </c>
      <c r="D19" s="151">
        <v>212.2</v>
      </c>
      <c r="E19" s="151">
        <v>53050</v>
      </c>
      <c r="F19" s="151">
        <v>12132.5</v>
      </c>
      <c r="G19" s="151">
        <f t="shared" si="0"/>
        <v>40917.5</v>
      </c>
      <c r="H19" s="145">
        <f t="shared" si="1"/>
        <v>0.29651127268283739</v>
      </c>
    </row>
    <row r="20" spans="1:8">
      <c r="A20" s="149" t="s">
        <v>159</v>
      </c>
      <c r="B20" s="150">
        <v>6</v>
      </c>
      <c r="C20" s="151">
        <v>4323.6400000000003</v>
      </c>
      <c r="D20" s="151">
        <v>3982.75</v>
      </c>
      <c r="E20" s="151">
        <v>23896.5</v>
      </c>
      <c r="F20" s="151">
        <v>-2045.35</v>
      </c>
      <c r="G20" s="151">
        <f t="shared" si="0"/>
        <v>25941.840000000004</v>
      </c>
      <c r="H20" s="145">
        <f t="shared" si="1"/>
        <v>-7.8843674928224042E-2</v>
      </c>
    </row>
    <row r="21" spans="1:8">
      <c r="A21" s="149" t="s">
        <v>160</v>
      </c>
      <c r="B21" s="150">
        <v>35</v>
      </c>
      <c r="C21" s="151">
        <v>1545.44</v>
      </c>
      <c r="D21" s="151">
        <v>1581.2</v>
      </c>
      <c r="E21" s="151">
        <v>55342</v>
      </c>
      <c r="F21" s="151">
        <v>1251.5</v>
      </c>
      <c r="G21" s="151">
        <f t="shared" si="0"/>
        <v>54090.400000000001</v>
      </c>
      <c r="H21" s="145">
        <f t="shared" si="1"/>
        <v>2.3137192551728216E-2</v>
      </c>
    </row>
    <row r="22" spans="1:8">
      <c r="A22" s="149" t="s">
        <v>279</v>
      </c>
      <c r="B22" s="150">
        <v>72</v>
      </c>
      <c r="C22" s="151">
        <v>559.89</v>
      </c>
      <c r="D22" s="151">
        <v>579.5</v>
      </c>
      <c r="E22" s="151">
        <v>41724</v>
      </c>
      <c r="F22" s="151">
        <v>1411.95</v>
      </c>
      <c r="G22" s="151">
        <f t="shared" si="0"/>
        <v>40312.080000000002</v>
      </c>
      <c r="H22" s="145">
        <f t="shared" si="1"/>
        <v>3.5025481195711063E-2</v>
      </c>
    </row>
    <row r="23" spans="1:8">
      <c r="A23" s="149" t="s">
        <v>332</v>
      </c>
      <c r="B23" s="150">
        <v>11</v>
      </c>
      <c r="C23" s="151">
        <v>2298.16</v>
      </c>
      <c r="D23" s="151">
        <v>3799.95</v>
      </c>
      <c r="E23" s="151">
        <v>41799.449999999997</v>
      </c>
      <c r="F23" s="151">
        <v>16519.7</v>
      </c>
      <c r="G23" s="151">
        <f t="shared" si="0"/>
        <v>25279.759999999998</v>
      </c>
      <c r="H23" s="145">
        <f t="shared" si="1"/>
        <v>0.65347534944952013</v>
      </c>
    </row>
    <row r="24" spans="1:8">
      <c r="A24" s="149" t="s">
        <v>161</v>
      </c>
      <c r="B24" s="150">
        <v>55</v>
      </c>
      <c r="C24" s="151">
        <v>325.14</v>
      </c>
      <c r="D24" s="151">
        <v>382</v>
      </c>
      <c r="E24" s="151">
        <v>21010</v>
      </c>
      <c r="F24" s="151">
        <v>3127.1</v>
      </c>
      <c r="G24" s="151">
        <f t="shared" si="0"/>
        <v>17882.7</v>
      </c>
      <c r="H24" s="145">
        <f t="shared" si="1"/>
        <v>0.17486732987747933</v>
      </c>
    </row>
    <row r="25" spans="1:8">
      <c r="A25" s="149" t="s">
        <v>162</v>
      </c>
      <c r="B25" s="150">
        <v>12</v>
      </c>
      <c r="C25" s="151">
        <v>3205.4</v>
      </c>
      <c r="D25" s="151">
        <v>4303.2</v>
      </c>
      <c r="E25" s="151">
        <v>51638.400000000001</v>
      </c>
      <c r="F25" s="151">
        <v>13173.65</v>
      </c>
      <c r="G25" s="151">
        <f t="shared" si="0"/>
        <v>38464.800000000003</v>
      </c>
      <c r="H25" s="145">
        <f t="shared" si="1"/>
        <v>0.34248585719930946</v>
      </c>
    </row>
    <row r="26" spans="1:8">
      <c r="A26" s="149" t="s">
        <v>164</v>
      </c>
      <c r="B26" s="150">
        <v>10</v>
      </c>
      <c r="C26" s="151">
        <v>2469.04</v>
      </c>
      <c r="D26" s="151">
        <v>3077.95</v>
      </c>
      <c r="E26" s="151">
        <v>30779.5</v>
      </c>
      <c r="F26" s="151">
        <v>6089.15</v>
      </c>
      <c r="G26" s="151">
        <f t="shared" si="0"/>
        <v>24690.400000000001</v>
      </c>
      <c r="H26" s="145">
        <f t="shared" si="1"/>
        <v>0.24662014386158179</v>
      </c>
    </row>
    <row r="27" spans="1:8">
      <c r="A27" s="149" t="s">
        <v>270</v>
      </c>
      <c r="B27" s="150">
        <v>61</v>
      </c>
      <c r="C27" s="151">
        <v>360.97</v>
      </c>
      <c r="D27" s="151">
        <v>364.95</v>
      </c>
      <c r="E27" s="151">
        <v>22261.95</v>
      </c>
      <c r="F27" s="151">
        <v>242.78</v>
      </c>
      <c r="G27" s="151">
        <f t="shared" si="0"/>
        <v>22019.170000000002</v>
      </c>
      <c r="H27" s="145">
        <f t="shared" si="1"/>
        <v>1.1025847023298334E-2</v>
      </c>
    </row>
    <row r="28" spans="1:8">
      <c r="A28" s="149" t="s">
        <v>166</v>
      </c>
      <c r="B28" s="150">
        <v>31</v>
      </c>
      <c r="C28" s="151">
        <v>1356.45</v>
      </c>
      <c r="D28" s="151">
        <v>1441</v>
      </c>
      <c r="E28" s="151">
        <v>44671</v>
      </c>
      <c r="F28" s="151">
        <v>2621.1</v>
      </c>
      <c r="G28" s="151">
        <f t="shared" si="0"/>
        <v>42049.950000000004</v>
      </c>
      <c r="H28" s="145">
        <f t="shared" si="1"/>
        <v>6.2333011097516162E-2</v>
      </c>
    </row>
    <row r="29" spans="1:8">
      <c r="A29" s="149" t="s">
        <v>168</v>
      </c>
      <c r="B29" s="150">
        <v>68</v>
      </c>
      <c r="C29" s="151">
        <v>715.68</v>
      </c>
      <c r="D29" s="151">
        <v>672.8</v>
      </c>
      <c r="E29" s="151">
        <v>45750.400000000001</v>
      </c>
      <c r="F29" s="151">
        <v>-2915.9</v>
      </c>
      <c r="G29" s="151">
        <f t="shared" si="0"/>
        <v>48666.239999999998</v>
      </c>
      <c r="H29" s="145">
        <f t="shared" si="1"/>
        <v>-5.9916278718059997E-2</v>
      </c>
    </row>
    <row r="30" spans="1:8">
      <c r="A30" s="149" t="s">
        <v>169</v>
      </c>
      <c r="B30" s="150">
        <v>306</v>
      </c>
      <c r="C30" s="151">
        <v>184.89</v>
      </c>
      <c r="D30" s="151">
        <v>159.25</v>
      </c>
      <c r="E30" s="151">
        <v>48730.5</v>
      </c>
      <c r="F30" s="151">
        <v>-7845.25</v>
      </c>
      <c r="G30" s="151">
        <f t="shared" si="0"/>
        <v>56576.34</v>
      </c>
      <c r="H30" s="145">
        <f t="shared" si="1"/>
        <v>-0.13866662283208847</v>
      </c>
    </row>
    <row r="31" spans="1:8">
      <c r="A31" s="149" t="s">
        <v>170</v>
      </c>
      <c r="B31" s="150">
        <v>521</v>
      </c>
      <c r="C31" s="151">
        <v>75.53</v>
      </c>
      <c r="D31" s="151">
        <v>107.4</v>
      </c>
      <c r="E31" s="151">
        <v>55955.4</v>
      </c>
      <c r="F31" s="151">
        <v>16603.8</v>
      </c>
      <c r="G31" s="151">
        <f t="shared" si="0"/>
        <v>39351.129999999997</v>
      </c>
      <c r="H31" s="145">
        <f t="shared" si="1"/>
        <v>0.42193959868496789</v>
      </c>
    </row>
    <row r="32" spans="1:8">
      <c r="A32" s="149" t="s">
        <v>325</v>
      </c>
      <c r="B32" s="150">
        <v>38</v>
      </c>
      <c r="C32" s="151">
        <v>657.8</v>
      </c>
      <c r="D32" s="151">
        <v>631.4</v>
      </c>
      <c r="E32" s="151">
        <v>23993.200000000001</v>
      </c>
      <c r="F32" s="151">
        <v>-1003.2</v>
      </c>
      <c r="G32" s="151">
        <f t="shared" si="0"/>
        <v>24996.399999999998</v>
      </c>
      <c r="H32" s="145">
        <f t="shared" si="1"/>
        <v>-4.0133779264214055E-2</v>
      </c>
    </row>
    <row r="33" spans="1:8">
      <c r="A33" s="149" t="s">
        <v>342</v>
      </c>
      <c r="B33" s="150">
        <v>111</v>
      </c>
      <c r="C33" s="151">
        <v>145.31</v>
      </c>
      <c r="D33" s="151">
        <v>117.9</v>
      </c>
      <c r="E33" s="151">
        <v>13086.9</v>
      </c>
      <c r="F33" s="151">
        <v>-3043</v>
      </c>
      <c r="G33" s="151">
        <f t="shared" si="0"/>
        <v>16129.41</v>
      </c>
      <c r="H33" s="145">
        <f t="shared" si="1"/>
        <v>-0.18866158154576021</v>
      </c>
    </row>
    <row r="34" spans="1:8">
      <c r="A34" s="149" t="s">
        <v>334</v>
      </c>
      <c r="B34" s="150">
        <v>14</v>
      </c>
      <c r="C34" s="151">
        <v>3701.8</v>
      </c>
      <c r="D34" s="151">
        <v>2241.6</v>
      </c>
      <c r="E34" s="151">
        <v>31382.400000000001</v>
      </c>
      <c r="F34" s="151">
        <v>-20442.8</v>
      </c>
      <c r="G34" s="151">
        <f t="shared" si="0"/>
        <v>51825.200000000004</v>
      </c>
      <c r="H34" s="145">
        <f t="shared" si="1"/>
        <v>-0.39445675076989567</v>
      </c>
    </row>
    <row r="35" spans="1:8">
      <c r="A35" s="149" t="s">
        <v>172</v>
      </c>
      <c r="B35" s="150">
        <v>13</v>
      </c>
      <c r="C35" s="151">
        <v>1617.22</v>
      </c>
      <c r="D35" s="151">
        <v>1520.05</v>
      </c>
      <c r="E35" s="151">
        <v>19760.650000000001</v>
      </c>
      <c r="F35" s="151">
        <v>-1263.2</v>
      </c>
      <c r="G35" s="151">
        <f t="shared" si="0"/>
        <v>21023.86</v>
      </c>
      <c r="H35" s="145">
        <f t="shared" si="1"/>
        <v>-6.0084113954335695E-2</v>
      </c>
    </row>
    <row r="36" spans="1:8">
      <c r="A36" s="149" t="s">
        <v>173</v>
      </c>
      <c r="B36" s="150">
        <v>45</v>
      </c>
      <c r="C36" s="151">
        <v>40.9</v>
      </c>
      <c r="D36" s="151">
        <v>44.12</v>
      </c>
      <c r="E36" s="151">
        <v>1985.4</v>
      </c>
      <c r="F36" s="151">
        <v>144.80000000000001</v>
      </c>
      <c r="G36" s="151">
        <f t="shared" si="0"/>
        <v>1840.5</v>
      </c>
      <c r="H36" s="145">
        <f t="shared" si="1"/>
        <v>7.867427329530019E-2</v>
      </c>
    </row>
    <row r="37" spans="1:8">
      <c r="A37" s="149" t="s">
        <v>174</v>
      </c>
      <c r="B37" s="150">
        <v>36</v>
      </c>
      <c r="C37" s="151">
        <v>1054.77</v>
      </c>
      <c r="D37" s="151">
        <v>953.8</v>
      </c>
      <c r="E37" s="151">
        <v>34336.800000000003</v>
      </c>
      <c r="F37" s="151">
        <v>-3635.05</v>
      </c>
      <c r="G37" s="151">
        <f t="shared" si="0"/>
        <v>37971.72</v>
      </c>
      <c r="H37" s="145">
        <f t="shared" si="1"/>
        <v>-9.5730454137974264E-2</v>
      </c>
    </row>
    <row r="38" spans="1:8">
      <c r="A38" s="149" t="s">
        <v>175</v>
      </c>
      <c r="B38" s="150">
        <v>48</v>
      </c>
      <c r="C38" s="151">
        <v>1429.32</v>
      </c>
      <c r="D38" s="151">
        <v>1439.75</v>
      </c>
      <c r="E38" s="151">
        <v>69108</v>
      </c>
      <c r="F38" s="151">
        <v>500.55</v>
      </c>
      <c r="G38" s="151">
        <f t="shared" si="0"/>
        <v>68607.360000000001</v>
      </c>
      <c r="H38" s="145">
        <f t="shared" si="1"/>
        <v>7.2958644670192817E-3</v>
      </c>
    </row>
    <row r="39" spans="1:8">
      <c r="A39" s="149" t="s">
        <v>176</v>
      </c>
      <c r="B39" s="150">
        <v>77</v>
      </c>
      <c r="C39" s="151">
        <v>651.32000000000005</v>
      </c>
      <c r="D39" s="151">
        <v>546.45000000000005</v>
      </c>
      <c r="E39" s="151">
        <v>42076.65</v>
      </c>
      <c r="F39" s="151">
        <v>-8075.05</v>
      </c>
      <c r="G39" s="151">
        <f t="shared" si="0"/>
        <v>50151.640000000007</v>
      </c>
      <c r="H39" s="145">
        <f t="shared" si="1"/>
        <v>-0.1610126807418461</v>
      </c>
    </row>
    <row r="40" spans="1:8">
      <c r="A40" s="149" t="s">
        <v>177</v>
      </c>
      <c r="B40" s="150">
        <v>12</v>
      </c>
      <c r="C40" s="151">
        <v>2815.97</v>
      </c>
      <c r="D40" s="151">
        <v>2835</v>
      </c>
      <c r="E40" s="151">
        <v>34020</v>
      </c>
      <c r="F40" s="151">
        <v>228.35</v>
      </c>
      <c r="G40" s="151">
        <f t="shared" si="0"/>
        <v>33791.64</v>
      </c>
      <c r="H40" s="145">
        <f t="shared" si="1"/>
        <v>6.7575885633251297E-3</v>
      </c>
    </row>
    <row r="41" spans="1:8">
      <c r="A41" s="149" t="s">
        <v>335</v>
      </c>
      <c r="B41" s="150">
        <v>43</v>
      </c>
      <c r="C41" s="151">
        <v>586.95000000000005</v>
      </c>
      <c r="D41" s="151">
        <v>593.04999999999995</v>
      </c>
      <c r="E41" s="151">
        <v>25501.15</v>
      </c>
      <c r="F41" s="151">
        <v>262.10000000000002</v>
      </c>
      <c r="G41" s="151">
        <f t="shared" si="0"/>
        <v>25238.850000000002</v>
      </c>
      <c r="H41" s="145">
        <f t="shared" si="1"/>
        <v>1.0384783775805951E-2</v>
      </c>
    </row>
    <row r="42" spans="1:8">
      <c r="A42" s="149" t="s">
        <v>343</v>
      </c>
      <c r="B42" s="150">
        <v>71</v>
      </c>
      <c r="C42" s="151">
        <v>356.55</v>
      </c>
      <c r="D42" s="151">
        <v>424.7</v>
      </c>
      <c r="E42" s="151">
        <v>30153.7</v>
      </c>
      <c r="F42" s="151">
        <v>4838.6499999999996</v>
      </c>
      <c r="G42" s="151">
        <f t="shared" si="0"/>
        <v>25315.05</v>
      </c>
      <c r="H42" s="145">
        <f t="shared" si="1"/>
        <v>0.19113728789791051</v>
      </c>
    </row>
    <row r="43" spans="1:8">
      <c r="A43" s="149" t="s">
        <v>282</v>
      </c>
      <c r="B43" s="150">
        <v>19</v>
      </c>
      <c r="C43" s="151">
        <v>2270.19</v>
      </c>
      <c r="D43" s="151">
        <v>2595.65</v>
      </c>
      <c r="E43" s="151">
        <v>49317.35</v>
      </c>
      <c r="F43" s="151">
        <v>6183.8</v>
      </c>
      <c r="G43" s="151">
        <f t="shared" si="0"/>
        <v>43133.61</v>
      </c>
      <c r="H43" s="145">
        <f t="shared" si="1"/>
        <v>0.14336384086562659</v>
      </c>
    </row>
    <row r="44" spans="1:8">
      <c r="A44" s="149" t="s">
        <v>178</v>
      </c>
      <c r="B44" s="150">
        <v>87</v>
      </c>
      <c r="C44" s="151">
        <v>548.66999999999996</v>
      </c>
      <c r="D44" s="151">
        <v>822.5</v>
      </c>
      <c r="E44" s="151">
        <v>71557.5</v>
      </c>
      <c r="F44" s="151">
        <v>23822.85</v>
      </c>
      <c r="G44" s="151">
        <f t="shared" si="0"/>
        <v>47734.289999999994</v>
      </c>
      <c r="H44" s="145">
        <f t="shared" si="1"/>
        <v>0.49907205072077121</v>
      </c>
    </row>
    <row r="45" spans="1:8">
      <c r="A45" s="149" t="s">
        <v>179</v>
      </c>
      <c r="B45" s="150">
        <v>48</v>
      </c>
      <c r="C45" s="151">
        <v>1372.79</v>
      </c>
      <c r="D45" s="151">
        <v>1229.3499999999999</v>
      </c>
      <c r="E45" s="151">
        <v>59008.800000000003</v>
      </c>
      <c r="F45" s="151">
        <v>-6885.05</v>
      </c>
      <c r="G45" s="151">
        <f t="shared" si="0"/>
        <v>65893.919999999998</v>
      </c>
      <c r="H45" s="145">
        <f t="shared" si="1"/>
        <v>-0.10448687830379495</v>
      </c>
    </row>
    <row r="46" spans="1:8">
      <c r="A46" s="149" t="s">
        <v>180</v>
      </c>
      <c r="B46" s="150">
        <v>79</v>
      </c>
      <c r="C46" s="151">
        <v>531.42999999999995</v>
      </c>
      <c r="D46" s="151">
        <v>553.25</v>
      </c>
      <c r="E46" s="151">
        <v>43706.75</v>
      </c>
      <c r="F46" s="151">
        <v>1723.95</v>
      </c>
      <c r="G46" s="151">
        <f t="shared" si="0"/>
        <v>41982.969999999994</v>
      </c>
      <c r="H46" s="145">
        <f t="shared" si="1"/>
        <v>4.1063078672137779E-2</v>
      </c>
    </row>
    <row r="47" spans="1:8">
      <c r="A47" s="149" t="s">
        <v>284</v>
      </c>
      <c r="B47" s="150">
        <v>54</v>
      </c>
      <c r="C47" s="151">
        <v>988.1</v>
      </c>
      <c r="D47" s="151">
        <v>1030.0999999999999</v>
      </c>
      <c r="E47" s="151">
        <v>55625.4</v>
      </c>
      <c r="F47" s="151">
        <v>2267.85</v>
      </c>
      <c r="G47" s="151">
        <f t="shared" si="0"/>
        <v>53357.4</v>
      </c>
      <c r="H47" s="145">
        <f t="shared" si="1"/>
        <v>4.2503008017632044E-2</v>
      </c>
    </row>
    <row r="48" spans="1:8">
      <c r="A48" s="149" t="s">
        <v>181</v>
      </c>
      <c r="B48" s="150">
        <v>22</v>
      </c>
      <c r="C48" s="151">
        <v>1678.65</v>
      </c>
      <c r="D48" s="151">
        <v>1551.2</v>
      </c>
      <c r="E48" s="151">
        <v>34126.400000000001</v>
      </c>
      <c r="F48" s="151">
        <v>-2803.9</v>
      </c>
      <c r="G48" s="151">
        <f t="shared" si="0"/>
        <v>36930.300000000003</v>
      </c>
      <c r="H48" s="145">
        <f t="shared" si="1"/>
        <v>-7.5924105680159643E-2</v>
      </c>
    </row>
    <row r="49" spans="1:8">
      <c r="A49" s="149" t="s">
        <v>182</v>
      </c>
      <c r="B49" s="150">
        <v>770</v>
      </c>
      <c r="C49" s="151">
        <v>227.34</v>
      </c>
      <c r="D49" s="151">
        <v>307.5</v>
      </c>
      <c r="E49" s="151">
        <v>236775</v>
      </c>
      <c r="F49" s="151">
        <v>61720.65</v>
      </c>
      <c r="G49" s="151">
        <f t="shared" si="0"/>
        <v>175051.8</v>
      </c>
      <c r="H49" s="145">
        <f t="shared" si="1"/>
        <v>0.35258506339266438</v>
      </c>
    </row>
    <row r="50" spans="1:8">
      <c r="A50" s="149" t="s">
        <v>183</v>
      </c>
      <c r="B50" s="150">
        <v>27</v>
      </c>
      <c r="C50" s="151">
        <v>965.51</v>
      </c>
      <c r="D50" s="151">
        <v>1777.05</v>
      </c>
      <c r="E50" s="151">
        <v>47980.35</v>
      </c>
      <c r="F50" s="151">
        <v>21911.599999999999</v>
      </c>
      <c r="G50" s="151">
        <f t="shared" si="0"/>
        <v>26068.77</v>
      </c>
      <c r="H50" s="145">
        <f t="shared" si="1"/>
        <v>0.84053064260415811</v>
      </c>
    </row>
    <row r="51" spans="1:8">
      <c r="A51" s="149" t="s">
        <v>313</v>
      </c>
      <c r="B51" s="150">
        <v>2</v>
      </c>
      <c r="C51" s="151">
        <v>345.31</v>
      </c>
      <c r="D51" s="151">
        <v>434.8</v>
      </c>
      <c r="E51" s="151">
        <v>869.6</v>
      </c>
      <c r="F51" s="151">
        <v>178.98</v>
      </c>
      <c r="G51" s="151">
        <f t="shared" si="0"/>
        <v>690.62</v>
      </c>
      <c r="H51" s="145">
        <f t="shared" si="1"/>
        <v>0.25915843734615274</v>
      </c>
    </row>
    <row r="52" spans="1:8">
      <c r="A52" s="149" t="s">
        <v>185</v>
      </c>
      <c r="B52" s="150">
        <v>38</v>
      </c>
      <c r="C52" s="151">
        <v>1711.28</v>
      </c>
      <c r="D52" s="151">
        <v>1832.5</v>
      </c>
      <c r="E52" s="151">
        <v>69635</v>
      </c>
      <c r="F52" s="151">
        <v>4606.2</v>
      </c>
      <c r="G52" s="151">
        <f t="shared" si="0"/>
        <v>65028.639999999999</v>
      </c>
      <c r="H52" s="145">
        <f t="shared" si="1"/>
        <v>7.0833405096585131E-2</v>
      </c>
    </row>
    <row r="53" spans="1:8">
      <c r="A53" s="149" t="s">
        <v>186</v>
      </c>
      <c r="B53" s="150">
        <v>46</v>
      </c>
      <c r="C53" s="151">
        <v>555.47</v>
      </c>
      <c r="D53" s="151">
        <v>547.85</v>
      </c>
      <c r="E53" s="151">
        <v>25201.1</v>
      </c>
      <c r="F53" s="151">
        <v>-350.5</v>
      </c>
      <c r="G53" s="151">
        <f t="shared" si="0"/>
        <v>25551.620000000003</v>
      </c>
      <c r="H53" s="145">
        <f t="shared" si="1"/>
        <v>-1.3717329860102802E-2</v>
      </c>
    </row>
    <row r="54" spans="1:8">
      <c r="A54" s="149" t="s">
        <v>187</v>
      </c>
      <c r="B54" s="150">
        <v>4</v>
      </c>
      <c r="C54" s="151">
        <v>2888.83</v>
      </c>
      <c r="D54" s="151">
        <v>2297.75</v>
      </c>
      <c r="E54" s="151">
        <v>9191</v>
      </c>
      <c r="F54" s="151">
        <v>-2364.3000000000002</v>
      </c>
      <c r="G54" s="151">
        <f t="shared" si="0"/>
        <v>11555.32</v>
      </c>
      <c r="H54" s="145">
        <f t="shared" si="1"/>
        <v>-0.204607055451515</v>
      </c>
    </row>
    <row r="55" spans="1:8">
      <c r="A55" s="149" t="s">
        <v>314</v>
      </c>
      <c r="B55" s="150">
        <v>2</v>
      </c>
      <c r="C55" s="151">
        <v>975.68</v>
      </c>
      <c r="D55" s="151">
        <v>999.99</v>
      </c>
      <c r="E55" s="151">
        <v>1999.98</v>
      </c>
      <c r="F55" s="151">
        <v>48.61</v>
      </c>
      <c r="G55" s="151">
        <f t="shared" si="0"/>
        <v>1951.36</v>
      </c>
      <c r="H55" s="145">
        <f t="shared" si="1"/>
        <v>2.4910831420137752E-2</v>
      </c>
    </row>
    <row r="56" spans="1:8">
      <c r="A56" s="149" t="s">
        <v>188</v>
      </c>
      <c r="B56" s="150">
        <v>62</v>
      </c>
      <c r="C56" s="151">
        <v>1053.22</v>
      </c>
      <c r="D56" s="151">
        <v>1793.2</v>
      </c>
      <c r="E56" s="151">
        <v>111178.4</v>
      </c>
      <c r="F56" s="151">
        <v>45879.05</v>
      </c>
      <c r="G56" s="151">
        <f t="shared" si="0"/>
        <v>65299.64</v>
      </c>
      <c r="H56" s="145">
        <f t="shared" si="1"/>
        <v>0.7025926942323113</v>
      </c>
    </row>
    <row r="57" spans="1:8">
      <c r="A57" s="149" t="s">
        <v>339</v>
      </c>
      <c r="B57" s="150">
        <v>5</v>
      </c>
      <c r="C57" s="151">
        <v>4717.7</v>
      </c>
      <c r="D57" s="151">
        <v>4774.75</v>
      </c>
      <c r="E57" s="151">
        <v>23873.75</v>
      </c>
      <c r="F57" s="151">
        <v>285.25</v>
      </c>
      <c r="G57" s="151">
        <f t="shared" si="0"/>
        <v>23588.5</v>
      </c>
      <c r="H57" s="145">
        <f t="shared" si="1"/>
        <v>1.2092757063823473E-2</v>
      </c>
    </row>
    <row r="58" spans="1:8">
      <c r="A58" s="149" t="s">
        <v>189</v>
      </c>
      <c r="B58" s="150">
        <v>29</v>
      </c>
      <c r="C58" s="151">
        <v>775.92</v>
      </c>
      <c r="D58" s="151">
        <v>1244.3499999999999</v>
      </c>
      <c r="E58" s="151">
        <v>36086.15</v>
      </c>
      <c r="F58" s="151">
        <v>13584.55</v>
      </c>
      <c r="G58" s="151">
        <f t="shared" si="0"/>
        <v>22501.68</v>
      </c>
      <c r="H58" s="145">
        <f t="shared" si="1"/>
        <v>0.60371270056280235</v>
      </c>
    </row>
    <row r="59" spans="1:8">
      <c r="A59" s="149" t="s">
        <v>324</v>
      </c>
      <c r="B59" s="150">
        <v>118</v>
      </c>
      <c r="C59" s="151">
        <v>184.31</v>
      </c>
      <c r="D59" s="151">
        <v>275.64999999999998</v>
      </c>
      <c r="E59" s="151">
        <v>32526.7</v>
      </c>
      <c r="F59" s="151">
        <v>10778.05</v>
      </c>
      <c r="G59" s="151">
        <f t="shared" si="0"/>
        <v>21748.58</v>
      </c>
      <c r="H59" s="145">
        <f t="shared" si="1"/>
        <v>0.49557488350963597</v>
      </c>
    </row>
    <row r="60" spans="1:8">
      <c r="A60" s="149" t="s">
        <v>191</v>
      </c>
      <c r="B60" s="150">
        <v>72</v>
      </c>
      <c r="C60" s="151">
        <v>468.01</v>
      </c>
      <c r="D60" s="151">
        <v>519.25</v>
      </c>
      <c r="E60" s="151">
        <v>37386</v>
      </c>
      <c r="F60" s="151">
        <v>3689.4</v>
      </c>
      <c r="G60" s="151">
        <f t="shared" si="0"/>
        <v>33696.720000000001</v>
      </c>
      <c r="H60" s="145">
        <f t="shared" si="1"/>
        <v>0.10948840124498764</v>
      </c>
    </row>
    <row r="61" spans="1:8">
      <c r="A61" s="149" t="s">
        <v>347</v>
      </c>
      <c r="B61" s="150">
        <v>42</v>
      </c>
      <c r="C61" s="151">
        <v>315.58999999999997</v>
      </c>
      <c r="D61" s="151">
        <v>507.5</v>
      </c>
      <c r="E61" s="151">
        <v>21315</v>
      </c>
      <c r="F61" s="151">
        <v>8060.3</v>
      </c>
      <c r="G61" s="151">
        <f t="shared" si="0"/>
        <v>13254.779999999999</v>
      </c>
      <c r="H61" s="145">
        <f t="shared" si="1"/>
        <v>0.60810515150006272</v>
      </c>
    </row>
    <row r="62" spans="1:8">
      <c r="A62" s="149" t="s">
        <v>265</v>
      </c>
      <c r="B62" s="150">
        <v>64</v>
      </c>
      <c r="C62" s="151">
        <v>342.44</v>
      </c>
      <c r="D62" s="151">
        <v>364.25</v>
      </c>
      <c r="E62" s="151">
        <v>23312</v>
      </c>
      <c r="F62" s="151">
        <v>1395.84</v>
      </c>
      <c r="G62" s="151">
        <f t="shared" si="0"/>
        <v>21916.16</v>
      </c>
      <c r="H62" s="145">
        <f t="shared" si="1"/>
        <v>6.3689989487209428E-2</v>
      </c>
    </row>
    <row r="63" spans="1:8">
      <c r="A63" s="149" t="s">
        <v>340</v>
      </c>
      <c r="B63" s="150">
        <v>6</v>
      </c>
      <c r="C63" s="151">
        <v>3510.57</v>
      </c>
      <c r="D63" s="151">
        <v>3430.95</v>
      </c>
      <c r="E63" s="151">
        <v>20585.7</v>
      </c>
      <c r="F63" s="151">
        <v>-477.7</v>
      </c>
      <c r="G63" s="151">
        <f t="shared" si="0"/>
        <v>21063.420000000002</v>
      </c>
      <c r="H63" s="145">
        <f t="shared" si="1"/>
        <v>-2.2679128080814983E-2</v>
      </c>
    </row>
    <row r="64" spans="1:8">
      <c r="A64" s="149" t="s">
        <v>194</v>
      </c>
      <c r="B64" s="150">
        <v>128</v>
      </c>
      <c r="C64" s="151">
        <v>157.27000000000001</v>
      </c>
      <c r="D64" s="151">
        <v>129.1</v>
      </c>
      <c r="E64" s="151">
        <v>16524.8</v>
      </c>
      <c r="F64" s="151">
        <v>-3606.3</v>
      </c>
      <c r="G64" s="151">
        <f t="shared" si="0"/>
        <v>20130.560000000001</v>
      </c>
      <c r="H64" s="145">
        <f t="shared" si="1"/>
        <v>-0.17914553792840338</v>
      </c>
    </row>
    <row r="65" spans="1:8">
      <c r="A65" s="149" t="s">
        <v>195</v>
      </c>
      <c r="B65" s="150">
        <v>11</v>
      </c>
      <c r="C65" s="151">
        <v>2558.52</v>
      </c>
      <c r="D65" s="151">
        <v>2308.6</v>
      </c>
      <c r="E65" s="151">
        <v>25394.6</v>
      </c>
      <c r="F65" s="151">
        <v>-2749.1</v>
      </c>
      <c r="G65" s="151">
        <f t="shared" si="0"/>
        <v>28143.72</v>
      </c>
      <c r="H65" s="145">
        <f t="shared" si="1"/>
        <v>-9.7680761462948032E-2</v>
      </c>
    </row>
    <row r="66" spans="1:8">
      <c r="A66" s="149" t="s">
        <v>315</v>
      </c>
      <c r="B66" s="150">
        <v>73</v>
      </c>
      <c r="C66" s="151">
        <v>19.93</v>
      </c>
      <c r="D66" s="151">
        <v>77.95</v>
      </c>
      <c r="E66" s="151">
        <v>5690.35</v>
      </c>
      <c r="F66" s="151">
        <v>4235.6499999999996</v>
      </c>
      <c r="G66" s="151">
        <f t="shared" si="0"/>
        <v>1454.8899999999999</v>
      </c>
      <c r="H66" s="145">
        <f t="shared" si="1"/>
        <v>2.9113197561327659</v>
      </c>
    </row>
    <row r="67" spans="1:8">
      <c r="A67" s="149" t="s">
        <v>344</v>
      </c>
      <c r="B67" s="150">
        <v>305</v>
      </c>
      <c r="C67" s="151">
        <v>82.65</v>
      </c>
      <c r="D67" s="151">
        <v>78.55</v>
      </c>
      <c r="E67" s="151">
        <v>23957.75</v>
      </c>
      <c r="F67" s="151">
        <v>-1250.5</v>
      </c>
      <c r="G67" s="151">
        <f t="shared" ref="G67:G101" si="2">C67*B67</f>
        <v>25208.25</v>
      </c>
      <c r="H67" s="145">
        <f t="shared" ref="H67:H101" si="3">F67/G67</f>
        <v>-4.9606775559588624E-2</v>
      </c>
    </row>
    <row r="68" spans="1:8">
      <c r="A68" s="149" t="s">
        <v>316</v>
      </c>
      <c r="B68" s="150">
        <v>4</v>
      </c>
      <c r="C68" s="151">
        <v>131.47999999999999</v>
      </c>
      <c r="D68" s="151">
        <v>187.9</v>
      </c>
      <c r="E68" s="151">
        <v>751.6</v>
      </c>
      <c r="F68" s="151">
        <v>225.68</v>
      </c>
      <c r="G68" s="151">
        <f t="shared" si="2"/>
        <v>525.91999999999996</v>
      </c>
      <c r="H68" s="145">
        <f t="shared" si="3"/>
        <v>0.42911469425007609</v>
      </c>
    </row>
    <row r="69" spans="1:8">
      <c r="A69" s="149" t="s">
        <v>198</v>
      </c>
      <c r="B69" s="150">
        <v>75</v>
      </c>
      <c r="C69" s="151">
        <v>440.03</v>
      </c>
      <c r="D69" s="151">
        <v>910.1</v>
      </c>
      <c r="E69" s="151">
        <v>68257.5</v>
      </c>
      <c r="F69" s="151">
        <v>35255.449999999997</v>
      </c>
      <c r="G69" s="151">
        <f t="shared" si="2"/>
        <v>33002.25</v>
      </c>
      <c r="H69" s="145">
        <f t="shared" si="3"/>
        <v>1.0682741328242771</v>
      </c>
    </row>
    <row r="70" spans="1:8">
      <c r="A70" s="149" t="s">
        <v>199</v>
      </c>
      <c r="B70" s="150">
        <v>10</v>
      </c>
      <c r="C70" s="151">
        <v>4030.94</v>
      </c>
      <c r="D70" s="151">
        <v>3163.25</v>
      </c>
      <c r="E70" s="151">
        <v>31632.5</v>
      </c>
      <c r="F70" s="151">
        <v>-8676.85</v>
      </c>
      <c r="G70" s="151">
        <f t="shared" si="2"/>
        <v>40309.4</v>
      </c>
      <c r="H70" s="145">
        <f t="shared" si="3"/>
        <v>-0.21525624296069901</v>
      </c>
    </row>
    <row r="71" spans="1:8">
      <c r="A71" s="149" t="s">
        <v>336</v>
      </c>
      <c r="B71" s="150">
        <v>92</v>
      </c>
      <c r="C71" s="151">
        <v>273.5</v>
      </c>
      <c r="D71" s="151">
        <v>192</v>
      </c>
      <c r="E71" s="151">
        <v>17664</v>
      </c>
      <c r="F71" s="151">
        <v>-7497.95</v>
      </c>
      <c r="G71" s="151">
        <f t="shared" si="2"/>
        <v>25162</v>
      </c>
      <c r="H71" s="145">
        <f t="shared" si="3"/>
        <v>-0.29798704395517051</v>
      </c>
    </row>
    <row r="72" spans="1:8">
      <c r="A72" s="149" t="s">
        <v>200</v>
      </c>
      <c r="B72" s="150">
        <v>300</v>
      </c>
      <c r="C72" s="151">
        <v>82.33</v>
      </c>
      <c r="D72" s="151">
        <v>135.9</v>
      </c>
      <c r="E72" s="151">
        <v>40770</v>
      </c>
      <c r="F72" s="151">
        <v>16070</v>
      </c>
      <c r="G72" s="151">
        <f t="shared" si="2"/>
        <v>24699</v>
      </c>
      <c r="H72" s="145">
        <f t="shared" si="3"/>
        <v>0.65063362889185794</v>
      </c>
    </row>
    <row r="73" spans="1:8">
      <c r="A73" s="149" t="s">
        <v>201</v>
      </c>
      <c r="B73" s="150">
        <v>7</v>
      </c>
      <c r="C73" s="151">
        <v>3711.43</v>
      </c>
      <c r="D73" s="151">
        <v>3650.1</v>
      </c>
      <c r="E73" s="151">
        <v>25550.7</v>
      </c>
      <c r="F73" s="151">
        <v>-429.3</v>
      </c>
      <c r="G73" s="151">
        <f t="shared" si="2"/>
        <v>25980.01</v>
      </c>
      <c r="H73" s="145">
        <f t="shared" si="3"/>
        <v>-1.6524243062262103E-2</v>
      </c>
    </row>
    <row r="74" spans="1:8">
      <c r="A74" s="149" t="s">
        <v>202</v>
      </c>
      <c r="B74" s="150">
        <v>30</v>
      </c>
      <c r="C74" s="151">
        <v>860.12</v>
      </c>
      <c r="D74" s="151">
        <v>1238.1500000000001</v>
      </c>
      <c r="E74" s="151">
        <v>37144.5</v>
      </c>
      <c r="F74" s="151">
        <v>11340.9</v>
      </c>
      <c r="G74" s="151">
        <f t="shared" si="2"/>
        <v>25803.599999999999</v>
      </c>
      <c r="H74" s="145">
        <f t="shared" si="3"/>
        <v>0.43950844068269546</v>
      </c>
    </row>
    <row r="75" spans="1:8">
      <c r="A75" s="149" t="s">
        <v>203</v>
      </c>
      <c r="B75" s="150">
        <v>6</v>
      </c>
      <c r="C75" s="151">
        <v>2267.13</v>
      </c>
      <c r="D75" s="151">
        <v>2486</v>
      </c>
      <c r="E75" s="151">
        <v>14916</v>
      </c>
      <c r="F75" s="151">
        <v>1313.25</v>
      </c>
      <c r="G75" s="151">
        <f t="shared" si="2"/>
        <v>13602.78</v>
      </c>
      <c r="H75" s="145">
        <f t="shared" si="3"/>
        <v>9.6542765522929869E-2</v>
      </c>
    </row>
    <row r="76" spans="1:8">
      <c r="A76" s="149" t="s">
        <v>307</v>
      </c>
      <c r="B76" s="150">
        <v>20</v>
      </c>
      <c r="C76" s="151">
        <v>1000</v>
      </c>
      <c r="D76" s="151">
        <v>1135.27</v>
      </c>
      <c r="E76" s="151">
        <v>22705.4</v>
      </c>
      <c r="F76" s="151">
        <f>E76-G76</f>
        <v>2705.4000000000015</v>
      </c>
      <c r="G76" s="151">
        <f t="shared" si="2"/>
        <v>20000</v>
      </c>
      <c r="H76" s="145">
        <f t="shared" si="3"/>
        <v>0.13527000000000008</v>
      </c>
    </row>
    <row r="77" spans="1:8">
      <c r="A77" s="149" t="s">
        <v>299</v>
      </c>
      <c r="B77" s="150">
        <v>10</v>
      </c>
      <c r="C77" s="151">
        <v>1210.3499999999999</v>
      </c>
      <c r="D77" s="151">
        <v>1011</v>
      </c>
      <c r="E77" s="151">
        <v>10110</v>
      </c>
      <c r="F77" s="151">
        <v>-1993.5</v>
      </c>
      <c r="G77" s="151">
        <f t="shared" si="2"/>
        <v>12103.5</v>
      </c>
      <c r="H77" s="145">
        <f t="shared" si="3"/>
        <v>-0.16470442434006693</v>
      </c>
    </row>
    <row r="78" spans="1:8">
      <c r="A78" s="149" t="s">
        <v>328</v>
      </c>
      <c r="B78" s="150">
        <v>150</v>
      </c>
      <c r="C78" s="151">
        <v>168</v>
      </c>
      <c r="D78" s="151">
        <v>184.25</v>
      </c>
      <c r="E78" s="151">
        <v>27637.5</v>
      </c>
      <c r="F78" s="151">
        <v>2437.5</v>
      </c>
      <c r="G78" s="151">
        <f t="shared" si="2"/>
        <v>25200</v>
      </c>
      <c r="H78" s="145">
        <f t="shared" si="3"/>
        <v>9.6726190476190479E-2</v>
      </c>
    </row>
    <row r="79" spans="1:8">
      <c r="A79" s="149" t="s">
        <v>206</v>
      </c>
      <c r="B79" s="150">
        <v>43</v>
      </c>
      <c r="C79" s="151">
        <v>1028.1099999999999</v>
      </c>
      <c r="D79" s="151">
        <v>1298.8</v>
      </c>
      <c r="E79" s="151">
        <v>55848.4</v>
      </c>
      <c r="F79" s="151">
        <v>11639.85</v>
      </c>
      <c r="G79" s="151">
        <f t="shared" si="2"/>
        <v>44208.729999999996</v>
      </c>
      <c r="H79" s="145">
        <f t="shared" si="3"/>
        <v>0.26329301927469984</v>
      </c>
    </row>
    <row r="80" spans="1:8">
      <c r="A80" s="149" t="s">
        <v>207</v>
      </c>
      <c r="B80" s="150">
        <v>117</v>
      </c>
      <c r="C80" s="151">
        <v>291.98</v>
      </c>
      <c r="D80" s="151">
        <v>533.25</v>
      </c>
      <c r="E80" s="151">
        <v>62390.25</v>
      </c>
      <c r="F80" s="151">
        <v>28228.7</v>
      </c>
      <c r="G80" s="151">
        <f t="shared" si="2"/>
        <v>34161.660000000003</v>
      </c>
      <c r="H80" s="145">
        <f t="shared" si="3"/>
        <v>0.82632694078683522</v>
      </c>
    </row>
    <row r="81" spans="1:8">
      <c r="A81" s="149" t="s">
        <v>262</v>
      </c>
      <c r="B81" s="150">
        <v>10</v>
      </c>
      <c r="C81" s="151">
        <v>5284</v>
      </c>
      <c r="D81" s="151">
        <v>4893.2</v>
      </c>
      <c r="E81" s="151">
        <v>48932</v>
      </c>
      <c r="F81" s="151">
        <v>-3908</v>
      </c>
      <c r="G81" s="151">
        <f t="shared" si="2"/>
        <v>52840</v>
      </c>
      <c r="H81" s="145">
        <f t="shared" si="3"/>
        <v>-7.3959121877365627E-2</v>
      </c>
    </row>
    <row r="82" spans="1:8">
      <c r="A82" s="149" t="s">
        <v>306</v>
      </c>
      <c r="B82" s="150">
        <v>5</v>
      </c>
      <c r="C82" s="151">
        <v>4802</v>
      </c>
      <c r="D82" s="151">
        <v>4742</v>
      </c>
      <c r="E82" s="151">
        <v>23710</v>
      </c>
      <c r="F82" s="151">
        <v>-300</v>
      </c>
      <c r="G82" s="151">
        <f t="shared" si="2"/>
        <v>24010</v>
      </c>
      <c r="H82" s="145">
        <f t="shared" si="3"/>
        <v>-1.2494793835901708E-2</v>
      </c>
    </row>
    <row r="83" spans="1:8">
      <c r="A83" s="149" t="s">
        <v>210</v>
      </c>
      <c r="B83" s="150">
        <v>10</v>
      </c>
      <c r="C83" s="151">
        <v>5002.45</v>
      </c>
      <c r="D83" s="151">
        <v>4829.8999999999996</v>
      </c>
      <c r="E83" s="151">
        <v>48299</v>
      </c>
      <c r="F83" s="151">
        <v>-1725.5</v>
      </c>
      <c r="G83" s="151">
        <f t="shared" si="2"/>
        <v>50024.5</v>
      </c>
      <c r="H83" s="145">
        <f t="shared" si="3"/>
        <v>-3.4493098381792923E-2</v>
      </c>
    </row>
    <row r="84" spans="1:8">
      <c r="A84" s="149" t="s">
        <v>211</v>
      </c>
      <c r="B84" s="150">
        <v>35</v>
      </c>
      <c r="C84" s="151">
        <v>984.23</v>
      </c>
      <c r="D84" s="151">
        <v>2721.15</v>
      </c>
      <c r="E84" s="151">
        <v>95240.25</v>
      </c>
      <c r="F84" s="151">
        <v>60792.2</v>
      </c>
      <c r="G84" s="151">
        <f t="shared" si="2"/>
        <v>34448.050000000003</v>
      </c>
      <c r="H84" s="145">
        <f t="shared" si="3"/>
        <v>1.7647501092224376</v>
      </c>
    </row>
    <row r="85" spans="1:8">
      <c r="A85" s="149" t="s">
        <v>330</v>
      </c>
      <c r="B85" s="150">
        <v>48</v>
      </c>
      <c r="C85" s="151">
        <v>528.09</v>
      </c>
      <c r="D85" s="151">
        <v>536.35</v>
      </c>
      <c r="E85" s="151">
        <v>25744.799999999999</v>
      </c>
      <c r="F85" s="151">
        <v>396.7</v>
      </c>
      <c r="G85" s="151">
        <f t="shared" si="2"/>
        <v>25348.32</v>
      </c>
      <c r="H85" s="145">
        <f t="shared" si="3"/>
        <v>1.5649952343981772E-2</v>
      </c>
    </row>
    <row r="86" spans="1:8">
      <c r="A86" s="149" t="s">
        <v>289</v>
      </c>
      <c r="B86" s="150">
        <v>22</v>
      </c>
      <c r="C86" s="151">
        <v>597.13</v>
      </c>
      <c r="D86" s="151">
        <v>696.65</v>
      </c>
      <c r="E86" s="151">
        <v>15326.3</v>
      </c>
      <c r="F86" s="151">
        <v>2189.35</v>
      </c>
      <c r="G86" s="151">
        <f t="shared" si="2"/>
        <v>13136.86</v>
      </c>
      <c r="H86" s="145">
        <f t="shared" si="3"/>
        <v>0.1666570245857838</v>
      </c>
    </row>
    <row r="87" spans="1:8">
      <c r="A87" s="149" t="s">
        <v>290</v>
      </c>
      <c r="B87" s="150">
        <v>21</v>
      </c>
      <c r="C87" s="151">
        <v>652.55999999999995</v>
      </c>
      <c r="D87" s="151">
        <v>587.9</v>
      </c>
      <c r="E87" s="151">
        <v>12345.9</v>
      </c>
      <c r="F87" s="151">
        <v>-1357.8</v>
      </c>
      <c r="G87" s="151">
        <f t="shared" si="2"/>
        <v>13703.759999999998</v>
      </c>
      <c r="H87" s="145">
        <f t="shared" si="3"/>
        <v>-9.9082295661920533E-2</v>
      </c>
    </row>
    <row r="88" spans="1:8">
      <c r="A88" s="149" t="s">
        <v>292</v>
      </c>
      <c r="B88" s="150">
        <v>32</v>
      </c>
      <c r="C88" s="151">
        <v>752.33</v>
      </c>
      <c r="D88" s="151">
        <v>847.25</v>
      </c>
      <c r="E88" s="151">
        <v>27112</v>
      </c>
      <c r="F88" s="151">
        <v>3037.5</v>
      </c>
      <c r="G88" s="151">
        <f t="shared" si="2"/>
        <v>24074.560000000001</v>
      </c>
      <c r="H88" s="145">
        <f t="shared" si="3"/>
        <v>0.12617053021945157</v>
      </c>
    </row>
    <row r="89" spans="1:8">
      <c r="A89" s="149" t="s">
        <v>212</v>
      </c>
      <c r="B89" s="150">
        <v>149</v>
      </c>
      <c r="C89" s="151">
        <v>500.26</v>
      </c>
      <c r="D89" s="151">
        <v>915.5</v>
      </c>
      <c r="E89" s="151">
        <v>136409.5</v>
      </c>
      <c r="F89" s="151">
        <v>61871.199999999997</v>
      </c>
      <c r="G89" s="151">
        <f t="shared" si="2"/>
        <v>74538.740000000005</v>
      </c>
      <c r="H89" s="145">
        <f t="shared" si="3"/>
        <v>0.8300542778158041</v>
      </c>
    </row>
    <row r="90" spans="1:8">
      <c r="A90" s="149" t="s">
        <v>345</v>
      </c>
      <c r="B90" s="150">
        <v>45</v>
      </c>
      <c r="C90" s="151">
        <v>368.55</v>
      </c>
      <c r="D90" s="151">
        <v>521.45000000000005</v>
      </c>
      <c r="E90" s="151">
        <v>23465.25</v>
      </c>
      <c r="F90" s="151">
        <v>6880.4</v>
      </c>
      <c r="G90" s="151">
        <f t="shared" si="2"/>
        <v>16584.75</v>
      </c>
      <c r="H90" s="145">
        <f t="shared" si="3"/>
        <v>0.41486305190008893</v>
      </c>
    </row>
    <row r="91" spans="1:8">
      <c r="A91" s="149" t="s">
        <v>293</v>
      </c>
      <c r="B91" s="150">
        <v>50</v>
      </c>
      <c r="C91" s="151">
        <v>283.19</v>
      </c>
      <c r="D91" s="151">
        <v>342.35</v>
      </c>
      <c r="E91" s="151">
        <v>17117.5</v>
      </c>
      <c r="F91" s="151">
        <v>2957.85</v>
      </c>
      <c r="G91" s="151">
        <f t="shared" si="2"/>
        <v>14159.5</v>
      </c>
      <c r="H91" s="145">
        <f t="shared" si="3"/>
        <v>0.20889508810339347</v>
      </c>
    </row>
    <row r="92" spans="1:8">
      <c r="A92" s="149" t="s">
        <v>213</v>
      </c>
      <c r="B92" s="150">
        <v>57</v>
      </c>
      <c r="C92" s="151">
        <v>468.04</v>
      </c>
      <c r="D92" s="151">
        <v>568.04999999999995</v>
      </c>
      <c r="E92" s="151">
        <v>32378.85</v>
      </c>
      <c r="F92" s="151">
        <v>5700.35</v>
      </c>
      <c r="G92" s="151">
        <f t="shared" si="2"/>
        <v>26678.280000000002</v>
      </c>
      <c r="H92" s="145">
        <f t="shared" si="3"/>
        <v>0.21367007168378171</v>
      </c>
    </row>
    <row r="93" spans="1:8">
      <c r="A93" s="149" t="s">
        <v>214</v>
      </c>
      <c r="B93" s="150">
        <v>38</v>
      </c>
      <c r="C93" s="151">
        <v>684.41</v>
      </c>
      <c r="D93" s="151">
        <v>803.1</v>
      </c>
      <c r="E93" s="151">
        <v>30517.8</v>
      </c>
      <c r="F93" s="151">
        <v>4510.25</v>
      </c>
      <c r="G93" s="151">
        <f t="shared" si="2"/>
        <v>26007.579999999998</v>
      </c>
      <c r="H93" s="145">
        <f t="shared" si="3"/>
        <v>0.1734205950726673</v>
      </c>
    </row>
    <row r="94" spans="1:8">
      <c r="A94" s="149" t="s">
        <v>302</v>
      </c>
      <c r="B94" s="150">
        <v>775</v>
      </c>
      <c r="C94" s="151">
        <v>99.29</v>
      </c>
      <c r="D94" s="151">
        <v>228.8</v>
      </c>
      <c r="E94" s="151">
        <v>177320</v>
      </c>
      <c r="F94" s="151">
        <v>100369</v>
      </c>
      <c r="G94" s="151">
        <f t="shared" si="2"/>
        <v>76949.75</v>
      </c>
      <c r="H94" s="145">
        <f t="shared" si="3"/>
        <v>1.304344718468871</v>
      </c>
    </row>
    <row r="95" spans="1:8">
      <c r="A95" s="149" t="s">
        <v>215</v>
      </c>
      <c r="B95" s="150">
        <v>1050</v>
      </c>
      <c r="C95" s="151">
        <v>40.479999999999997</v>
      </c>
      <c r="D95" s="151">
        <v>107.7</v>
      </c>
      <c r="E95" s="151">
        <v>113085</v>
      </c>
      <c r="F95" s="151">
        <v>70584.75</v>
      </c>
      <c r="G95" s="151">
        <f t="shared" si="2"/>
        <v>42504</v>
      </c>
      <c r="H95" s="145">
        <f t="shared" si="3"/>
        <v>1.6606613495200451</v>
      </c>
    </row>
    <row r="96" spans="1:8">
      <c r="A96" s="149" t="s">
        <v>216</v>
      </c>
      <c r="B96" s="150">
        <v>12</v>
      </c>
      <c r="C96" s="151">
        <v>3442.23</v>
      </c>
      <c r="D96" s="151">
        <v>3299.3</v>
      </c>
      <c r="E96" s="151">
        <v>39591.599999999999</v>
      </c>
      <c r="F96" s="151">
        <v>-1715.1</v>
      </c>
      <c r="G96" s="151">
        <f t="shared" si="2"/>
        <v>41306.76</v>
      </c>
      <c r="H96" s="145">
        <f t="shared" si="3"/>
        <v>-4.1521048854957394E-2</v>
      </c>
    </row>
    <row r="97" spans="1:8">
      <c r="A97" s="149" t="s">
        <v>318</v>
      </c>
      <c r="B97" s="150">
        <v>26</v>
      </c>
      <c r="C97" s="151">
        <v>1240.0999999999999</v>
      </c>
      <c r="D97" s="151">
        <v>1049.9000000000001</v>
      </c>
      <c r="E97" s="151">
        <v>27297.4</v>
      </c>
      <c r="F97" s="151">
        <v>-4945.2</v>
      </c>
      <c r="G97" s="151">
        <f t="shared" si="2"/>
        <v>32242.6</v>
      </c>
      <c r="H97" s="145">
        <f t="shared" si="3"/>
        <v>-0.15337472784452866</v>
      </c>
    </row>
    <row r="98" spans="1:8">
      <c r="A98" s="149" t="s">
        <v>217</v>
      </c>
      <c r="B98" s="150">
        <v>6</v>
      </c>
      <c r="C98" s="151">
        <v>2272.4499999999998</v>
      </c>
      <c r="D98" s="151">
        <v>2353.5500000000002</v>
      </c>
      <c r="E98" s="151">
        <v>14121.3</v>
      </c>
      <c r="F98" s="151">
        <v>486.6</v>
      </c>
      <c r="G98" s="151">
        <f t="shared" si="2"/>
        <v>13634.699999999999</v>
      </c>
      <c r="H98" s="145">
        <f t="shared" si="3"/>
        <v>3.5688353979185468E-2</v>
      </c>
    </row>
    <row r="99" spans="1:8">
      <c r="A99" s="149" t="s">
        <v>221</v>
      </c>
      <c r="B99" s="150">
        <v>40</v>
      </c>
      <c r="C99" s="151">
        <v>447.63</v>
      </c>
      <c r="D99" s="151">
        <v>915.1</v>
      </c>
      <c r="E99" s="151">
        <v>36604</v>
      </c>
      <c r="F99" s="151">
        <v>18699</v>
      </c>
      <c r="G99" s="151">
        <f t="shared" si="2"/>
        <v>17905.2</v>
      </c>
      <c r="H99" s="145">
        <f t="shared" si="3"/>
        <v>1.0443334897124856</v>
      </c>
    </row>
    <row r="100" spans="1:8">
      <c r="A100" s="149" t="s">
        <v>346</v>
      </c>
      <c r="B100" s="150">
        <v>93</v>
      </c>
      <c r="C100" s="151">
        <v>271.33</v>
      </c>
      <c r="D100" s="151">
        <v>307.45</v>
      </c>
      <c r="E100" s="151">
        <v>28592.85</v>
      </c>
      <c r="F100" s="151">
        <v>3358.75</v>
      </c>
      <c r="G100" s="151">
        <f t="shared" si="2"/>
        <v>25233.69</v>
      </c>
      <c r="H100" s="145">
        <f t="shared" si="3"/>
        <v>0.13310578040706691</v>
      </c>
    </row>
    <row r="101" spans="1:8">
      <c r="A101" s="149" t="s">
        <v>309</v>
      </c>
      <c r="B101" s="150">
        <v>29</v>
      </c>
      <c r="C101" s="151">
        <v>1910.61</v>
      </c>
      <c r="D101" s="151">
        <v>1639.75</v>
      </c>
      <c r="E101" s="151">
        <v>47552.75</v>
      </c>
      <c r="F101" s="151">
        <v>-7854.85</v>
      </c>
      <c r="G101" s="151">
        <f t="shared" si="2"/>
        <v>55407.689999999995</v>
      </c>
      <c r="H101" s="145">
        <f t="shared" si="3"/>
        <v>-0.1417646178716348</v>
      </c>
    </row>
    <row r="102" spans="1:8">
      <c r="A102" s="77"/>
      <c r="B102" s="76"/>
      <c r="C102" s="76"/>
      <c r="D102" s="76"/>
      <c r="E102" s="78"/>
      <c r="F102" s="78"/>
      <c r="G102" s="78"/>
      <c r="H102" s="136"/>
    </row>
    <row r="103" spans="1:8">
      <c r="A103" s="77"/>
      <c r="B103" s="76"/>
      <c r="C103" s="78"/>
      <c r="D103" s="78"/>
      <c r="E103" s="78"/>
      <c r="F103" s="78"/>
      <c r="G103" s="78"/>
      <c r="H103" s="136"/>
    </row>
    <row r="104" spans="1:8" ht="18">
      <c r="A104" s="44" t="s">
        <v>11</v>
      </c>
      <c r="B104" s="45">
        <f>SUM(B2:B103)</f>
        <v>8570</v>
      </c>
      <c r="C104" s="45"/>
      <c r="D104" s="45"/>
      <c r="E104" s="45">
        <f>SUM(E2:E103)</f>
        <v>4081780.3399999989</v>
      </c>
      <c r="F104" s="45">
        <f>SUM(F2:F103)</f>
        <v>784813.40000000014</v>
      </c>
      <c r="G104" s="45">
        <f>SUM(G2:G103)</f>
        <v>3296966.1599999997</v>
      </c>
      <c r="H104" s="64">
        <f>F104/G104</f>
        <v>0.23804108441319283</v>
      </c>
    </row>
  </sheetData>
  <pageMargins left="0.7" right="0.7" top="0.75" bottom="0.75" header="0.3" footer="0.3"/>
  <pageSetup paperSize="9"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333A-D8D8-4D8B-A9D8-474263A8D4A1}">
  <dimension ref="A1:I15"/>
  <sheetViews>
    <sheetView workbookViewId="0">
      <selection activeCell="F7" sqref="F7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4.7109375" style="22" customWidth="1"/>
    <col min="10" max="16384" width="8.7109375" style="22"/>
  </cols>
  <sheetData>
    <row r="1" spans="1:9" ht="27">
      <c r="A1" s="146" t="s">
        <v>223</v>
      </c>
      <c r="B1" s="146" t="s">
        <v>224</v>
      </c>
      <c r="C1" s="146" t="s">
        <v>225</v>
      </c>
      <c r="D1" s="146" t="s">
        <v>226</v>
      </c>
      <c r="E1" s="146" t="s">
        <v>227</v>
      </c>
      <c r="F1" s="146" t="s">
        <v>228</v>
      </c>
      <c r="G1" s="146" t="s">
        <v>229</v>
      </c>
      <c r="H1" s="146" t="s">
        <v>230</v>
      </c>
      <c r="I1" s="146" t="s">
        <v>231</v>
      </c>
    </row>
    <row r="2" spans="1:9">
      <c r="A2" s="139" t="s">
        <v>234</v>
      </c>
      <c r="B2" s="140" t="s">
        <v>235</v>
      </c>
      <c r="C2" s="141">
        <v>4080.9659999999999</v>
      </c>
      <c r="D2" s="140">
        <v>74.680000000000007</v>
      </c>
      <c r="E2" s="140">
        <v>68.607799999999997</v>
      </c>
      <c r="F2" s="141">
        <v>279986.10960000003</v>
      </c>
      <c r="G2" s="141">
        <v>304766.54090000002</v>
      </c>
      <c r="H2" s="141">
        <v>24780.4313</v>
      </c>
      <c r="I2" s="147">
        <f>H2/F2</f>
        <v>8.8505931009943209E-2</v>
      </c>
    </row>
    <row r="3" spans="1:9">
      <c r="A3" s="139" t="s">
        <v>236</v>
      </c>
      <c r="B3" s="140" t="s">
        <v>237</v>
      </c>
      <c r="C3" s="141">
        <v>12524.699000000001</v>
      </c>
      <c r="D3" s="140">
        <v>66.95</v>
      </c>
      <c r="E3" s="140">
        <v>44.709499999999998</v>
      </c>
      <c r="F3" s="141">
        <v>559972.89060000004</v>
      </c>
      <c r="G3" s="141">
        <v>838528.598</v>
      </c>
      <c r="H3" s="141">
        <v>278555.70740000001</v>
      </c>
      <c r="I3" s="147">
        <f t="shared" ref="I3:I15" si="0">H3/F3</f>
        <v>0.49744498720560026</v>
      </c>
    </row>
    <row r="4" spans="1:9">
      <c r="A4" s="139" t="s">
        <v>303</v>
      </c>
      <c r="B4" s="140" t="s">
        <v>241</v>
      </c>
      <c r="C4" s="141">
        <v>1857.5519999999999</v>
      </c>
      <c r="D4" s="140">
        <v>530.02210000000002</v>
      </c>
      <c r="E4" s="140">
        <v>366.02140000000003</v>
      </c>
      <c r="F4" s="141">
        <v>679903.69869999995</v>
      </c>
      <c r="G4" s="141">
        <v>984543.61190000002</v>
      </c>
      <c r="H4" s="141">
        <v>304639.91320000001</v>
      </c>
      <c r="I4" s="147">
        <f t="shared" si="0"/>
        <v>0.44806332688361949</v>
      </c>
    </row>
    <row r="5" spans="1:9">
      <c r="A5" s="139" t="s">
        <v>242</v>
      </c>
      <c r="B5" s="140" t="s">
        <v>237</v>
      </c>
      <c r="C5" s="141">
        <v>5856.576</v>
      </c>
      <c r="D5" s="140">
        <v>78.531999999999996</v>
      </c>
      <c r="E5" s="140">
        <v>44.3917</v>
      </c>
      <c r="F5" s="141">
        <v>259983.36480000001</v>
      </c>
      <c r="G5" s="141">
        <v>459928.62640000001</v>
      </c>
      <c r="H5" s="141">
        <v>199945.2616</v>
      </c>
      <c r="I5" s="147">
        <f t="shared" si="0"/>
        <v>0.76906944316923465</v>
      </c>
    </row>
    <row r="6" spans="1:9">
      <c r="A6" s="139" t="s">
        <v>272</v>
      </c>
      <c r="B6" s="140" t="s">
        <v>235</v>
      </c>
      <c r="C6" s="141">
        <v>6641.4979999999996</v>
      </c>
      <c r="D6" s="140">
        <v>81.644999999999996</v>
      </c>
      <c r="E6" s="140">
        <v>41.7624</v>
      </c>
      <c r="F6" s="141">
        <v>277364.96380000003</v>
      </c>
      <c r="G6" s="141">
        <v>542245.10419999994</v>
      </c>
      <c r="H6" s="141">
        <v>264880.14039999997</v>
      </c>
      <c r="I6" s="147">
        <f t="shared" si="0"/>
        <v>0.95498774167813605</v>
      </c>
    </row>
    <row r="7" spans="1:9">
      <c r="A7" s="139" t="s">
        <v>244</v>
      </c>
      <c r="B7" s="140" t="s">
        <v>233</v>
      </c>
      <c r="C7" s="141">
        <v>5841.7389999999996</v>
      </c>
      <c r="D7" s="140">
        <v>21.201000000000001</v>
      </c>
      <c r="E7" s="140">
        <v>23.964300000000001</v>
      </c>
      <c r="F7" s="141">
        <v>139992.99739999999</v>
      </c>
      <c r="G7" s="141">
        <v>123850.70849999999</v>
      </c>
      <c r="H7" s="141">
        <v>-16142.2889</v>
      </c>
      <c r="I7" s="147">
        <f t="shared" si="0"/>
        <v>-0.11530783110441495</v>
      </c>
    </row>
    <row r="8" spans="1:9">
      <c r="A8" s="139" t="s">
        <v>273</v>
      </c>
      <c r="B8" s="140" t="s">
        <v>233</v>
      </c>
      <c r="C8" s="141">
        <v>3015.703</v>
      </c>
      <c r="D8" s="140">
        <v>8.9704999999999995</v>
      </c>
      <c r="E8" s="140">
        <v>8.2895000000000003</v>
      </c>
      <c r="F8" s="141">
        <v>24998.743999999999</v>
      </c>
      <c r="G8" s="141">
        <v>27052.363799999999</v>
      </c>
      <c r="H8" s="141">
        <v>2053.6197000000002</v>
      </c>
      <c r="I8" s="147">
        <f t="shared" si="0"/>
        <v>8.2148915161497721E-2</v>
      </c>
    </row>
    <row r="9" spans="1:9">
      <c r="A9" s="139" t="s">
        <v>246</v>
      </c>
      <c r="B9" s="140" t="s">
        <v>241</v>
      </c>
      <c r="C9" s="141">
        <v>9069.08</v>
      </c>
      <c r="D9" s="140">
        <v>10.889699999999999</v>
      </c>
      <c r="E9" s="140">
        <v>11.081099999999999</v>
      </c>
      <c r="F9" s="141">
        <v>100494.9899</v>
      </c>
      <c r="G9" s="141">
        <v>98759.560500000007</v>
      </c>
      <c r="H9" s="141">
        <v>-1735.4294</v>
      </c>
      <c r="I9" s="147">
        <f t="shared" si="0"/>
        <v>-1.7268815109358997E-2</v>
      </c>
    </row>
    <row r="10" spans="1:9">
      <c r="A10" s="139" t="s">
        <v>250</v>
      </c>
      <c r="B10" s="140" t="s">
        <v>251</v>
      </c>
      <c r="C10" s="141">
        <v>12895.112999999999</v>
      </c>
      <c r="D10" s="140">
        <v>49.977499999999999</v>
      </c>
      <c r="E10" s="140">
        <v>40.0105</v>
      </c>
      <c r="F10" s="141">
        <v>515940.41820000001</v>
      </c>
      <c r="G10" s="141">
        <v>644465.51</v>
      </c>
      <c r="H10" s="141">
        <v>128525.0917</v>
      </c>
      <c r="I10" s="147">
        <f t="shared" si="0"/>
        <v>0.24910839927679077</v>
      </c>
    </row>
    <row r="11" spans="1:9">
      <c r="A11" s="139" t="s">
        <v>274</v>
      </c>
      <c r="B11" s="140" t="s">
        <v>233</v>
      </c>
      <c r="C11" s="141">
        <v>5399.8710000000001</v>
      </c>
      <c r="D11" s="140">
        <v>30.29</v>
      </c>
      <c r="E11" s="140">
        <v>37.036200000000001</v>
      </c>
      <c r="F11" s="141">
        <v>199990.82519999999</v>
      </c>
      <c r="G11" s="141">
        <v>163562.0926</v>
      </c>
      <c r="H11" s="141">
        <v>-36428.732600000003</v>
      </c>
      <c r="I11" s="147">
        <f t="shared" si="0"/>
        <v>-0.18215201904172154</v>
      </c>
    </row>
    <row r="12" spans="1:9">
      <c r="A12" s="139" t="s">
        <v>253</v>
      </c>
      <c r="B12" s="140" t="s">
        <v>235</v>
      </c>
      <c r="C12" s="140">
        <v>198.16300000000001</v>
      </c>
      <c r="D12" s="140">
        <v>132.63749999999999</v>
      </c>
      <c r="E12" s="140">
        <v>126.1525</v>
      </c>
      <c r="F12" s="141">
        <v>24998.7484</v>
      </c>
      <c r="G12" s="141">
        <v>26283.8449</v>
      </c>
      <c r="H12" s="141">
        <v>1285.0966000000001</v>
      </c>
      <c r="I12" s="147">
        <f t="shared" si="0"/>
        <v>5.1406437611892605E-2</v>
      </c>
    </row>
    <row r="13" spans="1:9">
      <c r="A13" s="139" t="s">
        <v>348</v>
      </c>
      <c r="B13" s="140" t="s">
        <v>241</v>
      </c>
      <c r="C13" s="140">
        <v>197.84399999999999</v>
      </c>
      <c r="D13" s="140">
        <v>148.99520000000001</v>
      </c>
      <c r="E13" s="140">
        <v>126.3557</v>
      </c>
      <c r="F13" s="141">
        <v>24998.7091</v>
      </c>
      <c r="G13" s="141">
        <v>29477.8063</v>
      </c>
      <c r="H13" s="141">
        <v>4479.0972000000002</v>
      </c>
      <c r="I13" s="147">
        <f t="shared" si="0"/>
        <v>0.1791731397842459</v>
      </c>
    </row>
    <row r="14" spans="1:9">
      <c r="A14" s="142" t="s">
        <v>255</v>
      </c>
      <c r="B14" s="143" t="s">
        <v>241</v>
      </c>
      <c r="C14" s="144">
        <v>18996.168000000001</v>
      </c>
      <c r="D14" s="143">
        <v>14.933999999999999</v>
      </c>
      <c r="E14" s="143">
        <v>9.4700000000000006</v>
      </c>
      <c r="F14" s="144">
        <v>179893.71100000001</v>
      </c>
      <c r="G14" s="144">
        <v>283688.77289999998</v>
      </c>
      <c r="H14" s="144">
        <v>103795.06200000001</v>
      </c>
      <c r="I14" s="147">
        <f t="shared" si="0"/>
        <v>0.57697993678055814</v>
      </c>
    </row>
    <row r="15" spans="1:9">
      <c r="A15" s="74" t="s">
        <v>11</v>
      </c>
      <c r="B15" s="75"/>
      <c r="C15" s="75">
        <f>SUM(C2:C14)</f>
        <v>86574.972000000009</v>
      </c>
      <c r="D15" s="75"/>
      <c r="E15" s="75"/>
      <c r="F15" s="75">
        <f t="shared" ref="F15:H15" si="1">SUM(F2:F14)</f>
        <v>3268520.1707000006</v>
      </c>
      <c r="G15" s="75">
        <f t="shared" si="1"/>
        <v>4527153.1409000009</v>
      </c>
      <c r="H15" s="75">
        <f t="shared" si="1"/>
        <v>1258632.9701999999</v>
      </c>
      <c r="I15" s="53">
        <f t="shared" si="0"/>
        <v>0.38507731464617073</v>
      </c>
    </row>
  </sheetData>
  <hyperlinks>
    <hyperlink ref="A2" r:id="rId1" location="/mf/1831632/15690/NULL" xr:uid="{8579C472-5702-4525-9579-37397C6D6F04}"/>
    <hyperlink ref="A3" r:id="rId2" location="/mf/1831632/22335/NULL" xr:uid="{49135B41-4C31-4314-AC39-FDFC5B440138}"/>
    <hyperlink ref="A4" r:id="rId3" location="/mf/1831632/16071/NULL" xr:uid="{FE7B1028-4BE5-4EC6-A45E-307B5FC90A06}"/>
    <hyperlink ref="A5" r:id="rId4" location="/mf/1831632/16617/NULL" xr:uid="{E2720348-3301-4B69-8609-67CCB32FADA2}"/>
    <hyperlink ref="A6" r:id="rId5" location="/mf/1831632/17134/NULL" xr:uid="{554527DD-A276-4987-8DB3-A44EB606CC83}"/>
    <hyperlink ref="A7" r:id="rId6" location="/mf/1831632/38228/NULL" xr:uid="{FAAB1B88-A95C-4F32-976F-4D7417096EDA}"/>
    <hyperlink ref="A8" r:id="rId7" location="/mf/1831632/42135/NULL" xr:uid="{79FDB858-7BA9-4899-BB63-21BAE28EF542}"/>
    <hyperlink ref="A9" r:id="rId8" location="/mf/1831632/41574/NULL" xr:uid="{688AFB9E-7876-47BA-9766-E750F4159BC2}"/>
    <hyperlink ref="A10" r:id="rId9" location="/mf/1831632/19701/NULL" xr:uid="{926D953B-F4D2-4B0C-B9BD-78E8AF2515EE}"/>
    <hyperlink ref="A11" r:id="rId10" location="/mf/1831632/17348/NULL" xr:uid="{F02D05BB-470B-4F01-AE32-18FC4C44166C}"/>
    <hyperlink ref="A12" r:id="rId11" location="/mf/1831632/17375/NULL" xr:uid="{4BC7510A-00C5-4B53-995E-964CFE48959E}"/>
    <hyperlink ref="A13" r:id="rId12" location="/mf/1831632/16955/NULL" xr:uid="{237A2AAC-7E63-4CC6-8A32-5D17088ACE02}"/>
    <hyperlink ref="A14" r:id="rId13" location="/mf/1831632/36491/NULL" xr:uid="{E3B3000B-A2C5-4C54-8CD5-0E03EF7D2A25}"/>
  </hyperlinks>
  <pageMargins left="0.7" right="0.7" top="0.75" bottom="0.75" header="0.3" footer="0.3"/>
  <pageSetup paperSize="9"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03D8-2597-49DD-8F78-6AA36009C55D}">
  <dimension ref="A1:H94"/>
  <sheetViews>
    <sheetView topLeftCell="A78" workbookViewId="0">
      <selection activeCell="H94" sqref="H94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>
      <c r="A1" s="137" t="s">
        <v>349</v>
      </c>
      <c r="B1" s="138" t="s">
        <v>225</v>
      </c>
      <c r="C1" s="138" t="s">
        <v>226</v>
      </c>
      <c r="D1" s="138" t="s">
        <v>350</v>
      </c>
      <c r="E1" s="138" t="s">
        <v>228</v>
      </c>
      <c r="F1" s="138" t="s">
        <v>229</v>
      </c>
      <c r="G1" s="138" t="s">
        <v>351</v>
      </c>
      <c r="H1" s="62" t="s">
        <v>142</v>
      </c>
    </row>
    <row r="2" spans="1:8">
      <c r="A2" s="139" t="s">
        <v>352</v>
      </c>
      <c r="B2" s="140">
        <v>43</v>
      </c>
      <c r="C2" s="141">
        <v>1264.6500000000001</v>
      </c>
      <c r="D2" s="141">
        <v>1183.9402</v>
      </c>
      <c r="E2" s="141">
        <v>50909.43</v>
      </c>
      <c r="F2" s="141">
        <v>54379.95</v>
      </c>
      <c r="G2" s="141">
        <v>3470.52</v>
      </c>
      <c r="H2" s="136">
        <f t="shared" ref="H2:H65" si="0">G2/E2</f>
        <v>6.8170474507375151E-2</v>
      </c>
    </row>
    <row r="3" spans="1:8">
      <c r="A3" s="139" t="s">
        <v>353</v>
      </c>
      <c r="B3" s="140">
        <v>13</v>
      </c>
      <c r="C3" s="141">
        <v>3020.25</v>
      </c>
      <c r="D3" s="141">
        <v>2592.5562</v>
      </c>
      <c r="E3" s="141">
        <v>33703.230000000003</v>
      </c>
      <c r="F3" s="141">
        <v>39263.25</v>
      </c>
      <c r="G3" s="141">
        <v>5560.02</v>
      </c>
      <c r="H3" s="136">
        <f t="shared" si="0"/>
        <v>0.1649699450171393</v>
      </c>
    </row>
    <row r="4" spans="1:8">
      <c r="A4" s="139" t="s">
        <v>354</v>
      </c>
      <c r="B4" s="140">
        <v>250</v>
      </c>
      <c r="C4" s="140">
        <v>189.2</v>
      </c>
      <c r="D4" s="140">
        <v>183.58799999999999</v>
      </c>
      <c r="E4" s="141">
        <v>45897</v>
      </c>
      <c r="F4" s="141">
        <v>47300</v>
      </c>
      <c r="G4" s="141">
        <v>1403</v>
      </c>
      <c r="H4" s="136">
        <f t="shared" si="0"/>
        <v>3.0568446739438308E-2</v>
      </c>
    </row>
    <row r="5" spans="1:8">
      <c r="A5" s="139" t="s">
        <v>355</v>
      </c>
      <c r="B5" s="140">
        <v>14</v>
      </c>
      <c r="C5" s="141">
        <v>2772.95</v>
      </c>
      <c r="D5" s="141">
        <v>2411.0428999999999</v>
      </c>
      <c r="E5" s="141">
        <v>33754.6</v>
      </c>
      <c r="F5" s="141">
        <v>38821.300000000003</v>
      </c>
      <c r="G5" s="141">
        <v>5066.7</v>
      </c>
      <c r="H5" s="136">
        <f t="shared" si="0"/>
        <v>0.1501039858271169</v>
      </c>
    </row>
    <row r="6" spans="1:8">
      <c r="A6" s="139" t="s">
        <v>356</v>
      </c>
      <c r="B6" s="140">
        <v>72</v>
      </c>
      <c r="C6" s="140">
        <v>578.29999999999995</v>
      </c>
      <c r="D6" s="140">
        <v>578.21939999999995</v>
      </c>
      <c r="E6" s="141">
        <v>41631.800000000003</v>
      </c>
      <c r="F6" s="141">
        <v>41637.599999999999</v>
      </c>
      <c r="G6" s="140">
        <v>5.8</v>
      </c>
      <c r="H6" s="136">
        <f t="shared" si="0"/>
        <v>1.3931658011423958E-4</v>
      </c>
    </row>
    <row r="7" spans="1:8">
      <c r="A7" s="139" t="s">
        <v>357</v>
      </c>
      <c r="B7" s="140">
        <v>12</v>
      </c>
      <c r="C7" s="141">
        <v>3386.85</v>
      </c>
      <c r="D7" s="141">
        <v>3205.395</v>
      </c>
      <c r="E7" s="141">
        <v>38464.74</v>
      </c>
      <c r="F7" s="141">
        <v>40642.199999999997</v>
      </c>
      <c r="G7" s="141">
        <v>2177.46</v>
      </c>
      <c r="H7" s="136">
        <f t="shared" si="0"/>
        <v>5.6609247846209285E-2</v>
      </c>
    </row>
    <row r="8" spans="1:8">
      <c r="A8" s="139" t="s">
        <v>358</v>
      </c>
      <c r="B8" s="140">
        <v>76</v>
      </c>
      <c r="C8" s="140">
        <v>645.15</v>
      </c>
      <c r="D8" s="140">
        <v>603.67700000000002</v>
      </c>
      <c r="E8" s="141">
        <v>45879.45</v>
      </c>
      <c r="F8" s="141">
        <v>49031.4</v>
      </c>
      <c r="G8" s="141">
        <v>3151.95</v>
      </c>
      <c r="H8" s="136">
        <f t="shared" si="0"/>
        <v>6.8700692793832535E-2</v>
      </c>
    </row>
    <row r="9" spans="1:8">
      <c r="A9" s="139" t="s">
        <v>359</v>
      </c>
      <c r="B9" s="140">
        <v>20</v>
      </c>
      <c r="C9" s="141">
        <v>3623.55</v>
      </c>
      <c r="D9" s="141">
        <v>2859.69</v>
      </c>
      <c r="E9" s="141">
        <v>57193.8</v>
      </c>
      <c r="F9" s="141">
        <v>72471</v>
      </c>
      <c r="G9" s="141">
        <v>15277.2</v>
      </c>
      <c r="H9" s="136">
        <f t="shared" si="0"/>
        <v>0.26711286887739583</v>
      </c>
    </row>
    <row r="10" spans="1:8">
      <c r="A10" s="139" t="s">
        <v>360</v>
      </c>
      <c r="B10" s="140">
        <v>2</v>
      </c>
      <c r="C10" s="141">
        <v>5614.8</v>
      </c>
      <c r="D10" s="141">
        <v>6752.4750000000004</v>
      </c>
      <c r="E10" s="141">
        <v>13504.95</v>
      </c>
      <c r="F10" s="141">
        <v>11229.6</v>
      </c>
      <c r="G10" s="141">
        <v>-2275.35</v>
      </c>
      <c r="H10" s="136">
        <f t="shared" si="0"/>
        <v>-0.16848266746637341</v>
      </c>
    </row>
    <row r="11" spans="1:8">
      <c r="A11" s="139" t="s">
        <v>361</v>
      </c>
      <c r="B11" s="140">
        <v>10</v>
      </c>
      <c r="C11" s="141">
        <v>2172</v>
      </c>
      <c r="D11" s="141">
        <v>1889.8620000000001</v>
      </c>
      <c r="E11" s="141">
        <v>18898.62</v>
      </c>
      <c r="F11" s="141">
        <v>21720</v>
      </c>
      <c r="G11" s="141">
        <v>2821.38</v>
      </c>
      <c r="H11" s="136">
        <f t="shared" si="0"/>
        <v>0.14929026563844344</v>
      </c>
    </row>
    <row r="12" spans="1:8">
      <c r="A12" s="139" t="s">
        <v>362</v>
      </c>
      <c r="B12" s="140">
        <v>180</v>
      </c>
      <c r="C12" s="140">
        <v>673.4</v>
      </c>
      <c r="D12" s="140">
        <v>322.88889999999998</v>
      </c>
      <c r="E12" s="141">
        <v>58120</v>
      </c>
      <c r="F12" s="141">
        <v>121212</v>
      </c>
      <c r="G12" s="141">
        <v>63092</v>
      </c>
      <c r="H12" s="136">
        <f t="shared" si="0"/>
        <v>1.0855471438403304</v>
      </c>
    </row>
    <row r="13" spans="1:8">
      <c r="A13" s="139" t="s">
        <v>363</v>
      </c>
      <c r="B13" s="140">
        <v>54</v>
      </c>
      <c r="C13" s="140">
        <v>444.2</v>
      </c>
      <c r="D13" s="140">
        <v>414.23329999999999</v>
      </c>
      <c r="E13" s="141">
        <v>22368.6</v>
      </c>
      <c r="F13" s="141">
        <v>23986.799999999999</v>
      </c>
      <c r="G13" s="141">
        <v>1618.2</v>
      </c>
      <c r="H13" s="136">
        <f t="shared" si="0"/>
        <v>7.2342480083688751E-2</v>
      </c>
    </row>
    <row r="14" spans="1:8">
      <c r="A14" s="139" t="s">
        <v>364</v>
      </c>
      <c r="B14" s="140">
        <v>14</v>
      </c>
      <c r="C14" s="141">
        <v>3582.5</v>
      </c>
      <c r="D14" s="141">
        <v>3489.9357</v>
      </c>
      <c r="E14" s="141">
        <v>48859.1</v>
      </c>
      <c r="F14" s="141">
        <v>50155</v>
      </c>
      <c r="G14" s="141">
        <v>1295.9000000000001</v>
      </c>
      <c r="H14" s="136">
        <f t="shared" si="0"/>
        <v>2.6523206526522188E-2</v>
      </c>
    </row>
    <row r="15" spans="1:8">
      <c r="A15" s="139" t="s">
        <v>365</v>
      </c>
      <c r="B15" s="140">
        <v>180</v>
      </c>
      <c r="C15" s="140">
        <v>103.85</v>
      </c>
      <c r="D15" s="140">
        <v>155.25</v>
      </c>
      <c r="E15" s="141">
        <v>27945</v>
      </c>
      <c r="F15" s="141">
        <v>18693</v>
      </c>
      <c r="G15" s="141">
        <v>-9252</v>
      </c>
      <c r="H15" s="136">
        <f t="shared" si="0"/>
        <v>-0.33107890499194848</v>
      </c>
    </row>
    <row r="16" spans="1:8">
      <c r="A16" s="139" t="s">
        <v>366</v>
      </c>
      <c r="B16" s="140">
        <v>47</v>
      </c>
      <c r="C16" s="140">
        <v>950.1</v>
      </c>
      <c r="D16" s="140">
        <v>723.86940000000004</v>
      </c>
      <c r="E16" s="141">
        <v>34021.86</v>
      </c>
      <c r="F16" s="141">
        <v>44654.7</v>
      </c>
      <c r="G16" s="141">
        <v>10632.84</v>
      </c>
      <c r="H16" s="136">
        <f t="shared" si="0"/>
        <v>0.31252965005440619</v>
      </c>
    </row>
    <row r="17" spans="1:8">
      <c r="A17" s="139" t="s">
        <v>367</v>
      </c>
      <c r="B17" s="140">
        <v>250</v>
      </c>
      <c r="C17" s="140">
        <v>183.25</v>
      </c>
      <c r="D17" s="140">
        <v>163.66999999999999</v>
      </c>
      <c r="E17" s="141">
        <v>40917.5</v>
      </c>
      <c r="F17" s="141">
        <v>45812.5</v>
      </c>
      <c r="G17" s="141">
        <v>4895</v>
      </c>
      <c r="H17" s="136">
        <f t="shared" si="0"/>
        <v>0.11963096474613552</v>
      </c>
    </row>
    <row r="18" spans="1:8">
      <c r="A18" s="139" t="s">
        <v>368</v>
      </c>
      <c r="B18" s="140">
        <v>5</v>
      </c>
      <c r="C18" s="141">
        <v>3485.7</v>
      </c>
      <c r="D18" s="141">
        <v>4510.8599999999997</v>
      </c>
      <c r="E18" s="141">
        <v>22554.3</v>
      </c>
      <c r="F18" s="141">
        <v>17428.5</v>
      </c>
      <c r="G18" s="141">
        <v>-5125.8</v>
      </c>
      <c r="H18" s="136">
        <f t="shared" si="0"/>
        <v>-0.22726486745321292</v>
      </c>
    </row>
    <row r="19" spans="1:8">
      <c r="A19" s="139" t="s">
        <v>369</v>
      </c>
      <c r="B19" s="140">
        <v>35</v>
      </c>
      <c r="C19" s="141">
        <v>1514.8</v>
      </c>
      <c r="D19" s="141">
        <v>1545.4429</v>
      </c>
      <c r="E19" s="141">
        <v>54090.5</v>
      </c>
      <c r="F19" s="141">
        <v>53018</v>
      </c>
      <c r="G19" s="141">
        <v>-1072.5</v>
      </c>
      <c r="H19" s="136">
        <f t="shared" si="0"/>
        <v>-1.9827881051201226E-2</v>
      </c>
    </row>
    <row r="20" spans="1:8">
      <c r="A20" s="139" t="s">
        <v>370</v>
      </c>
      <c r="B20" s="140">
        <v>72</v>
      </c>
      <c r="C20" s="140">
        <v>510.9</v>
      </c>
      <c r="D20" s="140">
        <v>561.02419999999995</v>
      </c>
      <c r="E20" s="141">
        <v>40393.74</v>
      </c>
      <c r="F20" s="141">
        <v>36784.800000000003</v>
      </c>
      <c r="G20" s="141">
        <v>-3608.94</v>
      </c>
      <c r="H20" s="136">
        <f t="shared" si="0"/>
        <v>-8.9344041923327733E-2</v>
      </c>
    </row>
    <row r="21" spans="1:8">
      <c r="A21" s="139" t="s">
        <v>371</v>
      </c>
      <c r="B21" s="140">
        <v>11</v>
      </c>
      <c r="C21" s="141">
        <v>3634.8</v>
      </c>
      <c r="D21" s="141">
        <v>2298.1581999999999</v>
      </c>
      <c r="E21" s="141">
        <v>25279.74</v>
      </c>
      <c r="F21" s="141">
        <v>39982.800000000003</v>
      </c>
      <c r="G21" s="141">
        <v>14703.06</v>
      </c>
      <c r="H21" s="136">
        <f t="shared" si="0"/>
        <v>0.58161436786928977</v>
      </c>
    </row>
    <row r="22" spans="1:8">
      <c r="A22" s="139" t="s">
        <v>372</v>
      </c>
      <c r="B22" s="140">
        <v>55</v>
      </c>
      <c r="C22" s="140">
        <v>323.3</v>
      </c>
      <c r="D22" s="140">
        <v>325.14240000000001</v>
      </c>
      <c r="E22" s="141">
        <v>17882.830000000002</v>
      </c>
      <c r="F22" s="141">
        <v>17781.5</v>
      </c>
      <c r="G22" s="140">
        <v>-101.33</v>
      </c>
      <c r="H22" s="136">
        <f t="shared" si="0"/>
        <v>-5.6663290989177884E-3</v>
      </c>
    </row>
    <row r="23" spans="1:8">
      <c r="A23" s="139" t="s">
        <v>373</v>
      </c>
      <c r="B23" s="140">
        <v>4</v>
      </c>
      <c r="C23" s="141">
        <v>2235.8000000000002</v>
      </c>
      <c r="D23" s="141">
        <v>2888.8249999999998</v>
      </c>
      <c r="E23" s="141">
        <v>11555.3</v>
      </c>
      <c r="F23" s="141">
        <v>8943.2000000000007</v>
      </c>
      <c r="G23" s="141">
        <v>-2612.1</v>
      </c>
      <c r="H23" s="136">
        <f t="shared" si="0"/>
        <v>-0.22605211461407321</v>
      </c>
    </row>
    <row r="24" spans="1:8">
      <c r="A24" s="139" t="s">
        <v>374</v>
      </c>
      <c r="B24" s="140">
        <v>10</v>
      </c>
      <c r="C24" s="141">
        <v>2783.3</v>
      </c>
      <c r="D24" s="141">
        <v>2469.0340000000001</v>
      </c>
      <c r="E24" s="141">
        <v>24690.34</v>
      </c>
      <c r="F24" s="141">
        <v>27833</v>
      </c>
      <c r="G24" s="141">
        <v>3142.66</v>
      </c>
      <c r="H24" s="136">
        <f t="shared" si="0"/>
        <v>0.12728297787717788</v>
      </c>
    </row>
    <row r="25" spans="1:8">
      <c r="A25" s="139" t="s">
        <v>375</v>
      </c>
      <c r="B25" s="140">
        <v>61</v>
      </c>
      <c r="C25" s="140">
        <v>371.4</v>
      </c>
      <c r="D25" s="140">
        <v>360.97</v>
      </c>
      <c r="E25" s="141">
        <v>22019.17</v>
      </c>
      <c r="F25" s="141">
        <v>22655.4</v>
      </c>
      <c r="G25" s="140">
        <v>636.23</v>
      </c>
      <c r="H25" s="136">
        <f t="shared" si="0"/>
        <v>2.889436795301549E-2</v>
      </c>
    </row>
    <row r="26" spans="1:8">
      <c r="A26" s="139" t="s">
        <v>376</v>
      </c>
      <c r="B26" s="140">
        <v>31</v>
      </c>
      <c r="C26" s="141">
        <v>1412.05</v>
      </c>
      <c r="D26" s="141">
        <v>1356.4474</v>
      </c>
      <c r="E26" s="141">
        <v>42049.87</v>
      </c>
      <c r="F26" s="141">
        <v>43773.55</v>
      </c>
      <c r="G26" s="141">
        <v>1723.68</v>
      </c>
      <c r="H26" s="136">
        <f t="shared" si="0"/>
        <v>4.0991327678301978E-2</v>
      </c>
    </row>
    <row r="27" spans="1:8">
      <c r="A27" s="139" t="s">
        <v>377</v>
      </c>
      <c r="B27" s="140">
        <v>68</v>
      </c>
      <c r="C27" s="140">
        <v>653.04999999999995</v>
      </c>
      <c r="D27" s="140">
        <v>715.68089999999995</v>
      </c>
      <c r="E27" s="141">
        <v>48666.3</v>
      </c>
      <c r="F27" s="141">
        <v>44407.4</v>
      </c>
      <c r="G27" s="141">
        <v>-4258.8999999999996</v>
      </c>
      <c r="H27" s="136">
        <f t="shared" si="0"/>
        <v>-8.7512303174886924E-2</v>
      </c>
    </row>
    <row r="28" spans="1:8">
      <c r="A28" s="139" t="s">
        <v>378</v>
      </c>
      <c r="B28" s="140">
        <v>306</v>
      </c>
      <c r="C28" s="140">
        <v>141.55000000000001</v>
      </c>
      <c r="D28" s="140">
        <v>184.8879</v>
      </c>
      <c r="E28" s="141">
        <v>56575.71</v>
      </c>
      <c r="F28" s="141">
        <v>43314.3</v>
      </c>
      <c r="G28" s="141">
        <v>-13261.41</v>
      </c>
      <c r="H28" s="136">
        <f t="shared" si="0"/>
        <v>-0.23440112373313565</v>
      </c>
    </row>
    <row r="29" spans="1:8">
      <c r="A29" s="139" t="s">
        <v>379</v>
      </c>
      <c r="B29" s="140">
        <v>521</v>
      </c>
      <c r="C29" s="140">
        <v>93.6</v>
      </c>
      <c r="D29" s="140">
        <v>75.530299999999997</v>
      </c>
      <c r="E29" s="141">
        <v>39351.279999999999</v>
      </c>
      <c r="F29" s="141">
        <v>48765.599999999999</v>
      </c>
      <c r="G29" s="141">
        <v>9414.32</v>
      </c>
      <c r="H29" s="136">
        <f t="shared" si="0"/>
        <v>0.23923796125564403</v>
      </c>
    </row>
    <row r="30" spans="1:8">
      <c r="A30" s="139" t="s">
        <v>380</v>
      </c>
      <c r="B30" s="140">
        <v>111</v>
      </c>
      <c r="C30" s="140">
        <v>115.6</v>
      </c>
      <c r="D30" s="140">
        <v>145.31319999999999</v>
      </c>
      <c r="E30" s="141">
        <v>16129.76</v>
      </c>
      <c r="F30" s="141">
        <v>12831.6</v>
      </c>
      <c r="G30" s="141">
        <v>-3298.16</v>
      </c>
      <c r="H30" s="136">
        <f t="shared" si="0"/>
        <v>-0.20447669401156618</v>
      </c>
    </row>
    <row r="31" spans="1:8">
      <c r="A31" s="139" t="s">
        <v>381</v>
      </c>
      <c r="B31" s="140">
        <v>38</v>
      </c>
      <c r="C31" s="140">
        <v>584.6</v>
      </c>
      <c r="D31" s="140">
        <v>657.8</v>
      </c>
      <c r="E31" s="141">
        <v>24996.400000000001</v>
      </c>
      <c r="F31" s="141">
        <v>22214.799999999999</v>
      </c>
      <c r="G31" s="141">
        <v>-2781.6</v>
      </c>
      <c r="H31" s="136">
        <f t="shared" si="0"/>
        <v>-0.11128002432350258</v>
      </c>
    </row>
    <row r="32" spans="1:8">
      <c r="A32" s="139" t="s">
        <v>382</v>
      </c>
      <c r="B32" s="140">
        <v>14</v>
      </c>
      <c r="C32" s="141">
        <v>2655.9</v>
      </c>
      <c r="D32" s="141">
        <v>3701.7964000000002</v>
      </c>
      <c r="E32" s="141">
        <v>51825.15</v>
      </c>
      <c r="F32" s="141">
        <v>37182.6</v>
      </c>
      <c r="G32" s="141">
        <v>-14642.55</v>
      </c>
      <c r="H32" s="136">
        <f t="shared" si="0"/>
        <v>-0.28253753245287277</v>
      </c>
    </row>
    <row r="33" spans="1:8">
      <c r="A33" s="139" t="s">
        <v>383</v>
      </c>
      <c r="B33" s="140">
        <v>13</v>
      </c>
      <c r="C33" s="141">
        <v>1227.4000000000001</v>
      </c>
      <c r="D33" s="141">
        <v>1617.2192</v>
      </c>
      <c r="E33" s="141">
        <v>21023.85</v>
      </c>
      <c r="F33" s="141">
        <v>15956.2</v>
      </c>
      <c r="G33" s="141">
        <v>-5067.6499999999996</v>
      </c>
      <c r="H33" s="136">
        <f t="shared" si="0"/>
        <v>-0.24104291078941298</v>
      </c>
    </row>
    <row r="34" spans="1:8">
      <c r="A34" s="139" t="s">
        <v>384</v>
      </c>
      <c r="B34" s="140">
        <v>30</v>
      </c>
      <c r="C34" s="140">
        <v>976.35</v>
      </c>
      <c r="D34" s="141">
        <v>1087.0487000000001</v>
      </c>
      <c r="E34" s="141">
        <v>32611.46</v>
      </c>
      <c r="F34" s="141">
        <v>29290.5</v>
      </c>
      <c r="G34" s="141">
        <v>-3320.96</v>
      </c>
      <c r="H34" s="136">
        <f t="shared" si="0"/>
        <v>-0.10183414051379484</v>
      </c>
    </row>
    <row r="35" spans="1:8">
      <c r="A35" s="139" t="s">
        <v>385</v>
      </c>
      <c r="B35" s="140">
        <v>48</v>
      </c>
      <c r="C35" s="141">
        <v>1353.65</v>
      </c>
      <c r="D35" s="141">
        <v>1429.3218999999999</v>
      </c>
      <c r="E35" s="141">
        <v>68607.45</v>
      </c>
      <c r="F35" s="141">
        <v>64975.199999999997</v>
      </c>
      <c r="G35" s="141">
        <v>-3632.25</v>
      </c>
      <c r="H35" s="136">
        <f t="shared" si="0"/>
        <v>-5.2942501142368655E-2</v>
      </c>
    </row>
    <row r="36" spans="1:8">
      <c r="A36" s="139" t="s">
        <v>386</v>
      </c>
      <c r="B36" s="140">
        <v>77</v>
      </c>
      <c r="C36" s="140">
        <v>565.54999999999995</v>
      </c>
      <c r="D36" s="140">
        <v>651.32079999999996</v>
      </c>
      <c r="E36" s="141">
        <v>50151.7</v>
      </c>
      <c r="F36" s="141">
        <v>43547.35</v>
      </c>
      <c r="G36" s="141">
        <v>-6604.35</v>
      </c>
      <c r="H36" s="136">
        <f t="shared" si="0"/>
        <v>-0.13168746024561481</v>
      </c>
    </row>
    <row r="37" spans="1:8">
      <c r="A37" s="139" t="s">
        <v>387</v>
      </c>
      <c r="B37" s="140">
        <v>12</v>
      </c>
      <c r="C37" s="141">
        <v>2759.9</v>
      </c>
      <c r="D37" s="141">
        <v>2815.9708000000001</v>
      </c>
      <c r="E37" s="141">
        <v>33791.65</v>
      </c>
      <c r="F37" s="141">
        <v>33118.800000000003</v>
      </c>
      <c r="G37" s="140">
        <v>-672.85</v>
      </c>
      <c r="H37" s="136">
        <f t="shared" si="0"/>
        <v>-1.9911723754241061E-2</v>
      </c>
    </row>
    <row r="38" spans="1:8">
      <c r="A38" s="139" t="s">
        <v>388</v>
      </c>
      <c r="B38" s="140">
        <v>43</v>
      </c>
      <c r="C38" s="140">
        <v>514.65</v>
      </c>
      <c r="D38" s="140">
        <v>586.95000000000005</v>
      </c>
      <c r="E38" s="141">
        <v>25238.85</v>
      </c>
      <c r="F38" s="141">
        <v>22129.95</v>
      </c>
      <c r="G38" s="141">
        <v>-3108.9</v>
      </c>
      <c r="H38" s="136">
        <f t="shared" si="0"/>
        <v>-0.1231791464349604</v>
      </c>
    </row>
    <row r="39" spans="1:8">
      <c r="A39" s="139" t="s">
        <v>389</v>
      </c>
      <c r="B39" s="140">
        <v>71</v>
      </c>
      <c r="C39" s="140">
        <v>341.25</v>
      </c>
      <c r="D39" s="140">
        <v>356.55</v>
      </c>
      <c r="E39" s="141">
        <v>25315.05</v>
      </c>
      <c r="F39" s="141">
        <v>24228.75</v>
      </c>
      <c r="G39" s="141">
        <v>-1086.3</v>
      </c>
      <c r="H39" s="136">
        <f t="shared" si="0"/>
        <v>-4.2911232646192676E-2</v>
      </c>
    </row>
    <row r="40" spans="1:8">
      <c r="A40" s="139" t="s">
        <v>390</v>
      </c>
      <c r="B40" s="140">
        <v>19</v>
      </c>
      <c r="C40" s="141">
        <v>2282.8000000000002</v>
      </c>
      <c r="D40" s="141">
        <v>2270.1867999999999</v>
      </c>
      <c r="E40" s="141">
        <v>43133.55</v>
      </c>
      <c r="F40" s="141">
        <v>43373.2</v>
      </c>
      <c r="G40" s="140">
        <v>239.65</v>
      </c>
      <c r="H40" s="136">
        <f t="shared" si="0"/>
        <v>5.5559999119015246E-3</v>
      </c>
    </row>
    <row r="41" spans="1:8">
      <c r="A41" s="139" t="s">
        <v>391</v>
      </c>
      <c r="B41" s="140">
        <v>87</v>
      </c>
      <c r="C41" s="140">
        <v>704</v>
      </c>
      <c r="D41" s="140">
        <v>548.67319999999995</v>
      </c>
      <c r="E41" s="141">
        <v>47734.57</v>
      </c>
      <c r="F41" s="141">
        <v>61248</v>
      </c>
      <c r="G41" s="141">
        <v>13513.43</v>
      </c>
      <c r="H41" s="136">
        <f t="shared" si="0"/>
        <v>0.28309524941776998</v>
      </c>
    </row>
    <row r="42" spans="1:8">
      <c r="A42" s="139" t="s">
        <v>392</v>
      </c>
      <c r="B42" s="140">
        <v>48</v>
      </c>
      <c r="C42" s="141">
        <v>1142.05</v>
      </c>
      <c r="D42" s="141">
        <v>1372.7882999999999</v>
      </c>
      <c r="E42" s="141">
        <v>65893.84</v>
      </c>
      <c r="F42" s="141">
        <v>54818.400000000001</v>
      </c>
      <c r="G42" s="141">
        <v>-11075.44</v>
      </c>
      <c r="H42" s="136">
        <f t="shared" si="0"/>
        <v>-0.16808005118536121</v>
      </c>
    </row>
    <row r="43" spans="1:8">
      <c r="A43" s="139" t="s">
        <v>393</v>
      </c>
      <c r="B43" s="140">
        <v>79</v>
      </c>
      <c r="C43" s="140">
        <v>499.8</v>
      </c>
      <c r="D43" s="140">
        <v>531.42780000000005</v>
      </c>
      <c r="E43" s="141">
        <v>41982.8</v>
      </c>
      <c r="F43" s="141">
        <v>39484.199999999997</v>
      </c>
      <c r="G43" s="141">
        <v>-2498.6</v>
      </c>
      <c r="H43" s="136">
        <f t="shared" si="0"/>
        <v>-5.9514848938136564E-2</v>
      </c>
    </row>
    <row r="44" spans="1:8">
      <c r="A44" s="139" t="s">
        <v>394</v>
      </c>
      <c r="B44" s="140">
        <v>54</v>
      </c>
      <c r="C44" s="140">
        <v>807.5</v>
      </c>
      <c r="D44" s="140">
        <v>988.10429999999997</v>
      </c>
      <c r="E44" s="141">
        <v>53357.63</v>
      </c>
      <c r="F44" s="141">
        <v>43605</v>
      </c>
      <c r="G44" s="141">
        <v>-9752.6299999999992</v>
      </c>
      <c r="H44" s="136">
        <f t="shared" si="0"/>
        <v>-0.18277854544888894</v>
      </c>
    </row>
    <row r="45" spans="1:8">
      <c r="A45" s="139" t="s">
        <v>395</v>
      </c>
      <c r="B45" s="140">
        <v>22</v>
      </c>
      <c r="C45" s="141">
        <v>1478.05</v>
      </c>
      <c r="D45" s="141">
        <v>1678.6318000000001</v>
      </c>
      <c r="E45" s="141">
        <v>36929.9</v>
      </c>
      <c r="F45" s="141">
        <v>32517.1</v>
      </c>
      <c r="G45" s="141">
        <v>-4412.8</v>
      </c>
      <c r="H45" s="136">
        <f t="shared" si="0"/>
        <v>-0.1194912523456603</v>
      </c>
    </row>
    <row r="46" spans="1:8">
      <c r="A46" s="139" t="s">
        <v>396</v>
      </c>
      <c r="B46" s="140">
        <v>770</v>
      </c>
      <c r="C46" s="140">
        <v>284.35000000000002</v>
      </c>
      <c r="D46" s="140">
        <v>227.3433</v>
      </c>
      <c r="E46" s="141">
        <v>175054.35</v>
      </c>
      <c r="F46" s="141">
        <v>218949.5</v>
      </c>
      <c r="G46" s="141">
        <v>43895.15</v>
      </c>
      <c r="H46" s="136">
        <f t="shared" si="0"/>
        <v>0.25075155230361312</v>
      </c>
    </row>
    <row r="47" spans="1:8">
      <c r="A47" s="139" t="s">
        <v>397</v>
      </c>
      <c r="B47" s="140">
        <v>27</v>
      </c>
      <c r="C47" s="141">
        <v>1568.85</v>
      </c>
      <c r="D47" s="140">
        <v>965.50850000000003</v>
      </c>
      <c r="E47" s="141">
        <v>26068.73</v>
      </c>
      <c r="F47" s="141">
        <v>42358.95</v>
      </c>
      <c r="G47" s="141">
        <v>16290.22</v>
      </c>
      <c r="H47" s="136">
        <f t="shared" si="0"/>
        <v>0.62489503708082439</v>
      </c>
    </row>
    <row r="48" spans="1:8">
      <c r="A48" s="139" t="s">
        <v>398</v>
      </c>
      <c r="B48" s="140">
        <v>38</v>
      </c>
      <c r="C48" s="141">
        <v>1669.95</v>
      </c>
      <c r="D48" s="141">
        <v>1711.2842000000001</v>
      </c>
      <c r="E48" s="141">
        <v>65028.800000000003</v>
      </c>
      <c r="F48" s="141">
        <v>63458.1</v>
      </c>
      <c r="G48" s="141">
        <v>-1570.7</v>
      </c>
      <c r="H48" s="136">
        <f t="shared" si="0"/>
        <v>-2.4153913343011098E-2</v>
      </c>
    </row>
    <row r="49" spans="1:8">
      <c r="A49" s="139" t="s">
        <v>399</v>
      </c>
      <c r="B49" s="140">
        <v>44</v>
      </c>
      <c r="C49" s="140">
        <v>499.45</v>
      </c>
      <c r="D49" s="140">
        <v>557.79859999999996</v>
      </c>
      <c r="E49" s="141">
        <v>24543.14</v>
      </c>
      <c r="F49" s="141">
        <v>21975.8</v>
      </c>
      <c r="G49" s="141">
        <v>-2567.34</v>
      </c>
      <c r="H49" s="136">
        <f t="shared" si="0"/>
        <v>-0.10460519721600416</v>
      </c>
    </row>
    <row r="50" spans="1:8">
      <c r="A50" s="139" t="s">
        <v>400</v>
      </c>
      <c r="B50" s="140">
        <v>5</v>
      </c>
      <c r="C50" s="141">
        <v>3999.7</v>
      </c>
      <c r="D50" s="141">
        <v>4717.7</v>
      </c>
      <c r="E50" s="141">
        <v>23588.5</v>
      </c>
      <c r="F50" s="141">
        <v>19998.5</v>
      </c>
      <c r="G50" s="141">
        <v>-3590</v>
      </c>
      <c r="H50" s="136">
        <f t="shared" si="0"/>
        <v>-0.15219280581639358</v>
      </c>
    </row>
    <row r="51" spans="1:8">
      <c r="A51" s="139" t="s">
        <v>401</v>
      </c>
      <c r="B51" s="140">
        <v>62</v>
      </c>
      <c r="C51" s="141">
        <v>1569.55</v>
      </c>
      <c r="D51" s="141">
        <v>1053.2161000000001</v>
      </c>
      <c r="E51" s="141">
        <v>65299.4</v>
      </c>
      <c r="F51" s="141">
        <v>97312.1</v>
      </c>
      <c r="G51" s="141">
        <v>32012.7</v>
      </c>
      <c r="H51" s="136">
        <f t="shared" si="0"/>
        <v>0.49024493333782548</v>
      </c>
    </row>
    <row r="52" spans="1:8">
      <c r="A52" s="139" t="s">
        <v>402</v>
      </c>
      <c r="B52" s="140">
        <v>29</v>
      </c>
      <c r="C52" s="141">
        <v>1108.4000000000001</v>
      </c>
      <c r="D52" s="140">
        <v>775.91719999999998</v>
      </c>
      <c r="E52" s="141">
        <v>22501.599999999999</v>
      </c>
      <c r="F52" s="141">
        <v>32143.599999999999</v>
      </c>
      <c r="G52" s="141">
        <v>9642</v>
      </c>
      <c r="H52" s="136">
        <f t="shared" si="0"/>
        <v>0.42850286201870091</v>
      </c>
    </row>
    <row r="53" spans="1:8">
      <c r="A53" s="139" t="s">
        <v>403</v>
      </c>
      <c r="B53" s="140">
        <v>118</v>
      </c>
      <c r="C53" s="140">
        <v>229.45</v>
      </c>
      <c r="D53" s="140">
        <v>184.30850000000001</v>
      </c>
      <c r="E53" s="141">
        <v>21748.400000000001</v>
      </c>
      <c r="F53" s="141">
        <v>27075.1</v>
      </c>
      <c r="G53" s="141">
        <v>5326.7</v>
      </c>
      <c r="H53" s="136">
        <f t="shared" si="0"/>
        <v>0.24492376450681427</v>
      </c>
    </row>
    <row r="54" spans="1:8">
      <c r="A54" s="139" t="s">
        <v>404</v>
      </c>
      <c r="B54" s="140">
        <v>72</v>
      </c>
      <c r="C54" s="140">
        <v>490.85</v>
      </c>
      <c r="D54" s="140">
        <v>468.00779999999997</v>
      </c>
      <c r="E54" s="141">
        <v>33696.559999999998</v>
      </c>
      <c r="F54" s="141">
        <v>35341.199999999997</v>
      </c>
      <c r="G54" s="141">
        <v>1644.64</v>
      </c>
      <c r="H54" s="136">
        <f t="shared" si="0"/>
        <v>4.8807356003105366E-2</v>
      </c>
    </row>
    <row r="55" spans="1:8">
      <c r="A55" s="139" t="s">
        <v>405</v>
      </c>
      <c r="B55" s="140">
        <v>21</v>
      </c>
      <c r="C55" s="140">
        <v>944.3</v>
      </c>
      <c r="D55" s="140">
        <v>631.17430000000002</v>
      </c>
      <c r="E55" s="141">
        <v>13254.66</v>
      </c>
      <c r="F55" s="141">
        <v>19830.3</v>
      </c>
      <c r="G55" s="141">
        <v>6575.64</v>
      </c>
      <c r="H55" s="136">
        <f t="shared" si="0"/>
        <v>0.49610023946295118</v>
      </c>
    </row>
    <row r="56" spans="1:8">
      <c r="A56" s="139" t="s">
        <v>406</v>
      </c>
      <c r="B56" s="140">
        <v>64</v>
      </c>
      <c r="C56" s="140">
        <v>344.52</v>
      </c>
      <c r="D56" s="140">
        <v>342.44</v>
      </c>
      <c r="E56" s="141">
        <v>21916.16</v>
      </c>
      <c r="F56" s="141">
        <v>22049.279999999999</v>
      </c>
      <c r="G56" s="140">
        <v>133.12</v>
      </c>
      <c r="H56" s="136">
        <f t="shared" si="0"/>
        <v>6.0740567690690346E-3</v>
      </c>
    </row>
    <row r="57" spans="1:8">
      <c r="A57" s="139" t="s">
        <v>407</v>
      </c>
      <c r="B57" s="140">
        <v>6</v>
      </c>
      <c r="C57" s="141">
        <v>2881.85</v>
      </c>
      <c r="D57" s="141">
        <v>3510.5666999999999</v>
      </c>
      <c r="E57" s="141">
        <v>21063.4</v>
      </c>
      <c r="F57" s="141">
        <v>17291.099999999999</v>
      </c>
      <c r="G57" s="141">
        <v>-3772.3</v>
      </c>
      <c r="H57" s="136">
        <f t="shared" si="0"/>
        <v>-0.17909264411253645</v>
      </c>
    </row>
    <row r="58" spans="1:8">
      <c r="A58" s="139" t="s">
        <v>408</v>
      </c>
      <c r="B58" s="140">
        <v>9</v>
      </c>
      <c r="C58" s="141">
        <v>2242.3000000000002</v>
      </c>
      <c r="D58" s="141">
        <v>2646.8656000000001</v>
      </c>
      <c r="E58" s="141">
        <v>23821.79</v>
      </c>
      <c r="F58" s="141">
        <v>20180.7</v>
      </c>
      <c r="G58" s="141">
        <v>-3641.09</v>
      </c>
      <c r="H58" s="136">
        <f t="shared" si="0"/>
        <v>-0.15284703626385759</v>
      </c>
    </row>
    <row r="59" spans="1:8">
      <c r="A59" s="139" t="s">
        <v>409</v>
      </c>
      <c r="B59" s="140">
        <v>305</v>
      </c>
      <c r="C59" s="140">
        <v>68.75</v>
      </c>
      <c r="D59" s="140">
        <v>82.65</v>
      </c>
      <c r="E59" s="141">
        <v>25208.25</v>
      </c>
      <c r="F59" s="141">
        <v>20968.75</v>
      </c>
      <c r="G59" s="141">
        <v>-4239.5</v>
      </c>
      <c r="H59" s="136">
        <f t="shared" si="0"/>
        <v>-0.16817906836055657</v>
      </c>
    </row>
    <row r="60" spans="1:8">
      <c r="A60" s="139" t="s">
        <v>410</v>
      </c>
      <c r="B60" s="140">
        <v>75</v>
      </c>
      <c r="C60" s="140">
        <v>742.25</v>
      </c>
      <c r="D60" s="140">
        <v>440.02730000000003</v>
      </c>
      <c r="E60" s="141">
        <v>33002.050000000003</v>
      </c>
      <c r="F60" s="141">
        <v>55668.75</v>
      </c>
      <c r="G60" s="141">
        <v>22666.7</v>
      </c>
      <c r="H60" s="136">
        <f t="shared" si="0"/>
        <v>0.68682703044204829</v>
      </c>
    </row>
    <row r="61" spans="1:8">
      <c r="A61" s="139" t="s">
        <v>411</v>
      </c>
      <c r="B61" s="140">
        <v>300</v>
      </c>
      <c r="C61" s="140">
        <v>131.15</v>
      </c>
      <c r="D61" s="140">
        <v>82.333299999999994</v>
      </c>
      <c r="E61" s="141">
        <v>24700</v>
      </c>
      <c r="F61" s="141">
        <v>39345</v>
      </c>
      <c r="G61" s="141">
        <v>14645</v>
      </c>
      <c r="H61" s="136">
        <f t="shared" si="0"/>
        <v>0.59291497975708507</v>
      </c>
    </row>
    <row r="62" spans="1:8">
      <c r="A62" s="139" t="s">
        <v>412</v>
      </c>
      <c r="B62" s="140">
        <v>92</v>
      </c>
      <c r="C62" s="140">
        <v>213.95</v>
      </c>
      <c r="D62" s="140">
        <v>273.49</v>
      </c>
      <c r="E62" s="141">
        <v>25161.08</v>
      </c>
      <c r="F62" s="141">
        <v>19683.400000000001</v>
      </c>
      <c r="G62" s="141">
        <v>-5477.68</v>
      </c>
      <c r="H62" s="136">
        <f t="shared" si="0"/>
        <v>-0.21770448645288676</v>
      </c>
    </row>
    <row r="63" spans="1:8">
      <c r="A63" s="139" t="s">
        <v>413</v>
      </c>
      <c r="B63" s="140">
        <v>10</v>
      </c>
      <c r="C63" s="141">
        <v>3061.15</v>
      </c>
      <c r="D63" s="141">
        <v>4030.9349999999999</v>
      </c>
      <c r="E63" s="141">
        <v>40309.35</v>
      </c>
      <c r="F63" s="141">
        <v>30611.5</v>
      </c>
      <c r="G63" s="141">
        <v>-9697.85</v>
      </c>
      <c r="H63" s="136">
        <f t="shared" si="0"/>
        <v>-0.24058562095394742</v>
      </c>
    </row>
    <row r="64" spans="1:8">
      <c r="A64" s="139" t="s">
        <v>414</v>
      </c>
      <c r="B64" s="140">
        <v>7</v>
      </c>
      <c r="C64" s="141">
        <v>3314.4</v>
      </c>
      <c r="D64" s="141">
        <v>3711.4286000000002</v>
      </c>
      <c r="E64" s="141">
        <v>25980</v>
      </c>
      <c r="F64" s="141">
        <v>23200.799999999999</v>
      </c>
      <c r="G64" s="141">
        <v>-2779.2</v>
      </c>
      <c r="H64" s="136">
        <f t="shared" si="0"/>
        <v>-0.10697459584295611</v>
      </c>
    </row>
    <row r="65" spans="1:8">
      <c r="A65" s="139" t="s">
        <v>415</v>
      </c>
      <c r="B65" s="140">
        <v>30</v>
      </c>
      <c r="C65" s="141">
        <v>1187.9000000000001</v>
      </c>
      <c r="D65" s="140">
        <v>860.11969999999997</v>
      </c>
      <c r="E65" s="141">
        <v>25803.59</v>
      </c>
      <c r="F65" s="141">
        <v>35637</v>
      </c>
      <c r="G65" s="141">
        <v>9833.41</v>
      </c>
      <c r="H65" s="136">
        <f t="shared" si="0"/>
        <v>0.38108689527309958</v>
      </c>
    </row>
    <row r="66" spans="1:8">
      <c r="A66" s="139" t="s">
        <v>416</v>
      </c>
      <c r="B66" s="140">
        <v>6</v>
      </c>
      <c r="C66" s="141">
        <v>2158.75</v>
      </c>
      <c r="D66" s="141">
        <v>2267.125</v>
      </c>
      <c r="E66" s="141">
        <v>13602.75</v>
      </c>
      <c r="F66" s="141">
        <v>12952.5</v>
      </c>
      <c r="G66" s="140">
        <v>-650.25</v>
      </c>
      <c r="H66" s="136">
        <f t="shared" ref="H66:H94" si="1">G66/E66</f>
        <v>-4.7802833985774937E-2</v>
      </c>
    </row>
    <row r="67" spans="1:8">
      <c r="A67" s="139" t="s">
        <v>417</v>
      </c>
      <c r="B67" s="140">
        <v>150</v>
      </c>
      <c r="C67" s="140">
        <v>162.4</v>
      </c>
      <c r="D67" s="140">
        <v>168</v>
      </c>
      <c r="E67" s="141">
        <v>25200</v>
      </c>
      <c r="F67" s="141">
        <v>24360</v>
      </c>
      <c r="G67" s="140">
        <v>-840</v>
      </c>
      <c r="H67" s="136">
        <f t="shared" si="1"/>
        <v>-3.3333333333333333E-2</v>
      </c>
    </row>
    <row r="68" spans="1:8">
      <c r="A68" s="139" t="s">
        <v>418</v>
      </c>
      <c r="B68" s="140">
        <v>10</v>
      </c>
      <c r="C68" s="140">
        <v>972.65</v>
      </c>
      <c r="D68" s="141">
        <v>1210.3499999999999</v>
      </c>
      <c r="E68" s="141">
        <v>12103.5</v>
      </c>
      <c r="F68" s="141">
        <v>9726.5</v>
      </c>
      <c r="G68" s="141">
        <v>-2377</v>
      </c>
      <c r="H68" s="136">
        <f t="shared" si="1"/>
        <v>-0.19638947411905647</v>
      </c>
    </row>
    <row r="69" spans="1:8">
      <c r="A69" s="139" t="s">
        <v>419</v>
      </c>
      <c r="B69" s="140">
        <v>128</v>
      </c>
      <c r="C69" s="140">
        <v>117.65</v>
      </c>
      <c r="D69" s="140">
        <v>168.637</v>
      </c>
      <c r="E69" s="141">
        <v>21585.54</v>
      </c>
      <c r="F69" s="141">
        <v>15059.2</v>
      </c>
      <c r="G69" s="141">
        <v>-6526.34</v>
      </c>
      <c r="H69" s="136">
        <f t="shared" si="1"/>
        <v>-0.302347775408908</v>
      </c>
    </row>
    <row r="70" spans="1:8">
      <c r="A70" s="139" t="s">
        <v>420</v>
      </c>
      <c r="B70" s="140">
        <v>43</v>
      </c>
      <c r="C70" s="141">
        <v>1099.7</v>
      </c>
      <c r="D70" s="141">
        <v>1028.1058</v>
      </c>
      <c r="E70" s="141">
        <v>44208.55</v>
      </c>
      <c r="F70" s="141">
        <v>47287.1</v>
      </c>
      <c r="G70" s="141">
        <v>3078.55</v>
      </c>
      <c r="H70" s="136">
        <f t="shared" si="1"/>
        <v>6.9636981986516189E-2</v>
      </c>
    </row>
    <row r="71" spans="1:8">
      <c r="A71" s="139" t="s">
        <v>421</v>
      </c>
      <c r="B71" s="140">
        <v>35</v>
      </c>
      <c r="C71" s="141">
        <v>2407.5</v>
      </c>
      <c r="D71" s="140">
        <v>984.23</v>
      </c>
      <c r="E71" s="141">
        <v>34448.050000000003</v>
      </c>
      <c r="F71" s="141">
        <v>84262.5</v>
      </c>
      <c r="G71" s="141">
        <v>49814.45</v>
      </c>
      <c r="H71" s="136">
        <f t="shared" si="1"/>
        <v>1.446074596384991</v>
      </c>
    </row>
    <row r="72" spans="1:8">
      <c r="A72" s="139" t="s">
        <v>422</v>
      </c>
      <c r="B72" s="140">
        <v>48</v>
      </c>
      <c r="C72" s="140">
        <v>523.25</v>
      </c>
      <c r="D72" s="140">
        <v>528.08000000000004</v>
      </c>
      <c r="E72" s="141">
        <v>25347.84</v>
      </c>
      <c r="F72" s="141">
        <v>25116</v>
      </c>
      <c r="G72" s="140">
        <v>-231.84</v>
      </c>
      <c r="H72" s="136">
        <f t="shared" si="1"/>
        <v>-9.1463414634146336E-3</v>
      </c>
    </row>
    <row r="73" spans="1:8">
      <c r="A73" s="139" t="s">
        <v>423</v>
      </c>
      <c r="B73" s="140">
        <v>22</v>
      </c>
      <c r="C73" s="140">
        <v>557.20000000000005</v>
      </c>
      <c r="D73" s="140">
        <v>597.13409999999999</v>
      </c>
      <c r="E73" s="141">
        <v>13136.95</v>
      </c>
      <c r="F73" s="141">
        <v>12258.4</v>
      </c>
      <c r="G73" s="140">
        <v>-878.55</v>
      </c>
      <c r="H73" s="136">
        <f t="shared" si="1"/>
        <v>-6.6876253620513124E-2</v>
      </c>
    </row>
    <row r="74" spans="1:8">
      <c r="A74" s="139" t="s">
        <v>424</v>
      </c>
      <c r="B74" s="140">
        <v>21</v>
      </c>
      <c r="C74" s="140">
        <v>567.35</v>
      </c>
      <c r="D74" s="140">
        <v>652.55709999999999</v>
      </c>
      <c r="E74" s="141">
        <v>13703.7</v>
      </c>
      <c r="F74" s="141">
        <v>11914.35</v>
      </c>
      <c r="G74" s="141">
        <v>-1789.35</v>
      </c>
      <c r="H74" s="136">
        <f t="shared" si="1"/>
        <v>-0.13057422447952011</v>
      </c>
    </row>
    <row r="75" spans="1:8">
      <c r="A75" s="139" t="s">
        <v>425</v>
      </c>
      <c r="B75" s="140">
        <v>117</v>
      </c>
      <c r="C75" s="140">
        <v>466.9</v>
      </c>
      <c r="D75" s="140">
        <v>291.97910000000002</v>
      </c>
      <c r="E75" s="141">
        <v>34161.550000000003</v>
      </c>
      <c r="F75" s="141">
        <v>54627.3</v>
      </c>
      <c r="G75" s="141">
        <v>20465.75</v>
      </c>
      <c r="H75" s="136">
        <f t="shared" si="1"/>
        <v>0.59908727794845373</v>
      </c>
    </row>
    <row r="76" spans="1:8">
      <c r="A76" s="139" t="s">
        <v>426</v>
      </c>
      <c r="B76" s="140">
        <v>149</v>
      </c>
      <c r="C76" s="140">
        <v>826.7</v>
      </c>
      <c r="D76" s="140">
        <v>500.25700000000001</v>
      </c>
      <c r="E76" s="141">
        <v>74538.3</v>
      </c>
      <c r="F76" s="141">
        <v>123178.3</v>
      </c>
      <c r="G76" s="141">
        <v>48640</v>
      </c>
      <c r="H76" s="136">
        <f t="shared" si="1"/>
        <v>0.65255043380382971</v>
      </c>
    </row>
    <row r="77" spans="1:8">
      <c r="A77" s="139" t="s">
        <v>427</v>
      </c>
      <c r="B77" s="140">
        <v>32</v>
      </c>
      <c r="C77" s="140">
        <v>734.2</v>
      </c>
      <c r="D77" s="140">
        <v>752.32749999999999</v>
      </c>
      <c r="E77" s="141">
        <v>24074.48</v>
      </c>
      <c r="F77" s="141">
        <v>23494.400000000001</v>
      </c>
      <c r="G77" s="140">
        <v>-580.08000000000004</v>
      </c>
      <c r="H77" s="136">
        <f t="shared" si="1"/>
        <v>-2.409522448667635E-2</v>
      </c>
    </row>
    <row r="78" spans="1:8">
      <c r="A78" s="139" t="s">
        <v>428</v>
      </c>
      <c r="B78" s="140">
        <v>45</v>
      </c>
      <c r="C78" s="140">
        <v>511.5</v>
      </c>
      <c r="D78" s="140">
        <v>368.55090000000001</v>
      </c>
      <c r="E78" s="141">
        <v>16584.79</v>
      </c>
      <c r="F78" s="141">
        <v>23017.5</v>
      </c>
      <c r="G78" s="141">
        <v>6432.71</v>
      </c>
      <c r="H78" s="136">
        <f t="shared" si="1"/>
        <v>0.38786804053593682</v>
      </c>
    </row>
    <row r="79" spans="1:8">
      <c r="A79" s="139" t="s">
        <v>429</v>
      </c>
      <c r="B79" s="140">
        <v>50</v>
      </c>
      <c r="C79" s="140">
        <v>334.6</v>
      </c>
      <c r="D79" s="140">
        <v>283.19240000000002</v>
      </c>
      <c r="E79" s="141">
        <v>14159.62</v>
      </c>
      <c r="F79" s="141">
        <v>16730</v>
      </c>
      <c r="G79" s="141">
        <v>2570.38</v>
      </c>
      <c r="H79" s="136">
        <f t="shared" si="1"/>
        <v>0.18152888283725127</v>
      </c>
    </row>
    <row r="80" spans="1:8">
      <c r="A80" s="139" t="s">
        <v>430</v>
      </c>
      <c r="B80" s="140">
        <v>57</v>
      </c>
      <c r="C80" s="140">
        <v>561</v>
      </c>
      <c r="D80" s="140">
        <v>468.04349999999999</v>
      </c>
      <c r="E80" s="141">
        <v>26678.48</v>
      </c>
      <c r="F80" s="141">
        <v>31977</v>
      </c>
      <c r="G80" s="141">
        <v>5298.52</v>
      </c>
      <c r="H80" s="136">
        <f t="shared" si="1"/>
        <v>0.19860651731283044</v>
      </c>
    </row>
    <row r="81" spans="1:8">
      <c r="A81" s="139" t="s">
        <v>431</v>
      </c>
      <c r="B81" s="140">
        <v>11</v>
      </c>
      <c r="C81" s="141">
        <v>3316.15</v>
      </c>
      <c r="D81" s="141">
        <v>3477.5682000000002</v>
      </c>
      <c r="E81" s="141">
        <v>38253.25</v>
      </c>
      <c r="F81" s="141">
        <v>36477.65</v>
      </c>
      <c r="G81" s="141">
        <v>-1775.6</v>
      </c>
      <c r="H81" s="136">
        <f t="shared" si="1"/>
        <v>-4.6416971107030122E-2</v>
      </c>
    </row>
    <row r="82" spans="1:8">
      <c r="A82" s="139" t="s">
        <v>432</v>
      </c>
      <c r="B82" s="140">
        <v>38</v>
      </c>
      <c r="C82" s="140">
        <v>720.7</v>
      </c>
      <c r="D82" s="140">
        <v>684.40920000000006</v>
      </c>
      <c r="E82" s="141">
        <v>26007.55</v>
      </c>
      <c r="F82" s="141">
        <v>27386.6</v>
      </c>
      <c r="G82" s="141">
        <v>1379.05</v>
      </c>
      <c r="H82" s="136">
        <f t="shared" si="1"/>
        <v>5.3024986974936121E-2</v>
      </c>
    </row>
    <row r="83" spans="1:8">
      <c r="A83" s="139" t="s">
        <v>433</v>
      </c>
      <c r="B83" s="140">
        <v>775</v>
      </c>
      <c r="C83" s="140">
        <v>198.25</v>
      </c>
      <c r="D83" s="140">
        <v>99.291600000000003</v>
      </c>
      <c r="E83" s="141">
        <v>76951</v>
      </c>
      <c r="F83" s="141">
        <v>153643.75</v>
      </c>
      <c r="G83" s="141">
        <v>76692.75</v>
      </c>
      <c r="H83" s="136">
        <f t="shared" si="1"/>
        <v>0.99664396823952905</v>
      </c>
    </row>
    <row r="84" spans="1:8">
      <c r="A84" s="139" t="s">
        <v>434</v>
      </c>
      <c r="B84" s="140">
        <v>105</v>
      </c>
      <c r="C84" s="140">
        <v>873.3</v>
      </c>
      <c r="D84" s="140">
        <v>404.76429999999999</v>
      </c>
      <c r="E84" s="141">
        <v>42500.25</v>
      </c>
      <c r="F84" s="141">
        <v>91696.5</v>
      </c>
      <c r="G84" s="141">
        <v>49196.25</v>
      </c>
      <c r="H84" s="136">
        <f t="shared" si="1"/>
        <v>1.1575520143999154</v>
      </c>
    </row>
    <row r="85" spans="1:8">
      <c r="A85" s="139" t="s">
        <v>435</v>
      </c>
      <c r="B85" s="140">
        <v>25</v>
      </c>
      <c r="C85" s="141">
        <v>1010.6</v>
      </c>
      <c r="D85" s="141">
        <v>1249.5840000000001</v>
      </c>
      <c r="E85" s="141">
        <v>31239.599999999999</v>
      </c>
      <c r="F85" s="141">
        <v>25265</v>
      </c>
      <c r="G85" s="141">
        <v>-5974.6</v>
      </c>
      <c r="H85" s="136">
        <f t="shared" si="1"/>
        <v>-0.19125084828230837</v>
      </c>
    </row>
    <row r="86" spans="1:8">
      <c r="A86" s="139" t="s">
        <v>436</v>
      </c>
      <c r="B86" s="140">
        <v>6</v>
      </c>
      <c r="C86" s="141">
        <v>1946.1</v>
      </c>
      <c r="D86" s="141">
        <v>2272.4499999999998</v>
      </c>
      <c r="E86" s="141">
        <v>13634.7</v>
      </c>
      <c r="F86" s="141">
        <v>11676.6</v>
      </c>
      <c r="G86" s="141">
        <v>-1958.1</v>
      </c>
      <c r="H86" s="136">
        <f t="shared" si="1"/>
        <v>-0.14361152060551385</v>
      </c>
    </row>
    <row r="87" spans="1:8">
      <c r="A87" s="139" t="s">
        <v>437</v>
      </c>
      <c r="B87" s="140">
        <v>93</v>
      </c>
      <c r="C87" s="140">
        <v>271.5</v>
      </c>
      <c r="D87" s="140">
        <v>271.33</v>
      </c>
      <c r="E87" s="141">
        <v>25233.69</v>
      </c>
      <c r="F87" s="141">
        <v>25249.5</v>
      </c>
      <c r="G87" s="140">
        <v>15.81</v>
      </c>
      <c r="H87" s="136">
        <f t="shared" si="1"/>
        <v>6.265433236280545E-4</v>
      </c>
    </row>
    <row r="88" spans="1:8">
      <c r="A88" s="139" t="s">
        <v>438</v>
      </c>
      <c r="B88" s="140">
        <v>40</v>
      </c>
      <c r="C88" s="140">
        <v>794.3</v>
      </c>
      <c r="D88" s="140">
        <v>447.65719999999999</v>
      </c>
      <c r="E88" s="141">
        <v>17906.29</v>
      </c>
      <c r="F88" s="141">
        <v>31772</v>
      </c>
      <c r="G88" s="141">
        <v>13865.71</v>
      </c>
      <c r="H88" s="136">
        <f t="shared" si="1"/>
        <v>0.77434856690023446</v>
      </c>
    </row>
    <row r="89" spans="1:8">
      <c r="A89" s="139" t="s">
        <v>439</v>
      </c>
      <c r="B89" s="140">
        <v>525</v>
      </c>
      <c r="C89" s="140">
        <v>12.65</v>
      </c>
      <c r="D89" s="140">
        <v>38.966700000000003</v>
      </c>
      <c r="E89" s="141">
        <v>20457.5</v>
      </c>
      <c r="F89" s="141">
        <v>6641.25</v>
      </c>
      <c r="G89" s="141">
        <v>-13816.25</v>
      </c>
      <c r="H89" s="136">
        <f t="shared" si="1"/>
        <v>-0.67536355859709152</v>
      </c>
    </row>
    <row r="90" spans="1:8">
      <c r="A90" s="142" t="s">
        <v>440</v>
      </c>
      <c r="B90" s="143">
        <v>29</v>
      </c>
      <c r="C90" s="144">
        <v>1625.55</v>
      </c>
      <c r="D90" s="144">
        <v>1910.6061999999999</v>
      </c>
      <c r="E90" s="144">
        <v>55407.58</v>
      </c>
      <c r="F90" s="144">
        <v>47140.95</v>
      </c>
      <c r="G90" s="144">
        <v>-8266.6299999999992</v>
      </c>
      <c r="H90" s="136">
        <f t="shared" si="1"/>
        <v>-0.14919673445402235</v>
      </c>
    </row>
    <row r="91" spans="1:8">
      <c r="A91" s="77"/>
      <c r="B91" s="76"/>
      <c r="C91" s="76"/>
      <c r="D91" s="76"/>
      <c r="E91" s="78"/>
      <c r="F91" s="78"/>
      <c r="G91" s="78"/>
      <c r="H91" s="136"/>
    </row>
    <row r="92" spans="1:8">
      <c r="A92" s="77"/>
      <c r="B92" s="76"/>
      <c r="C92" s="76"/>
      <c r="D92" s="76"/>
      <c r="E92" s="78"/>
      <c r="F92" s="78"/>
      <c r="G92" s="78"/>
      <c r="H92" s="136"/>
    </row>
    <row r="93" spans="1:8">
      <c r="A93" s="77"/>
      <c r="B93" s="76"/>
      <c r="C93" s="78"/>
      <c r="D93" s="78"/>
      <c r="E93" s="78"/>
      <c r="F93" s="78"/>
      <c r="G93" s="78"/>
      <c r="H93" s="136"/>
    </row>
    <row r="94" spans="1:8" ht="18">
      <c r="A94" s="44" t="s">
        <v>11</v>
      </c>
      <c r="B94" s="45">
        <f>SUM(B2:B93)</f>
        <v>7826</v>
      </c>
      <c r="C94" s="45"/>
      <c r="D94" s="45"/>
      <c r="E94" s="45">
        <f>SUM(E2:E93)</f>
        <v>3134777.6899999995</v>
      </c>
      <c r="F94" s="45">
        <f>SUM(F2:F93)</f>
        <v>3542210.2800000007</v>
      </c>
      <c r="G94" s="45">
        <f>SUM(G2:G93)</f>
        <v>407432.59000000008</v>
      </c>
      <c r="H94" s="64">
        <f t="shared" si="1"/>
        <v>0.12997176523863807</v>
      </c>
    </row>
  </sheetData>
  <hyperlinks>
    <hyperlink ref="A2" r:id="rId1" location="/stock/1831632/3723" xr:uid="{ACFF47F0-0605-48D0-BD42-AD630BC9E59B}"/>
    <hyperlink ref="A3" r:id="rId2" location="/stock/1831632/15059" xr:uid="{5ACC16CD-B4DE-45CC-BA4A-767022FE62FB}"/>
    <hyperlink ref="A4" r:id="rId3" location="/stock/1831632/63" xr:uid="{113E9F07-AF3C-4270-B36A-8A485CB90399}"/>
    <hyperlink ref="A5" r:id="rId4" location="/stock/1831632/14034" xr:uid="{9AE48041-8ADB-4217-B188-943C5BECF6DA}"/>
    <hyperlink ref="A6" r:id="rId5" location="/stock/1831632/66288" xr:uid="{DE2C85FE-325E-48A9-8F9D-AF98C772D120}"/>
    <hyperlink ref="A7" r:id="rId6" location="/stock/1831632/45987" xr:uid="{F8F930AA-661D-4BE2-8380-92829DDF8DDF}"/>
    <hyperlink ref="A8" r:id="rId7" location="/stock/1831632/9175" xr:uid="{BCEF626E-F3DE-4D1C-9CF1-7F0E2FD7C6B9}"/>
    <hyperlink ref="A9" r:id="rId8" location="/stock/1831632/21430" xr:uid="{CE94DB12-5A05-4267-9737-40432BCB6CD3}"/>
    <hyperlink ref="A10" r:id="rId9" location="/stock/1831632/11260" xr:uid="{FD16FD08-8101-42DB-832D-B48FA0EEC3D5}"/>
    <hyperlink ref="A11" r:id="rId10" location="/stock/1831632/14013" xr:uid="{84E40732-17C5-46D1-926D-C3A28B401C50}"/>
    <hyperlink ref="A12" r:id="rId11" location="/stock/1831632/2718" xr:uid="{5C1FB3BA-4994-45C6-A2FD-28803BF1FC5B}"/>
    <hyperlink ref="A13" r:id="rId12" location="/stock/1831632/20445" xr:uid="{FC3CF261-5633-482F-8B3C-05501E8F2AFB}"/>
    <hyperlink ref="A14" r:id="rId13" location="/stock/1831632/13934" xr:uid="{C6769F5C-502C-4A62-B7F2-C8A136A4D041}"/>
    <hyperlink ref="A15" r:id="rId14" location="/stock/1831632/13577" xr:uid="{0C3D94F3-EDC5-43FA-8715-8EBAC7FA7A0B}"/>
    <hyperlink ref="A16" r:id="rId15" location="/stock/1831632/13917" xr:uid="{FB67EF02-FDD8-4E9E-BE44-C85454DEB85F}"/>
    <hyperlink ref="A17" r:id="rId16" location="/stock/1831632/11822" xr:uid="{8938B5FF-7974-4788-93D8-817D9228F5AD}"/>
    <hyperlink ref="A18" r:id="rId17" location="/stock/1831632/858" xr:uid="{BC23654C-833A-4CDA-AE5E-936DBEACE046}"/>
    <hyperlink ref="A19" r:id="rId18" location="/stock/1831632/13873" xr:uid="{1E81E62C-AE6E-4D9E-B40B-781D1096F101}"/>
    <hyperlink ref="A20" r:id="rId19" location="/stock/1831632/11796" xr:uid="{0D11F418-7DCC-4AB7-95F2-B37632AA219E}"/>
    <hyperlink ref="A21" r:id="rId20" location="/stock/1831632/3635" xr:uid="{FB5AE139-E1A4-45BC-9E28-CE8EAA7C1C00}"/>
    <hyperlink ref="A22" r:id="rId21" location="/stock/1831632/12393" xr:uid="{9B99C157-8966-4679-82AC-163B2A03C88D}"/>
    <hyperlink ref="A23" r:id="rId22" location="/stock/1831632/63225" xr:uid="{8567FB82-7FB2-4212-9A03-E883D5D4FFBC}"/>
    <hyperlink ref="A24" r:id="rId23" location="/stock/1831632/13787" xr:uid="{1C07A574-37F7-4999-9723-AF5235A13921}"/>
    <hyperlink ref="A25" r:id="rId24" location="/stock/1831632/1941781" xr:uid="{B9015FCB-8F46-4573-8DF5-73F98588122A}"/>
    <hyperlink ref="A26" r:id="rId25" location="/stock/1831632/38215" xr:uid="{ED5D20E4-CEDC-4EAA-A23D-741EBFC8EA7A}"/>
    <hyperlink ref="A27" r:id="rId26" location="/stock/1831632/55491" xr:uid="{E9F2DF4E-FFCB-4209-A454-FB46C853F620}"/>
    <hyperlink ref="A28" r:id="rId27" location="/stock/1831632/13895" xr:uid="{BA333C8E-471A-43D9-BB48-229DCF203A30}"/>
    <hyperlink ref="A29" r:id="rId28" location="/stock/1831632/9211" xr:uid="{45DD5373-B234-4778-AD66-70B345EBCD4A}"/>
    <hyperlink ref="A30" r:id="rId29" location="/stock/1831632/12266" xr:uid="{DCBF4BB9-F857-4111-BEE6-549193FBA605}"/>
    <hyperlink ref="A31" r:id="rId30" location="/stock/1831632/13683" xr:uid="{14FF265F-F055-4320-94D4-049AECE45B56}"/>
    <hyperlink ref="A32" r:id="rId31" location="/stock/1831632/1996493" xr:uid="{12554719-7C52-4B00-B070-B32023623999}"/>
    <hyperlink ref="A33" r:id="rId32" location="/stock/1831632/5733" xr:uid="{64B9631D-59A1-4F93-B130-36FFC44F35A1}"/>
    <hyperlink ref="A34" r:id="rId33" location="/stock/1831632/4291" xr:uid="{30AE0358-E573-4601-A66D-4C01E8A31A2D}"/>
    <hyperlink ref="A35" r:id="rId34" location="/stock/1831632/9195" xr:uid="{613CAEA0-53B5-4A75-97A5-B224D97BE898}"/>
    <hyperlink ref="A36" r:id="rId35" location="/stock/1831632/3068" xr:uid="{3AE56568-D091-491B-9F4C-7B89022FE249}"/>
    <hyperlink ref="A37" r:id="rId36" location="/stock/1831632/13636" xr:uid="{57D978F7-B9C0-4878-A78C-790BFB26F894}"/>
    <hyperlink ref="A38" r:id="rId37" location="/stock/1831632/67525" xr:uid="{A00AF83A-64DB-4225-B647-9DC3AC0D87FA}"/>
    <hyperlink ref="A39" r:id="rId38" location="/stock/1831632/13637" xr:uid="{163C4454-1BD7-47E9-978C-859FFB198BEF}"/>
    <hyperlink ref="A40" r:id="rId39" location="/stock/1831632/13616" xr:uid="{498479BB-7294-4124-ACBD-C9F8FCF2DD57}"/>
    <hyperlink ref="A41" r:id="rId40" location="/stock/1831632/9194" xr:uid="{F37798B1-B265-414F-A252-7F18254850C4}"/>
    <hyperlink ref="A42" r:id="rId41" location="/stock/1831632/1883" xr:uid="{720C82E8-043C-43B5-9D36-A5CFFC184190}"/>
    <hyperlink ref="A43" r:id="rId42" location="/stock/1831632/1898" xr:uid="{9332DFAA-6026-41DF-AA47-E9341A11A068}"/>
    <hyperlink ref="A44" r:id="rId43" location="/stock/1831632/9196" xr:uid="{06A3658D-D67D-4A19-88AF-CA2A52885329}"/>
    <hyperlink ref="A45" r:id="rId44" location="/stock/1831632/10960" xr:uid="{BECAC704-CE46-491B-9630-61FF4CF8357E}"/>
    <hyperlink ref="A46" r:id="rId45" location="/stock/1831632/13554" xr:uid="{AA26F02B-4E1B-4858-9763-AA0DA9F559CA}"/>
    <hyperlink ref="A47" r:id="rId46" location="/stock/1831632/13536" xr:uid="{E706ED87-35B3-480F-BBD1-A8BFF30505E0}"/>
    <hyperlink ref="A48" r:id="rId47" location="/stock/1831632/12161" xr:uid="{EC2EA540-65F3-4C67-B278-DEACEEF872A6}"/>
    <hyperlink ref="A49" r:id="rId48" location="/stock/1831632/69000" xr:uid="{DFF3C31C-049D-4DC8-B2A5-4577D52864BC}"/>
    <hyperlink ref="A50" r:id="rId49" location="/stock/1831632/3318" xr:uid="{A385F7D7-29BD-428C-9B6D-5C502A841546}"/>
    <hyperlink ref="A51" r:id="rId50" location="/stock/1831632/13447" xr:uid="{79E17291-676C-4FEB-8DB1-F99A73C0FABB}"/>
    <hyperlink ref="A52" r:id="rId51" location="/stock/1831632/11898" xr:uid="{85A08857-7C62-4584-9423-D15B6843E8F0}"/>
    <hyperlink ref="A53" r:id="rId52" location="/stock/1831632/17103" xr:uid="{0949C9F2-A888-4103-B14D-440B960ABC7C}"/>
    <hyperlink ref="A54" r:id="rId53" location="/stock/1831632/5886" xr:uid="{6132B7B2-0B6E-4FB8-96AF-69201D0776B0}"/>
    <hyperlink ref="A55" r:id="rId54" location="/stock/1831632/5459" xr:uid="{52E048B2-B69A-4DF9-98E7-CF3296A1180C}"/>
    <hyperlink ref="A56" r:id="rId55" location="/stock/1831632/1987283" xr:uid="{8BE81D19-95D2-4BC4-9EFA-22A8B90A74B6}"/>
    <hyperlink ref="A57" r:id="rId56" location="/stock/1831632/15673" xr:uid="{1527AEB2-A3E7-47C7-BC01-6FBFD9581A48}"/>
    <hyperlink ref="A58" r:id="rId57" location="/stock/1831632/8684" xr:uid="{313CD1E1-D704-466B-A571-304F053375A5}"/>
    <hyperlink ref="A59" r:id="rId58" location="/stock/1831632/11997" xr:uid="{35C68182-553F-4D5B-8D31-39ABE2805AC4}"/>
    <hyperlink ref="A60" r:id="rId59" location="/stock/1831632/32621" xr:uid="{82810F3E-9FA1-4A7F-98C3-40A5690562DA}"/>
    <hyperlink ref="A61" r:id="rId60" location="/stock/1831632/11599" xr:uid="{436C08C7-F07E-4CC5-B794-F5D9ABC3B402}"/>
    <hyperlink ref="A62" r:id="rId61" location="/stock/1831632/4547" xr:uid="{8E68612F-BB2E-4EDF-AF8F-D6953B206AC9}"/>
    <hyperlink ref="A63" r:id="rId62" location="/stock/1831632/3160" xr:uid="{4ADA9164-A71A-4920-96B3-BC6B7D0508E7}"/>
    <hyperlink ref="A64" r:id="rId63" location="/stock/1831632/21519" xr:uid="{CC80246B-3B67-4BB3-AC94-77684A04B6E7}"/>
    <hyperlink ref="A65" r:id="rId64" location="/stock/1831632/12358" xr:uid="{86D225BF-68BD-4503-B5FE-1AD27FBF3A5D}"/>
    <hyperlink ref="A66" r:id="rId65" location="/stock/1831632/10460" xr:uid="{5B5F2ABE-A0AB-4ABF-B6EC-5B16334547CE}"/>
    <hyperlink ref="A67" r:id="rId66" location="/stock/1831632/16774" xr:uid="{7E5D779C-9776-418F-91B8-5BFCA021102D}"/>
    <hyperlink ref="A68" r:id="rId67" location="/stock/1831632/7829" xr:uid="{18496EF5-9A0F-43CC-BD32-95561CD62F3E}"/>
    <hyperlink ref="A69" r:id="rId68" location="/stock/1831632/10878" xr:uid="{B6FDCAA7-9401-40F5-804F-BC3A8F9A4A41}"/>
    <hyperlink ref="A70" r:id="rId69" location="/stock/1831632/2898" xr:uid="{6E9F71F8-3FC5-4D9E-9E3F-74A3DA31F2E9}"/>
    <hyperlink ref="A71" r:id="rId70" location="/stock/1831632/13102" xr:uid="{C66BDFEF-87A7-4B44-AFE0-7435F0B3FC18}"/>
    <hyperlink ref="A72" r:id="rId71" location="/stock/1831632/13098" xr:uid="{2FE379D9-8696-474D-844A-E473B97B1020}"/>
    <hyperlink ref="A73" r:id="rId72" location="/stock/1831632/19352" xr:uid="{988AA7D4-E33C-420C-A527-B922B5C53447}"/>
    <hyperlink ref="A74" r:id="rId73" location="/stock/1831632/2011581" xr:uid="{36FB8141-CF50-4811-BE44-06B6127D6F03}"/>
    <hyperlink ref="A75" r:id="rId74" location="/stock/1831632/11984" xr:uid="{6D35578A-BD26-4161-B107-EED4516D7DB8}"/>
    <hyperlink ref="A76" r:id="rId75" location="/stock/1831632/9134" xr:uid="{0A800927-0FC5-4FF6-AEE0-6FF038616506}"/>
    <hyperlink ref="A77" r:id="rId76" location="/stock/1831632/12962" xr:uid="{64EE2A64-7F51-4063-8C85-50857E287709}"/>
    <hyperlink ref="A78" r:id="rId77" location="/stock/1831632/3296" xr:uid="{C24E2883-E651-4B8B-ACB0-E4CB0ABFAF7A}"/>
    <hyperlink ref="A79" r:id="rId78" location="/stock/1831632/6936" xr:uid="{5F9BCEE7-DB8C-42E2-917D-F7FBBC1517B4}"/>
    <hyperlink ref="A80" r:id="rId79" location="/stock/1831632/303" xr:uid="{5A060599-A28E-4156-88D1-E9A919E7138E}"/>
    <hyperlink ref="A81" r:id="rId80" location="/stock/1831632/8345" xr:uid="{E6D876A8-071A-4C08-B6C9-1F52FC0823BB}"/>
    <hyperlink ref="A82" r:id="rId81" location="/stock/1831632/12929" xr:uid="{B13711CB-F863-4F7A-99B8-4B22C09F491A}"/>
    <hyperlink ref="A83" r:id="rId82" location="/stock/1831632/129341111" xr:uid="{08B20D23-458A-411F-8F53-A5949CD6210A}"/>
    <hyperlink ref="A84" r:id="rId83" location="/stock/1831632/12902" xr:uid="{3BA6D6A1-B7FC-41DA-9E83-0D9EE880FF18}"/>
    <hyperlink ref="A85" r:id="rId84" location="/stock/1831632/11221" xr:uid="{DFCEA4A4-3666-4A88-A364-A6BA48CD88B7}"/>
    <hyperlink ref="A86" r:id="rId85" location="/stock/1831632/12903" xr:uid="{B03F8B6A-3FB7-4444-9667-E680DF05AA2B}"/>
    <hyperlink ref="A87" r:id="rId86" location="/stock/1831632/11897" xr:uid="{BE577E90-203A-4D14-B617-316345FB3F00}"/>
    <hyperlink ref="A88" r:id="rId87" location="/stock/1831632/18605" xr:uid="{6FAC6583-A8F6-4319-A8EA-4F75247BABB9}"/>
    <hyperlink ref="A89" r:id="rId88" location="/stock/1831632/16552" xr:uid="{0C4736F5-FDED-49AF-8FD6-CEAD407F0726}"/>
    <hyperlink ref="A90" r:id="rId89" location="/stock/1831632/6816" xr:uid="{FD13281F-21E4-40A9-9617-8C80D580F391}"/>
  </hyperlinks>
  <pageMargins left="0.7" right="0.7" top="0.75" bottom="0.75" header="0.3" footer="0.3"/>
  <pageSetup paperSize="9"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5328-EDCE-4E00-9CDC-1320FFD59033}">
  <dimension ref="A1:I15"/>
  <sheetViews>
    <sheetView workbookViewId="0">
      <selection activeCell="I15" sqref="I15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>
      <c r="A2" s="139" t="s">
        <v>234</v>
      </c>
      <c r="B2" s="140" t="s">
        <v>235</v>
      </c>
      <c r="C2" s="141">
        <v>4080.9659999999999</v>
      </c>
      <c r="D2" s="140">
        <v>67.459999999999994</v>
      </c>
      <c r="E2" s="140">
        <v>68.607799999999997</v>
      </c>
      <c r="F2" s="141">
        <v>279986.10960000003</v>
      </c>
      <c r="G2" s="141">
        <v>275301.96639999998</v>
      </c>
      <c r="H2" s="141">
        <v>-4684.1432000000004</v>
      </c>
      <c r="I2" s="1">
        <f>H2/F2</f>
        <v>-1.6729912804217199E-2</v>
      </c>
    </row>
    <row r="3" spans="1:9">
      <c r="A3" s="139" t="s">
        <v>236</v>
      </c>
      <c r="B3" s="140" t="s">
        <v>237</v>
      </c>
      <c r="C3" s="141">
        <v>12205.787</v>
      </c>
      <c r="D3" s="140">
        <v>62.4</v>
      </c>
      <c r="E3" s="140">
        <v>44.239199999999997</v>
      </c>
      <c r="F3" s="141">
        <v>539973.91910000006</v>
      </c>
      <c r="G3" s="141">
        <v>761641.10880000005</v>
      </c>
      <c r="H3" s="141">
        <v>221667.18969999999</v>
      </c>
      <c r="I3" s="1">
        <f t="shared" ref="I3:I15" si="0">H3/F3</f>
        <v>0.41051462276078654</v>
      </c>
    </row>
    <row r="4" spans="1:9">
      <c r="A4" s="139" t="s">
        <v>441</v>
      </c>
      <c r="B4" s="140" t="s">
        <v>241</v>
      </c>
      <c r="C4" s="141">
        <v>1857.5519999999999</v>
      </c>
      <c r="D4" s="140">
        <v>486.61020000000002</v>
      </c>
      <c r="E4" s="140">
        <v>366.02140000000003</v>
      </c>
      <c r="F4" s="141">
        <v>679903.69869999995</v>
      </c>
      <c r="G4" s="141">
        <v>903903.75020000001</v>
      </c>
      <c r="H4" s="141">
        <v>224000.0515</v>
      </c>
      <c r="I4" s="1">
        <f t="shared" si="0"/>
        <v>0.32945849820834344</v>
      </c>
    </row>
    <row r="5" spans="1:9">
      <c r="A5" s="139" t="s">
        <v>242</v>
      </c>
      <c r="B5" s="140" t="s">
        <v>237</v>
      </c>
      <c r="C5" s="141">
        <v>5856.576</v>
      </c>
      <c r="D5" s="140">
        <v>71.948999999999998</v>
      </c>
      <c r="E5" s="140">
        <v>44.3917</v>
      </c>
      <c r="F5" s="141">
        <v>259983.36480000001</v>
      </c>
      <c r="G5" s="141">
        <v>421374.78659999999</v>
      </c>
      <c r="H5" s="141">
        <v>161391.42180000001</v>
      </c>
      <c r="I5" s="1">
        <f t="shared" si="0"/>
        <v>0.62077595589300572</v>
      </c>
    </row>
    <row r="6" spans="1:9">
      <c r="A6" s="139" t="s">
        <v>272</v>
      </c>
      <c r="B6" s="140" t="s">
        <v>235</v>
      </c>
      <c r="C6" s="141">
        <v>6641.4979999999996</v>
      </c>
      <c r="D6" s="140">
        <v>73.561000000000007</v>
      </c>
      <c r="E6" s="140">
        <v>41.7624</v>
      </c>
      <c r="F6" s="141">
        <v>277364.96380000003</v>
      </c>
      <c r="G6" s="141">
        <v>488555.23440000002</v>
      </c>
      <c r="H6" s="141">
        <v>211190.27059999999</v>
      </c>
      <c r="I6" s="1">
        <f t="shared" si="0"/>
        <v>0.76141653836381185</v>
      </c>
    </row>
    <row r="7" spans="1:9">
      <c r="A7" s="139" t="s">
        <v>244</v>
      </c>
      <c r="B7" s="140" t="s">
        <v>233</v>
      </c>
      <c r="C7" s="141">
        <v>5841.7389999999996</v>
      </c>
      <c r="D7" s="140">
        <v>19.020800000000001</v>
      </c>
      <c r="E7" s="140">
        <v>23.964300000000001</v>
      </c>
      <c r="F7" s="141">
        <v>139992.99739999999</v>
      </c>
      <c r="G7" s="141">
        <v>111114.54919999999</v>
      </c>
      <c r="H7" s="141">
        <v>-28878.4483</v>
      </c>
      <c r="I7" s="1">
        <f t="shared" si="0"/>
        <v>-0.20628494879273154</v>
      </c>
    </row>
    <row r="8" spans="1:9">
      <c r="A8" s="139" t="s">
        <v>273</v>
      </c>
      <c r="B8" s="140" t="s">
        <v>233</v>
      </c>
      <c r="C8" s="140">
        <v>616.73500000000001</v>
      </c>
      <c r="D8" s="140">
        <v>8.0336999999999996</v>
      </c>
      <c r="E8" s="140">
        <v>8.1067999999999998</v>
      </c>
      <c r="F8" s="141">
        <v>4999.7473</v>
      </c>
      <c r="G8" s="141">
        <v>4954.6639999999998</v>
      </c>
      <c r="H8" s="140">
        <v>-45.083300000000001</v>
      </c>
      <c r="I8" s="1">
        <f t="shared" si="0"/>
        <v>-9.0171157250287428E-3</v>
      </c>
    </row>
    <row r="9" spans="1:9">
      <c r="A9" s="139" t="s">
        <v>246</v>
      </c>
      <c r="B9" s="140" t="s">
        <v>241</v>
      </c>
      <c r="C9" s="141">
        <v>9069.08</v>
      </c>
      <c r="D9" s="140">
        <v>9.9838000000000005</v>
      </c>
      <c r="E9" s="140">
        <v>11.081099999999999</v>
      </c>
      <c r="F9" s="141">
        <v>100494.9899</v>
      </c>
      <c r="G9" s="141">
        <v>90543.880900000004</v>
      </c>
      <c r="H9" s="141">
        <v>-9951.1090000000004</v>
      </c>
      <c r="I9" s="1">
        <f t="shared" si="0"/>
        <v>-9.9020946316847186E-2</v>
      </c>
    </row>
    <row r="10" spans="1:9">
      <c r="A10" s="139" t="s">
        <v>250</v>
      </c>
      <c r="B10" s="140" t="s">
        <v>251</v>
      </c>
      <c r="C10" s="141">
        <v>12487.467000000001</v>
      </c>
      <c r="D10" s="140">
        <v>46.807299999999998</v>
      </c>
      <c r="E10" s="140">
        <v>39.7151</v>
      </c>
      <c r="F10" s="141">
        <v>495941.4278</v>
      </c>
      <c r="G10" s="141">
        <v>584504.61410000001</v>
      </c>
      <c r="H10" s="141">
        <v>88563.186300000001</v>
      </c>
      <c r="I10" s="1">
        <f t="shared" si="0"/>
        <v>0.17857589895820355</v>
      </c>
    </row>
    <row r="11" spans="1:9">
      <c r="A11" s="139" t="s">
        <v>274</v>
      </c>
      <c r="B11" s="140" t="s">
        <v>233</v>
      </c>
      <c r="C11" s="141">
        <v>5399.8710000000001</v>
      </c>
      <c r="D11" s="140">
        <v>27.11</v>
      </c>
      <c r="E11" s="140">
        <v>37.036200000000001</v>
      </c>
      <c r="F11" s="141">
        <v>199990.82519999999</v>
      </c>
      <c r="G11" s="141">
        <v>146390.50279999999</v>
      </c>
      <c r="H11" s="141">
        <v>-53600.322399999997</v>
      </c>
      <c r="I11" s="1">
        <f t="shared" si="0"/>
        <v>-0.26801390686996374</v>
      </c>
    </row>
    <row r="12" spans="1:9">
      <c r="A12" s="139" t="s">
        <v>253</v>
      </c>
      <c r="B12" s="140" t="s">
        <v>235</v>
      </c>
      <c r="C12" s="140">
        <v>42.345999999999997</v>
      </c>
      <c r="D12" s="140">
        <v>120.3586</v>
      </c>
      <c r="E12" s="140">
        <v>118.07</v>
      </c>
      <c r="F12" s="141">
        <v>4999.7921999999999</v>
      </c>
      <c r="G12" s="141">
        <v>5096.7052999999996</v>
      </c>
      <c r="H12" s="140">
        <v>96.9131</v>
      </c>
      <c r="I12" s="1">
        <f t="shared" si="0"/>
        <v>1.9383425575166903E-2</v>
      </c>
    </row>
    <row r="13" spans="1:9">
      <c r="A13" s="139" t="s">
        <v>348</v>
      </c>
      <c r="B13" s="140" t="s">
        <v>241</v>
      </c>
      <c r="C13" s="140">
        <v>197.84399999999999</v>
      </c>
      <c r="D13" s="140">
        <v>136.86019999999999</v>
      </c>
      <c r="E13" s="140">
        <v>126.3557</v>
      </c>
      <c r="F13" s="141">
        <v>24998.7091</v>
      </c>
      <c r="G13" s="141">
        <v>27076.969400000002</v>
      </c>
      <c r="H13" s="141">
        <v>2078.2602999999999</v>
      </c>
      <c r="I13" s="1">
        <f t="shared" si="0"/>
        <v>8.3134704743614132E-2</v>
      </c>
    </row>
    <row r="14" spans="1:9">
      <c r="A14" s="142" t="s">
        <v>255</v>
      </c>
      <c r="B14" s="143" t="s">
        <v>241</v>
      </c>
      <c r="C14" s="144">
        <v>18996.168000000001</v>
      </c>
      <c r="D14" s="143">
        <v>13.4544</v>
      </c>
      <c r="E14" s="143">
        <v>9.4700000000000006</v>
      </c>
      <c r="F14" s="144">
        <v>179893.71100000001</v>
      </c>
      <c r="G14" s="144">
        <v>255582.04269999999</v>
      </c>
      <c r="H14" s="144">
        <v>75688.3318</v>
      </c>
      <c r="I14" s="1">
        <f t="shared" si="0"/>
        <v>0.42073917636842789</v>
      </c>
    </row>
    <row r="15" spans="1:9">
      <c r="A15" s="74" t="s">
        <v>11</v>
      </c>
      <c r="B15" s="75"/>
      <c r="C15" s="75">
        <f>SUM(C2:C14)</f>
        <v>83293.629000000001</v>
      </c>
      <c r="D15" s="75"/>
      <c r="E15" s="75"/>
      <c r="F15" s="75">
        <f t="shared" ref="F15:H15" si="1">SUM(F2:F14)</f>
        <v>3188524.2559000007</v>
      </c>
      <c r="G15" s="75">
        <f t="shared" si="1"/>
        <v>4076040.7747999993</v>
      </c>
      <c r="H15" s="75">
        <f t="shared" si="1"/>
        <v>887516.51890000002</v>
      </c>
      <c r="I15" s="53">
        <f t="shared" si="0"/>
        <v>0.27834711222840847</v>
      </c>
    </row>
  </sheetData>
  <hyperlinks>
    <hyperlink ref="A2" r:id="rId1" location="/mf/1831632/15690/NULL" xr:uid="{74E737CE-AEBB-4B56-B9F6-E2CCB0F4E127}"/>
    <hyperlink ref="A3" r:id="rId2" location="/mf/1831632/22335/NULL" xr:uid="{0F392628-98F3-4E17-BCB5-1C402B2BE84B}"/>
    <hyperlink ref="A4" r:id="rId3" location="/mf/1831632/16071/NULL" xr:uid="{CDD40BDB-6679-4831-A855-40AC3327ADA5}"/>
    <hyperlink ref="A5" r:id="rId4" location="/mf/1831632/16617/NULL" xr:uid="{65A2AED4-AA96-4660-AA93-BE108C750667}"/>
    <hyperlink ref="A6" r:id="rId5" location="/mf/1831632/17134/NULL" xr:uid="{EF7357A6-CB1B-4451-92DC-CA6582A576CF}"/>
    <hyperlink ref="A7" r:id="rId6" location="/mf/1831632/38228/NULL" xr:uid="{D118F935-D051-4F7A-8E03-95B541599913}"/>
    <hyperlink ref="A8" r:id="rId7" location="/mf/1831632/42135/NULL" xr:uid="{D6815E15-6A19-4156-A806-5464C41892E1}"/>
    <hyperlink ref="A9" r:id="rId8" location="/mf/1831632/41574/NULL" xr:uid="{7D044594-F10C-4400-BD36-CF24FDA8F907}"/>
    <hyperlink ref="A10" r:id="rId9" location="/mf/1831632/19701/NULL" xr:uid="{313F62A2-897A-4E19-AB14-36AE3831F771}"/>
    <hyperlink ref="A11" r:id="rId10" location="/mf/1831632/17348/NULL" xr:uid="{8D81FB4C-8A87-4E72-8FEC-4B39F4326E38}"/>
    <hyperlink ref="A12" r:id="rId11" location="/mf/1831632/17375/NULL" xr:uid="{A1B35253-3326-45DA-BAFB-D18D32E61119}"/>
    <hyperlink ref="A13" r:id="rId12" location="/mf/1831632/16955/NULL" xr:uid="{7ED10EF0-D931-4BC1-8DD9-D50450670717}"/>
    <hyperlink ref="A14" r:id="rId13" location="/mf/1831632/36491/NULL" xr:uid="{F0E75DC3-1942-4862-9700-B6C8B955B2DA}"/>
  </hyperlinks>
  <pageMargins left="0.7" right="0.7" top="0.75" bottom="0.75" header="0.3" footer="0.3"/>
  <pageSetup paperSize="9"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CF10-BDF4-44CE-A389-A79D55EF480D}">
  <dimension ref="A1:H95"/>
  <sheetViews>
    <sheetView topLeftCell="A79" workbookViewId="0">
      <selection activeCell="F95" sqref="F95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>
      <c r="A2" s="77" t="s">
        <v>352</v>
      </c>
      <c r="B2" s="76">
        <v>25</v>
      </c>
      <c r="C2" s="78">
        <v>1748.45</v>
      </c>
      <c r="D2" s="78">
        <v>1753.0652</v>
      </c>
      <c r="E2" s="78">
        <v>43826.63</v>
      </c>
      <c r="F2" s="78">
        <v>43711.25</v>
      </c>
      <c r="G2" s="76">
        <v>-115.38</v>
      </c>
      <c r="H2" s="136">
        <f t="shared" ref="H2:H65" si="0">G2/E2</f>
        <v>-2.6326459506469013E-3</v>
      </c>
    </row>
    <row r="3" spans="1:8">
      <c r="A3" s="77" t="s">
        <v>353</v>
      </c>
      <c r="B3" s="76">
        <v>13</v>
      </c>
      <c r="C3" s="78">
        <v>3103.3</v>
      </c>
      <c r="D3" s="78">
        <v>2592.5562</v>
      </c>
      <c r="E3" s="78">
        <v>33703.230000000003</v>
      </c>
      <c r="F3" s="78">
        <v>40342.9</v>
      </c>
      <c r="G3" s="78">
        <v>6639.67</v>
      </c>
      <c r="H3" s="136">
        <f t="shared" si="0"/>
        <v>0.19700396668212511</v>
      </c>
    </row>
    <row r="4" spans="1:8">
      <c r="A4" s="77" t="s">
        <v>354</v>
      </c>
      <c r="B4" s="76">
        <v>250</v>
      </c>
      <c r="C4" s="76">
        <v>218.2</v>
      </c>
      <c r="D4" s="76">
        <v>183.58799999999999</v>
      </c>
      <c r="E4" s="78">
        <v>45897</v>
      </c>
      <c r="F4" s="78">
        <v>54550</v>
      </c>
      <c r="G4" s="78">
        <v>8653</v>
      </c>
      <c r="H4" s="136">
        <f t="shared" si="0"/>
        <v>0.18853084079569471</v>
      </c>
    </row>
    <row r="5" spans="1:8">
      <c r="A5" s="77" t="s">
        <v>355</v>
      </c>
      <c r="B5" s="76">
        <v>12</v>
      </c>
      <c r="C5" s="78">
        <v>2887</v>
      </c>
      <c r="D5" s="78">
        <v>2352.6</v>
      </c>
      <c r="E5" s="78">
        <v>28231.200000000001</v>
      </c>
      <c r="F5" s="78">
        <v>34644</v>
      </c>
      <c r="G5" s="78">
        <v>6412.8</v>
      </c>
      <c r="H5" s="136">
        <f t="shared" si="0"/>
        <v>0.2271529371758905</v>
      </c>
    </row>
    <row r="6" spans="1:8">
      <c r="A6" s="77" t="s">
        <v>356</v>
      </c>
      <c r="B6" s="76">
        <v>36</v>
      </c>
      <c r="C6" s="78">
        <v>1262.2</v>
      </c>
      <c r="D6" s="78">
        <v>1156.3389</v>
      </c>
      <c r="E6" s="78">
        <v>41628.199999999997</v>
      </c>
      <c r="F6" s="78">
        <v>45439.199999999997</v>
      </c>
      <c r="G6" s="78">
        <v>3811</v>
      </c>
      <c r="H6" s="136">
        <f t="shared" si="0"/>
        <v>9.154851759144042E-2</v>
      </c>
    </row>
    <row r="7" spans="1:8">
      <c r="A7" s="77" t="s">
        <v>357</v>
      </c>
      <c r="B7" s="76">
        <v>12</v>
      </c>
      <c r="C7" s="78">
        <v>3823.6</v>
      </c>
      <c r="D7" s="78">
        <v>3205.395</v>
      </c>
      <c r="E7" s="78">
        <v>38464.74</v>
      </c>
      <c r="F7" s="78">
        <v>45883.199999999997</v>
      </c>
      <c r="G7" s="78">
        <v>7418.46</v>
      </c>
      <c r="H7" s="136">
        <f t="shared" si="0"/>
        <v>0.19286390600846387</v>
      </c>
    </row>
    <row r="8" spans="1:8">
      <c r="A8" s="77" t="s">
        <v>358</v>
      </c>
      <c r="B8" s="76">
        <v>76</v>
      </c>
      <c r="C8" s="76">
        <v>676.5</v>
      </c>
      <c r="D8" s="76">
        <v>603.67700000000002</v>
      </c>
      <c r="E8" s="78">
        <v>45879.45</v>
      </c>
      <c r="F8" s="78">
        <v>51414</v>
      </c>
      <c r="G8" s="78">
        <v>5534.55</v>
      </c>
      <c r="H8" s="136">
        <f t="shared" si="0"/>
        <v>0.1206324400139932</v>
      </c>
    </row>
    <row r="9" spans="1:8">
      <c r="A9" s="77" t="s">
        <v>359</v>
      </c>
      <c r="B9" s="76">
        <v>20</v>
      </c>
      <c r="C9" s="78">
        <v>3670.7</v>
      </c>
      <c r="D9" s="78">
        <v>2859.69</v>
      </c>
      <c r="E9" s="78">
        <v>57193.8</v>
      </c>
      <c r="F9" s="78">
        <v>73414</v>
      </c>
      <c r="G9" s="78">
        <v>16220.2</v>
      </c>
      <c r="H9" s="136">
        <f t="shared" si="0"/>
        <v>0.28360067000269262</v>
      </c>
    </row>
    <row r="10" spans="1:8">
      <c r="A10" s="77" t="s">
        <v>360</v>
      </c>
      <c r="B10" s="76">
        <v>1</v>
      </c>
      <c r="C10" s="78">
        <v>6030.1</v>
      </c>
      <c r="D10" s="78">
        <v>7545</v>
      </c>
      <c r="E10" s="78">
        <v>7545</v>
      </c>
      <c r="F10" s="78">
        <v>6030.1</v>
      </c>
      <c r="G10" s="78">
        <v>-1514.9</v>
      </c>
      <c r="H10" s="136">
        <f t="shared" si="0"/>
        <v>-0.20078197481776011</v>
      </c>
    </row>
    <row r="11" spans="1:8">
      <c r="A11" s="77" t="s">
        <v>361</v>
      </c>
      <c r="B11" s="76">
        <v>10</v>
      </c>
      <c r="C11" s="78">
        <v>2267.5</v>
      </c>
      <c r="D11" s="78">
        <v>1889.8620000000001</v>
      </c>
      <c r="E11" s="78">
        <v>18898.62</v>
      </c>
      <c r="F11" s="78">
        <v>22675</v>
      </c>
      <c r="G11" s="78">
        <v>3776.38</v>
      </c>
      <c r="H11" s="136">
        <f t="shared" si="0"/>
        <v>0.19982305586333818</v>
      </c>
    </row>
    <row r="12" spans="1:8">
      <c r="A12" s="77" t="s">
        <v>362</v>
      </c>
      <c r="B12" s="76">
        <v>180</v>
      </c>
      <c r="C12" s="76">
        <v>686.4</v>
      </c>
      <c r="D12" s="76">
        <v>322.88889999999998</v>
      </c>
      <c r="E12" s="78">
        <v>58120</v>
      </c>
      <c r="F12" s="78">
        <v>123552</v>
      </c>
      <c r="G12" s="78">
        <v>65432</v>
      </c>
      <c r="H12" s="136">
        <f t="shared" si="0"/>
        <v>1.1258086717136957</v>
      </c>
    </row>
    <row r="13" spans="1:8">
      <c r="A13" s="77" t="s">
        <v>363</v>
      </c>
      <c r="B13" s="76">
        <v>54</v>
      </c>
      <c r="C13" s="76">
        <v>459.85</v>
      </c>
      <c r="D13" s="76">
        <v>414.23329999999999</v>
      </c>
      <c r="E13" s="78">
        <v>22368.6</v>
      </c>
      <c r="F13" s="78">
        <v>24831.9</v>
      </c>
      <c r="G13" s="78">
        <v>2463.3000000000002</v>
      </c>
      <c r="H13" s="136">
        <f t="shared" si="0"/>
        <v>0.1101231190150479</v>
      </c>
    </row>
    <row r="14" spans="1:8">
      <c r="A14" s="77" t="s">
        <v>364</v>
      </c>
      <c r="B14" s="76">
        <v>14</v>
      </c>
      <c r="C14" s="78">
        <v>3530.85</v>
      </c>
      <c r="D14" s="78">
        <v>3489.9357</v>
      </c>
      <c r="E14" s="78">
        <v>48859.1</v>
      </c>
      <c r="F14" s="78">
        <v>49431.9</v>
      </c>
      <c r="G14" s="76">
        <v>572.79999999999995</v>
      </c>
      <c r="H14" s="136">
        <f t="shared" si="0"/>
        <v>1.1723506982322638E-2</v>
      </c>
    </row>
    <row r="15" spans="1:8">
      <c r="A15" s="77" t="s">
        <v>365</v>
      </c>
      <c r="B15" s="76">
        <v>180</v>
      </c>
      <c r="C15" s="76">
        <v>108.3</v>
      </c>
      <c r="D15" s="76">
        <v>155.25</v>
      </c>
      <c r="E15" s="78">
        <v>27945</v>
      </c>
      <c r="F15" s="78">
        <v>19494</v>
      </c>
      <c r="G15" s="78">
        <v>-8451</v>
      </c>
      <c r="H15" s="136">
        <f t="shared" si="0"/>
        <v>-0.30241545893719807</v>
      </c>
    </row>
    <row r="16" spans="1:8">
      <c r="A16" s="77" t="s">
        <v>442</v>
      </c>
      <c r="B16" s="76">
        <v>81</v>
      </c>
      <c r="C16" s="76">
        <v>351.8</v>
      </c>
      <c r="D16" s="76">
        <v>411.62040000000002</v>
      </c>
      <c r="E16" s="78">
        <v>33341.25</v>
      </c>
      <c r="F16" s="78">
        <v>28495.8</v>
      </c>
      <c r="G16" s="78">
        <v>-4845.45</v>
      </c>
      <c r="H16" s="136">
        <f t="shared" si="0"/>
        <v>-0.14532898436621303</v>
      </c>
    </row>
    <row r="17" spans="1:8">
      <c r="A17" s="77" t="s">
        <v>366</v>
      </c>
      <c r="B17" s="76">
        <v>43</v>
      </c>
      <c r="C17" s="76">
        <v>961.25</v>
      </c>
      <c r="D17" s="76">
        <v>701.07399999999996</v>
      </c>
      <c r="E17" s="78">
        <v>30146.18</v>
      </c>
      <c r="F17" s="78">
        <v>41333.75</v>
      </c>
      <c r="G17" s="78">
        <v>11187.57</v>
      </c>
      <c r="H17" s="136">
        <f t="shared" si="0"/>
        <v>0.37111070125634488</v>
      </c>
    </row>
    <row r="18" spans="1:8">
      <c r="A18" s="77" t="s">
        <v>367</v>
      </c>
      <c r="B18" s="76">
        <v>250</v>
      </c>
      <c r="C18" s="76">
        <v>197</v>
      </c>
      <c r="D18" s="76">
        <v>163.66999999999999</v>
      </c>
      <c r="E18" s="78">
        <v>40917.5</v>
      </c>
      <c r="F18" s="78">
        <v>49250</v>
      </c>
      <c r="G18" s="78">
        <v>8332.5</v>
      </c>
      <c r="H18" s="136">
        <f t="shared" si="0"/>
        <v>0.20364147369707339</v>
      </c>
    </row>
    <row r="19" spans="1:8">
      <c r="A19" s="77" t="s">
        <v>368</v>
      </c>
      <c r="B19" s="76">
        <v>4</v>
      </c>
      <c r="C19" s="78">
        <v>3765</v>
      </c>
      <c r="D19" s="78">
        <v>4792.0375000000004</v>
      </c>
      <c r="E19" s="78">
        <v>19168.150000000001</v>
      </c>
      <c r="F19" s="78">
        <v>15060</v>
      </c>
      <c r="G19" s="78">
        <v>-4108.1499999999996</v>
      </c>
      <c r="H19" s="136">
        <f t="shared" si="0"/>
        <v>-0.21432167423564608</v>
      </c>
    </row>
    <row r="20" spans="1:8">
      <c r="A20" s="77" t="s">
        <v>369</v>
      </c>
      <c r="B20" s="76">
        <v>26</v>
      </c>
      <c r="C20" s="78">
        <v>1563.05</v>
      </c>
      <c r="D20" s="78">
        <v>1554.8558</v>
      </c>
      <c r="E20" s="78">
        <v>40426.25</v>
      </c>
      <c r="F20" s="78">
        <v>40639.300000000003</v>
      </c>
      <c r="G20" s="76">
        <v>213.05</v>
      </c>
      <c r="H20" s="136">
        <f t="shared" si="0"/>
        <v>5.2700905970749206E-3</v>
      </c>
    </row>
    <row r="21" spans="1:8">
      <c r="A21" s="77" t="s">
        <v>370</v>
      </c>
      <c r="B21" s="76">
        <v>72</v>
      </c>
      <c r="C21" s="76">
        <v>513.70000000000005</v>
      </c>
      <c r="D21" s="76">
        <v>561.02419999999995</v>
      </c>
      <c r="E21" s="78">
        <v>40393.74</v>
      </c>
      <c r="F21" s="78">
        <v>36986.400000000001</v>
      </c>
      <c r="G21" s="78">
        <v>-3407.34</v>
      </c>
      <c r="H21" s="136">
        <f t="shared" si="0"/>
        <v>-8.4353169575285686E-2</v>
      </c>
    </row>
    <row r="22" spans="1:8">
      <c r="A22" s="77" t="s">
        <v>371</v>
      </c>
      <c r="B22" s="76">
        <v>11</v>
      </c>
      <c r="C22" s="78">
        <v>3479.85</v>
      </c>
      <c r="D22" s="78">
        <v>2298.1581999999999</v>
      </c>
      <c r="E22" s="78">
        <v>25279.74</v>
      </c>
      <c r="F22" s="78">
        <v>38278.35</v>
      </c>
      <c r="G22" s="78">
        <v>12998.61</v>
      </c>
      <c r="H22" s="136">
        <f t="shared" si="0"/>
        <v>0.51419081050675364</v>
      </c>
    </row>
    <row r="23" spans="1:8">
      <c r="A23" s="77" t="s">
        <v>372</v>
      </c>
      <c r="B23" s="76">
        <v>55</v>
      </c>
      <c r="C23" s="76">
        <v>330.75</v>
      </c>
      <c r="D23" s="76">
        <v>325.14240000000001</v>
      </c>
      <c r="E23" s="78">
        <v>17882.830000000002</v>
      </c>
      <c r="F23" s="78">
        <v>18191.25</v>
      </c>
      <c r="G23" s="76">
        <v>308.42</v>
      </c>
      <c r="H23" s="136">
        <f t="shared" si="0"/>
        <v>1.7246710951230874E-2</v>
      </c>
    </row>
    <row r="24" spans="1:8">
      <c r="A24" s="77" t="s">
        <v>373</v>
      </c>
      <c r="B24" s="76">
        <v>2</v>
      </c>
      <c r="C24" s="78">
        <v>2142.6</v>
      </c>
      <c r="D24" s="78">
        <v>3639.8</v>
      </c>
      <c r="E24" s="78">
        <v>7279.6</v>
      </c>
      <c r="F24" s="78">
        <v>4285.2</v>
      </c>
      <c r="G24" s="78">
        <v>-2994.4</v>
      </c>
      <c r="H24" s="136">
        <f t="shared" si="0"/>
        <v>-0.4113412824880488</v>
      </c>
    </row>
    <row r="25" spans="1:8">
      <c r="A25" s="77" t="s">
        <v>374</v>
      </c>
      <c r="B25" s="76">
        <v>10</v>
      </c>
      <c r="C25" s="78">
        <v>2685.15</v>
      </c>
      <c r="D25" s="78">
        <v>2469.0340000000001</v>
      </c>
      <c r="E25" s="78">
        <v>24690.34</v>
      </c>
      <c r="F25" s="78">
        <v>26851.5</v>
      </c>
      <c r="G25" s="78">
        <v>2161.16</v>
      </c>
      <c r="H25" s="136">
        <f t="shared" si="0"/>
        <v>8.7530588886179775E-2</v>
      </c>
    </row>
    <row r="26" spans="1:8">
      <c r="A26" s="77" t="s">
        <v>375</v>
      </c>
      <c r="B26" s="76">
        <v>61</v>
      </c>
      <c r="C26" s="76">
        <v>394.24</v>
      </c>
      <c r="D26" s="76">
        <v>360.97</v>
      </c>
      <c r="E26" s="78">
        <v>22019.17</v>
      </c>
      <c r="F26" s="78">
        <v>24048.639999999999</v>
      </c>
      <c r="G26" s="78">
        <v>2029.47</v>
      </c>
      <c r="H26" s="136">
        <f t="shared" si="0"/>
        <v>9.2168324237471261E-2</v>
      </c>
    </row>
    <row r="27" spans="1:8">
      <c r="A27" s="77" t="s">
        <v>376</v>
      </c>
      <c r="B27" s="76">
        <v>31</v>
      </c>
      <c r="C27" s="78">
        <v>1285.25</v>
      </c>
      <c r="D27" s="78">
        <v>1356.4474</v>
      </c>
      <c r="E27" s="78">
        <v>42049.87</v>
      </c>
      <c r="F27" s="78">
        <v>39842.75</v>
      </c>
      <c r="G27" s="78">
        <v>-2207.12</v>
      </c>
      <c r="H27" s="136">
        <f t="shared" si="0"/>
        <v>-5.2488152757666072E-2</v>
      </c>
    </row>
    <row r="28" spans="1:8">
      <c r="A28" s="77" t="s">
        <v>443</v>
      </c>
      <c r="B28" s="76">
        <v>930</v>
      </c>
      <c r="C28" s="76">
        <v>39.75</v>
      </c>
      <c r="D28" s="76">
        <v>53.470199999999998</v>
      </c>
      <c r="E28" s="78">
        <v>49727.25</v>
      </c>
      <c r="F28" s="78">
        <v>36967.5</v>
      </c>
      <c r="G28" s="78">
        <v>-12759.75</v>
      </c>
      <c r="H28" s="136">
        <f t="shared" si="0"/>
        <v>-0.25659472422062352</v>
      </c>
    </row>
    <row r="29" spans="1:8">
      <c r="A29" s="77" t="s">
        <v>377</v>
      </c>
      <c r="B29" s="76">
        <v>86</v>
      </c>
      <c r="C29" s="76">
        <v>662.3</v>
      </c>
      <c r="D29" s="76">
        <v>714.27210000000002</v>
      </c>
      <c r="E29" s="78">
        <v>61427.4</v>
      </c>
      <c r="F29" s="78">
        <v>56957.8</v>
      </c>
      <c r="G29" s="78">
        <v>-4469.6000000000004</v>
      </c>
      <c r="H29" s="136">
        <f t="shared" si="0"/>
        <v>-7.276231779303699E-2</v>
      </c>
    </row>
    <row r="30" spans="1:8">
      <c r="A30" s="77" t="s">
        <v>378</v>
      </c>
      <c r="B30" s="76">
        <v>306</v>
      </c>
      <c r="C30" s="76">
        <v>147.5</v>
      </c>
      <c r="D30" s="76">
        <v>184.8879</v>
      </c>
      <c r="E30" s="78">
        <v>56575.71</v>
      </c>
      <c r="F30" s="78">
        <v>45135</v>
      </c>
      <c r="G30" s="78">
        <v>-11440.71</v>
      </c>
      <c r="H30" s="136">
        <f t="shared" si="0"/>
        <v>-0.20221946839023319</v>
      </c>
    </row>
    <row r="31" spans="1:8">
      <c r="A31" s="77" t="s">
        <v>379</v>
      </c>
      <c r="B31" s="76">
        <v>430</v>
      </c>
      <c r="C31" s="76">
        <v>90.1</v>
      </c>
      <c r="D31" s="76">
        <v>72.372900000000001</v>
      </c>
      <c r="E31" s="78">
        <v>31120.33</v>
      </c>
      <c r="F31" s="78">
        <v>38743</v>
      </c>
      <c r="G31" s="78">
        <v>7622.67</v>
      </c>
      <c r="H31" s="136">
        <f t="shared" si="0"/>
        <v>0.24494181134968684</v>
      </c>
    </row>
    <row r="32" spans="1:8">
      <c r="A32" s="77" t="s">
        <v>444</v>
      </c>
      <c r="B32" s="76">
        <v>216</v>
      </c>
      <c r="C32" s="76">
        <v>160.9</v>
      </c>
      <c r="D32" s="76">
        <v>187.09219999999999</v>
      </c>
      <c r="E32" s="78">
        <v>40411.919999999998</v>
      </c>
      <c r="F32" s="78">
        <v>34754.400000000001</v>
      </c>
      <c r="G32" s="78">
        <v>-5657.52</v>
      </c>
      <c r="H32" s="136">
        <f t="shared" si="0"/>
        <v>-0.13999631791807962</v>
      </c>
    </row>
    <row r="33" spans="1:8">
      <c r="A33" s="77" t="s">
        <v>380</v>
      </c>
      <c r="B33" s="76">
        <v>111</v>
      </c>
      <c r="C33" s="76">
        <v>120</v>
      </c>
      <c r="D33" s="76">
        <v>145.31319999999999</v>
      </c>
      <c r="E33" s="78">
        <v>16129.76</v>
      </c>
      <c r="F33" s="78">
        <v>13320</v>
      </c>
      <c r="G33" s="78">
        <v>-2809.76</v>
      </c>
      <c r="H33" s="136">
        <f t="shared" si="0"/>
        <v>-0.1741972602196189</v>
      </c>
    </row>
    <row r="34" spans="1:8">
      <c r="A34" s="77" t="s">
        <v>382</v>
      </c>
      <c r="B34" s="76">
        <v>11</v>
      </c>
      <c r="C34" s="78">
        <v>2841.45</v>
      </c>
      <c r="D34" s="78">
        <v>3984.3</v>
      </c>
      <c r="E34" s="78">
        <v>43827.3</v>
      </c>
      <c r="F34" s="78">
        <v>31255.95</v>
      </c>
      <c r="G34" s="78">
        <v>-12571.35</v>
      </c>
      <c r="H34" s="136">
        <f t="shared" si="0"/>
        <v>-0.28683834048640916</v>
      </c>
    </row>
    <row r="35" spans="1:8">
      <c r="A35" s="77" t="s">
        <v>383</v>
      </c>
      <c r="B35" s="76">
        <v>13</v>
      </c>
      <c r="C35" s="78">
        <v>1355.35</v>
      </c>
      <c r="D35" s="78">
        <v>1617.2192</v>
      </c>
      <c r="E35" s="78">
        <v>21023.85</v>
      </c>
      <c r="F35" s="78">
        <v>17619.55</v>
      </c>
      <c r="G35" s="78">
        <v>-3404.3</v>
      </c>
      <c r="H35" s="136">
        <f t="shared" si="0"/>
        <v>-0.16192562256675158</v>
      </c>
    </row>
    <row r="36" spans="1:8">
      <c r="A36" s="77" t="s">
        <v>384</v>
      </c>
      <c r="B36" s="76">
        <v>25</v>
      </c>
      <c r="C36" s="78">
        <v>1042.5999999999999</v>
      </c>
      <c r="D36" s="78">
        <v>1106.9684</v>
      </c>
      <c r="E36" s="78">
        <v>27674.21</v>
      </c>
      <c r="F36" s="78">
        <v>26065</v>
      </c>
      <c r="G36" s="78">
        <v>-1609.21</v>
      </c>
      <c r="H36" s="136">
        <f t="shared" si="0"/>
        <v>-5.8148362681355675E-2</v>
      </c>
    </row>
    <row r="37" spans="1:8">
      <c r="A37" s="77" t="s">
        <v>385</v>
      </c>
      <c r="B37" s="76">
        <v>48</v>
      </c>
      <c r="C37" s="78">
        <v>1380.25</v>
      </c>
      <c r="D37" s="78">
        <v>1429.3218999999999</v>
      </c>
      <c r="E37" s="78">
        <v>68607.45</v>
      </c>
      <c r="F37" s="78">
        <v>66252</v>
      </c>
      <c r="G37" s="78">
        <v>-2355.4499999999998</v>
      </c>
      <c r="H37" s="136">
        <f t="shared" si="0"/>
        <v>-3.4332277325567415E-2</v>
      </c>
    </row>
    <row r="38" spans="1:8">
      <c r="A38" s="77" t="s">
        <v>386</v>
      </c>
      <c r="B38" s="76">
        <v>87</v>
      </c>
      <c r="C38" s="76">
        <v>602.75</v>
      </c>
      <c r="D38" s="76">
        <v>645.22469999999998</v>
      </c>
      <c r="E38" s="78">
        <v>56134.55</v>
      </c>
      <c r="F38" s="78">
        <v>52439.25</v>
      </c>
      <c r="G38" s="78">
        <v>-3695.3</v>
      </c>
      <c r="H38" s="136">
        <f t="shared" si="0"/>
        <v>-6.5829333271576945E-2</v>
      </c>
    </row>
    <row r="39" spans="1:8">
      <c r="A39" s="77" t="s">
        <v>387</v>
      </c>
      <c r="B39" s="76">
        <v>12</v>
      </c>
      <c r="C39" s="78">
        <v>2584.5</v>
      </c>
      <c r="D39" s="78">
        <v>2815.9708000000001</v>
      </c>
      <c r="E39" s="78">
        <v>33791.65</v>
      </c>
      <c r="F39" s="78">
        <v>31014</v>
      </c>
      <c r="G39" s="78">
        <v>-2777.65</v>
      </c>
      <c r="H39" s="136">
        <f t="shared" si="0"/>
        <v>-8.2199300714821566E-2</v>
      </c>
    </row>
    <row r="40" spans="1:8">
      <c r="A40" s="77" t="s">
        <v>390</v>
      </c>
      <c r="B40" s="76">
        <v>16</v>
      </c>
      <c r="C40" s="78">
        <v>2292.15</v>
      </c>
      <c r="D40" s="78">
        <v>2291.2968999999998</v>
      </c>
      <c r="E40" s="78">
        <v>36660.75</v>
      </c>
      <c r="F40" s="78">
        <v>36674.400000000001</v>
      </c>
      <c r="G40" s="76">
        <v>13.65</v>
      </c>
      <c r="H40" s="136">
        <f t="shared" si="0"/>
        <v>3.7233280824860375E-4</v>
      </c>
    </row>
    <row r="41" spans="1:8">
      <c r="A41" s="77" t="s">
        <v>391</v>
      </c>
      <c r="B41" s="76">
        <v>76</v>
      </c>
      <c r="C41" s="76">
        <v>743.6</v>
      </c>
      <c r="D41" s="76">
        <v>527.16869999999994</v>
      </c>
      <c r="E41" s="78">
        <v>40064.82</v>
      </c>
      <c r="F41" s="78">
        <v>56513.599999999999</v>
      </c>
      <c r="G41" s="78">
        <v>16448.78</v>
      </c>
      <c r="H41" s="136">
        <f t="shared" si="0"/>
        <v>0.41055419692388484</v>
      </c>
    </row>
    <row r="42" spans="1:8">
      <c r="A42" s="77" t="s">
        <v>392</v>
      </c>
      <c r="B42" s="76">
        <v>41</v>
      </c>
      <c r="C42" s="78">
        <v>1218.8499999999999</v>
      </c>
      <c r="D42" s="78">
        <v>1410.3559</v>
      </c>
      <c r="E42" s="78">
        <v>57824.59</v>
      </c>
      <c r="F42" s="78">
        <v>49972.85</v>
      </c>
      <c r="G42" s="78">
        <v>-7851.74</v>
      </c>
      <c r="H42" s="136">
        <f t="shared" si="0"/>
        <v>-0.13578548503327045</v>
      </c>
    </row>
    <row r="43" spans="1:8">
      <c r="A43" s="77" t="s">
        <v>393</v>
      </c>
      <c r="B43" s="76">
        <v>79</v>
      </c>
      <c r="C43" s="76">
        <v>548.75</v>
      </c>
      <c r="D43" s="76">
        <v>531.42780000000005</v>
      </c>
      <c r="E43" s="78">
        <v>41982.8</v>
      </c>
      <c r="F43" s="78">
        <v>43351.25</v>
      </c>
      <c r="G43" s="78">
        <v>1368.45</v>
      </c>
      <c r="H43" s="136">
        <f t="shared" si="0"/>
        <v>3.2595491486989911E-2</v>
      </c>
    </row>
    <row r="44" spans="1:8">
      <c r="A44" s="77" t="s">
        <v>394</v>
      </c>
      <c r="B44" s="76">
        <v>45</v>
      </c>
      <c r="C44" s="76">
        <v>924.25</v>
      </c>
      <c r="D44" s="78">
        <v>1016.0751</v>
      </c>
      <c r="E44" s="78">
        <v>45723.38</v>
      </c>
      <c r="F44" s="78">
        <v>41591.25</v>
      </c>
      <c r="G44" s="78">
        <v>-4132.13</v>
      </c>
      <c r="H44" s="136">
        <f t="shared" si="0"/>
        <v>-9.0372365297578625E-2</v>
      </c>
    </row>
    <row r="45" spans="1:8">
      <c r="A45" s="77" t="s">
        <v>395</v>
      </c>
      <c r="B45" s="76">
        <v>20</v>
      </c>
      <c r="C45" s="78">
        <v>1522</v>
      </c>
      <c r="D45" s="78">
        <v>1708.5650000000001</v>
      </c>
      <c r="E45" s="78">
        <v>34171.300000000003</v>
      </c>
      <c r="F45" s="78">
        <v>30440</v>
      </c>
      <c r="G45" s="78">
        <v>-3731.3</v>
      </c>
      <c r="H45" s="136">
        <f t="shared" si="0"/>
        <v>-0.10919397271979701</v>
      </c>
    </row>
    <row r="46" spans="1:8">
      <c r="A46" s="77" t="s">
        <v>445</v>
      </c>
      <c r="B46" s="76">
        <v>40</v>
      </c>
      <c r="C46" s="76">
        <v>861.4</v>
      </c>
      <c r="D46" s="76">
        <v>996.97069999999997</v>
      </c>
      <c r="E46" s="78">
        <v>39878.83</v>
      </c>
      <c r="F46" s="78">
        <v>34456</v>
      </c>
      <c r="G46" s="78">
        <v>-5422.83</v>
      </c>
      <c r="H46" s="136">
        <f t="shared" si="0"/>
        <v>-0.13598267551981841</v>
      </c>
    </row>
    <row r="47" spans="1:8">
      <c r="A47" s="77" t="s">
        <v>396</v>
      </c>
      <c r="B47" s="76">
        <v>722</v>
      </c>
      <c r="C47" s="76">
        <v>272.75</v>
      </c>
      <c r="D47" s="76">
        <v>224.72020000000001</v>
      </c>
      <c r="E47" s="78">
        <v>162247.95000000001</v>
      </c>
      <c r="F47" s="78">
        <v>196925.5</v>
      </c>
      <c r="G47" s="78">
        <v>34677.550000000003</v>
      </c>
      <c r="H47" s="136">
        <f t="shared" si="0"/>
        <v>0.2137318221894329</v>
      </c>
    </row>
    <row r="48" spans="1:8">
      <c r="A48" s="77" t="s">
        <v>397</v>
      </c>
      <c r="B48" s="76">
        <v>21</v>
      </c>
      <c r="C48" s="78">
        <v>1577.55</v>
      </c>
      <c r="D48" s="76">
        <v>815.2681</v>
      </c>
      <c r="E48" s="78">
        <v>17120.63</v>
      </c>
      <c r="F48" s="78">
        <v>33128.550000000003</v>
      </c>
      <c r="G48" s="78">
        <v>16007.92</v>
      </c>
      <c r="H48" s="136">
        <f t="shared" si="0"/>
        <v>0.93500764866713426</v>
      </c>
    </row>
    <row r="49" spans="1:8">
      <c r="A49" s="77" t="s">
        <v>446</v>
      </c>
      <c r="B49" s="76">
        <v>244</v>
      </c>
      <c r="C49" s="76">
        <v>157.94999999999999</v>
      </c>
      <c r="D49" s="76">
        <v>151.26599999999999</v>
      </c>
      <c r="E49" s="78">
        <v>36908.910000000003</v>
      </c>
      <c r="F49" s="78">
        <v>38539.800000000003</v>
      </c>
      <c r="G49" s="78">
        <v>1630.89</v>
      </c>
      <c r="H49" s="136">
        <f t="shared" si="0"/>
        <v>4.4186891457916259E-2</v>
      </c>
    </row>
    <row r="50" spans="1:8">
      <c r="A50" s="77" t="s">
        <v>447</v>
      </c>
      <c r="B50" s="76">
        <v>151</v>
      </c>
      <c r="C50" s="76">
        <v>223.05</v>
      </c>
      <c r="D50" s="76">
        <v>229.61580000000001</v>
      </c>
      <c r="E50" s="78">
        <v>34671.980000000003</v>
      </c>
      <c r="F50" s="78">
        <v>33680.550000000003</v>
      </c>
      <c r="G50" s="76">
        <v>-991.43</v>
      </c>
      <c r="H50" s="136">
        <f t="shared" si="0"/>
        <v>-2.8594559641531861E-2</v>
      </c>
    </row>
    <row r="51" spans="1:8">
      <c r="A51" s="77" t="s">
        <v>398</v>
      </c>
      <c r="B51" s="76">
        <v>38</v>
      </c>
      <c r="C51" s="78">
        <v>1858.15</v>
      </c>
      <c r="D51" s="78">
        <v>1711.2842000000001</v>
      </c>
      <c r="E51" s="78">
        <v>65028.800000000003</v>
      </c>
      <c r="F51" s="78">
        <v>70609.7</v>
      </c>
      <c r="G51" s="78">
        <v>5580.9</v>
      </c>
      <c r="H51" s="136">
        <f t="shared" si="0"/>
        <v>8.582197426371084E-2</v>
      </c>
    </row>
    <row r="52" spans="1:8">
      <c r="A52" s="77" t="s">
        <v>399</v>
      </c>
      <c r="B52" s="76">
        <v>41</v>
      </c>
      <c r="C52" s="76">
        <v>552.35</v>
      </c>
      <c r="D52" s="76">
        <v>564.36710000000005</v>
      </c>
      <c r="E52" s="78">
        <v>23139.05</v>
      </c>
      <c r="F52" s="78">
        <v>22646.35</v>
      </c>
      <c r="G52" s="76">
        <v>-492.7</v>
      </c>
      <c r="H52" s="136">
        <f t="shared" si="0"/>
        <v>-2.1293009004259036E-2</v>
      </c>
    </row>
    <row r="53" spans="1:8">
      <c r="A53" s="77" t="s">
        <v>400</v>
      </c>
      <c r="B53" s="76">
        <v>5</v>
      </c>
      <c r="C53" s="78">
        <v>4331.3</v>
      </c>
      <c r="D53" s="78">
        <v>4722.7700000000004</v>
      </c>
      <c r="E53" s="78">
        <v>23613.85</v>
      </c>
      <c r="F53" s="78">
        <v>21656.5</v>
      </c>
      <c r="G53" s="78">
        <v>-1957.35</v>
      </c>
      <c r="H53" s="136">
        <f t="shared" si="0"/>
        <v>-8.2889914181719634E-2</v>
      </c>
    </row>
    <row r="54" spans="1:8">
      <c r="A54" s="77" t="s">
        <v>401</v>
      </c>
      <c r="B54" s="76">
        <v>62</v>
      </c>
      <c r="C54" s="78">
        <v>1651.6</v>
      </c>
      <c r="D54" s="78">
        <v>1053.2161000000001</v>
      </c>
      <c r="E54" s="78">
        <v>65299.4</v>
      </c>
      <c r="F54" s="78">
        <v>102399.2</v>
      </c>
      <c r="G54" s="78">
        <v>37099.800000000003</v>
      </c>
      <c r="H54" s="136">
        <f t="shared" si="0"/>
        <v>0.56814917135532639</v>
      </c>
    </row>
    <row r="55" spans="1:8">
      <c r="A55" s="77" t="s">
        <v>402</v>
      </c>
      <c r="B55" s="76">
        <v>29</v>
      </c>
      <c r="C55" s="78">
        <v>1028.5999999999999</v>
      </c>
      <c r="D55" s="76">
        <v>775.91719999999998</v>
      </c>
      <c r="E55" s="78">
        <v>22501.599999999999</v>
      </c>
      <c r="F55" s="78">
        <v>29829.4</v>
      </c>
      <c r="G55" s="78">
        <v>7327.8</v>
      </c>
      <c r="H55" s="136">
        <f t="shared" si="0"/>
        <v>0.32565684218011165</v>
      </c>
    </row>
    <row r="56" spans="1:8">
      <c r="A56" s="77" t="s">
        <v>403</v>
      </c>
      <c r="B56" s="76">
        <v>118</v>
      </c>
      <c r="C56" s="76">
        <v>195.45</v>
      </c>
      <c r="D56" s="76">
        <v>184.30850000000001</v>
      </c>
      <c r="E56" s="78">
        <v>21748.400000000001</v>
      </c>
      <c r="F56" s="78">
        <v>23063.1</v>
      </c>
      <c r="G56" s="78">
        <v>1314.7</v>
      </c>
      <c r="H56" s="136">
        <f t="shared" si="0"/>
        <v>6.0450423939232306E-2</v>
      </c>
    </row>
    <row r="57" spans="1:8">
      <c r="A57" s="77" t="s">
        <v>404</v>
      </c>
      <c r="B57" s="76">
        <v>63</v>
      </c>
      <c r="C57" s="76">
        <v>513.75</v>
      </c>
      <c r="D57" s="76">
        <v>464.28750000000002</v>
      </c>
      <c r="E57" s="78">
        <v>29250.11</v>
      </c>
      <c r="F57" s="78">
        <v>32366.25</v>
      </c>
      <c r="G57" s="78">
        <v>3116.14</v>
      </c>
      <c r="H57" s="136">
        <f t="shared" si="0"/>
        <v>0.10653430021288808</v>
      </c>
    </row>
    <row r="58" spans="1:8">
      <c r="A58" s="77" t="s">
        <v>405</v>
      </c>
      <c r="B58" s="76">
        <v>21</v>
      </c>
      <c r="C58" s="76">
        <v>879.2</v>
      </c>
      <c r="D58" s="76">
        <v>631.17430000000002</v>
      </c>
      <c r="E58" s="78">
        <v>13254.66</v>
      </c>
      <c r="F58" s="78">
        <v>18463.2</v>
      </c>
      <c r="G58" s="78">
        <v>5208.54</v>
      </c>
      <c r="H58" s="136">
        <f t="shared" si="0"/>
        <v>0.3929591554970101</v>
      </c>
    </row>
    <row r="59" spans="1:8">
      <c r="A59" s="77" t="s">
        <v>406</v>
      </c>
      <c r="B59" s="76">
        <v>64</v>
      </c>
      <c r="C59" s="76">
        <v>349.54</v>
      </c>
      <c r="D59" s="76">
        <v>342.44</v>
      </c>
      <c r="E59" s="78">
        <v>21916.16</v>
      </c>
      <c r="F59" s="78">
        <v>22370.560000000001</v>
      </c>
      <c r="G59" s="76">
        <v>454.4</v>
      </c>
      <c r="H59" s="136">
        <f t="shared" si="0"/>
        <v>2.0733559163649107E-2</v>
      </c>
    </row>
    <row r="60" spans="1:8">
      <c r="A60" s="77" t="s">
        <v>407</v>
      </c>
      <c r="B60" s="76">
        <v>6</v>
      </c>
      <c r="C60" s="78">
        <v>3083.45</v>
      </c>
      <c r="D60" s="78">
        <v>3510.5666999999999</v>
      </c>
      <c r="E60" s="78">
        <v>21063.4</v>
      </c>
      <c r="F60" s="78">
        <v>18500.7</v>
      </c>
      <c r="G60" s="78">
        <v>-2562.6999999999998</v>
      </c>
      <c r="H60" s="136">
        <f t="shared" si="0"/>
        <v>-0.12166601783187898</v>
      </c>
    </row>
    <row r="61" spans="1:8">
      <c r="A61" s="77" t="s">
        <v>448</v>
      </c>
      <c r="B61" s="76">
        <v>128</v>
      </c>
      <c r="C61" s="76">
        <v>127.7</v>
      </c>
      <c r="D61" s="76">
        <v>168.637</v>
      </c>
      <c r="E61" s="78">
        <v>21585.54</v>
      </c>
      <c r="F61" s="78">
        <v>16345.6</v>
      </c>
      <c r="G61" s="78">
        <v>-5239.9399999999996</v>
      </c>
      <c r="H61" s="136">
        <f t="shared" si="0"/>
        <v>-0.24275232400949892</v>
      </c>
    </row>
    <row r="62" spans="1:8">
      <c r="A62" s="77" t="s">
        <v>408</v>
      </c>
      <c r="B62" s="76">
        <v>8</v>
      </c>
      <c r="C62" s="78">
        <v>2567.75</v>
      </c>
      <c r="D62" s="78">
        <v>2697.1374999999998</v>
      </c>
      <c r="E62" s="78">
        <v>21577.1</v>
      </c>
      <c r="F62" s="78">
        <v>20542</v>
      </c>
      <c r="G62" s="78">
        <v>-1035.0999999999999</v>
      </c>
      <c r="H62" s="136">
        <f t="shared" si="0"/>
        <v>-4.797215566503376E-2</v>
      </c>
    </row>
    <row r="63" spans="1:8">
      <c r="A63" s="77" t="s">
        <v>410</v>
      </c>
      <c r="B63" s="76">
        <v>75</v>
      </c>
      <c r="C63" s="76">
        <v>763</v>
      </c>
      <c r="D63" s="76">
        <v>440.02730000000003</v>
      </c>
      <c r="E63" s="78">
        <v>33002.050000000003</v>
      </c>
      <c r="F63" s="78">
        <v>57225</v>
      </c>
      <c r="G63" s="78">
        <v>24222.95</v>
      </c>
      <c r="H63" s="136">
        <f t="shared" si="0"/>
        <v>0.73398319195322714</v>
      </c>
    </row>
    <row r="64" spans="1:8">
      <c r="A64" s="77" t="s">
        <v>411</v>
      </c>
      <c r="B64" s="76">
        <v>300</v>
      </c>
      <c r="C64" s="76">
        <v>151.55000000000001</v>
      </c>
      <c r="D64" s="76">
        <v>82.333299999999994</v>
      </c>
      <c r="E64" s="78">
        <v>24700</v>
      </c>
      <c r="F64" s="78">
        <v>45465</v>
      </c>
      <c r="G64" s="78">
        <v>20765</v>
      </c>
      <c r="H64" s="136">
        <f t="shared" si="0"/>
        <v>0.84068825910931178</v>
      </c>
    </row>
    <row r="65" spans="1:8">
      <c r="A65" s="77" t="s">
        <v>413</v>
      </c>
      <c r="B65" s="76">
        <v>8</v>
      </c>
      <c r="C65" s="78">
        <v>3288.35</v>
      </c>
      <c r="D65" s="78">
        <v>4260.1813000000002</v>
      </c>
      <c r="E65" s="78">
        <v>34081.449999999997</v>
      </c>
      <c r="F65" s="78">
        <v>26306.799999999999</v>
      </c>
      <c r="G65" s="78">
        <v>-7774.65</v>
      </c>
      <c r="H65" s="136">
        <f t="shared" si="0"/>
        <v>-0.22811969561154236</v>
      </c>
    </row>
    <row r="66" spans="1:8">
      <c r="A66" s="77" t="s">
        <v>449</v>
      </c>
      <c r="B66" s="76">
        <v>228</v>
      </c>
      <c r="C66" s="76">
        <v>124.65</v>
      </c>
      <c r="D66" s="76">
        <v>160.8066</v>
      </c>
      <c r="E66" s="78">
        <v>36663.9</v>
      </c>
      <c r="F66" s="78">
        <v>28420.2</v>
      </c>
      <c r="G66" s="78">
        <v>-8243.7000000000007</v>
      </c>
      <c r="H66" s="136">
        <f t="shared" ref="H66:H94" si="1">G66/E66</f>
        <v>-0.22484514740657705</v>
      </c>
    </row>
    <row r="67" spans="1:8">
      <c r="A67" s="77" t="s">
        <v>414</v>
      </c>
      <c r="B67" s="76">
        <v>6</v>
      </c>
      <c r="C67" s="78">
        <v>3800.25</v>
      </c>
      <c r="D67" s="78">
        <v>3802.9250000000002</v>
      </c>
      <c r="E67" s="78">
        <v>22817.55</v>
      </c>
      <c r="F67" s="78">
        <v>22801.5</v>
      </c>
      <c r="G67" s="76">
        <v>-16.05</v>
      </c>
      <c r="H67" s="136">
        <f t="shared" si="1"/>
        <v>-7.034059309610366E-4</v>
      </c>
    </row>
    <row r="68" spans="1:8">
      <c r="A68" s="77" t="s">
        <v>415</v>
      </c>
      <c r="B68" s="76">
        <v>30</v>
      </c>
      <c r="C68" s="78">
        <v>1148.5999999999999</v>
      </c>
      <c r="D68" s="76">
        <v>860.11969999999997</v>
      </c>
      <c r="E68" s="78">
        <v>25803.59</v>
      </c>
      <c r="F68" s="78">
        <v>34458</v>
      </c>
      <c r="G68" s="78">
        <v>8654.41</v>
      </c>
      <c r="H68" s="136">
        <f t="shared" si="1"/>
        <v>0.33539557867723058</v>
      </c>
    </row>
    <row r="69" spans="1:8">
      <c r="A69" s="77" t="s">
        <v>416</v>
      </c>
      <c r="B69" s="76">
        <v>3</v>
      </c>
      <c r="C69" s="78">
        <v>2195.35</v>
      </c>
      <c r="D69" s="78">
        <v>2387.5</v>
      </c>
      <c r="E69" s="78">
        <v>7162.5</v>
      </c>
      <c r="F69" s="78">
        <v>6586.05</v>
      </c>
      <c r="G69" s="76">
        <v>-576.45000000000005</v>
      </c>
      <c r="H69" s="136">
        <f t="shared" si="1"/>
        <v>-8.0481675392670163E-2</v>
      </c>
    </row>
    <row r="70" spans="1:8">
      <c r="A70" s="77" t="s">
        <v>450</v>
      </c>
      <c r="B70" s="76">
        <v>16</v>
      </c>
      <c r="C70" s="78">
        <v>2582.5500000000002</v>
      </c>
      <c r="D70" s="76">
        <v>528.10630000000003</v>
      </c>
      <c r="E70" s="78">
        <v>8449.7000000000007</v>
      </c>
      <c r="F70" s="78">
        <v>41320.800000000003</v>
      </c>
      <c r="G70" s="78">
        <v>32871.1</v>
      </c>
      <c r="H70" s="136">
        <f t="shared" si="1"/>
        <v>3.8902091198504083</v>
      </c>
    </row>
    <row r="71" spans="1:8">
      <c r="A71" s="77" t="s">
        <v>451</v>
      </c>
      <c r="B71" s="76">
        <v>223</v>
      </c>
      <c r="C71" s="76">
        <v>131.30000000000001</v>
      </c>
      <c r="D71" s="76">
        <v>151.5386</v>
      </c>
      <c r="E71" s="78">
        <v>33793.11</v>
      </c>
      <c r="F71" s="78">
        <v>29279.9</v>
      </c>
      <c r="G71" s="78">
        <v>-4513.21</v>
      </c>
      <c r="H71" s="136">
        <f t="shared" si="1"/>
        <v>-0.13355414757623668</v>
      </c>
    </row>
    <row r="72" spans="1:8">
      <c r="A72" s="77" t="s">
        <v>418</v>
      </c>
      <c r="B72" s="76">
        <v>5</v>
      </c>
      <c r="C72" s="76">
        <v>984.2</v>
      </c>
      <c r="D72" s="78">
        <v>1441</v>
      </c>
      <c r="E72" s="78">
        <v>7205</v>
      </c>
      <c r="F72" s="78">
        <v>4921</v>
      </c>
      <c r="G72" s="78">
        <v>-2284</v>
      </c>
      <c r="H72" s="136">
        <f t="shared" si="1"/>
        <v>-0.31700208188757806</v>
      </c>
    </row>
    <row r="73" spans="1:8">
      <c r="A73" s="77" t="s">
        <v>452</v>
      </c>
      <c r="B73" s="76">
        <v>137</v>
      </c>
      <c r="C73" s="76">
        <v>210.5</v>
      </c>
      <c r="D73" s="76">
        <v>248.37280000000001</v>
      </c>
      <c r="E73" s="78">
        <v>34027.07</v>
      </c>
      <c r="F73" s="78">
        <v>28838.5</v>
      </c>
      <c r="G73" s="78">
        <v>-5188.57</v>
      </c>
      <c r="H73" s="136">
        <f t="shared" si="1"/>
        <v>-0.1524835961485958</v>
      </c>
    </row>
    <row r="74" spans="1:8">
      <c r="A74" s="77" t="s">
        <v>420</v>
      </c>
      <c r="B74" s="76">
        <v>46</v>
      </c>
      <c r="C74" s="78">
        <v>1141.0999999999999</v>
      </c>
      <c r="D74" s="78">
        <v>1013.2293</v>
      </c>
      <c r="E74" s="78">
        <v>46608.55</v>
      </c>
      <c r="F74" s="78">
        <v>52490.6</v>
      </c>
      <c r="G74" s="78">
        <v>5882.05</v>
      </c>
      <c r="H74" s="136">
        <f t="shared" si="1"/>
        <v>0.12620109400528443</v>
      </c>
    </row>
    <row r="75" spans="1:8">
      <c r="A75" s="77" t="s">
        <v>421</v>
      </c>
      <c r="B75" s="76">
        <v>35</v>
      </c>
      <c r="C75" s="78">
        <v>2351.5</v>
      </c>
      <c r="D75" s="76">
        <v>984.23</v>
      </c>
      <c r="E75" s="78">
        <v>34448.050000000003</v>
      </c>
      <c r="F75" s="78">
        <v>82302.5</v>
      </c>
      <c r="G75" s="78">
        <v>47854.45</v>
      </c>
      <c r="H75" s="136">
        <f t="shared" si="1"/>
        <v>1.3891773264379259</v>
      </c>
    </row>
    <row r="76" spans="1:8">
      <c r="A76" s="77" t="s">
        <v>423</v>
      </c>
      <c r="B76" s="76">
        <v>22</v>
      </c>
      <c r="C76" s="76">
        <v>533.95000000000005</v>
      </c>
      <c r="D76" s="76">
        <v>597.13409999999999</v>
      </c>
      <c r="E76" s="78">
        <v>13136.95</v>
      </c>
      <c r="F76" s="78">
        <v>11746.9</v>
      </c>
      <c r="G76" s="78">
        <v>-1390.05</v>
      </c>
      <c r="H76" s="136">
        <f t="shared" si="1"/>
        <v>-0.10581223191075553</v>
      </c>
    </row>
    <row r="77" spans="1:8">
      <c r="A77" s="77" t="s">
        <v>424</v>
      </c>
      <c r="B77" s="76">
        <v>21</v>
      </c>
      <c r="C77" s="76">
        <v>572.70000000000005</v>
      </c>
      <c r="D77" s="76">
        <v>652.55709999999999</v>
      </c>
      <c r="E77" s="78">
        <v>13703.7</v>
      </c>
      <c r="F77" s="78">
        <v>12026.7</v>
      </c>
      <c r="G77" s="78">
        <v>-1677</v>
      </c>
      <c r="H77" s="136">
        <f t="shared" si="1"/>
        <v>-0.12237570875019155</v>
      </c>
    </row>
    <row r="78" spans="1:8">
      <c r="A78" s="77" t="s">
        <v>425</v>
      </c>
      <c r="B78" s="76">
        <v>100</v>
      </c>
      <c r="C78" s="76">
        <v>464.3</v>
      </c>
      <c r="D78" s="76">
        <v>264.06150000000002</v>
      </c>
      <c r="E78" s="78">
        <v>26406.15</v>
      </c>
      <c r="F78" s="78">
        <v>46430</v>
      </c>
      <c r="G78" s="78">
        <v>20023.849999999999</v>
      </c>
      <c r="H78" s="136">
        <f t="shared" si="1"/>
        <v>0.75830251664858361</v>
      </c>
    </row>
    <row r="79" spans="1:8">
      <c r="A79" s="77" t="s">
        <v>426</v>
      </c>
      <c r="B79" s="76">
        <v>139</v>
      </c>
      <c r="C79" s="76">
        <v>864.95</v>
      </c>
      <c r="D79" s="76">
        <v>476.89420000000001</v>
      </c>
      <c r="E79" s="78">
        <v>66288.3</v>
      </c>
      <c r="F79" s="78">
        <v>120228.05</v>
      </c>
      <c r="G79" s="78">
        <v>53939.75</v>
      </c>
      <c r="H79" s="136">
        <f t="shared" si="1"/>
        <v>0.81371448656851963</v>
      </c>
    </row>
    <row r="80" spans="1:8">
      <c r="A80" s="77" t="s">
        <v>427</v>
      </c>
      <c r="B80" s="76">
        <v>32</v>
      </c>
      <c r="C80" s="76">
        <v>771.45</v>
      </c>
      <c r="D80" s="76">
        <v>752.32749999999999</v>
      </c>
      <c r="E80" s="78">
        <v>24074.48</v>
      </c>
      <c r="F80" s="78">
        <v>24686.400000000001</v>
      </c>
      <c r="G80" s="76">
        <v>611.91999999999996</v>
      </c>
      <c r="H80" s="136">
        <f t="shared" si="1"/>
        <v>2.5417786801625621E-2</v>
      </c>
    </row>
    <row r="81" spans="1:8">
      <c r="A81" s="77" t="s">
        <v>428</v>
      </c>
      <c r="B81" s="76">
        <v>45</v>
      </c>
      <c r="C81" s="76">
        <v>453.7</v>
      </c>
      <c r="D81" s="76">
        <v>368.55090000000001</v>
      </c>
      <c r="E81" s="78">
        <v>16584.79</v>
      </c>
      <c r="F81" s="78">
        <v>20416.5</v>
      </c>
      <c r="G81" s="78">
        <v>3831.71</v>
      </c>
      <c r="H81" s="136">
        <f t="shared" si="1"/>
        <v>0.2310375952906247</v>
      </c>
    </row>
    <row r="82" spans="1:8">
      <c r="A82" s="77" t="s">
        <v>429</v>
      </c>
      <c r="B82" s="76">
        <v>50</v>
      </c>
      <c r="C82" s="76">
        <v>329.15</v>
      </c>
      <c r="D82" s="76">
        <v>283.19240000000002</v>
      </c>
      <c r="E82" s="78">
        <v>14159.62</v>
      </c>
      <c r="F82" s="78">
        <v>16457.5</v>
      </c>
      <c r="G82" s="78">
        <v>2297.88</v>
      </c>
      <c r="H82" s="136">
        <f t="shared" si="1"/>
        <v>0.16228401609647716</v>
      </c>
    </row>
    <row r="83" spans="1:8">
      <c r="A83" s="77" t="s">
        <v>430</v>
      </c>
      <c r="B83" s="76">
        <v>57</v>
      </c>
      <c r="C83" s="76">
        <v>536.25</v>
      </c>
      <c r="D83" s="76">
        <v>468.04349999999999</v>
      </c>
      <c r="E83" s="78">
        <v>26678.48</v>
      </c>
      <c r="F83" s="78">
        <v>30566.25</v>
      </c>
      <c r="G83" s="78">
        <v>3887.77</v>
      </c>
      <c r="H83" s="136">
        <f t="shared" si="1"/>
        <v>0.14572681801961732</v>
      </c>
    </row>
    <row r="84" spans="1:8">
      <c r="A84" s="77" t="s">
        <v>431</v>
      </c>
      <c r="B84" s="76">
        <v>9</v>
      </c>
      <c r="C84" s="78">
        <v>3438.8</v>
      </c>
      <c r="D84" s="78">
        <v>3548.6556</v>
      </c>
      <c r="E84" s="78">
        <v>31937.9</v>
      </c>
      <c r="F84" s="78">
        <v>30949.200000000001</v>
      </c>
      <c r="G84" s="76">
        <v>-988.7</v>
      </c>
      <c r="H84" s="136">
        <f t="shared" si="1"/>
        <v>-3.0956950832709728E-2</v>
      </c>
    </row>
    <row r="85" spans="1:8">
      <c r="A85" s="77" t="s">
        <v>432</v>
      </c>
      <c r="B85" s="76">
        <v>38</v>
      </c>
      <c r="C85" s="76">
        <v>753.4</v>
      </c>
      <c r="D85" s="76">
        <v>684.40920000000006</v>
      </c>
      <c r="E85" s="78">
        <v>26007.55</v>
      </c>
      <c r="F85" s="78">
        <v>28629.200000000001</v>
      </c>
      <c r="G85" s="78">
        <v>2621.65</v>
      </c>
      <c r="H85" s="136">
        <f t="shared" si="1"/>
        <v>0.10080342054518784</v>
      </c>
    </row>
    <row r="86" spans="1:8">
      <c r="A86" s="77" t="s">
        <v>433</v>
      </c>
      <c r="B86" s="76">
        <v>775</v>
      </c>
      <c r="C86" s="76">
        <v>206.95</v>
      </c>
      <c r="D86" s="76">
        <v>99.291600000000003</v>
      </c>
      <c r="E86" s="78">
        <v>76951</v>
      </c>
      <c r="F86" s="78">
        <v>160386.25</v>
      </c>
      <c r="G86" s="78">
        <v>83435.25</v>
      </c>
      <c r="H86" s="136">
        <f t="shared" si="1"/>
        <v>1.0842646619277203</v>
      </c>
    </row>
    <row r="87" spans="1:8">
      <c r="A87" s="77" t="s">
        <v>434</v>
      </c>
      <c r="B87" s="76">
        <v>105</v>
      </c>
      <c r="C87" s="78">
        <v>1067.6500000000001</v>
      </c>
      <c r="D87" s="76">
        <v>404.76429999999999</v>
      </c>
      <c r="E87" s="78">
        <v>42500.25</v>
      </c>
      <c r="F87" s="78">
        <v>112103.25</v>
      </c>
      <c r="G87" s="78">
        <v>69603</v>
      </c>
      <c r="H87" s="136">
        <f t="shared" si="1"/>
        <v>1.6377080134822737</v>
      </c>
    </row>
    <row r="88" spans="1:8">
      <c r="A88" s="77" t="s">
        <v>435</v>
      </c>
      <c r="B88" s="76">
        <v>20</v>
      </c>
      <c r="C88" s="78">
        <v>1147.9000000000001</v>
      </c>
      <c r="D88" s="78">
        <v>1311.635</v>
      </c>
      <c r="E88" s="78">
        <v>26232.7</v>
      </c>
      <c r="F88" s="78">
        <v>22958</v>
      </c>
      <c r="G88" s="78">
        <v>-3274.7</v>
      </c>
      <c r="H88" s="136">
        <f t="shared" si="1"/>
        <v>-0.12483274691510976</v>
      </c>
    </row>
    <row r="89" spans="1:8">
      <c r="A89" s="77" t="s">
        <v>436</v>
      </c>
      <c r="B89" s="76">
        <v>3</v>
      </c>
      <c r="C89" s="78">
        <v>2204.3000000000002</v>
      </c>
      <c r="D89" s="78">
        <v>2438.9</v>
      </c>
      <c r="E89" s="78">
        <v>7316.7</v>
      </c>
      <c r="F89" s="78">
        <v>6612.9</v>
      </c>
      <c r="G89" s="76">
        <v>-703.8</v>
      </c>
      <c r="H89" s="136">
        <f t="shared" si="1"/>
        <v>-9.6190905736192545E-2</v>
      </c>
    </row>
    <row r="90" spans="1:8">
      <c r="A90" s="77" t="s">
        <v>438</v>
      </c>
      <c r="B90" s="76">
        <v>27</v>
      </c>
      <c r="C90" s="78">
        <v>1099.6500000000001</v>
      </c>
      <c r="D90" s="76">
        <v>663.14779999999996</v>
      </c>
      <c r="E90" s="78">
        <v>17904.990000000002</v>
      </c>
      <c r="F90" s="78">
        <v>29690.55</v>
      </c>
      <c r="G90" s="78">
        <v>11785.56</v>
      </c>
      <c r="H90" s="136">
        <f t="shared" si="1"/>
        <v>0.65822767842930929</v>
      </c>
    </row>
    <row r="91" spans="1:8">
      <c r="A91" s="77" t="s">
        <v>453</v>
      </c>
      <c r="B91" s="76">
        <v>49</v>
      </c>
      <c r="C91" s="76">
        <v>475.7</v>
      </c>
      <c r="D91" s="76">
        <v>598.34389999999996</v>
      </c>
      <c r="E91" s="78">
        <v>29318.85</v>
      </c>
      <c r="F91" s="78">
        <v>23309.3</v>
      </c>
      <c r="G91" s="78">
        <v>-6009.55</v>
      </c>
      <c r="H91" s="136">
        <f t="shared" si="1"/>
        <v>-0.20497222776473159</v>
      </c>
    </row>
    <row r="92" spans="1:8">
      <c r="A92" s="77" t="s">
        <v>439</v>
      </c>
      <c r="B92" s="76">
        <v>525</v>
      </c>
      <c r="C92" s="76">
        <v>13.23</v>
      </c>
      <c r="D92" s="76">
        <v>38.966700000000003</v>
      </c>
      <c r="E92" s="78">
        <v>20457.5</v>
      </c>
      <c r="F92" s="78">
        <v>6945.75</v>
      </c>
      <c r="G92" s="78">
        <v>-13511.75</v>
      </c>
      <c r="H92" s="136">
        <f t="shared" si="1"/>
        <v>-0.66047904191616769</v>
      </c>
    </row>
    <row r="93" spans="1:8" ht="15.75" thickBot="1">
      <c r="A93" s="77" t="s">
        <v>440</v>
      </c>
      <c r="B93" s="76">
        <v>32</v>
      </c>
      <c r="C93" s="78">
        <v>1558.85</v>
      </c>
      <c r="D93" s="78">
        <v>1901.3166000000001</v>
      </c>
      <c r="E93" s="78">
        <v>60842.13</v>
      </c>
      <c r="F93" s="78">
        <v>49883.199999999997</v>
      </c>
      <c r="G93" s="78">
        <v>-10958.93</v>
      </c>
      <c r="H93" s="136">
        <f t="shared" si="1"/>
        <v>-0.1801207485668237</v>
      </c>
    </row>
    <row r="94" spans="1:8" ht="18.75" thickBot="1">
      <c r="A94" s="44" t="s">
        <v>11</v>
      </c>
      <c r="B94" s="45">
        <f>SUM(B2:B93)</f>
        <v>9003</v>
      </c>
      <c r="C94" s="45"/>
      <c r="D94" s="45"/>
      <c r="E94" s="45">
        <f>SUM(E2:E93)</f>
        <v>3155105.1399999997</v>
      </c>
      <c r="F94" s="45">
        <f>SUM(F2:F93)</f>
        <v>3657707.9000000004</v>
      </c>
      <c r="G94" s="45">
        <f>SUM(G2:G93)</f>
        <v>502602.75999999995</v>
      </c>
      <c r="H94" s="64">
        <f t="shared" si="1"/>
        <v>0.15929826034260144</v>
      </c>
    </row>
    <row r="95" spans="1:8" ht="15.75" thickTop="1"/>
  </sheetData>
  <hyperlinks>
    <hyperlink ref="A2" r:id="rId1" location="/stock/1831632/3723" display="https://etportfolio.indiatimes.com/pw_companyinfo.cms - /stock/1831632/3723" xr:uid="{F8F70EA6-38C2-495B-9B95-96B87A0021F6}"/>
    <hyperlink ref="A3" r:id="rId2" location="/stock/1831632/15059" display="https://etportfolio.indiatimes.com/pw_companyinfo.cms - /stock/1831632/15059" xr:uid="{F54321C4-532B-4159-8E47-A819F4A3093B}"/>
    <hyperlink ref="A4" r:id="rId3" location="/stock/1831632/63" display="https://etportfolio.indiatimes.com/pw_companyinfo.cms - /stock/1831632/63" xr:uid="{9DF1E3E8-B58E-4027-A205-259B52D19AAE}"/>
    <hyperlink ref="A5" r:id="rId4" location="/stock/1831632/14034" display="https://etportfolio.indiatimes.com/pw_companyinfo.cms - /stock/1831632/14034" xr:uid="{6528B297-EFAD-4831-954F-61C9F49DF721}"/>
    <hyperlink ref="A6" r:id="rId5" location="/stock/1831632/66288" display="https://etportfolio.indiatimes.com/pw_companyinfo.cms - /stock/1831632/66288" xr:uid="{92898FBE-3C53-4E78-9943-A1C4BB4F5574}"/>
    <hyperlink ref="A7" r:id="rId6" location="/stock/1831632/45987" display="https://etportfolio.indiatimes.com/pw_companyinfo.cms - /stock/1831632/45987" xr:uid="{106ECDBF-BEE3-445C-9B47-D327B51D7820}"/>
    <hyperlink ref="A8" r:id="rId7" location="/stock/1831632/9175" display="https://etportfolio.indiatimes.com/pw_companyinfo.cms - /stock/1831632/9175" xr:uid="{15393961-A494-4D91-8032-BC1AEFB67C7C}"/>
    <hyperlink ref="A9" r:id="rId8" location="/stock/1831632/21430" display="https://etportfolio.indiatimes.com/pw_companyinfo.cms - /stock/1831632/21430" xr:uid="{CE4F2CBC-2037-4F95-B3B5-CE43870DAC38}"/>
    <hyperlink ref="A10" r:id="rId9" location="/stock/1831632/11260" display="https://etportfolio.indiatimes.com/pw_companyinfo.cms - /stock/1831632/11260" xr:uid="{224D4A06-779B-4518-8566-C72902DD8B1D}"/>
    <hyperlink ref="A11" r:id="rId10" location="/stock/1831632/14013" display="https://etportfolio.indiatimes.com/pw_companyinfo.cms - /stock/1831632/14013" xr:uid="{ED88D348-14B7-44FB-A5D1-6A5C2D09830A}"/>
    <hyperlink ref="A12" r:id="rId11" location="/stock/1831632/2718" display="https://etportfolio.indiatimes.com/pw_companyinfo.cms - /stock/1831632/2718" xr:uid="{51DC9B97-0EFA-465B-B256-BC1183F4966D}"/>
    <hyperlink ref="A13" r:id="rId12" location="/stock/1831632/20445" display="https://etportfolio.indiatimes.com/pw_companyinfo.cms - /stock/1831632/20445" xr:uid="{593DA711-8C66-40B4-9AC1-45C131063576}"/>
    <hyperlink ref="A14" r:id="rId13" location="/stock/1831632/13934" display="https://etportfolio.indiatimes.com/pw_companyinfo.cms - /stock/1831632/13934" xr:uid="{AEBA317D-A9C0-48C8-9A5C-45318C99D63D}"/>
    <hyperlink ref="A15" r:id="rId14" location="/stock/1831632/13577" display="https://etportfolio.indiatimes.com/pw_companyinfo.cms - /stock/1831632/13577" xr:uid="{5AC34C6F-1E3A-4A2B-AB25-576FED193095}"/>
    <hyperlink ref="A16" r:id="rId15" location="/stock/1831632/10777" display="https://etportfolio.indiatimes.com/pw_companyinfo.cms - /stock/1831632/10777" xr:uid="{8F86E628-BF07-491C-8AEF-2E19CC280C88}"/>
    <hyperlink ref="A17" r:id="rId16" location="/stock/1831632/13917" display="https://etportfolio.indiatimes.com/pw_companyinfo.cms - /stock/1831632/13917" xr:uid="{27D7F4E0-62B9-421D-A7DB-836C66D84A5D}"/>
    <hyperlink ref="A18" r:id="rId17" location="/stock/1831632/11822" display="https://etportfolio.indiatimes.com/pw_companyinfo.cms - /stock/1831632/11822" xr:uid="{C6FEEC4C-AE87-4241-9485-E046870D4268}"/>
    <hyperlink ref="A19" r:id="rId18" location="/stock/1831632/858" display="https://etportfolio.indiatimes.com/pw_companyinfo.cms - /stock/1831632/858" xr:uid="{64E06BF5-DFCB-490A-B1AE-84702536752A}"/>
    <hyperlink ref="A20" r:id="rId19" location="/stock/1831632/13873" display="https://etportfolio.indiatimes.com/pw_companyinfo.cms - /stock/1831632/13873" xr:uid="{99F93773-C4D3-4109-9A5D-9376DDC82679}"/>
    <hyperlink ref="A21" r:id="rId20" location="/stock/1831632/11796" display="https://etportfolio.indiatimes.com/pw_companyinfo.cms - /stock/1831632/11796" xr:uid="{A90652CB-E5B0-4B65-909A-9F1E733B172C}"/>
    <hyperlink ref="A22" r:id="rId21" location="/stock/1831632/3635" display="https://etportfolio.indiatimes.com/pw_companyinfo.cms - /stock/1831632/3635" xr:uid="{30D46AA9-7397-4B0B-9C83-2B354A76F329}"/>
    <hyperlink ref="A23" r:id="rId22" location="/stock/1831632/12393" display="https://etportfolio.indiatimes.com/pw_companyinfo.cms - /stock/1831632/12393" xr:uid="{ED861302-F912-4C91-9D29-CC07F56C7345}"/>
    <hyperlink ref="A24" r:id="rId23" location="/stock/1831632/63225" display="https://etportfolio.indiatimes.com/pw_companyinfo.cms - /stock/1831632/63225" xr:uid="{1E3BEE13-A63C-45AC-A1AC-1C06CFBF56CC}"/>
    <hyperlink ref="A25" r:id="rId24" location="/stock/1831632/13787" display="https://etportfolio.indiatimes.com/pw_companyinfo.cms - /stock/1831632/13787" xr:uid="{7D203354-DBD6-45B5-B373-7C1892A96298}"/>
    <hyperlink ref="A26" r:id="rId25" location="/stock/1831632/1941781" display="https://etportfolio.indiatimes.com/pw_companyinfo.cms - /stock/1831632/1941781" xr:uid="{963651A8-7C6E-44F9-B677-F471DE348FBD}"/>
    <hyperlink ref="A27" r:id="rId26" location="/stock/1831632/38215" display="https://etportfolio.indiatimes.com/pw_companyinfo.cms - /stock/1831632/38215" xr:uid="{FE0A954F-880C-41EC-8770-934BC3DA46E7}"/>
    <hyperlink ref="A28" r:id="rId27" location="/stock/1831632/64238" display="https://etportfolio.indiatimes.com/pw_companyinfo.cms - /stock/1831632/64238" xr:uid="{317A65D5-945D-4F97-B292-29E22301B154}"/>
    <hyperlink ref="A29" r:id="rId28" location="/stock/1831632/55491" display="https://etportfolio.indiatimes.com/pw_companyinfo.cms - /stock/1831632/55491" xr:uid="{A29B66FF-59EB-413B-8409-DB834C155BFB}"/>
    <hyperlink ref="A30" r:id="rId29" location="/stock/1831632/13895" display="https://etportfolio.indiatimes.com/pw_companyinfo.cms - /stock/1831632/13895" xr:uid="{61F94B8F-D1A1-4EBA-80F4-8CB32DFB3BD3}"/>
    <hyperlink ref="A31" r:id="rId30" location="/stock/1831632/9211" display="https://etportfolio.indiatimes.com/pw_companyinfo.cms - /stock/1831632/9211" xr:uid="{6816EB27-A7C6-4E12-B138-D412BC148AB9}"/>
    <hyperlink ref="A32" r:id="rId31" location="/stock/1831632/13760" display="https://etportfolio.indiatimes.com/pw_companyinfo.cms - /stock/1831632/13760" xr:uid="{AA5FBAEF-E761-4F1E-8012-AB77CE3CD2FF}"/>
    <hyperlink ref="A33" r:id="rId32" location="/stock/1831632/12266" display="https://etportfolio.indiatimes.com/pw_companyinfo.cms - /stock/1831632/12266" xr:uid="{AE85DAA3-5AD2-481F-BDC3-4C1B2DD02867}"/>
    <hyperlink ref="A34" r:id="rId33" location="/stock/1831632/1996493" display="https://etportfolio.indiatimes.com/pw_companyinfo.cms - /stock/1831632/1996493" xr:uid="{CD7C9DCE-32DC-42B8-B502-A6C86C26DD21}"/>
    <hyperlink ref="A35" r:id="rId34" location="/stock/1831632/5733" display="https://etportfolio.indiatimes.com/pw_companyinfo.cms - /stock/1831632/5733" xr:uid="{0F8D1833-7E7D-48EA-93F8-DA995C00319B}"/>
    <hyperlink ref="A36" r:id="rId35" location="/stock/1831632/4291" display="https://etportfolio.indiatimes.com/pw_companyinfo.cms - /stock/1831632/4291" xr:uid="{78C9EA73-6201-4230-BCBD-26F283021DFA}"/>
    <hyperlink ref="A37" r:id="rId36" location="/stock/1831632/9195" display="https://etportfolio.indiatimes.com/pw_companyinfo.cms - /stock/1831632/9195" xr:uid="{54CD766B-3797-4FDC-9DB1-C27669C8AE98}"/>
    <hyperlink ref="A38" r:id="rId37" location="/stock/1831632/3068" display="https://etportfolio.indiatimes.com/pw_companyinfo.cms - /stock/1831632/3068" xr:uid="{635D0A1E-9BC7-40FA-9CB2-AC5CAC4CBC14}"/>
    <hyperlink ref="A39" r:id="rId38" location="/stock/1831632/13636" display="https://etportfolio.indiatimes.com/pw_companyinfo.cms - /stock/1831632/13636" xr:uid="{5E53047C-12A6-45DB-ACBF-A9F09CF47ABC}"/>
    <hyperlink ref="A40" r:id="rId39" location="/stock/1831632/13616" display="https://etportfolio.indiatimes.com/pw_companyinfo.cms - /stock/1831632/13616" xr:uid="{A3885713-A0C6-4FBD-A309-3809355B1125}"/>
    <hyperlink ref="A41" r:id="rId40" location="/stock/1831632/9194" display="https://etportfolio.indiatimes.com/pw_companyinfo.cms - /stock/1831632/9194" xr:uid="{45224642-C896-4586-9339-6E57B07F4784}"/>
    <hyperlink ref="A42" r:id="rId41" location="/stock/1831632/1883" display="https://etportfolio.indiatimes.com/pw_companyinfo.cms - /stock/1831632/1883" xr:uid="{023DF9AA-7DB2-4626-B000-D9A0776B5748}"/>
    <hyperlink ref="A43" r:id="rId42" location="/stock/1831632/1898" display="https://etportfolio.indiatimes.com/pw_companyinfo.cms - /stock/1831632/1898" xr:uid="{FB341E71-8D92-4EBD-9B4E-7F0C489F43CE}"/>
    <hyperlink ref="A44" r:id="rId43" location="/stock/1831632/9196" display="https://etportfolio.indiatimes.com/pw_companyinfo.cms - /stock/1831632/9196" xr:uid="{2EE37C0D-6230-4E98-A294-12AD69E4728D}"/>
    <hyperlink ref="A45" r:id="rId44" location="/stock/1831632/10960" display="https://etportfolio.indiatimes.com/pw_companyinfo.cms - /stock/1831632/10960" xr:uid="{195FAB01-E528-4B46-A244-AE0AAD40BDE0}"/>
    <hyperlink ref="A46" r:id="rId45" location="/stock/1831632/10587" display="https://etportfolio.indiatimes.com/pw_companyinfo.cms - /stock/1831632/10587" xr:uid="{7CEDF7FE-2AEE-4671-8224-7D7F3840FB95}"/>
    <hyperlink ref="A47" r:id="rId46" location="/stock/1831632/13554" display="https://etportfolio.indiatimes.com/pw_companyinfo.cms - /stock/1831632/13554" xr:uid="{166E0825-C0C9-470F-8BB0-84B284C7C92D}"/>
    <hyperlink ref="A48" r:id="rId47" location="/stock/1831632/13536" display="https://etportfolio.indiatimes.com/pw_companyinfo.cms - /stock/1831632/13536" xr:uid="{FDE35800-E666-4691-875B-D6831B194078}"/>
    <hyperlink ref="A49" r:id="rId48" location="/stock/1831632/16356" display="https://etportfolio.indiatimes.com/pw_companyinfo.cms - /stock/1831632/16356" xr:uid="{0F60DB29-8432-4471-B855-4F9D2A113237}"/>
    <hyperlink ref="A50" r:id="rId49" location="/stock/1831632/10413" display="https://etportfolio.indiatimes.com/pw_companyinfo.cms - /stock/1831632/10413" xr:uid="{E62197DE-EAFA-4EFD-9CCC-3D7500867635}"/>
    <hyperlink ref="A51" r:id="rId50" location="/stock/1831632/12161" display="https://etportfolio.indiatimes.com/pw_companyinfo.cms - /stock/1831632/12161" xr:uid="{9F505B21-CAC8-4937-8114-F66D77FD7291}"/>
    <hyperlink ref="A52" r:id="rId51" location="/stock/1831632/69000" display="https://etportfolio.indiatimes.com/pw_companyinfo.cms - /stock/1831632/69000" xr:uid="{2E109C32-A834-43F7-A5AB-93D932682F74}"/>
    <hyperlink ref="A53" r:id="rId52" location="/stock/1831632/3318" display="https://etportfolio.indiatimes.com/pw_companyinfo.cms - /stock/1831632/3318" xr:uid="{BC3A65FD-237F-4E4D-A690-C1AF5E7BB368}"/>
    <hyperlink ref="A54" r:id="rId53" location="/stock/1831632/13447" display="https://etportfolio.indiatimes.com/pw_companyinfo.cms - /stock/1831632/13447" xr:uid="{A6981D83-CF86-4A7D-99A0-10B07FC58278}"/>
    <hyperlink ref="A55" r:id="rId54" location="/stock/1831632/11898" display="https://etportfolio.indiatimes.com/pw_companyinfo.cms - /stock/1831632/11898" xr:uid="{0024817E-8265-43C1-BC23-AD6F760DAF67}"/>
    <hyperlink ref="A56" r:id="rId55" location="/stock/1831632/17103" display="https://etportfolio.indiatimes.com/pw_companyinfo.cms - /stock/1831632/17103" xr:uid="{09C44265-42CE-43B6-8CD8-76AAEC93AF32}"/>
    <hyperlink ref="A57" r:id="rId56" location="/stock/1831632/5886" display="https://etportfolio.indiatimes.com/pw_companyinfo.cms - /stock/1831632/5886" xr:uid="{E4D44BD5-C6F0-4AE5-A9AB-D20211AB2437}"/>
    <hyperlink ref="A58" r:id="rId57" location="/stock/1831632/5459" display="https://etportfolio.indiatimes.com/pw_companyinfo.cms - /stock/1831632/5459" xr:uid="{8BF3F71A-B369-42D4-9EC6-E56BDE440FD2}"/>
    <hyperlink ref="A59" r:id="rId58" location="/stock/1831632/1987283" display="https://etportfolio.indiatimes.com/pw_companyinfo.cms - /stock/1831632/1987283" xr:uid="{257D9BF0-1D62-4F4E-A8E6-FAFC6840C4EA}"/>
    <hyperlink ref="A60" r:id="rId59" location="/stock/1831632/15673" display="https://etportfolio.indiatimes.com/pw_companyinfo.cms - /stock/1831632/15673" xr:uid="{E463D129-206D-467B-8290-B5E2B32C6775}"/>
    <hyperlink ref="A61" r:id="rId60" location="/stock/1831632/10878" display="https://etportfolio.indiatimes.com/pw_companyinfo.cms - /stock/1831632/10878" xr:uid="{D1A13F4D-5E75-4607-B4C7-5A8ADBB74C4F}"/>
    <hyperlink ref="A62" r:id="rId61" location="/stock/1831632/8684" display="https://etportfolio.indiatimes.com/pw_companyinfo.cms - /stock/1831632/8684" xr:uid="{A6928699-9E8F-4A72-980F-F57D9AAB9C25}"/>
    <hyperlink ref="A63" r:id="rId62" location="/stock/1831632/32621" display="https://etportfolio.indiatimes.com/pw_companyinfo.cms - /stock/1831632/32621" xr:uid="{E46D1E3C-8906-43DC-A5C8-D46613496737}"/>
    <hyperlink ref="A64" r:id="rId63" location="/stock/1831632/11599" display="https://etportfolio.indiatimes.com/pw_companyinfo.cms - /stock/1831632/11599" xr:uid="{619801E0-62B6-4DB0-88AB-F1CE263E43ED}"/>
    <hyperlink ref="A65" r:id="rId64" location="/stock/1831632/3160" display="https://etportfolio.indiatimes.com/pw_companyinfo.cms - /stock/1831632/3160" xr:uid="{15EDF36A-CD05-45B0-9DFA-07A26129EB70}"/>
    <hyperlink ref="A66" r:id="rId65" location="/stock/1831632/41253" display="https://etportfolio.indiatimes.com/pw_companyinfo.cms - /stock/1831632/41253" xr:uid="{1260B46F-F877-42B3-A293-0376FDACC200}"/>
    <hyperlink ref="A67" r:id="rId66" location="/stock/1831632/21519" display="https://etportfolio.indiatimes.com/pw_companyinfo.cms - /stock/1831632/21519" xr:uid="{E5C7B385-0804-424E-AB46-CEBB5F2B6690}"/>
    <hyperlink ref="A68" r:id="rId67" location="/stock/1831632/12358" display="https://etportfolio.indiatimes.com/pw_companyinfo.cms - /stock/1831632/12358" xr:uid="{5FA3F76D-8160-4C68-ACEA-E24140013884}"/>
    <hyperlink ref="A69" r:id="rId68" location="/stock/1831632/10460" display="https://etportfolio.indiatimes.com/pw_companyinfo.cms - /stock/1831632/10460" xr:uid="{9CA49E64-974A-4EE4-BDCA-63146243D8C2}"/>
    <hyperlink ref="A70" r:id="rId69" location="/stock/1831632/13282" display="https://etportfolio.indiatimes.com/pw_companyinfo.cms - /stock/1831632/13282" xr:uid="{68FFF21E-F255-49F8-A6F5-3839CB0642DE}"/>
    <hyperlink ref="A71" r:id="rId70" location="/stock/1831632/18903" display="https://etportfolio.indiatimes.com/pw_companyinfo.cms - /stock/1831632/18903" xr:uid="{33998DC5-3A29-4410-A782-6EABC9D37676}"/>
    <hyperlink ref="A72" r:id="rId71" location="/stock/1831632/7829" display="https://etportfolio.indiatimes.com/pw_companyinfo.cms - /stock/1831632/7829" xr:uid="{B4293B76-784F-4C19-9FE8-B5C3670F43E4}"/>
    <hyperlink ref="A73" r:id="rId72" location="/stock/1831632/13120" display="https://etportfolio.indiatimes.com/pw_companyinfo.cms - /stock/1831632/13120" xr:uid="{41DC19EB-14F2-4549-9505-62AB0CC3CD58}"/>
    <hyperlink ref="A74" r:id="rId73" location="/stock/1831632/2898" display="https://etportfolio.indiatimes.com/pw_companyinfo.cms - /stock/1831632/2898" xr:uid="{2604AF3E-6946-4AC5-98EC-AB01EF9156D6}"/>
    <hyperlink ref="A75" r:id="rId74" location="/stock/1831632/13102" display="https://etportfolio.indiatimes.com/pw_companyinfo.cms - /stock/1831632/13102" xr:uid="{6B2F9A44-F778-4E29-AF12-C71DC7EF3D8C}"/>
    <hyperlink ref="A76" r:id="rId75" location="/stock/1831632/19352" display="https://etportfolio.indiatimes.com/pw_companyinfo.cms - /stock/1831632/19352" xr:uid="{9FC9C930-AAEC-4636-92D6-122D2F67C29F}"/>
    <hyperlink ref="A77" r:id="rId76" location="/stock/1831632/2011581" display="https://etportfolio.indiatimes.com/pw_companyinfo.cms - /stock/1831632/2011581" xr:uid="{1D496C04-5A9F-4C83-AB12-15676C0BC8B5}"/>
    <hyperlink ref="A78" r:id="rId77" location="/stock/1831632/11984" display="https://etportfolio.indiatimes.com/pw_companyinfo.cms - /stock/1831632/11984" xr:uid="{C9D1D039-6B99-42F4-90E9-8E9082E1B375}"/>
    <hyperlink ref="A79" r:id="rId78" location="/stock/1831632/9134" display="https://etportfolio.indiatimes.com/pw_companyinfo.cms - /stock/1831632/9134" xr:uid="{98E7D58E-ED4D-4994-8232-88E1EA2198D2}"/>
    <hyperlink ref="A80" r:id="rId79" location="/stock/1831632/12962" display="https://etportfolio.indiatimes.com/pw_companyinfo.cms - /stock/1831632/12962" xr:uid="{BDD3DA81-03E2-4DAB-A99A-9EF5E7DA7DA9}"/>
    <hyperlink ref="A81" r:id="rId80" location="/stock/1831632/3296" display="https://etportfolio.indiatimes.com/pw_companyinfo.cms - /stock/1831632/3296" xr:uid="{878EFFAC-BCD4-4788-A38D-C45B16AADF34}"/>
    <hyperlink ref="A82" r:id="rId81" location="/stock/1831632/6936" display="https://etportfolio.indiatimes.com/pw_companyinfo.cms - /stock/1831632/6936" xr:uid="{00E3D7D6-C615-421C-8376-C3A984D9ED5C}"/>
    <hyperlink ref="A83" r:id="rId82" location="/stock/1831632/303" display="https://etportfolio.indiatimes.com/pw_companyinfo.cms - /stock/1831632/303" xr:uid="{8F2EE81C-1C1D-47DC-A4C2-95EEE13F7FE1}"/>
    <hyperlink ref="A84" r:id="rId83" location="/stock/1831632/8345" display="https://etportfolio.indiatimes.com/pw_companyinfo.cms - /stock/1831632/8345" xr:uid="{D920F11F-9743-4CB8-A112-EE4D9671483A}"/>
    <hyperlink ref="A85" r:id="rId84" location="/stock/1831632/12929" display="https://etportfolio.indiatimes.com/pw_companyinfo.cms - /stock/1831632/12929" xr:uid="{E44F1F41-7E60-40C1-AE26-DE47E72F79F0}"/>
    <hyperlink ref="A86" r:id="rId85" location="/stock/1831632/129341111" display="https://etportfolio.indiatimes.com/pw_companyinfo.cms - /stock/1831632/129341111" xr:uid="{4D23C93D-BC68-4315-AB02-8075DEAFD6F7}"/>
    <hyperlink ref="A87" r:id="rId86" location="/stock/1831632/12902" display="https://etportfolio.indiatimes.com/pw_companyinfo.cms - /stock/1831632/12902" xr:uid="{26824104-3042-4C28-87E1-3DD6F7AC3310}"/>
    <hyperlink ref="A88" r:id="rId87" location="/stock/1831632/11221" display="https://etportfolio.indiatimes.com/pw_companyinfo.cms - /stock/1831632/11221" xr:uid="{B2235401-C5FE-4555-842E-8808A4A75AF0}"/>
    <hyperlink ref="A89" r:id="rId88" location="/stock/1831632/12903" display="https://etportfolio.indiatimes.com/pw_companyinfo.cms - /stock/1831632/12903" xr:uid="{C7AFEEEF-10A2-40E4-8611-481A64CA8711}"/>
    <hyperlink ref="A90" r:id="rId89" location="/stock/1831632/18605" display="https://etportfolio.indiatimes.com/pw_companyinfo.cms - /stock/1831632/18605" xr:uid="{53C55725-FF9E-488E-BF3E-E99DB9AA5D78}"/>
    <hyperlink ref="A91" r:id="rId90" location="/stock/1831632/12799" display="https://etportfolio.indiatimes.com/pw_companyinfo.cms - /stock/1831632/12799" xr:uid="{CBEF198F-632B-4516-BFB3-9592C27240CC}"/>
    <hyperlink ref="A92" r:id="rId91" location="/stock/1831632/16552" display="https://etportfolio.indiatimes.com/pw_companyinfo.cms - /stock/1831632/16552" xr:uid="{E324861B-5FAC-449A-8641-3012E2145F5B}"/>
    <hyperlink ref="A93" r:id="rId92" location="/stock/1831632/6816" display="https://etportfolio.indiatimes.com/pw_companyinfo.cms - /stock/1831632/6816" xr:uid="{66978DE0-74ED-48B7-BD73-0851B6E46CC3}"/>
  </hyperlinks>
  <pageMargins left="0.7" right="0.7" top="0.75" bottom="0.75" header="0.3" footer="0.3"/>
  <pageSetup paperSize="9" orientation="portrait" r:id="rId9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5E16-B837-493A-B3C6-6EBDB479F93E}">
  <dimension ref="A1:I15"/>
  <sheetViews>
    <sheetView workbookViewId="0">
      <selection activeCell="D17" sqref="D17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>
      <c r="A2" s="77" t="s">
        <v>234</v>
      </c>
      <c r="B2" s="76" t="s">
        <v>235</v>
      </c>
      <c r="C2" s="78">
        <v>3774.1860000000001</v>
      </c>
      <c r="D2" s="76">
        <v>69.83</v>
      </c>
      <c r="E2" s="76">
        <v>68.885599999999997</v>
      </c>
      <c r="F2" s="78">
        <v>259987.1214</v>
      </c>
      <c r="G2" s="78">
        <v>263551.40840000001</v>
      </c>
      <c r="H2" s="78">
        <v>3564.2869999999998</v>
      </c>
      <c r="I2" s="1">
        <f>H2/F2</f>
        <v>1.3709475226337114E-2</v>
      </c>
    </row>
    <row r="3" spans="1:9">
      <c r="A3" s="77" t="s">
        <v>236</v>
      </c>
      <c r="B3" s="76" t="s">
        <v>237</v>
      </c>
      <c r="C3" s="78">
        <v>12205.787</v>
      </c>
      <c r="D3" s="76">
        <v>64.209999999999994</v>
      </c>
      <c r="E3" s="76">
        <v>44.239199999999997</v>
      </c>
      <c r="F3" s="78">
        <v>539973.91910000006</v>
      </c>
      <c r="G3" s="78">
        <v>783733.58330000006</v>
      </c>
      <c r="H3" s="78">
        <v>243759.6642</v>
      </c>
      <c r="I3" s="1">
        <f t="shared" ref="I3:I14" si="0">H3/F3</f>
        <v>0.4514285886368099</v>
      </c>
    </row>
    <row r="4" spans="1:9">
      <c r="A4" s="77" t="s">
        <v>454</v>
      </c>
      <c r="B4" s="76" t="s">
        <v>269</v>
      </c>
      <c r="C4" s="76">
        <v>1E-3</v>
      </c>
      <c r="D4" s="78">
        <v>3219.6424000000002</v>
      </c>
      <c r="E4" s="78">
        <v>3170.0239999999999</v>
      </c>
      <c r="F4" s="76">
        <v>3.17</v>
      </c>
      <c r="G4" s="76">
        <v>3.2195999999999998</v>
      </c>
      <c r="H4" s="76">
        <v>4.9599999999999998E-2</v>
      </c>
      <c r="I4" s="1">
        <f t="shared" si="0"/>
        <v>1.5646687697160884E-2</v>
      </c>
    </row>
    <row r="5" spans="1:9">
      <c r="A5" s="77" t="s">
        <v>441</v>
      </c>
      <c r="B5" s="76" t="s">
        <v>241</v>
      </c>
      <c r="C5" s="78">
        <v>1857.5519999999999</v>
      </c>
      <c r="D5" s="76">
        <v>512.29309999999998</v>
      </c>
      <c r="E5" s="76">
        <v>366.02140000000003</v>
      </c>
      <c r="F5" s="78">
        <v>679903.69869999995</v>
      </c>
      <c r="G5" s="78">
        <v>951611.07250000001</v>
      </c>
      <c r="H5" s="78">
        <v>271707.3738</v>
      </c>
      <c r="I5" s="1">
        <f t="shared" si="0"/>
        <v>0.39962626224789505</v>
      </c>
    </row>
    <row r="6" spans="1:9">
      <c r="A6" s="77" t="s">
        <v>242</v>
      </c>
      <c r="B6" s="76" t="s">
        <v>237</v>
      </c>
      <c r="C6" s="78">
        <v>5856.576</v>
      </c>
      <c r="D6" s="76">
        <v>74.504999999999995</v>
      </c>
      <c r="E6" s="76">
        <v>44.3917</v>
      </c>
      <c r="F6" s="78">
        <v>259983.36480000001</v>
      </c>
      <c r="G6" s="78">
        <v>436344.1949</v>
      </c>
      <c r="H6" s="78">
        <v>176360.83009999999</v>
      </c>
      <c r="I6" s="1">
        <f t="shared" si="0"/>
        <v>0.67835428715091384</v>
      </c>
    </row>
    <row r="7" spans="1:9">
      <c r="A7" s="77" t="s">
        <v>272</v>
      </c>
      <c r="B7" s="76" t="s">
        <v>235</v>
      </c>
      <c r="C7" s="78">
        <v>6641.4979999999996</v>
      </c>
      <c r="D7" s="76">
        <v>76.173000000000002</v>
      </c>
      <c r="E7" s="76">
        <v>41.7624</v>
      </c>
      <c r="F7" s="78">
        <v>277364.96380000003</v>
      </c>
      <c r="G7" s="78">
        <v>505902.8272</v>
      </c>
      <c r="H7" s="78">
        <v>228537.8634</v>
      </c>
      <c r="I7" s="1">
        <f t="shared" si="0"/>
        <v>0.82396082139917337</v>
      </c>
    </row>
    <row r="8" spans="1:9">
      <c r="A8" s="77" t="s">
        <v>244</v>
      </c>
      <c r="B8" s="76" t="s">
        <v>233</v>
      </c>
      <c r="C8" s="78">
        <v>5841.7389999999996</v>
      </c>
      <c r="D8" s="76">
        <v>20.926400000000001</v>
      </c>
      <c r="E8" s="76">
        <v>23.964300000000001</v>
      </c>
      <c r="F8" s="78">
        <v>139992.99739999999</v>
      </c>
      <c r="G8" s="78">
        <v>122246.567</v>
      </c>
      <c r="H8" s="78">
        <v>-17746.430400000001</v>
      </c>
      <c r="I8" s="1">
        <f t="shared" si="0"/>
        <v>-0.12676655782498447</v>
      </c>
    </row>
    <row r="9" spans="1:9">
      <c r="A9" s="77" t="s">
        <v>246</v>
      </c>
      <c r="B9" s="76" t="s">
        <v>241</v>
      </c>
      <c r="C9" s="78">
        <v>9069.08</v>
      </c>
      <c r="D9" s="76">
        <v>10.496700000000001</v>
      </c>
      <c r="E9" s="76">
        <v>11.081099999999999</v>
      </c>
      <c r="F9" s="78">
        <v>100494.9899</v>
      </c>
      <c r="G9" s="78">
        <v>95195.411999999997</v>
      </c>
      <c r="H9" s="78">
        <v>-5299.5779000000002</v>
      </c>
      <c r="I9" s="1">
        <f t="shared" si="0"/>
        <v>-5.2734747326941125E-2</v>
      </c>
    </row>
    <row r="10" spans="1:9">
      <c r="A10" s="77" t="s">
        <v>250</v>
      </c>
      <c r="B10" s="76" t="s">
        <v>251</v>
      </c>
      <c r="C10" s="78">
        <v>12067.237999999999</v>
      </c>
      <c r="D10" s="76">
        <v>49.323099999999997</v>
      </c>
      <c r="E10" s="76">
        <v>39.440899999999999</v>
      </c>
      <c r="F10" s="78">
        <v>475942.43550000002</v>
      </c>
      <c r="G10" s="78">
        <v>595193.58660000004</v>
      </c>
      <c r="H10" s="78">
        <v>119251.1511</v>
      </c>
      <c r="I10" s="1">
        <f t="shared" si="0"/>
        <v>0.25055792928974913</v>
      </c>
    </row>
    <row r="11" spans="1:9">
      <c r="A11" s="77" t="s">
        <v>274</v>
      </c>
      <c r="B11" s="76" t="s">
        <v>233</v>
      </c>
      <c r="C11" s="78">
        <v>5399.8710000000001</v>
      </c>
      <c r="D11" s="76">
        <v>28.78</v>
      </c>
      <c r="E11" s="76">
        <v>37.036200000000001</v>
      </c>
      <c r="F11" s="78">
        <v>199990.82519999999</v>
      </c>
      <c r="G11" s="78">
        <v>155408.2874</v>
      </c>
      <c r="H11" s="78">
        <v>-44582.537799999998</v>
      </c>
      <c r="I11" s="1">
        <f t="shared" si="0"/>
        <v>-0.22292291536581949</v>
      </c>
    </row>
    <row r="12" spans="1:9">
      <c r="A12" s="77" t="s">
        <v>455</v>
      </c>
      <c r="B12" s="76" t="s">
        <v>241</v>
      </c>
      <c r="C12" s="76">
        <v>197.84399999999999</v>
      </c>
      <c r="D12" s="76">
        <v>144.05680000000001</v>
      </c>
      <c r="E12" s="76">
        <v>126.3557</v>
      </c>
      <c r="F12" s="78">
        <v>24998.7091</v>
      </c>
      <c r="G12" s="78">
        <v>28500.773499999999</v>
      </c>
      <c r="H12" s="78">
        <v>3502.0644000000002</v>
      </c>
      <c r="I12" s="1">
        <f t="shared" si="0"/>
        <v>0.14008980967741252</v>
      </c>
    </row>
    <row r="13" spans="1:9">
      <c r="A13" s="77" t="s">
        <v>255</v>
      </c>
      <c r="B13" s="76" t="s">
        <v>241</v>
      </c>
      <c r="C13" s="78">
        <v>18996.168000000001</v>
      </c>
      <c r="D13" s="76">
        <v>13.934200000000001</v>
      </c>
      <c r="E13" s="76">
        <v>9.4700000000000006</v>
      </c>
      <c r="F13" s="78">
        <v>179893.71100000001</v>
      </c>
      <c r="G13" s="78">
        <v>264696.40409999999</v>
      </c>
      <c r="H13" s="78">
        <v>84802.693199999994</v>
      </c>
      <c r="I13" s="1">
        <f t="shared" si="0"/>
        <v>0.47140443503330692</v>
      </c>
    </row>
    <row r="14" spans="1:9" ht="15.75" thickBot="1">
      <c r="A14" s="74" t="s">
        <v>11</v>
      </c>
      <c r="B14" s="75"/>
      <c r="C14" s="75">
        <f>SUM(C2:C13)</f>
        <v>81907.539999999994</v>
      </c>
      <c r="D14" s="75"/>
      <c r="E14" s="75"/>
      <c r="F14" s="75">
        <f t="shared" ref="F14:H14" si="1">SUM(F2:F13)</f>
        <v>3138529.9059000001</v>
      </c>
      <c r="G14" s="75">
        <f t="shared" si="1"/>
        <v>4202387.3365000002</v>
      </c>
      <c r="H14" s="75">
        <f t="shared" si="1"/>
        <v>1063857.4307000001</v>
      </c>
      <c r="I14" s="53">
        <f t="shared" si="0"/>
        <v>0.33896679738501012</v>
      </c>
    </row>
    <row r="15" spans="1:9" ht="15.75" thickTop="1"/>
  </sheetData>
  <hyperlinks>
    <hyperlink ref="A2" r:id="rId1" location="/mf/1831632/15690/NULL" display="https://etportfolio.indiatimes.com/pw_companyinfo.cms - /mf/1831632/15690/NULL" xr:uid="{E16E6393-4663-4061-89E8-199C26584F66}"/>
    <hyperlink ref="A3" r:id="rId2" location="/mf/1831632/22335/NULL" display="https://etportfolio.indiatimes.com/pw_companyinfo.cms - /mf/1831632/22335/NULL" xr:uid="{7E5CC913-2162-4F68-99F7-E99D4BC11639}"/>
    <hyperlink ref="A4" r:id="rId3" location="/mf/1831632/16848/NULL" display="https://etportfolio.indiatimes.com/pw_companyinfo.cms - /mf/1831632/16848/NULL" xr:uid="{847B4DD5-D5A6-4C49-B161-9A47E776C85E}"/>
    <hyperlink ref="A5" r:id="rId4" location="/mf/1831632/16071/NULL" display="https://etportfolio.indiatimes.com/pw_companyinfo.cms - /mf/1831632/16071/NULL" xr:uid="{BB568168-10FE-4338-8C8E-18BD8DC55B69}"/>
    <hyperlink ref="A6" r:id="rId5" location="/mf/1831632/16617/NULL" display="https://etportfolio.indiatimes.com/pw_companyinfo.cms - /mf/1831632/16617/NULL" xr:uid="{F24E684F-3EF3-40C7-9DCA-031CC62BE77E}"/>
    <hyperlink ref="A7" r:id="rId6" location="/mf/1831632/17134/NULL" display="https://etportfolio.indiatimes.com/pw_companyinfo.cms - /mf/1831632/17134/NULL" xr:uid="{C42BD616-3178-4B17-8B20-91139FB81AEE}"/>
    <hyperlink ref="A8" r:id="rId7" location="/mf/1831632/38228/NULL" display="https://etportfolio.indiatimes.com/pw_companyinfo.cms - /mf/1831632/38228/NULL" xr:uid="{479086C6-1C94-480D-9CAD-9B1B80A4F573}"/>
    <hyperlink ref="A9" r:id="rId8" location="/mf/1831632/41574/NULL" display="https://etportfolio.indiatimes.com/pw_companyinfo.cms - /mf/1831632/41574/NULL" xr:uid="{A2548C36-5D8C-4A95-AB40-8C24F7596395}"/>
    <hyperlink ref="A10" r:id="rId9" location="/mf/1831632/19701/NULL" display="https://etportfolio.indiatimes.com/pw_companyinfo.cms - /mf/1831632/19701/NULL" xr:uid="{124D0311-E291-4C51-9B55-62C207C15242}"/>
    <hyperlink ref="A11" r:id="rId10" location="/mf/1831632/17348/NULL" display="https://etportfolio.indiatimes.com/pw_companyinfo.cms - /mf/1831632/17348/NULL" xr:uid="{8F80B21B-E473-424B-B654-18004890C7EB}"/>
    <hyperlink ref="A12" r:id="rId11" location="/mf/1831632/16955/NULL" display="https://etportfolio.indiatimes.com/pw_companyinfo.cms - /mf/1831632/16955/NULL" xr:uid="{D9B5BA1E-C926-449F-9334-D4D44CC709B5}"/>
    <hyperlink ref="A13" r:id="rId12" location="/mf/1831632/36491/NULL" display="https://etportfolio.indiatimes.com/pw_companyinfo.cms - /mf/1831632/36491/NULL" xr:uid="{85D37199-2A1A-4700-9E7F-D43FBABA8D6A}"/>
  </hyperlinks>
  <pageMargins left="0.7" right="0.7" top="0.75" bottom="0.75" header="0.3" footer="0.3"/>
  <pageSetup paperSize="9" orientation="portrait" r:id="rId1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1F13-EA6D-44A2-97BC-6360BD2DF284}">
  <dimension ref="A1:H95"/>
  <sheetViews>
    <sheetView topLeftCell="A69" workbookViewId="0">
      <selection activeCell="A96" sqref="A96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>
      <c r="A2" s="77" t="s">
        <v>352</v>
      </c>
      <c r="B2" s="76">
        <v>25</v>
      </c>
      <c r="C2" s="78">
        <v>1723.95</v>
      </c>
      <c r="D2" s="78">
        <v>1753.0652</v>
      </c>
      <c r="E2" s="78">
        <v>43826.63</v>
      </c>
      <c r="F2" s="78">
        <v>43098.75</v>
      </c>
      <c r="G2" s="76">
        <v>-727.88</v>
      </c>
      <c r="H2" s="136">
        <f t="shared" ref="H2:H65" si="0">G2/E2</f>
        <v>-1.6608167226181889E-2</v>
      </c>
    </row>
    <row r="3" spans="1:8">
      <c r="A3" s="77" t="s">
        <v>353</v>
      </c>
      <c r="B3" s="76">
        <v>13</v>
      </c>
      <c r="C3" s="78">
        <v>3253.05</v>
      </c>
      <c r="D3" s="78">
        <v>2592.5562</v>
      </c>
      <c r="E3" s="78">
        <v>33703.230000000003</v>
      </c>
      <c r="F3" s="78">
        <v>42289.65</v>
      </c>
      <c r="G3" s="78">
        <v>8586.42</v>
      </c>
      <c r="H3" s="136">
        <f t="shared" si="0"/>
        <v>0.25476549280291533</v>
      </c>
    </row>
    <row r="4" spans="1:8">
      <c r="A4" s="77" t="s">
        <v>354</v>
      </c>
      <c r="B4" s="76">
        <v>250</v>
      </c>
      <c r="C4" s="76">
        <v>204.85</v>
      </c>
      <c r="D4" s="76">
        <v>183.58799999999999</v>
      </c>
      <c r="E4" s="78">
        <v>45897</v>
      </c>
      <c r="F4" s="78">
        <v>51212.5</v>
      </c>
      <c r="G4" s="78">
        <v>5315.5</v>
      </c>
      <c r="H4" s="136">
        <f t="shared" si="0"/>
        <v>0.11581366973876288</v>
      </c>
    </row>
    <row r="5" spans="1:8">
      <c r="A5" s="77" t="s">
        <v>355</v>
      </c>
      <c r="B5" s="76">
        <v>12</v>
      </c>
      <c r="C5" s="78">
        <v>3239.3</v>
      </c>
      <c r="D5" s="78">
        <v>2352.6</v>
      </c>
      <c r="E5" s="78">
        <v>28231.200000000001</v>
      </c>
      <c r="F5" s="78">
        <v>38871.599999999999</v>
      </c>
      <c r="G5" s="78">
        <v>10640.4</v>
      </c>
      <c r="H5" s="136">
        <f t="shared" si="0"/>
        <v>0.37690215081186768</v>
      </c>
    </row>
    <row r="6" spans="1:8">
      <c r="A6" s="77" t="s">
        <v>356</v>
      </c>
      <c r="B6" s="76">
        <v>36</v>
      </c>
      <c r="C6" s="78">
        <v>1391.8</v>
      </c>
      <c r="D6" s="78">
        <v>1156.3389</v>
      </c>
      <c r="E6" s="78">
        <v>41628.199999999997</v>
      </c>
      <c r="F6" s="78">
        <v>50104.800000000003</v>
      </c>
      <c r="G6" s="78">
        <v>8476.6</v>
      </c>
      <c r="H6" s="136">
        <f t="shared" si="0"/>
        <v>0.20362638788129203</v>
      </c>
    </row>
    <row r="7" spans="1:8">
      <c r="A7" s="77" t="s">
        <v>357</v>
      </c>
      <c r="B7" s="76">
        <v>12</v>
      </c>
      <c r="C7" s="78">
        <v>3948.6</v>
      </c>
      <c r="D7" s="78">
        <v>3205.395</v>
      </c>
      <c r="E7" s="78">
        <v>38464.74</v>
      </c>
      <c r="F7" s="78">
        <v>47383.199999999997</v>
      </c>
      <c r="G7" s="78">
        <v>8918.4599999999991</v>
      </c>
      <c r="H7" s="136">
        <f t="shared" si="0"/>
        <v>0.23186065991866836</v>
      </c>
    </row>
    <row r="8" spans="1:8">
      <c r="A8" s="77" t="s">
        <v>358</v>
      </c>
      <c r="B8" s="76">
        <v>76</v>
      </c>
      <c r="C8" s="76">
        <v>728.7</v>
      </c>
      <c r="D8" s="76">
        <v>603.67700000000002</v>
      </c>
      <c r="E8" s="78">
        <v>45879.45</v>
      </c>
      <c r="F8" s="78">
        <v>55381.2</v>
      </c>
      <c r="G8" s="78">
        <v>9501.75</v>
      </c>
      <c r="H8" s="136">
        <f t="shared" si="0"/>
        <v>0.20710252629445211</v>
      </c>
    </row>
    <row r="9" spans="1:8">
      <c r="A9" s="77" t="s">
        <v>359</v>
      </c>
      <c r="B9" s="76">
        <v>20</v>
      </c>
      <c r="C9" s="78">
        <v>3727.05</v>
      </c>
      <c r="D9" s="78">
        <v>2859.69</v>
      </c>
      <c r="E9" s="78">
        <v>57193.8</v>
      </c>
      <c r="F9" s="78">
        <v>74541</v>
      </c>
      <c r="G9" s="78">
        <v>17347.2</v>
      </c>
      <c r="H9" s="136">
        <f t="shared" si="0"/>
        <v>0.30330560305487658</v>
      </c>
    </row>
    <row r="10" spans="1:8">
      <c r="A10" s="77" t="s">
        <v>360</v>
      </c>
      <c r="B10" s="76">
        <v>1</v>
      </c>
      <c r="C10" s="78">
        <v>6672.2</v>
      </c>
      <c r="D10" s="78">
        <v>7545</v>
      </c>
      <c r="E10" s="78">
        <v>7545</v>
      </c>
      <c r="F10" s="78">
        <v>6672.2</v>
      </c>
      <c r="G10" s="76">
        <v>-872.8</v>
      </c>
      <c r="H10" s="136">
        <f t="shared" si="0"/>
        <v>-0.11567925778661364</v>
      </c>
    </row>
    <row r="11" spans="1:8">
      <c r="A11" s="77" t="s">
        <v>361</v>
      </c>
      <c r="B11" s="76">
        <v>10</v>
      </c>
      <c r="C11" s="78">
        <v>2145.75</v>
      </c>
      <c r="D11" s="78">
        <v>1889.8620000000001</v>
      </c>
      <c r="E11" s="78">
        <v>18898.62</v>
      </c>
      <c r="F11" s="78">
        <v>21457.5</v>
      </c>
      <c r="G11" s="78">
        <v>2558.88</v>
      </c>
      <c r="H11" s="136">
        <f t="shared" si="0"/>
        <v>0.13540036256615565</v>
      </c>
    </row>
    <row r="12" spans="1:8">
      <c r="A12" s="77" t="s">
        <v>362</v>
      </c>
      <c r="B12" s="76">
        <v>180</v>
      </c>
      <c r="C12" s="76">
        <v>739.7</v>
      </c>
      <c r="D12" s="76">
        <v>322.88889999999998</v>
      </c>
      <c r="E12" s="78">
        <v>58120</v>
      </c>
      <c r="F12" s="78">
        <v>133146</v>
      </c>
      <c r="G12" s="78">
        <v>75026</v>
      </c>
      <c r="H12" s="136">
        <f t="shared" si="0"/>
        <v>1.2908809359944942</v>
      </c>
    </row>
    <row r="13" spans="1:8">
      <c r="A13" s="77" t="s">
        <v>363</v>
      </c>
      <c r="B13" s="76">
        <v>54</v>
      </c>
      <c r="C13" s="76">
        <v>457.35</v>
      </c>
      <c r="D13" s="76">
        <v>414.23329999999999</v>
      </c>
      <c r="E13" s="78">
        <v>22368.6</v>
      </c>
      <c r="F13" s="78">
        <v>24696.9</v>
      </c>
      <c r="G13" s="78">
        <v>2328.3000000000002</v>
      </c>
      <c r="H13" s="136">
        <f t="shared" si="0"/>
        <v>0.10408787317936752</v>
      </c>
    </row>
    <row r="14" spans="1:8">
      <c r="A14" s="77" t="s">
        <v>364</v>
      </c>
      <c r="B14" s="76">
        <v>14</v>
      </c>
      <c r="C14" s="78">
        <v>3283.2</v>
      </c>
      <c r="D14" s="78">
        <v>3489.9357</v>
      </c>
      <c r="E14" s="78">
        <v>48859.1</v>
      </c>
      <c r="F14" s="78">
        <v>45964.800000000003</v>
      </c>
      <c r="G14" s="78">
        <v>-2894.3</v>
      </c>
      <c r="H14" s="136">
        <f t="shared" si="0"/>
        <v>-5.9237685507919718E-2</v>
      </c>
    </row>
    <row r="15" spans="1:8">
      <c r="A15" s="77" t="s">
        <v>365</v>
      </c>
      <c r="B15" s="76">
        <v>180</v>
      </c>
      <c r="C15" s="76">
        <v>107.95</v>
      </c>
      <c r="D15" s="76">
        <v>155.25</v>
      </c>
      <c r="E15" s="78">
        <v>27945</v>
      </c>
      <c r="F15" s="78">
        <v>19431</v>
      </c>
      <c r="G15" s="78">
        <v>-8514</v>
      </c>
      <c r="H15" s="136">
        <f t="shared" si="0"/>
        <v>-0.30466988727858291</v>
      </c>
    </row>
    <row r="16" spans="1:8">
      <c r="A16" s="77" t="s">
        <v>442</v>
      </c>
      <c r="B16" s="76">
        <v>81</v>
      </c>
      <c r="C16" s="76">
        <v>456.85</v>
      </c>
      <c r="D16" s="76">
        <v>411.62040000000002</v>
      </c>
      <c r="E16" s="78">
        <v>33341.25</v>
      </c>
      <c r="F16" s="78">
        <v>37004.85</v>
      </c>
      <c r="G16" s="78">
        <v>3663.6</v>
      </c>
      <c r="H16" s="136">
        <f t="shared" si="0"/>
        <v>0.10988190304802609</v>
      </c>
    </row>
    <row r="17" spans="1:8">
      <c r="A17" s="77" t="s">
        <v>366</v>
      </c>
      <c r="B17" s="76">
        <v>43</v>
      </c>
      <c r="C17" s="76">
        <v>981.85</v>
      </c>
      <c r="D17" s="76">
        <v>701.07399999999996</v>
      </c>
      <c r="E17" s="78">
        <v>30146.18</v>
      </c>
      <c r="F17" s="78">
        <v>42219.55</v>
      </c>
      <c r="G17" s="78">
        <v>12073.37</v>
      </c>
      <c r="H17" s="136">
        <f t="shared" si="0"/>
        <v>0.40049419196727415</v>
      </c>
    </row>
    <row r="18" spans="1:8">
      <c r="A18" s="77" t="s">
        <v>367</v>
      </c>
      <c r="B18" s="76">
        <v>250</v>
      </c>
      <c r="C18" s="76">
        <v>183.1</v>
      </c>
      <c r="D18" s="76">
        <v>163.66999999999999</v>
      </c>
      <c r="E18" s="78">
        <v>40917.5</v>
      </c>
      <c r="F18" s="78">
        <v>45775</v>
      </c>
      <c r="G18" s="78">
        <v>4857.5</v>
      </c>
      <c r="H18" s="136">
        <f t="shared" si="0"/>
        <v>0.11871448646667074</v>
      </c>
    </row>
    <row r="19" spans="1:8">
      <c r="A19" s="77" t="s">
        <v>368</v>
      </c>
      <c r="B19" s="76">
        <v>4</v>
      </c>
      <c r="C19" s="78">
        <v>4197.25</v>
      </c>
      <c r="D19" s="78">
        <v>4792.0375000000004</v>
      </c>
      <c r="E19" s="78">
        <v>19168.150000000001</v>
      </c>
      <c r="F19" s="78">
        <v>16789</v>
      </c>
      <c r="G19" s="78">
        <v>-2379.15</v>
      </c>
      <c r="H19" s="136">
        <f t="shared" si="0"/>
        <v>-0.12411995941183682</v>
      </c>
    </row>
    <row r="20" spans="1:8">
      <c r="A20" s="77" t="s">
        <v>369</v>
      </c>
      <c r="B20" s="76">
        <v>26</v>
      </c>
      <c r="C20" s="78">
        <v>1654.35</v>
      </c>
      <c r="D20" s="78">
        <v>1554.8558</v>
      </c>
      <c r="E20" s="78">
        <v>40426.25</v>
      </c>
      <c r="F20" s="78">
        <v>43013.1</v>
      </c>
      <c r="G20" s="78">
        <v>2586.85</v>
      </c>
      <c r="H20" s="136">
        <f t="shared" si="0"/>
        <v>6.398936334683529E-2</v>
      </c>
    </row>
    <row r="21" spans="1:8">
      <c r="A21" s="77" t="s">
        <v>370</v>
      </c>
      <c r="B21" s="76">
        <v>72</v>
      </c>
      <c r="C21" s="76">
        <v>556.85</v>
      </c>
      <c r="D21" s="76">
        <v>561.02419999999995</v>
      </c>
      <c r="E21" s="78">
        <v>40393.74</v>
      </c>
      <c r="F21" s="78">
        <v>40093.199999999997</v>
      </c>
      <c r="G21" s="76">
        <v>-300.54000000000002</v>
      </c>
      <c r="H21" s="136">
        <f t="shared" si="0"/>
        <v>-7.440261783137685E-3</v>
      </c>
    </row>
    <row r="22" spans="1:8">
      <c r="A22" s="77" t="s">
        <v>371</v>
      </c>
      <c r="B22" s="76">
        <v>11</v>
      </c>
      <c r="C22" s="78">
        <v>4507.1000000000004</v>
      </c>
      <c r="D22" s="78">
        <v>2298.1581999999999</v>
      </c>
      <c r="E22" s="78">
        <v>25279.74</v>
      </c>
      <c r="F22" s="78">
        <v>49578.1</v>
      </c>
      <c r="G22" s="78">
        <v>24298.36</v>
      </c>
      <c r="H22" s="136">
        <f t="shared" si="0"/>
        <v>0.96117918934292834</v>
      </c>
    </row>
    <row r="23" spans="1:8">
      <c r="A23" s="77" t="s">
        <v>372</v>
      </c>
      <c r="B23" s="76">
        <v>55</v>
      </c>
      <c r="C23" s="76">
        <v>372.25</v>
      </c>
      <c r="D23" s="76">
        <v>325.14240000000001</v>
      </c>
      <c r="E23" s="78">
        <v>17882.830000000002</v>
      </c>
      <c r="F23" s="78">
        <v>20473.75</v>
      </c>
      <c r="G23" s="78">
        <v>2590.92</v>
      </c>
      <c r="H23" s="136">
        <f t="shared" si="0"/>
        <v>0.14488310854601871</v>
      </c>
    </row>
    <row r="24" spans="1:8">
      <c r="A24" s="77" t="s">
        <v>373</v>
      </c>
      <c r="B24" s="76">
        <v>2</v>
      </c>
      <c r="C24" s="78">
        <v>2605.4</v>
      </c>
      <c r="D24" s="78">
        <v>3639.8</v>
      </c>
      <c r="E24" s="78">
        <v>7279.6</v>
      </c>
      <c r="F24" s="78">
        <v>5210.8</v>
      </c>
      <c r="G24" s="78">
        <v>-2068.8000000000002</v>
      </c>
      <c r="H24" s="136">
        <f t="shared" si="0"/>
        <v>-0.28419143909005989</v>
      </c>
    </row>
    <row r="25" spans="1:8">
      <c r="A25" s="77" t="s">
        <v>374</v>
      </c>
      <c r="B25" s="76">
        <v>10</v>
      </c>
      <c r="C25" s="78">
        <v>2629.65</v>
      </c>
      <c r="D25" s="78">
        <v>2469.0340000000001</v>
      </c>
      <c r="E25" s="78">
        <v>24690.34</v>
      </c>
      <c r="F25" s="78">
        <v>26296.5</v>
      </c>
      <c r="G25" s="78">
        <v>1606.16</v>
      </c>
      <c r="H25" s="136">
        <f t="shared" si="0"/>
        <v>6.5052162100643407E-2</v>
      </c>
    </row>
    <row r="26" spans="1:8">
      <c r="A26" s="77" t="s">
        <v>375</v>
      </c>
      <c r="B26" s="76">
        <v>61</v>
      </c>
      <c r="C26" s="76">
        <v>385.83</v>
      </c>
      <c r="D26" s="76">
        <v>360.97</v>
      </c>
      <c r="E26" s="78">
        <v>22019.17</v>
      </c>
      <c r="F26" s="78">
        <v>23535.63</v>
      </c>
      <c r="G26" s="78">
        <v>1516.46</v>
      </c>
      <c r="H26" s="136">
        <f t="shared" si="0"/>
        <v>6.8869989195778053E-2</v>
      </c>
    </row>
    <row r="27" spans="1:8">
      <c r="A27" s="77" t="s">
        <v>376</v>
      </c>
      <c r="B27" s="76">
        <v>31</v>
      </c>
      <c r="C27" s="78">
        <v>1213.3499999999999</v>
      </c>
      <c r="D27" s="78">
        <v>1356.4474</v>
      </c>
      <c r="E27" s="78">
        <v>42049.87</v>
      </c>
      <c r="F27" s="78">
        <v>37613.85</v>
      </c>
      <c r="G27" s="78">
        <v>-4436.0200000000004</v>
      </c>
      <c r="H27" s="136">
        <f t="shared" si="0"/>
        <v>-0.10549426193231989</v>
      </c>
    </row>
    <row r="28" spans="1:8">
      <c r="A28" s="77" t="s">
        <v>443</v>
      </c>
      <c r="B28" s="76">
        <v>930</v>
      </c>
      <c r="C28" s="76">
        <v>54.55</v>
      </c>
      <c r="D28" s="76">
        <v>53.470199999999998</v>
      </c>
      <c r="E28" s="78">
        <v>49727.25</v>
      </c>
      <c r="F28" s="78">
        <v>50731.5</v>
      </c>
      <c r="G28" s="78">
        <v>1004.25</v>
      </c>
      <c r="H28" s="136">
        <f t="shared" si="0"/>
        <v>2.0195164623018565E-2</v>
      </c>
    </row>
    <row r="29" spans="1:8">
      <c r="A29" s="77" t="s">
        <v>377</v>
      </c>
      <c r="B29" s="76">
        <v>86</v>
      </c>
      <c r="C29" s="76">
        <v>675.7</v>
      </c>
      <c r="D29" s="76">
        <v>714.27210000000002</v>
      </c>
      <c r="E29" s="78">
        <v>61427.4</v>
      </c>
      <c r="F29" s="78">
        <v>58110.2</v>
      </c>
      <c r="G29" s="78">
        <v>-3317.2</v>
      </c>
      <c r="H29" s="136">
        <f t="shared" si="0"/>
        <v>-5.400196003737745E-2</v>
      </c>
    </row>
    <row r="30" spans="1:8">
      <c r="A30" s="77" t="s">
        <v>378</v>
      </c>
      <c r="B30" s="76">
        <v>306</v>
      </c>
      <c r="C30" s="76">
        <v>153.15</v>
      </c>
      <c r="D30" s="76">
        <v>184.8879</v>
      </c>
      <c r="E30" s="78">
        <v>56575.71</v>
      </c>
      <c r="F30" s="78">
        <v>46863.9</v>
      </c>
      <c r="G30" s="78">
        <v>-9711.81</v>
      </c>
      <c r="H30" s="136">
        <f t="shared" si="0"/>
        <v>-0.17166041751840144</v>
      </c>
    </row>
    <row r="31" spans="1:8">
      <c r="A31" s="77" t="s">
        <v>379</v>
      </c>
      <c r="B31" s="76">
        <v>430</v>
      </c>
      <c r="C31" s="76">
        <v>95.95</v>
      </c>
      <c r="D31" s="76">
        <v>72.372900000000001</v>
      </c>
      <c r="E31" s="78">
        <v>31120.33</v>
      </c>
      <c r="F31" s="78">
        <v>41258.5</v>
      </c>
      <c r="G31" s="78">
        <v>10138.17</v>
      </c>
      <c r="H31" s="136">
        <f t="shared" si="0"/>
        <v>0.32577321641512152</v>
      </c>
    </row>
    <row r="32" spans="1:8">
      <c r="A32" s="77" t="s">
        <v>444</v>
      </c>
      <c r="B32" s="76">
        <v>216</v>
      </c>
      <c r="C32" s="76">
        <v>156.19999999999999</v>
      </c>
      <c r="D32" s="76">
        <v>187.09219999999999</v>
      </c>
      <c r="E32" s="78">
        <v>40411.919999999998</v>
      </c>
      <c r="F32" s="78">
        <v>33739.199999999997</v>
      </c>
      <c r="G32" s="78">
        <v>-6672.72</v>
      </c>
      <c r="H32" s="136">
        <f t="shared" si="0"/>
        <v>-0.16511761876198905</v>
      </c>
    </row>
    <row r="33" spans="1:8">
      <c r="A33" s="77" t="s">
        <v>380</v>
      </c>
      <c r="B33" s="76">
        <v>110</v>
      </c>
      <c r="C33" s="76">
        <v>130.69999999999999</v>
      </c>
      <c r="D33" s="76">
        <v>145.4478</v>
      </c>
      <c r="E33" s="78">
        <v>15999.26</v>
      </c>
      <c r="F33" s="78">
        <v>14377</v>
      </c>
      <c r="G33" s="78">
        <v>-1622.26</v>
      </c>
      <c r="H33" s="136">
        <f t="shared" si="0"/>
        <v>-0.10139593956220475</v>
      </c>
    </row>
    <row r="34" spans="1:8">
      <c r="A34" s="77" t="s">
        <v>382</v>
      </c>
      <c r="B34" s="76">
        <v>11</v>
      </c>
      <c r="C34" s="78">
        <v>3203.5</v>
      </c>
      <c r="D34" s="78">
        <v>3984.3</v>
      </c>
      <c r="E34" s="78">
        <v>43827.3</v>
      </c>
      <c r="F34" s="78">
        <v>35238.5</v>
      </c>
      <c r="G34" s="78">
        <v>-8588.7999999999993</v>
      </c>
      <c r="H34" s="136">
        <f t="shared" si="0"/>
        <v>-0.19596917902768363</v>
      </c>
    </row>
    <row r="35" spans="1:8">
      <c r="A35" s="77" t="s">
        <v>383</v>
      </c>
      <c r="B35" s="76">
        <v>13</v>
      </c>
      <c r="C35" s="78">
        <v>1573</v>
      </c>
      <c r="D35" s="78">
        <v>1617.2192</v>
      </c>
      <c r="E35" s="78">
        <v>21023.85</v>
      </c>
      <c r="F35" s="78">
        <v>20449</v>
      </c>
      <c r="G35" s="76">
        <v>-574.85</v>
      </c>
      <c r="H35" s="136">
        <f t="shared" si="0"/>
        <v>-2.7342755965248995E-2</v>
      </c>
    </row>
    <row r="36" spans="1:8">
      <c r="A36" s="77" t="s">
        <v>384</v>
      </c>
      <c r="B36" s="76">
        <v>24</v>
      </c>
      <c r="C36" s="78">
        <v>1078.95</v>
      </c>
      <c r="D36" s="78">
        <v>1112.5588</v>
      </c>
      <c r="E36" s="78">
        <v>26701.41</v>
      </c>
      <c r="F36" s="78">
        <v>25894.799999999999</v>
      </c>
      <c r="G36" s="76">
        <v>-806.61</v>
      </c>
      <c r="H36" s="136">
        <f t="shared" si="0"/>
        <v>-3.0208517078311594E-2</v>
      </c>
    </row>
    <row r="37" spans="1:8">
      <c r="A37" s="77" t="s">
        <v>385</v>
      </c>
      <c r="B37" s="76">
        <v>48</v>
      </c>
      <c r="C37" s="78">
        <v>1384.75</v>
      </c>
      <c r="D37" s="78">
        <v>1429.3218999999999</v>
      </c>
      <c r="E37" s="78">
        <v>68607.45</v>
      </c>
      <c r="F37" s="78">
        <v>66468</v>
      </c>
      <c r="G37" s="78">
        <v>-2139.4499999999998</v>
      </c>
      <c r="H37" s="136">
        <f t="shared" si="0"/>
        <v>-3.1183931191146149E-2</v>
      </c>
    </row>
    <row r="38" spans="1:8">
      <c r="A38" s="77" t="s">
        <v>386</v>
      </c>
      <c r="B38" s="76">
        <v>80</v>
      </c>
      <c r="C38" s="76">
        <v>582.5</v>
      </c>
      <c r="D38" s="76">
        <v>651.45690000000002</v>
      </c>
      <c r="E38" s="78">
        <v>52116.55</v>
      </c>
      <c r="F38" s="78">
        <v>46600</v>
      </c>
      <c r="G38" s="78">
        <v>-5516.55</v>
      </c>
      <c r="H38" s="136">
        <f t="shared" si="0"/>
        <v>-0.10585025294268327</v>
      </c>
    </row>
    <row r="39" spans="1:8">
      <c r="A39" s="77" t="s">
        <v>387</v>
      </c>
      <c r="B39" s="76">
        <v>12</v>
      </c>
      <c r="C39" s="78">
        <v>2505.25</v>
      </c>
      <c r="D39" s="78">
        <v>2815.9708000000001</v>
      </c>
      <c r="E39" s="78">
        <v>33791.65</v>
      </c>
      <c r="F39" s="78">
        <v>30063</v>
      </c>
      <c r="G39" s="78">
        <v>-3728.65</v>
      </c>
      <c r="H39" s="136">
        <f t="shared" si="0"/>
        <v>-0.11034234788771782</v>
      </c>
    </row>
    <row r="40" spans="1:8">
      <c r="A40" s="77" t="s">
        <v>390</v>
      </c>
      <c r="B40" s="76">
        <v>16</v>
      </c>
      <c r="C40" s="78">
        <v>2237.1</v>
      </c>
      <c r="D40" s="78">
        <v>2291.2968999999998</v>
      </c>
      <c r="E40" s="78">
        <v>36660.75</v>
      </c>
      <c r="F40" s="78">
        <v>35793.599999999999</v>
      </c>
      <c r="G40" s="76">
        <v>-867.15</v>
      </c>
      <c r="H40" s="136">
        <f t="shared" si="0"/>
        <v>-2.365336224708987E-2</v>
      </c>
    </row>
    <row r="41" spans="1:8">
      <c r="A41" s="77" t="s">
        <v>391</v>
      </c>
      <c r="B41" s="76">
        <v>76</v>
      </c>
      <c r="C41" s="76">
        <v>743.55</v>
      </c>
      <c r="D41" s="76">
        <v>527.16869999999994</v>
      </c>
      <c r="E41" s="78">
        <v>40064.82</v>
      </c>
      <c r="F41" s="78">
        <v>56509.8</v>
      </c>
      <c r="G41" s="78">
        <v>16444.98</v>
      </c>
      <c r="H41" s="136">
        <f t="shared" si="0"/>
        <v>0.41045935062231653</v>
      </c>
    </row>
    <row r="42" spans="1:8">
      <c r="A42" s="77" t="s">
        <v>392</v>
      </c>
      <c r="B42" s="76">
        <v>36</v>
      </c>
      <c r="C42" s="78">
        <v>1281.3499999999999</v>
      </c>
      <c r="D42" s="78">
        <v>1427.0997</v>
      </c>
      <c r="E42" s="78">
        <v>51375.59</v>
      </c>
      <c r="F42" s="78">
        <v>46128.6</v>
      </c>
      <c r="G42" s="78">
        <v>-5246.99</v>
      </c>
      <c r="H42" s="136">
        <f t="shared" si="0"/>
        <v>-0.10213001933408454</v>
      </c>
    </row>
    <row r="43" spans="1:8">
      <c r="A43" s="77" t="s">
        <v>393</v>
      </c>
      <c r="B43" s="76">
        <v>74</v>
      </c>
      <c r="C43" s="76">
        <v>526.29999999999995</v>
      </c>
      <c r="D43" s="76">
        <v>532.45339999999999</v>
      </c>
      <c r="E43" s="78">
        <v>39401.550000000003</v>
      </c>
      <c r="F43" s="78">
        <v>38946.199999999997</v>
      </c>
      <c r="G43" s="76">
        <v>-455.35</v>
      </c>
      <c r="H43" s="136">
        <f t="shared" si="0"/>
        <v>-1.1556651959123435E-2</v>
      </c>
    </row>
    <row r="44" spans="1:8">
      <c r="A44" s="77" t="s">
        <v>394</v>
      </c>
      <c r="B44" s="76">
        <v>45</v>
      </c>
      <c r="C44" s="76">
        <v>978.2</v>
      </c>
      <c r="D44" s="78">
        <v>1016.0751</v>
      </c>
      <c r="E44" s="78">
        <v>45723.38</v>
      </c>
      <c r="F44" s="78">
        <v>44019</v>
      </c>
      <c r="G44" s="78">
        <v>-1704.38</v>
      </c>
      <c r="H44" s="136">
        <f t="shared" si="0"/>
        <v>-3.7275896926255235E-2</v>
      </c>
    </row>
    <row r="45" spans="1:8">
      <c r="A45" s="77" t="s">
        <v>395</v>
      </c>
      <c r="B45" s="76">
        <v>20</v>
      </c>
      <c r="C45" s="78">
        <v>1567.9</v>
      </c>
      <c r="D45" s="78">
        <v>1708.5650000000001</v>
      </c>
      <c r="E45" s="78">
        <v>34171.300000000003</v>
      </c>
      <c r="F45" s="78">
        <v>31358</v>
      </c>
      <c r="G45" s="78">
        <v>-2813.3</v>
      </c>
      <c r="H45" s="136">
        <f t="shared" si="0"/>
        <v>-8.2329323145446609E-2</v>
      </c>
    </row>
    <row r="46" spans="1:8">
      <c r="A46" s="77" t="s">
        <v>445</v>
      </c>
      <c r="B46" s="76">
        <v>40</v>
      </c>
      <c r="C46" s="78">
        <v>1010.9</v>
      </c>
      <c r="D46" s="76">
        <v>996.97069999999997</v>
      </c>
      <c r="E46" s="78">
        <v>39878.83</v>
      </c>
      <c r="F46" s="78">
        <v>40436</v>
      </c>
      <c r="G46" s="76">
        <v>557.16999999999996</v>
      </c>
      <c r="H46" s="136">
        <f t="shared" si="0"/>
        <v>1.397157338868768E-2</v>
      </c>
    </row>
    <row r="47" spans="1:8">
      <c r="A47" s="77" t="s">
        <v>396</v>
      </c>
      <c r="B47" s="76">
        <v>722</v>
      </c>
      <c r="C47" s="76">
        <v>259.35000000000002</v>
      </c>
      <c r="D47" s="76">
        <v>224.72020000000001</v>
      </c>
      <c r="E47" s="78">
        <v>162247.95000000001</v>
      </c>
      <c r="F47" s="78">
        <v>187250.7</v>
      </c>
      <c r="G47" s="78">
        <v>25002.75</v>
      </c>
      <c r="H47" s="136">
        <f t="shared" si="0"/>
        <v>0.15410210113594655</v>
      </c>
    </row>
    <row r="48" spans="1:8">
      <c r="A48" s="77" t="s">
        <v>397</v>
      </c>
      <c r="B48" s="76">
        <v>21</v>
      </c>
      <c r="C48" s="78">
        <v>1727</v>
      </c>
      <c r="D48" s="76">
        <v>815.2681</v>
      </c>
      <c r="E48" s="78">
        <v>17120.63</v>
      </c>
      <c r="F48" s="78">
        <v>36267</v>
      </c>
      <c r="G48" s="78">
        <v>19146.37</v>
      </c>
      <c r="H48" s="136">
        <f t="shared" si="0"/>
        <v>1.1183215804558593</v>
      </c>
    </row>
    <row r="49" spans="1:8">
      <c r="A49" s="77" t="s">
        <v>446</v>
      </c>
      <c r="B49" s="76">
        <v>244</v>
      </c>
      <c r="C49" s="76">
        <v>154</v>
      </c>
      <c r="D49" s="76">
        <v>151.26599999999999</v>
      </c>
      <c r="E49" s="78">
        <v>36908.910000000003</v>
      </c>
      <c r="F49" s="78">
        <v>37576</v>
      </c>
      <c r="G49" s="76">
        <v>667.09</v>
      </c>
      <c r="H49" s="136">
        <f t="shared" si="0"/>
        <v>1.8073955584166534E-2</v>
      </c>
    </row>
    <row r="50" spans="1:8">
      <c r="A50" s="77" t="s">
        <v>447</v>
      </c>
      <c r="B50" s="76">
        <v>151</v>
      </c>
      <c r="C50" s="76">
        <v>247.85</v>
      </c>
      <c r="D50" s="76">
        <v>229.61580000000001</v>
      </c>
      <c r="E50" s="78">
        <v>34671.980000000003</v>
      </c>
      <c r="F50" s="78">
        <v>37425.35</v>
      </c>
      <c r="G50" s="78">
        <v>2753.37</v>
      </c>
      <c r="H50" s="136">
        <f t="shared" si="0"/>
        <v>7.9411963204870317E-2</v>
      </c>
    </row>
    <row r="51" spans="1:8">
      <c r="A51" s="77" t="s">
        <v>398</v>
      </c>
      <c r="B51" s="76">
        <v>38</v>
      </c>
      <c r="C51" s="78">
        <v>1788.95</v>
      </c>
      <c r="D51" s="78">
        <v>1711.2842000000001</v>
      </c>
      <c r="E51" s="78">
        <v>65028.800000000003</v>
      </c>
      <c r="F51" s="78">
        <v>67980.100000000006</v>
      </c>
      <c r="G51" s="78">
        <v>2951.3</v>
      </c>
      <c r="H51" s="136">
        <f t="shared" si="0"/>
        <v>4.5384506557094702E-2</v>
      </c>
    </row>
    <row r="52" spans="1:8">
      <c r="A52" s="77" t="s">
        <v>399</v>
      </c>
      <c r="B52" s="76">
        <v>38</v>
      </c>
      <c r="C52" s="76">
        <v>553.4</v>
      </c>
      <c r="D52" s="76">
        <v>573.26580000000001</v>
      </c>
      <c r="E52" s="78">
        <v>21784.1</v>
      </c>
      <c r="F52" s="78">
        <v>21029.200000000001</v>
      </c>
      <c r="G52" s="76">
        <v>-754.9</v>
      </c>
      <c r="H52" s="136">
        <f t="shared" si="0"/>
        <v>-3.4653715324479785E-2</v>
      </c>
    </row>
    <row r="53" spans="1:8">
      <c r="A53" s="77" t="s">
        <v>400</v>
      </c>
      <c r="B53" s="76">
        <v>4</v>
      </c>
      <c r="C53" s="78">
        <v>4844.45</v>
      </c>
      <c r="D53" s="78">
        <v>4955.375</v>
      </c>
      <c r="E53" s="78">
        <v>19821.5</v>
      </c>
      <c r="F53" s="78">
        <v>19377.8</v>
      </c>
      <c r="G53" s="76">
        <v>-443.7</v>
      </c>
      <c r="H53" s="136">
        <f t="shared" si="0"/>
        <v>-2.2384784198975858E-2</v>
      </c>
    </row>
    <row r="54" spans="1:8">
      <c r="A54" s="77" t="s">
        <v>401</v>
      </c>
      <c r="B54" s="76">
        <v>62</v>
      </c>
      <c r="C54" s="78">
        <v>1695.8</v>
      </c>
      <c r="D54" s="78">
        <v>1053.2161000000001</v>
      </c>
      <c r="E54" s="78">
        <v>65299.4</v>
      </c>
      <c r="F54" s="78">
        <v>105139.6</v>
      </c>
      <c r="G54" s="78">
        <v>39840.199999999997</v>
      </c>
      <c r="H54" s="136">
        <f t="shared" si="0"/>
        <v>0.61011586630198744</v>
      </c>
    </row>
    <row r="55" spans="1:8">
      <c r="A55" s="77" t="s">
        <v>402</v>
      </c>
      <c r="B55" s="76">
        <v>29</v>
      </c>
      <c r="C55" s="76">
        <v>922</v>
      </c>
      <c r="D55" s="76">
        <v>775.91719999999998</v>
      </c>
      <c r="E55" s="78">
        <v>22501.599999999999</v>
      </c>
      <c r="F55" s="78">
        <v>26738</v>
      </c>
      <c r="G55" s="78">
        <v>4236.3999999999996</v>
      </c>
      <c r="H55" s="136">
        <f t="shared" si="0"/>
        <v>0.18827105628044227</v>
      </c>
    </row>
    <row r="56" spans="1:8">
      <c r="A56" s="77" t="s">
        <v>403</v>
      </c>
      <c r="B56" s="76">
        <v>118</v>
      </c>
      <c r="C56" s="76">
        <v>221.4</v>
      </c>
      <c r="D56" s="76">
        <v>184.30850000000001</v>
      </c>
      <c r="E56" s="78">
        <v>21748.400000000001</v>
      </c>
      <c r="F56" s="78">
        <v>26125.200000000001</v>
      </c>
      <c r="G56" s="78">
        <v>4376.8</v>
      </c>
      <c r="H56" s="136">
        <f t="shared" si="0"/>
        <v>0.20124698828419563</v>
      </c>
    </row>
    <row r="57" spans="1:8">
      <c r="A57" s="77" t="s">
        <v>404</v>
      </c>
      <c r="B57" s="76">
        <v>63</v>
      </c>
      <c r="C57" s="76">
        <v>522.35</v>
      </c>
      <c r="D57" s="76">
        <v>464.28750000000002</v>
      </c>
      <c r="E57" s="78">
        <v>29250.11</v>
      </c>
      <c r="F57" s="78">
        <v>32908.050000000003</v>
      </c>
      <c r="G57" s="78">
        <v>3657.94</v>
      </c>
      <c r="H57" s="136">
        <f t="shared" si="0"/>
        <v>0.12505730747679239</v>
      </c>
    </row>
    <row r="58" spans="1:8">
      <c r="A58" s="77" t="s">
        <v>405</v>
      </c>
      <c r="B58" s="76">
        <v>21</v>
      </c>
      <c r="C58" s="76">
        <v>915.1</v>
      </c>
      <c r="D58" s="76">
        <v>631.17430000000002</v>
      </c>
      <c r="E58" s="78">
        <v>13254.66</v>
      </c>
      <c r="F58" s="78">
        <v>19217.099999999999</v>
      </c>
      <c r="G58" s="78">
        <v>5962.44</v>
      </c>
      <c r="H58" s="136">
        <f t="shared" si="0"/>
        <v>0.4498372647808393</v>
      </c>
    </row>
    <row r="59" spans="1:8">
      <c r="A59" s="77" t="s">
        <v>406</v>
      </c>
      <c r="B59" s="76">
        <v>64</v>
      </c>
      <c r="C59" s="76">
        <v>348.79</v>
      </c>
      <c r="D59" s="76">
        <v>342.44</v>
      </c>
      <c r="E59" s="78">
        <v>21916.16</v>
      </c>
      <c r="F59" s="78">
        <v>22322.560000000001</v>
      </c>
      <c r="G59" s="76">
        <v>406.4</v>
      </c>
      <c r="H59" s="136">
        <f t="shared" si="0"/>
        <v>1.8543394463263637E-2</v>
      </c>
    </row>
    <row r="60" spans="1:8">
      <c r="A60" s="77" t="s">
        <v>407</v>
      </c>
      <c r="B60" s="76">
        <v>4</v>
      </c>
      <c r="C60" s="78">
        <v>3556.9</v>
      </c>
      <c r="D60" s="78">
        <v>3909.95</v>
      </c>
      <c r="E60" s="78">
        <v>15639.8</v>
      </c>
      <c r="F60" s="78">
        <v>14227.6</v>
      </c>
      <c r="G60" s="78">
        <v>-1412.2</v>
      </c>
      <c r="H60" s="136">
        <f t="shared" si="0"/>
        <v>-9.0295272318060338E-2</v>
      </c>
    </row>
    <row r="61" spans="1:8">
      <c r="A61" s="77" t="s">
        <v>448</v>
      </c>
      <c r="B61" s="76">
        <v>128</v>
      </c>
      <c r="C61" s="76">
        <v>137.94999999999999</v>
      </c>
      <c r="D61" s="76">
        <v>168.637</v>
      </c>
      <c r="E61" s="78">
        <v>21585.54</v>
      </c>
      <c r="F61" s="78">
        <v>17657.599999999999</v>
      </c>
      <c r="G61" s="78">
        <v>-3927.94</v>
      </c>
      <c r="H61" s="136">
        <f t="shared" si="0"/>
        <v>-0.18197089347776335</v>
      </c>
    </row>
    <row r="62" spans="1:8">
      <c r="A62" s="77" t="s">
        <v>408</v>
      </c>
      <c r="B62" s="76">
        <v>7</v>
      </c>
      <c r="C62" s="78">
        <v>2842.2</v>
      </c>
      <c r="D62" s="78">
        <v>2747.4</v>
      </c>
      <c r="E62" s="78">
        <v>19231.8</v>
      </c>
      <c r="F62" s="78">
        <v>19895.400000000001</v>
      </c>
      <c r="G62" s="76">
        <v>663.6</v>
      </c>
      <c r="H62" s="136">
        <f t="shared" si="0"/>
        <v>3.4505350513212497E-2</v>
      </c>
    </row>
    <row r="63" spans="1:8">
      <c r="A63" s="77" t="s">
        <v>410</v>
      </c>
      <c r="B63" s="76">
        <v>75</v>
      </c>
      <c r="C63" s="76">
        <v>960.1</v>
      </c>
      <c r="D63" s="76">
        <v>440.02730000000003</v>
      </c>
      <c r="E63" s="78">
        <v>33002.050000000003</v>
      </c>
      <c r="F63" s="78">
        <v>72007.5</v>
      </c>
      <c r="G63" s="78">
        <v>39005.449999999997</v>
      </c>
      <c r="H63" s="136">
        <f t="shared" si="0"/>
        <v>1.1819099116570029</v>
      </c>
    </row>
    <row r="64" spans="1:8">
      <c r="A64" s="77" t="s">
        <v>411</v>
      </c>
      <c r="B64" s="76">
        <v>300</v>
      </c>
      <c r="C64" s="76">
        <v>160.5</v>
      </c>
      <c r="D64" s="76">
        <v>82.333299999999994</v>
      </c>
      <c r="E64" s="78">
        <v>24700</v>
      </c>
      <c r="F64" s="78">
        <v>48150</v>
      </c>
      <c r="G64" s="78">
        <v>23450</v>
      </c>
      <c r="H64" s="136">
        <f t="shared" si="0"/>
        <v>0.94939271255060731</v>
      </c>
    </row>
    <row r="65" spans="1:8">
      <c r="A65" s="77" t="s">
        <v>413</v>
      </c>
      <c r="B65" s="76">
        <v>8</v>
      </c>
      <c r="C65" s="78">
        <v>3561.2</v>
      </c>
      <c r="D65" s="78">
        <v>4260.1813000000002</v>
      </c>
      <c r="E65" s="78">
        <v>34081.449999999997</v>
      </c>
      <c r="F65" s="78">
        <v>28489.599999999999</v>
      </c>
      <c r="G65" s="78">
        <v>-5591.85</v>
      </c>
      <c r="H65" s="136">
        <f t="shared" si="0"/>
        <v>-0.16407312482303427</v>
      </c>
    </row>
    <row r="66" spans="1:8">
      <c r="A66" s="77" t="s">
        <v>449</v>
      </c>
      <c r="B66" s="76">
        <v>228</v>
      </c>
      <c r="C66" s="76">
        <v>137.80000000000001</v>
      </c>
      <c r="D66" s="76">
        <v>160.8066</v>
      </c>
      <c r="E66" s="78">
        <v>36663.9</v>
      </c>
      <c r="F66" s="78">
        <v>31418.400000000001</v>
      </c>
      <c r="G66" s="78">
        <v>-5245.5</v>
      </c>
      <c r="H66" s="136">
        <f t="shared" ref="H66:H94" si="1">G66/E66</f>
        <v>-0.14306988618232103</v>
      </c>
    </row>
    <row r="67" spans="1:8">
      <c r="A67" s="77" t="s">
        <v>414</v>
      </c>
      <c r="B67" s="76">
        <v>5</v>
      </c>
      <c r="C67" s="78">
        <v>4312.6499999999996</v>
      </c>
      <c r="D67" s="78">
        <v>3892.57</v>
      </c>
      <c r="E67" s="78">
        <v>19462.849999999999</v>
      </c>
      <c r="F67" s="78">
        <v>21563.25</v>
      </c>
      <c r="G67" s="78">
        <v>2100.4</v>
      </c>
      <c r="H67" s="136">
        <f t="shared" si="1"/>
        <v>0.10791841893658946</v>
      </c>
    </row>
    <row r="68" spans="1:8">
      <c r="A68" s="77" t="s">
        <v>415</v>
      </c>
      <c r="B68" s="76">
        <v>30</v>
      </c>
      <c r="C68" s="78">
        <v>1090.1500000000001</v>
      </c>
      <c r="D68" s="76">
        <v>860.11969999999997</v>
      </c>
      <c r="E68" s="78">
        <v>25803.59</v>
      </c>
      <c r="F68" s="78">
        <v>32704.5</v>
      </c>
      <c r="G68" s="78">
        <v>6900.91</v>
      </c>
      <c r="H68" s="136">
        <f t="shared" si="1"/>
        <v>0.26743991824393426</v>
      </c>
    </row>
    <row r="69" spans="1:8">
      <c r="A69" s="77" t="s">
        <v>416</v>
      </c>
      <c r="B69" s="76">
        <v>3</v>
      </c>
      <c r="C69" s="78">
        <v>2425.4499999999998</v>
      </c>
      <c r="D69" s="78">
        <v>2387.5</v>
      </c>
      <c r="E69" s="78">
        <v>7162.5</v>
      </c>
      <c r="F69" s="78">
        <v>7276.35</v>
      </c>
      <c r="G69" s="76">
        <v>113.85</v>
      </c>
      <c r="H69" s="136">
        <f t="shared" si="1"/>
        <v>1.5895287958115182E-2</v>
      </c>
    </row>
    <row r="70" spans="1:8">
      <c r="A70" s="77" t="s">
        <v>450</v>
      </c>
      <c r="B70" s="76">
        <v>16</v>
      </c>
      <c r="C70" s="78">
        <v>2732.95</v>
      </c>
      <c r="D70" s="76">
        <v>528.10630000000003</v>
      </c>
      <c r="E70" s="78">
        <v>8449.7000000000007</v>
      </c>
      <c r="F70" s="78">
        <v>43727.199999999997</v>
      </c>
      <c r="G70" s="78">
        <v>35277.5</v>
      </c>
      <c r="H70" s="136">
        <f t="shared" si="1"/>
        <v>4.1750002958684922</v>
      </c>
    </row>
    <row r="71" spans="1:8">
      <c r="A71" s="77" t="s">
        <v>451</v>
      </c>
      <c r="B71" s="76">
        <v>223</v>
      </c>
      <c r="C71" s="76">
        <v>152.94999999999999</v>
      </c>
      <c r="D71" s="76">
        <v>151.5386</v>
      </c>
      <c r="E71" s="78">
        <v>33793.11</v>
      </c>
      <c r="F71" s="78">
        <v>34107.85</v>
      </c>
      <c r="G71" s="76">
        <v>314.74</v>
      </c>
      <c r="H71" s="136">
        <f t="shared" si="1"/>
        <v>9.3137328881538282E-3</v>
      </c>
    </row>
    <row r="72" spans="1:8">
      <c r="A72" s="77" t="s">
        <v>418</v>
      </c>
      <c r="B72" s="76">
        <v>5</v>
      </c>
      <c r="C72" s="78">
        <v>1080.8499999999999</v>
      </c>
      <c r="D72" s="78">
        <v>1441</v>
      </c>
      <c r="E72" s="78">
        <v>7205</v>
      </c>
      <c r="F72" s="78">
        <v>5404.25</v>
      </c>
      <c r="G72" s="78">
        <v>-1800.75</v>
      </c>
      <c r="H72" s="136">
        <f t="shared" si="1"/>
        <v>-0.24993060374739764</v>
      </c>
    </row>
    <row r="73" spans="1:8">
      <c r="A73" s="77" t="s">
        <v>452</v>
      </c>
      <c r="B73" s="76">
        <v>137</v>
      </c>
      <c r="C73" s="76">
        <v>232</v>
      </c>
      <c r="D73" s="76">
        <v>248.37280000000001</v>
      </c>
      <c r="E73" s="78">
        <v>34027.07</v>
      </c>
      <c r="F73" s="78">
        <v>31784</v>
      </c>
      <c r="G73" s="78">
        <v>-2243.0700000000002</v>
      </c>
      <c r="H73" s="136">
        <f t="shared" si="1"/>
        <v>-6.5920162976124602E-2</v>
      </c>
    </row>
    <row r="74" spans="1:8">
      <c r="A74" s="77" t="s">
        <v>420</v>
      </c>
      <c r="B74" s="76">
        <v>40</v>
      </c>
      <c r="C74" s="78">
        <v>1107.9000000000001</v>
      </c>
      <c r="D74" s="78">
        <v>1003.2138</v>
      </c>
      <c r="E74" s="78">
        <v>40128.550000000003</v>
      </c>
      <c r="F74" s="78">
        <v>44316</v>
      </c>
      <c r="G74" s="78">
        <v>4187.45</v>
      </c>
      <c r="H74" s="136">
        <f t="shared" si="1"/>
        <v>0.10435089231980721</v>
      </c>
    </row>
    <row r="75" spans="1:8">
      <c r="A75" s="77" t="s">
        <v>421</v>
      </c>
      <c r="B75" s="76">
        <v>35</v>
      </c>
      <c r="C75" s="78">
        <v>2269.6999999999998</v>
      </c>
      <c r="D75" s="76">
        <v>984.23</v>
      </c>
      <c r="E75" s="78">
        <v>34448.050000000003</v>
      </c>
      <c r="F75" s="78">
        <v>79439.5</v>
      </c>
      <c r="G75" s="78">
        <v>44991.45</v>
      </c>
      <c r="H75" s="136">
        <f t="shared" si="1"/>
        <v>1.3060666714081057</v>
      </c>
    </row>
    <row r="76" spans="1:8">
      <c r="A76" s="77" t="s">
        <v>423</v>
      </c>
      <c r="B76" s="76">
        <v>22</v>
      </c>
      <c r="C76" s="76">
        <v>650.15</v>
      </c>
      <c r="D76" s="76">
        <v>597.13409999999999</v>
      </c>
      <c r="E76" s="78">
        <v>13136.95</v>
      </c>
      <c r="F76" s="78">
        <v>14303.3</v>
      </c>
      <c r="G76" s="78">
        <v>1166.3499999999999</v>
      </c>
      <c r="H76" s="136">
        <f t="shared" si="1"/>
        <v>8.8783926253810805E-2</v>
      </c>
    </row>
    <row r="77" spans="1:8">
      <c r="A77" s="77" t="s">
        <v>424</v>
      </c>
      <c r="B77" s="76">
        <v>21</v>
      </c>
      <c r="C77" s="76">
        <v>636.70000000000005</v>
      </c>
      <c r="D77" s="76">
        <v>652.55709999999999</v>
      </c>
      <c r="E77" s="78">
        <v>13703.7</v>
      </c>
      <c r="F77" s="78">
        <v>13370.7</v>
      </c>
      <c r="G77" s="76">
        <v>-333</v>
      </c>
      <c r="H77" s="136">
        <f t="shared" si="1"/>
        <v>-2.4300006567569341E-2</v>
      </c>
    </row>
    <row r="78" spans="1:8">
      <c r="A78" s="77" t="s">
        <v>425</v>
      </c>
      <c r="B78" s="76">
        <v>100</v>
      </c>
      <c r="C78" s="76">
        <v>496.5</v>
      </c>
      <c r="D78" s="76">
        <v>264.06150000000002</v>
      </c>
      <c r="E78" s="78">
        <v>26406.15</v>
      </c>
      <c r="F78" s="78">
        <v>49650</v>
      </c>
      <c r="G78" s="78">
        <v>23243.85</v>
      </c>
      <c r="H78" s="136">
        <f t="shared" si="1"/>
        <v>0.88024380684045178</v>
      </c>
    </row>
    <row r="79" spans="1:8">
      <c r="A79" s="77" t="s">
        <v>426</v>
      </c>
      <c r="B79" s="76">
        <v>139</v>
      </c>
      <c r="C79" s="76">
        <v>928.7</v>
      </c>
      <c r="D79" s="76">
        <v>476.89420000000001</v>
      </c>
      <c r="E79" s="78">
        <v>66288.3</v>
      </c>
      <c r="F79" s="78">
        <v>129089.3</v>
      </c>
      <c r="G79" s="78">
        <v>62801</v>
      </c>
      <c r="H79" s="136">
        <f t="shared" si="1"/>
        <v>0.94739192285818152</v>
      </c>
    </row>
    <row r="80" spans="1:8">
      <c r="A80" s="77" t="s">
        <v>427</v>
      </c>
      <c r="B80" s="76">
        <v>32</v>
      </c>
      <c r="C80" s="76">
        <v>805.4</v>
      </c>
      <c r="D80" s="76">
        <v>752.32749999999999</v>
      </c>
      <c r="E80" s="78">
        <v>24074.48</v>
      </c>
      <c r="F80" s="78">
        <v>25772.799999999999</v>
      </c>
      <c r="G80" s="78">
        <v>1698.32</v>
      </c>
      <c r="H80" s="136">
        <f t="shared" si="1"/>
        <v>7.0544410512708891E-2</v>
      </c>
    </row>
    <row r="81" spans="1:8">
      <c r="A81" s="77" t="s">
        <v>428</v>
      </c>
      <c r="B81" s="76">
        <v>45</v>
      </c>
      <c r="C81" s="76">
        <v>481.4</v>
      </c>
      <c r="D81" s="76">
        <v>368.55090000000001</v>
      </c>
      <c r="E81" s="78">
        <v>16584.79</v>
      </c>
      <c r="F81" s="78">
        <v>21663</v>
      </c>
      <c r="G81" s="78">
        <v>5078.21</v>
      </c>
      <c r="H81" s="136">
        <f t="shared" si="1"/>
        <v>0.30619682251026392</v>
      </c>
    </row>
    <row r="82" spans="1:8">
      <c r="A82" s="77" t="s">
        <v>429</v>
      </c>
      <c r="B82" s="76">
        <v>50</v>
      </c>
      <c r="C82" s="76">
        <v>355.2</v>
      </c>
      <c r="D82" s="76">
        <v>283.19240000000002</v>
      </c>
      <c r="E82" s="78">
        <v>14159.62</v>
      </c>
      <c r="F82" s="78">
        <v>17760</v>
      </c>
      <c r="G82" s="78">
        <v>3600.38</v>
      </c>
      <c r="H82" s="136">
        <f t="shared" si="1"/>
        <v>0.2542709479491681</v>
      </c>
    </row>
    <row r="83" spans="1:8">
      <c r="A83" s="77" t="s">
        <v>430</v>
      </c>
      <c r="B83" s="76">
        <v>57</v>
      </c>
      <c r="C83" s="76">
        <v>626.29999999999995</v>
      </c>
      <c r="D83" s="76">
        <v>468.04349999999999</v>
      </c>
      <c r="E83" s="78">
        <v>26678.48</v>
      </c>
      <c r="F83" s="78">
        <v>35699.1</v>
      </c>
      <c r="G83" s="78">
        <v>9020.6200000000008</v>
      </c>
      <c r="H83" s="136">
        <f t="shared" si="1"/>
        <v>0.33812346130664117</v>
      </c>
    </row>
    <row r="84" spans="1:8">
      <c r="A84" s="77" t="s">
        <v>431</v>
      </c>
      <c r="B84" s="76">
        <v>9</v>
      </c>
      <c r="C84" s="78">
        <v>3550.1</v>
      </c>
      <c r="D84" s="78">
        <v>3548.6556</v>
      </c>
      <c r="E84" s="78">
        <v>31937.9</v>
      </c>
      <c r="F84" s="78">
        <v>31950.9</v>
      </c>
      <c r="G84" s="76">
        <v>13</v>
      </c>
      <c r="H84" s="136">
        <f t="shared" si="1"/>
        <v>4.0703991182889293E-4</v>
      </c>
    </row>
    <row r="85" spans="1:8">
      <c r="A85" s="77" t="s">
        <v>432</v>
      </c>
      <c r="B85" s="76">
        <v>38</v>
      </c>
      <c r="C85" s="76">
        <v>824.2</v>
      </c>
      <c r="D85" s="76">
        <v>684.40920000000006</v>
      </c>
      <c r="E85" s="78">
        <v>26007.55</v>
      </c>
      <c r="F85" s="78">
        <v>31319.599999999999</v>
      </c>
      <c r="G85" s="78">
        <v>5312.05</v>
      </c>
      <c r="H85" s="136">
        <f t="shared" si="1"/>
        <v>0.20425030423857687</v>
      </c>
    </row>
    <row r="86" spans="1:8">
      <c r="A86" s="77" t="s">
        <v>433</v>
      </c>
      <c r="B86" s="76">
        <v>775</v>
      </c>
      <c r="C86" s="76">
        <v>216.95</v>
      </c>
      <c r="D86" s="76">
        <v>99.291600000000003</v>
      </c>
      <c r="E86" s="78">
        <v>76951</v>
      </c>
      <c r="F86" s="78">
        <v>168136.25</v>
      </c>
      <c r="G86" s="78">
        <v>91185.25</v>
      </c>
      <c r="H86" s="136">
        <f t="shared" si="1"/>
        <v>1.1849781029486297</v>
      </c>
    </row>
    <row r="87" spans="1:8">
      <c r="A87" s="77" t="s">
        <v>434</v>
      </c>
      <c r="B87" s="76">
        <v>105</v>
      </c>
      <c r="C87" s="78">
        <v>1271.7</v>
      </c>
      <c r="D87" s="76">
        <v>404.76429999999999</v>
      </c>
      <c r="E87" s="78">
        <v>42500.25</v>
      </c>
      <c r="F87" s="78">
        <v>133528.5</v>
      </c>
      <c r="G87" s="78">
        <v>91028.25</v>
      </c>
      <c r="H87" s="136">
        <f t="shared" si="1"/>
        <v>2.1418285774789561</v>
      </c>
    </row>
    <row r="88" spans="1:8">
      <c r="A88" s="77" t="s">
        <v>435</v>
      </c>
      <c r="B88" s="76">
        <v>18</v>
      </c>
      <c r="C88" s="78">
        <v>1256.55</v>
      </c>
      <c r="D88" s="78">
        <v>1339.3778</v>
      </c>
      <c r="E88" s="78">
        <v>24108.799999999999</v>
      </c>
      <c r="F88" s="78">
        <v>22617.9</v>
      </c>
      <c r="G88" s="78">
        <v>-1490.9</v>
      </c>
      <c r="H88" s="136">
        <f t="shared" si="1"/>
        <v>-6.1840489779665525E-2</v>
      </c>
    </row>
    <row r="89" spans="1:8">
      <c r="A89" s="77" t="s">
        <v>436</v>
      </c>
      <c r="B89" s="76">
        <v>3</v>
      </c>
      <c r="C89" s="78">
        <v>2459.1999999999998</v>
      </c>
      <c r="D89" s="78">
        <v>2438.9</v>
      </c>
      <c r="E89" s="78">
        <v>7316.7</v>
      </c>
      <c r="F89" s="78">
        <v>7377.6</v>
      </c>
      <c r="G89" s="76">
        <v>60.9</v>
      </c>
      <c r="H89" s="136">
        <f t="shared" si="1"/>
        <v>8.3234244946492272E-3</v>
      </c>
    </row>
    <row r="90" spans="1:8">
      <c r="A90" s="77" t="s">
        <v>438</v>
      </c>
      <c r="B90" s="76">
        <v>27</v>
      </c>
      <c r="C90" s="78">
        <v>1084.3499999999999</v>
      </c>
      <c r="D90" s="76">
        <v>663.14779999999996</v>
      </c>
      <c r="E90" s="78">
        <v>17904.990000000002</v>
      </c>
      <c r="F90" s="78">
        <v>29277.45</v>
      </c>
      <c r="G90" s="78">
        <v>11372.46</v>
      </c>
      <c r="H90" s="136">
        <f t="shared" si="1"/>
        <v>0.6351558978809817</v>
      </c>
    </row>
    <row r="91" spans="1:8">
      <c r="A91" s="77" t="s">
        <v>453</v>
      </c>
      <c r="B91" s="76">
        <v>45</v>
      </c>
      <c r="C91" s="76">
        <v>509</v>
      </c>
      <c r="D91" s="76">
        <v>611.94780000000003</v>
      </c>
      <c r="E91" s="78">
        <v>27537.65</v>
      </c>
      <c r="F91" s="78">
        <v>22905</v>
      </c>
      <c r="G91" s="78">
        <v>-4632.6499999999996</v>
      </c>
      <c r="H91" s="136">
        <f t="shared" si="1"/>
        <v>-0.16822967827683188</v>
      </c>
    </row>
    <row r="92" spans="1:8">
      <c r="A92" s="77" t="s">
        <v>439</v>
      </c>
      <c r="B92" s="76">
        <v>525</v>
      </c>
      <c r="C92" s="76">
        <v>13.63</v>
      </c>
      <c r="D92" s="76">
        <v>38.966700000000003</v>
      </c>
      <c r="E92" s="78">
        <v>20457.5</v>
      </c>
      <c r="F92" s="78">
        <v>7155.75</v>
      </c>
      <c r="G92" s="78">
        <v>-13301.75</v>
      </c>
      <c r="H92" s="136">
        <f t="shared" si="1"/>
        <v>-0.65021385799828912</v>
      </c>
    </row>
    <row r="93" spans="1:8" ht="15.75" thickBot="1">
      <c r="A93" s="77" t="s">
        <v>440</v>
      </c>
      <c r="B93" s="76">
        <v>32</v>
      </c>
      <c r="C93" s="78">
        <v>1707.95</v>
      </c>
      <c r="D93" s="78">
        <v>1901.3166000000001</v>
      </c>
      <c r="E93" s="78">
        <v>60842.13</v>
      </c>
      <c r="F93" s="78">
        <v>54654.400000000001</v>
      </c>
      <c r="G93" s="78">
        <v>-6187.73</v>
      </c>
      <c r="H93" s="136">
        <f t="shared" si="1"/>
        <v>-0.10170140328749173</v>
      </c>
    </row>
    <row r="94" spans="1:8" ht="18.75" thickBot="1">
      <c r="A94" s="44" t="s">
        <v>11</v>
      </c>
      <c r="B94" s="45">
        <f>SUM(B2:B93)</f>
        <v>8964</v>
      </c>
      <c r="C94" s="45"/>
      <c r="D94" s="45"/>
      <c r="E94" s="45">
        <f>SUM(E2:E93)</f>
        <v>3114297.5899999989</v>
      </c>
      <c r="F94" s="45">
        <f>SUM(F2:F93)</f>
        <v>3792596.4400000009</v>
      </c>
      <c r="G94" s="45">
        <f>SUM(G2:G93)</f>
        <v>678298.85</v>
      </c>
      <c r="H94" s="64">
        <f t="shared" si="1"/>
        <v>0.21780155248426347</v>
      </c>
    </row>
    <row r="95" spans="1:8" ht="15.75" thickTop="1"/>
  </sheetData>
  <hyperlinks>
    <hyperlink ref="A2" r:id="rId1" location="/stock/1831632/3723" display="https://etportfolio.indiatimes.com/pw_companyinfo.cms - /stock/1831632/3723" xr:uid="{970A215D-2157-4806-83E0-26FCB320F79C}"/>
    <hyperlink ref="A3" r:id="rId2" location="/stock/1831632/15059" display="https://etportfolio.indiatimes.com/pw_companyinfo.cms - /stock/1831632/15059" xr:uid="{C5279FE7-F127-4578-A0FB-0636C2A40D5F}"/>
    <hyperlink ref="A4" r:id="rId3" location="/stock/1831632/63" display="https://etportfolio.indiatimes.com/pw_companyinfo.cms - /stock/1831632/63" xr:uid="{1CA7315E-6E34-4766-993F-ED736FA8BE84}"/>
    <hyperlink ref="A5" r:id="rId4" location="/stock/1831632/14034" display="https://etportfolio.indiatimes.com/pw_companyinfo.cms - /stock/1831632/14034" xr:uid="{643A579A-1399-49F8-94B6-EE53DDC4020F}"/>
    <hyperlink ref="A6" r:id="rId5" location="/stock/1831632/66288" display="https://etportfolio.indiatimes.com/pw_companyinfo.cms - /stock/1831632/66288" xr:uid="{CE9862E5-2EA7-446F-9E0F-8C0622F37F8F}"/>
    <hyperlink ref="A7" r:id="rId6" location="/stock/1831632/45987" display="https://etportfolio.indiatimes.com/pw_companyinfo.cms - /stock/1831632/45987" xr:uid="{4F1D0ED9-8C70-49CF-9270-8F1692200688}"/>
    <hyperlink ref="A8" r:id="rId7" location="/stock/1831632/9175" display="https://etportfolio.indiatimes.com/pw_companyinfo.cms - /stock/1831632/9175" xr:uid="{C6B2B7F0-98C4-4D4F-AA98-36006ECFF032}"/>
    <hyperlink ref="A9" r:id="rId8" location="/stock/1831632/21430" display="https://etportfolio.indiatimes.com/pw_companyinfo.cms - /stock/1831632/21430" xr:uid="{7F68CA2F-FE0D-4AEC-9255-005D26E88DA2}"/>
    <hyperlink ref="A10" r:id="rId9" location="/stock/1831632/11260" display="https://etportfolio.indiatimes.com/pw_companyinfo.cms - /stock/1831632/11260" xr:uid="{DC8D6ACD-7449-4370-901D-0CEC58427B33}"/>
    <hyperlink ref="A11" r:id="rId10" location="/stock/1831632/14013" display="https://etportfolio.indiatimes.com/pw_companyinfo.cms - /stock/1831632/14013" xr:uid="{FA4BEB3D-DD8E-4279-A850-5CE83AB2C5A4}"/>
    <hyperlink ref="A12" r:id="rId11" location="/stock/1831632/2718" display="https://etportfolio.indiatimes.com/pw_companyinfo.cms - /stock/1831632/2718" xr:uid="{AC87D085-1944-4742-8C1E-5C0AAA29731D}"/>
    <hyperlink ref="A13" r:id="rId12" location="/stock/1831632/20445" display="https://etportfolio.indiatimes.com/pw_companyinfo.cms - /stock/1831632/20445" xr:uid="{95EB300D-E76C-4B4A-ACF1-D53D288D79D0}"/>
    <hyperlink ref="A14" r:id="rId13" location="/stock/1831632/13934" display="https://etportfolio.indiatimes.com/pw_companyinfo.cms - /stock/1831632/13934" xr:uid="{1764DEC3-DA39-41BB-A133-64B7115FE61C}"/>
    <hyperlink ref="A15" r:id="rId14" location="/stock/1831632/13577" display="https://etportfolio.indiatimes.com/pw_companyinfo.cms - /stock/1831632/13577" xr:uid="{C91B644A-9924-4066-BEF0-37B093BCB9FA}"/>
    <hyperlink ref="A16" r:id="rId15" location="/stock/1831632/10777" display="https://etportfolio.indiatimes.com/pw_companyinfo.cms - /stock/1831632/10777" xr:uid="{507FE778-0022-4E3F-9DF8-A74CF41B39DA}"/>
    <hyperlink ref="A17" r:id="rId16" location="/stock/1831632/13917" display="https://etportfolio.indiatimes.com/pw_companyinfo.cms - /stock/1831632/13917" xr:uid="{FC829F0E-DC1A-4F54-ADBD-60CDB816C6A4}"/>
    <hyperlink ref="A18" r:id="rId17" location="/stock/1831632/11822" display="https://etportfolio.indiatimes.com/pw_companyinfo.cms - /stock/1831632/11822" xr:uid="{61C009A6-F38E-41AA-9546-CE39865020DE}"/>
    <hyperlink ref="A19" r:id="rId18" location="/stock/1831632/858" display="https://etportfolio.indiatimes.com/pw_companyinfo.cms - /stock/1831632/858" xr:uid="{852D6161-755D-4A20-80FE-AF1E793AD5B8}"/>
    <hyperlink ref="A20" r:id="rId19" location="/stock/1831632/13873" display="https://etportfolio.indiatimes.com/pw_companyinfo.cms - /stock/1831632/13873" xr:uid="{BA8145C3-7CAD-4A2C-BBBC-30B43EA6A628}"/>
    <hyperlink ref="A21" r:id="rId20" location="/stock/1831632/11796" display="https://etportfolio.indiatimes.com/pw_companyinfo.cms - /stock/1831632/11796" xr:uid="{EBF9065A-2626-4A3D-9A18-4101A276AFE2}"/>
    <hyperlink ref="A22" r:id="rId21" location="/stock/1831632/3635" display="https://etportfolio.indiatimes.com/pw_companyinfo.cms - /stock/1831632/3635" xr:uid="{10CA3143-C4E6-4961-9680-794D4B841F70}"/>
    <hyperlink ref="A23" r:id="rId22" location="/stock/1831632/12393" display="https://etportfolio.indiatimes.com/pw_companyinfo.cms - /stock/1831632/12393" xr:uid="{700FC7AB-DFDC-455D-AB92-D81282620CFB}"/>
    <hyperlink ref="A24" r:id="rId23" location="/stock/1831632/63225" display="https://etportfolio.indiatimes.com/pw_companyinfo.cms - /stock/1831632/63225" xr:uid="{FD733407-6DEE-4ADC-98C1-1E6D97854E96}"/>
    <hyperlink ref="A25" r:id="rId24" location="/stock/1831632/13787" display="https://etportfolio.indiatimes.com/pw_companyinfo.cms - /stock/1831632/13787" xr:uid="{D5BF6FCF-7FF2-4417-9017-EE1A7885F01A}"/>
    <hyperlink ref="A26" r:id="rId25" location="/stock/1831632/1941781" display="https://etportfolio.indiatimes.com/pw_companyinfo.cms - /stock/1831632/1941781" xr:uid="{807DFB55-956D-4045-9B9B-8523A9439248}"/>
    <hyperlink ref="A27" r:id="rId26" location="/stock/1831632/38215" display="https://etportfolio.indiatimes.com/pw_companyinfo.cms - /stock/1831632/38215" xr:uid="{EA9BAA87-94E5-4237-9828-F7A2860B6A21}"/>
    <hyperlink ref="A28" r:id="rId27" location="/stock/1831632/64238" display="https://etportfolio.indiatimes.com/pw_companyinfo.cms - /stock/1831632/64238" xr:uid="{9C312399-1559-41A2-9083-18322217B8D7}"/>
    <hyperlink ref="A29" r:id="rId28" location="/stock/1831632/55491" display="https://etportfolio.indiatimes.com/pw_companyinfo.cms - /stock/1831632/55491" xr:uid="{31DFC8F0-2C3C-41EE-9BB5-401BD48F412A}"/>
    <hyperlink ref="A30" r:id="rId29" location="/stock/1831632/13895" display="https://etportfolio.indiatimes.com/pw_companyinfo.cms - /stock/1831632/13895" xr:uid="{9B3DA94E-C6A7-437A-AD10-33961A5212D2}"/>
    <hyperlink ref="A31" r:id="rId30" location="/stock/1831632/9211" display="https://etportfolio.indiatimes.com/pw_companyinfo.cms - /stock/1831632/9211" xr:uid="{1B857F44-3B9C-479E-AEC6-072793206AE0}"/>
    <hyperlink ref="A32" r:id="rId31" location="/stock/1831632/13760" display="https://etportfolio.indiatimes.com/pw_companyinfo.cms - /stock/1831632/13760" xr:uid="{D9E43CED-8983-466B-8A4A-AF3DB01DADB3}"/>
    <hyperlink ref="A33" r:id="rId32" location="/stock/1831632/12266" display="https://etportfolio.indiatimes.com/pw_companyinfo.cms - /stock/1831632/12266" xr:uid="{2636CAFE-95A1-4C1A-AAA7-2F34139735B2}"/>
    <hyperlink ref="A34" r:id="rId33" location="/stock/1831632/1996493" display="https://etportfolio.indiatimes.com/pw_companyinfo.cms - /stock/1831632/1996493" xr:uid="{96DC0D28-C8FB-4E2A-B7B3-25A849A88EE3}"/>
    <hyperlink ref="A35" r:id="rId34" location="/stock/1831632/5733" display="https://etportfolio.indiatimes.com/pw_companyinfo.cms - /stock/1831632/5733" xr:uid="{2D4005CB-675A-42F0-9A9D-C55F260E454F}"/>
    <hyperlink ref="A36" r:id="rId35" location="/stock/1831632/4291" display="https://etportfolio.indiatimes.com/pw_companyinfo.cms - /stock/1831632/4291" xr:uid="{6A9EB407-FECA-4A18-969D-D015FA4D4727}"/>
    <hyperlink ref="A37" r:id="rId36" location="/stock/1831632/9195" display="https://etportfolio.indiatimes.com/pw_companyinfo.cms - /stock/1831632/9195" xr:uid="{6B24F932-93DC-44FB-87BC-D0E33F9F771C}"/>
    <hyperlink ref="A38" r:id="rId37" location="/stock/1831632/3068" display="https://etportfolio.indiatimes.com/pw_companyinfo.cms - /stock/1831632/3068" xr:uid="{9DBDA35F-308B-4B58-A02C-D7916C28D6F3}"/>
    <hyperlink ref="A39" r:id="rId38" location="/stock/1831632/13636" display="https://etportfolio.indiatimes.com/pw_companyinfo.cms - /stock/1831632/13636" xr:uid="{05AC9F5F-DA6F-4570-A470-35E33118C3E4}"/>
    <hyperlink ref="A40" r:id="rId39" location="/stock/1831632/13616" display="https://etportfolio.indiatimes.com/pw_companyinfo.cms - /stock/1831632/13616" xr:uid="{CF5511F7-E87D-445C-9E51-B2C5BB0F816E}"/>
    <hyperlink ref="A41" r:id="rId40" location="/stock/1831632/9194" display="https://etportfolio.indiatimes.com/pw_companyinfo.cms - /stock/1831632/9194" xr:uid="{B762E593-D08F-41FD-B291-810CA36E1578}"/>
    <hyperlink ref="A42" r:id="rId41" location="/stock/1831632/1883" display="https://etportfolio.indiatimes.com/pw_companyinfo.cms - /stock/1831632/1883" xr:uid="{13332BC2-C851-4150-8C40-777CA6FFA908}"/>
    <hyperlink ref="A43" r:id="rId42" location="/stock/1831632/1898" display="https://etportfolio.indiatimes.com/pw_companyinfo.cms - /stock/1831632/1898" xr:uid="{411976EC-E8D7-4515-9D7A-522D3BB3FD12}"/>
    <hyperlink ref="A44" r:id="rId43" location="/stock/1831632/9196" display="https://etportfolio.indiatimes.com/pw_companyinfo.cms - /stock/1831632/9196" xr:uid="{AD9870C0-895E-4014-831B-2BE6BC20BBFC}"/>
    <hyperlink ref="A45" r:id="rId44" location="/stock/1831632/10960" display="https://etportfolio.indiatimes.com/pw_companyinfo.cms - /stock/1831632/10960" xr:uid="{5B279444-92FC-41FE-9F1E-E43384628E6C}"/>
    <hyperlink ref="A46" r:id="rId45" location="/stock/1831632/10587" display="https://etportfolio.indiatimes.com/pw_companyinfo.cms - /stock/1831632/10587" xr:uid="{B7C601F0-A5C1-42EA-A401-11197C6EBF44}"/>
    <hyperlink ref="A47" r:id="rId46" location="/stock/1831632/13554" display="https://etportfolio.indiatimes.com/pw_companyinfo.cms - /stock/1831632/13554" xr:uid="{E8A8D64D-8BA1-4085-9BF6-7E373492B9C6}"/>
    <hyperlink ref="A48" r:id="rId47" location="/stock/1831632/13536" display="https://etportfolio.indiatimes.com/pw_companyinfo.cms - /stock/1831632/13536" xr:uid="{A19E3581-261A-4CF6-8419-58945866F824}"/>
    <hyperlink ref="A49" r:id="rId48" location="/stock/1831632/16356" display="https://etportfolio.indiatimes.com/pw_companyinfo.cms - /stock/1831632/16356" xr:uid="{2233B187-520C-4D0C-963D-994BE8364C0B}"/>
    <hyperlink ref="A50" r:id="rId49" location="/stock/1831632/10413" display="https://etportfolio.indiatimes.com/pw_companyinfo.cms - /stock/1831632/10413" xr:uid="{E9E3C2E5-601E-4D1B-894F-A382C79347EC}"/>
    <hyperlink ref="A51" r:id="rId50" location="/stock/1831632/12161" display="https://etportfolio.indiatimes.com/pw_companyinfo.cms - /stock/1831632/12161" xr:uid="{CF550FEB-0B57-4428-A0EE-4D5E0F0BA1E8}"/>
    <hyperlink ref="A52" r:id="rId51" location="/stock/1831632/69000" display="https://etportfolio.indiatimes.com/pw_companyinfo.cms - /stock/1831632/69000" xr:uid="{92A7ED52-2207-4146-A614-26E8099515F3}"/>
    <hyperlink ref="A53" r:id="rId52" location="/stock/1831632/3318" display="https://etportfolio.indiatimes.com/pw_companyinfo.cms - /stock/1831632/3318" xr:uid="{CDCA3D5A-9A68-4639-9881-FE4A3127C56E}"/>
    <hyperlink ref="A54" r:id="rId53" location="/stock/1831632/13447" display="https://etportfolio.indiatimes.com/pw_companyinfo.cms - /stock/1831632/13447" xr:uid="{738C4C67-B44A-4398-94E6-F7628A873973}"/>
    <hyperlink ref="A55" r:id="rId54" location="/stock/1831632/11898" display="https://etportfolio.indiatimes.com/pw_companyinfo.cms - /stock/1831632/11898" xr:uid="{D18DEB59-2C5A-426F-B4B0-C2ECF5A31257}"/>
    <hyperlink ref="A56" r:id="rId55" location="/stock/1831632/17103" display="https://etportfolio.indiatimes.com/pw_companyinfo.cms - /stock/1831632/17103" xr:uid="{BA3922E0-19AF-484B-A42E-6C38A400960A}"/>
    <hyperlink ref="A57" r:id="rId56" location="/stock/1831632/5886" display="https://etportfolio.indiatimes.com/pw_companyinfo.cms - /stock/1831632/5886" xr:uid="{B8DCC4AC-7946-4D51-9E8F-1B006862BCF4}"/>
    <hyperlink ref="A58" r:id="rId57" location="/stock/1831632/5459" display="https://etportfolio.indiatimes.com/pw_companyinfo.cms - /stock/1831632/5459" xr:uid="{F5EB5DD3-DEA3-483B-8E31-2FE7CB074404}"/>
    <hyperlink ref="A59" r:id="rId58" location="/stock/1831632/1987283" display="https://etportfolio.indiatimes.com/pw_companyinfo.cms - /stock/1831632/1987283" xr:uid="{7A3ED4A8-8541-4859-B987-33DB6E0BFDBB}"/>
    <hyperlink ref="A60" r:id="rId59" location="/stock/1831632/15673" display="https://etportfolio.indiatimes.com/pw_companyinfo.cms - /stock/1831632/15673" xr:uid="{29B69017-8894-4BC8-B0AB-9788AFA4180F}"/>
    <hyperlink ref="A61" r:id="rId60" location="/stock/1831632/10878" display="https://etportfolio.indiatimes.com/pw_companyinfo.cms - /stock/1831632/10878" xr:uid="{F59A7E79-F2AD-467C-BE17-1F1829629521}"/>
    <hyperlink ref="A62" r:id="rId61" location="/stock/1831632/8684" display="https://etportfolio.indiatimes.com/pw_companyinfo.cms - /stock/1831632/8684" xr:uid="{65C6FBAD-DDC6-432A-A6AC-2410B74DDBAF}"/>
    <hyperlink ref="A63" r:id="rId62" location="/stock/1831632/32621" display="https://etportfolio.indiatimes.com/pw_companyinfo.cms - /stock/1831632/32621" xr:uid="{36E6FE2C-3CEB-4837-AD83-A3F225A0E673}"/>
    <hyperlink ref="A64" r:id="rId63" location="/stock/1831632/11599" display="https://etportfolio.indiatimes.com/pw_companyinfo.cms - /stock/1831632/11599" xr:uid="{C7FA7593-811A-4F0B-9E1E-2DB4E335DD60}"/>
    <hyperlink ref="A65" r:id="rId64" location="/stock/1831632/3160" display="https://etportfolio.indiatimes.com/pw_companyinfo.cms - /stock/1831632/3160" xr:uid="{73AE1DD7-CD3E-4040-9C5C-6726280B7B2A}"/>
    <hyperlink ref="A66" r:id="rId65" location="/stock/1831632/41253" display="https://etportfolio.indiatimes.com/pw_companyinfo.cms - /stock/1831632/41253" xr:uid="{DC4B26FB-E095-462C-9D0D-15BF9F6143E9}"/>
    <hyperlink ref="A67" r:id="rId66" location="/stock/1831632/21519" display="https://etportfolio.indiatimes.com/pw_companyinfo.cms - /stock/1831632/21519" xr:uid="{8A03F9C1-2CCE-4C3C-A644-3D23D8FD7260}"/>
    <hyperlink ref="A68" r:id="rId67" location="/stock/1831632/12358" display="https://etportfolio.indiatimes.com/pw_companyinfo.cms - /stock/1831632/12358" xr:uid="{FD5B6586-90A3-47BC-A0CC-1132015C335A}"/>
    <hyperlink ref="A69" r:id="rId68" location="/stock/1831632/10460" display="https://etportfolio.indiatimes.com/pw_companyinfo.cms - /stock/1831632/10460" xr:uid="{BCA05B23-EC94-4847-821B-404C2FB3F5B5}"/>
    <hyperlink ref="A70" r:id="rId69" location="/stock/1831632/13282" display="https://etportfolio.indiatimes.com/pw_companyinfo.cms - /stock/1831632/13282" xr:uid="{0651E21A-2027-4FAD-BFCE-26898741E84E}"/>
    <hyperlink ref="A71" r:id="rId70" location="/stock/1831632/18903" display="https://etportfolio.indiatimes.com/pw_companyinfo.cms - /stock/1831632/18903" xr:uid="{FE8264B6-D287-41AE-B95E-5504411FE32F}"/>
    <hyperlink ref="A72" r:id="rId71" location="/stock/1831632/7829" display="https://etportfolio.indiatimes.com/pw_companyinfo.cms - /stock/1831632/7829" xr:uid="{DC65A082-4E24-463F-BC3C-8C2B18F48590}"/>
    <hyperlink ref="A73" r:id="rId72" location="/stock/1831632/13120" display="https://etportfolio.indiatimes.com/pw_companyinfo.cms - /stock/1831632/13120" xr:uid="{55F9E1EE-73CC-4ACD-8733-FD7530133AFA}"/>
    <hyperlink ref="A74" r:id="rId73" location="/stock/1831632/2898" display="https://etportfolio.indiatimes.com/pw_companyinfo.cms - /stock/1831632/2898" xr:uid="{B0186040-4AD8-4688-A6AB-CA38FB90DF34}"/>
    <hyperlink ref="A75" r:id="rId74" location="/stock/1831632/13102" display="https://etportfolio.indiatimes.com/pw_companyinfo.cms - /stock/1831632/13102" xr:uid="{598AED25-5336-496B-A1CF-C093BE8485EF}"/>
    <hyperlink ref="A76" r:id="rId75" location="/stock/1831632/19352" display="https://etportfolio.indiatimes.com/pw_companyinfo.cms - /stock/1831632/19352" xr:uid="{B7330D7E-8D35-47B4-A5BC-030F9C7AA1DB}"/>
    <hyperlink ref="A77" r:id="rId76" location="/stock/1831632/2011581" display="https://etportfolio.indiatimes.com/pw_companyinfo.cms - /stock/1831632/2011581" xr:uid="{790033CF-9D0F-4E10-AE30-BF89C5D5310E}"/>
    <hyperlink ref="A78" r:id="rId77" location="/stock/1831632/11984" display="https://etportfolio.indiatimes.com/pw_companyinfo.cms - /stock/1831632/11984" xr:uid="{73FE95E7-23C5-45A4-AEB9-6B005B82064D}"/>
    <hyperlink ref="A79" r:id="rId78" location="/stock/1831632/9134" display="https://etportfolio.indiatimes.com/pw_companyinfo.cms - /stock/1831632/9134" xr:uid="{67ADFD2E-6D90-49CE-B9FE-AAF39069E54D}"/>
    <hyperlink ref="A80" r:id="rId79" location="/stock/1831632/12962" display="https://etportfolio.indiatimes.com/pw_companyinfo.cms - /stock/1831632/12962" xr:uid="{4CDC6693-5A27-46FF-9634-2DFE7EDDD420}"/>
    <hyperlink ref="A81" r:id="rId80" location="/stock/1831632/3296" display="https://etportfolio.indiatimes.com/pw_companyinfo.cms - /stock/1831632/3296" xr:uid="{DCED11E4-56CF-4399-ACC1-B106BAB3AB0A}"/>
    <hyperlink ref="A82" r:id="rId81" location="/stock/1831632/6936" display="https://etportfolio.indiatimes.com/pw_companyinfo.cms - /stock/1831632/6936" xr:uid="{BB4D9705-6D84-424C-B100-B184EB156B60}"/>
    <hyperlink ref="A83" r:id="rId82" location="/stock/1831632/303" display="https://etportfolio.indiatimes.com/pw_companyinfo.cms - /stock/1831632/303" xr:uid="{B2259418-BE47-4ADD-BA21-B116D740BFDD}"/>
    <hyperlink ref="A84" r:id="rId83" location="/stock/1831632/8345" display="https://etportfolio.indiatimes.com/pw_companyinfo.cms - /stock/1831632/8345" xr:uid="{21AABDC7-5F73-4DE2-A5B4-EB1B28437908}"/>
    <hyperlink ref="A85" r:id="rId84" location="/stock/1831632/12929" display="https://etportfolio.indiatimes.com/pw_companyinfo.cms - /stock/1831632/12929" xr:uid="{8C82BA69-425F-4B12-B54D-575FA221A970}"/>
    <hyperlink ref="A86" r:id="rId85" location="/stock/1831632/129341111" display="https://etportfolio.indiatimes.com/pw_companyinfo.cms - /stock/1831632/129341111" xr:uid="{03C91D28-C101-4CCF-91C4-0DBBFADE9F5D}"/>
    <hyperlink ref="A87" r:id="rId86" location="/stock/1831632/12902" display="https://etportfolio.indiatimes.com/pw_companyinfo.cms - /stock/1831632/12902" xr:uid="{B846B2E2-F1CB-4251-A9BA-27B9FCF1E43D}"/>
    <hyperlink ref="A88" r:id="rId87" location="/stock/1831632/11221" display="https://etportfolio.indiatimes.com/pw_companyinfo.cms - /stock/1831632/11221" xr:uid="{1AC71FE3-8368-4FB4-BBA0-4960DEE7DC0F}"/>
    <hyperlink ref="A89" r:id="rId88" location="/stock/1831632/12903" display="https://etportfolio.indiatimes.com/pw_companyinfo.cms - /stock/1831632/12903" xr:uid="{2016A707-EEA3-492A-BF3C-514ABB9364D4}"/>
    <hyperlink ref="A90" r:id="rId89" location="/stock/1831632/18605" display="https://etportfolio.indiatimes.com/pw_companyinfo.cms - /stock/1831632/18605" xr:uid="{73F7C221-9669-463A-9E8B-7BF4EA44AFA6}"/>
    <hyperlink ref="A91" r:id="rId90" location="/stock/1831632/12799" display="https://etportfolio.indiatimes.com/pw_companyinfo.cms - /stock/1831632/12799" xr:uid="{D353B9D2-6B08-4A2B-A724-F3F7E8DFA87F}"/>
    <hyperlink ref="A92" r:id="rId91" location="/stock/1831632/16552" display="https://etportfolio.indiatimes.com/pw_companyinfo.cms - /stock/1831632/16552" xr:uid="{986540DB-D525-4857-B418-9D999A6493A3}"/>
    <hyperlink ref="A93" r:id="rId92" location="/stock/1831632/6816" display="https://etportfolio.indiatimes.com/pw_companyinfo.cms - /stock/1831632/6816" xr:uid="{ED436B30-A9F2-485A-87EB-45A66EA0E76B}"/>
  </hyperlinks>
  <pageMargins left="0.7" right="0.7" top="0.75" bottom="0.75" header="0.3" footer="0.3"/>
  <pageSetup paperSize="9" orientation="portrait" r:id="rId9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70AD-8C22-4B0D-9935-5D60F83B4C41}">
  <dimension ref="A1:I15"/>
  <sheetViews>
    <sheetView workbookViewId="0">
      <selection activeCell="C6" sqref="C6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>
      <c r="A2" s="77" t="s">
        <v>234</v>
      </c>
      <c r="B2" s="76" t="s">
        <v>235</v>
      </c>
      <c r="C2" s="78">
        <v>3774.1860000000001</v>
      </c>
      <c r="D2" s="76">
        <v>74</v>
      </c>
      <c r="E2" s="76">
        <v>68.885599999999997</v>
      </c>
      <c r="F2" s="78">
        <v>259987.1214</v>
      </c>
      <c r="G2" s="78">
        <v>279289.76400000002</v>
      </c>
      <c r="H2" s="78">
        <v>19302.642599999999</v>
      </c>
      <c r="I2" s="1">
        <f>H2/F2</f>
        <v>7.4244610640933073E-2</v>
      </c>
    </row>
    <row r="3" spans="1:9">
      <c r="A3" s="77" t="s">
        <v>236</v>
      </c>
      <c r="B3" s="76" t="s">
        <v>237</v>
      </c>
      <c r="C3" s="78">
        <v>12205.787</v>
      </c>
      <c r="D3" s="76">
        <v>67.650000000000006</v>
      </c>
      <c r="E3" s="76">
        <v>44.239199999999997</v>
      </c>
      <c r="F3" s="78">
        <v>539973.91910000006</v>
      </c>
      <c r="G3" s="78">
        <v>825721.49049999996</v>
      </c>
      <c r="H3" s="78">
        <v>285747.57140000002</v>
      </c>
      <c r="I3" s="1">
        <f t="shared" ref="I3:I14" si="0">H3/F3</f>
        <v>0.52918772794854418</v>
      </c>
    </row>
    <row r="4" spans="1:9">
      <c r="A4" s="77" t="s">
        <v>454</v>
      </c>
      <c r="B4" s="76" t="s">
        <v>269</v>
      </c>
      <c r="C4" s="76">
        <v>42.13</v>
      </c>
      <c r="D4" s="78">
        <v>3208.2548999999999</v>
      </c>
      <c r="E4" s="78">
        <v>3151.9090999999999</v>
      </c>
      <c r="F4" s="78">
        <v>132789.93100000001</v>
      </c>
      <c r="G4" s="78">
        <v>135163.7789</v>
      </c>
      <c r="H4" s="78">
        <v>2373.8479000000002</v>
      </c>
      <c r="I4" s="1">
        <f t="shared" si="0"/>
        <v>1.7876716119387095E-2</v>
      </c>
    </row>
    <row r="5" spans="1:9">
      <c r="A5" s="77" t="s">
        <v>441</v>
      </c>
      <c r="B5" s="76" t="s">
        <v>241</v>
      </c>
      <c r="C5" s="78">
        <v>1857.5519999999999</v>
      </c>
      <c r="D5" s="76">
        <v>521.90740000000005</v>
      </c>
      <c r="E5" s="76">
        <v>366.02140000000003</v>
      </c>
      <c r="F5" s="78">
        <v>679903.69869999995</v>
      </c>
      <c r="G5" s="78">
        <v>969470.13470000005</v>
      </c>
      <c r="H5" s="78">
        <v>289566.43599999999</v>
      </c>
      <c r="I5" s="1">
        <f t="shared" si="0"/>
        <v>0.42589330894016508</v>
      </c>
    </row>
    <row r="6" spans="1:9">
      <c r="A6" s="77" t="s">
        <v>242</v>
      </c>
      <c r="B6" s="76" t="s">
        <v>237</v>
      </c>
      <c r="C6" s="78">
        <v>5856.576</v>
      </c>
      <c r="D6" s="76">
        <v>79.855999999999995</v>
      </c>
      <c r="E6" s="76">
        <v>44.3917</v>
      </c>
      <c r="F6" s="78">
        <v>259983.36480000001</v>
      </c>
      <c r="G6" s="78">
        <v>467682.73310000001</v>
      </c>
      <c r="H6" s="78">
        <v>207699.3682</v>
      </c>
      <c r="I6" s="1">
        <f t="shared" si="0"/>
        <v>0.7988948383669815</v>
      </c>
    </row>
    <row r="7" spans="1:9">
      <c r="A7" s="77" t="s">
        <v>272</v>
      </c>
      <c r="B7" s="76" t="s">
        <v>235</v>
      </c>
      <c r="C7" s="78">
        <v>6641.4979999999996</v>
      </c>
      <c r="D7" s="76">
        <v>80.968999999999994</v>
      </c>
      <c r="E7" s="76">
        <v>41.7624</v>
      </c>
      <c r="F7" s="78">
        <v>277364.96380000003</v>
      </c>
      <c r="G7" s="78">
        <v>537755.45160000003</v>
      </c>
      <c r="H7" s="78">
        <v>260390.4878</v>
      </c>
      <c r="I7" s="1">
        <f t="shared" si="0"/>
        <v>0.93880093661634989</v>
      </c>
    </row>
    <row r="8" spans="1:9">
      <c r="A8" s="77" t="s">
        <v>244</v>
      </c>
      <c r="B8" s="76" t="s">
        <v>233</v>
      </c>
      <c r="C8" s="78">
        <v>5841.7389999999996</v>
      </c>
      <c r="D8" s="76">
        <v>21.514299999999999</v>
      </c>
      <c r="E8" s="76">
        <v>23.964300000000001</v>
      </c>
      <c r="F8" s="78">
        <v>139992.99739999999</v>
      </c>
      <c r="G8" s="78">
        <v>125680.92539999999</v>
      </c>
      <c r="H8" s="78">
        <v>-14312.072099999999</v>
      </c>
      <c r="I8" s="1">
        <f t="shared" si="0"/>
        <v>-0.10223420003720843</v>
      </c>
    </row>
    <row r="9" spans="1:9">
      <c r="A9" s="77" t="s">
        <v>246</v>
      </c>
      <c r="B9" s="76" t="s">
        <v>241</v>
      </c>
      <c r="C9" s="78">
        <v>9069.08</v>
      </c>
      <c r="D9" s="76">
        <v>10.787699999999999</v>
      </c>
      <c r="E9" s="76">
        <v>11.081099999999999</v>
      </c>
      <c r="F9" s="78">
        <v>100494.9899</v>
      </c>
      <c r="G9" s="78">
        <v>97834.514299999995</v>
      </c>
      <c r="H9" s="78">
        <v>-2660.4756000000002</v>
      </c>
      <c r="I9" s="1">
        <f t="shared" si="0"/>
        <v>-2.6473713790581714E-2</v>
      </c>
    </row>
    <row r="10" spans="1:9">
      <c r="A10" s="77" t="s">
        <v>250</v>
      </c>
      <c r="B10" s="76" t="s">
        <v>251</v>
      </c>
      <c r="C10" s="78">
        <v>12067.237999999999</v>
      </c>
      <c r="D10" s="76">
        <v>50.720500000000001</v>
      </c>
      <c r="E10" s="76">
        <v>39.440899999999999</v>
      </c>
      <c r="F10" s="78">
        <v>475942.43550000002</v>
      </c>
      <c r="G10" s="78">
        <v>612056.34499999997</v>
      </c>
      <c r="H10" s="78">
        <v>136113.90950000001</v>
      </c>
      <c r="I10" s="1">
        <f t="shared" si="0"/>
        <v>0.28598817703028712</v>
      </c>
    </row>
    <row r="11" spans="1:9">
      <c r="A11" s="77" t="s">
        <v>274</v>
      </c>
      <c r="B11" s="76" t="s">
        <v>233</v>
      </c>
      <c r="C11" s="78">
        <v>5399.8710000000001</v>
      </c>
      <c r="D11" s="76">
        <v>30.71</v>
      </c>
      <c r="E11" s="76">
        <v>37.036200000000001</v>
      </c>
      <c r="F11" s="78">
        <v>199990.82519999999</v>
      </c>
      <c r="G11" s="78">
        <v>165830.03839999999</v>
      </c>
      <c r="H11" s="78">
        <v>-34160.786800000002</v>
      </c>
      <c r="I11" s="1">
        <f t="shared" si="0"/>
        <v>-0.17081176981912871</v>
      </c>
    </row>
    <row r="12" spans="1:9">
      <c r="A12" s="77" t="s">
        <v>455</v>
      </c>
      <c r="B12" s="76" t="s">
        <v>241</v>
      </c>
      <c r="C12" s="76">
        <v>197.84399999999999</v>
      </c>
      <c r="D12" s="76">
        <v>146.74090000000001</v>
      </c>
      <c r="E12" s="76">
        <v>126.3557</v>
      </c>
      <c r="F12" s="78">
        <v>24998.7091</v>
      </c>
      <c r="G12" s="78">
        <v>29031.8066</v>
      </c>
      <c r="H12" s="78">
        <v>4033.0974999999999</v>
      </c>
      <c r="I12" s="1">
        <f t="shared" si="0"/>
        <v>0.16133223055105672</v>
      </c>
    </row>
    <row r="13" spans="1:9">
      <c r="A13" s="77" t="s">
        <v>255</v>
      </c>
      <c r="B13" s="76" t="s">
        <v>241</v>
      </c>
      <c r="C13" s="78">
        <v>18996.168000000001</v>
      </c>
      <c r="D13" s="76">
        <v>15.4846</v>
      </c>
      <c r="E13" s="76">
        <v>9.4700000000000006</v>
      </c>
      <c r="F13" s="78">
        <v>179893.71100000001</v>
      </c>
      <c r="G13" s="78">
        <v>294148.06300000002</v>
      </c>
      <c r="H13" s="78">
        <v>114254.3521</v>
      </c>
      <c r="I13" s="1">
        <f t="shared" si="0"/>
        <v>0.63512143623520001</v>
      </c>
    </row>
    <row r="14" spans="1:9" ht="15.75" thickBot="1">
      <c r="A14" s="74" t="s">
        <v>11</v>
      </c>
      <c r="B14" s="75"/>
      <c r="C14" s="75">
        <f>SUM(C2:C13)</f>
        <v>81949.668999999994</v>
      </c>
      <c r="D14" s="75"/>
      <c r="E14" s="75"/>
      <c r="F14" s="75">
        <f t="shared" ref="F14:H14" si="1">SUM(F2:F13)</f>
        <v>3271316.6669000001</v>
      </c>
      <c r="G14" s="75">
        <f t="shared" si="1"/>
        <v>4539665.0455</v>
      </c>
      <c r="H14" s="75">
        <f t="shared" si="1"/>
        <v>1268348.3785000001</v>
      </c>
      <c r="I14" s="53">
        <f t="shared" si="0"/>
        <v>0.38771800704391174</v>
      </c>
    </row>
    <row r="15" spans="1:9" ht="15.75" thickTop="1"/>
  </sheetData>
  <hyperlinks>
    <hyperlink ref="A2" r:id="rId1" location="/mf/1831632/15690/NULL" display="https://etportfolio.indiatimes.com/pw_companyinfo.cms - /mf/1831632/15690/NULL" xr:uid="{85C46B29-FC0C-47AC-9D14-70FBE0EACA2C}"/>
    <hyperlink ref="A3" r:id="rId2" location="/mf/1831632/22335/NULL" display="https://etportfolio.indiatimes.com/pw_companyinfo.cms - /mf/1831632/22335/NULL" xr:uid="{4C85CB6F-E6F9-4ED0-B4A0-970486D6863F}"/>
    <hyperlink ref="A4" r:id="rId3" location="/mf/1831632/16848/NULL" display="https://etportfolio.indiatimes.com/pw_companyinfo.cms - /mf/1831632/16848/NULL" xr:uid="{6372DEBC-5D56-46C7-BB00-A96C86A64B7C}"/>
    <hyperlink ref="A5" r:id="rId4" location="/mf/1831632/16071/NULL" display="https://etportfolio.indiatimes.com/pw_companyinfo.cms - /mf/1831632/16071/NULL" xr:uid="{41FBF55E-D3E3-4625-9097-39B54837835E}"/>
    <hyperlink ref="A6" r:id="rId5" location="/mf/1831632/16617/NULL" display="https://etportfolio.indiatimes.com/pw_companyinfo.cms - /mf/1831632/16617/NULL" xr:uid="{2F41CA25-3DC3-4B8D-A48E-8CE68A2A500B}"/>
    <hyperlink ref="A7" r:id="rId6" location="/mf/1831632/17134/NULL" display="https://etportfolio.indiatimes.com/pw_companyinfo.cms - /mf/1831632/17134/NULL" xr:uid="{E1275696-09C4-4B83-90F7-9D98503D31B3}"/>
    <hyperlink ref="A8" r:id="rId7" location="/mf/1831632/38228/NULL" display="https://etportfolio.indiatimes.com/pw_companyinfo.cms - /mf/1831632/38228/NULL" xr:uid="{53BFA806-80F5-4EB9-923F-128DDEED5145}"/>
    <hyperlink ref="A9" r:id="rId8" location="/mf/1831632/41574/NULL" display="https://etportfolio.indiatimes.com/pw_companyinfo.cms - /mf/1831632/41574/NULL" xr:uid="{3BAD1FC2-A67F-4BBD-B5D8-A9BD66034B90}"/>
    <hyperlink ref="A10" r:id="rId9" location="/mf/1831632/19701/NULL" display="https://etportfolio.indiatimes.com/pw_companyinfo.cms - /mf/1831632/19701/NULL" xr:uid="{5C7A9C06-D4C0-4B53-89F7-32702A52E2FF}"/>
    <hyperlink ref="A11" r:id="rId10" location="/mf/1831632/17348/NULL" display="https://etportfolio.indiatimes.com/pw_companyinfo.cms - /mf/1831632/17348/NULL" xr:uid="{E554E560-55F5-4FFF-B259-96C47FBAAB8D}"/>
    <hyperlink ref="A12" r:id="rId11" location="/mf/1831632/16955/NULL" display="https://etportfolio.indiatimes.com/pw_companyinfo.cms - /mf/1831632/16955/NULL" xr:uid="{DCEEDF3A-C5C9-4FD2-9B94-1D7D2B6EDB98}"/>
    <hyperlink ref="A13" r:id="rId12" location="/mf/1831632/36491/NULL" display="https://etportfolio.indiatimes.com/pw_companyinfo.cms - /mf/1831632/36491/NULL" xr:uid="{616866E2-2787-4357-9BD4-8A65FAA8A10D}"/>
  </hyperlinks>
  <pageMargins left="0.7" right="0.7" top="0.75" bottom="0.75" header="0.3" footer="0.3"/>
  <pageSetup paperSize="9" orientation="portrait" r:id="rId1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B6B4-6936-4342-8864-C14FF627B43D}">
  <dimension ref="A1:H95"/>
  <sheetViews>
    <sheetView topLeftCell="A70" workbookViewId="0">
      <selection activeCell="B18" sqref="B18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>
      <c r="A2" s="135" t="s">
        <v>352</v>
      </c>
      <c r="B2" s="82">
        <v>25</v>
      </c>
      <c r="C2" s="82">
        <v>1776.45</v>
      </c>
      <c r="D2" s="82">
        <v>1753.0652</v>
      </c>
      <c r="E2" s="82">
        <v>43826.63</v>
      </c>
      <c r="F2" s="82">
        <v>44411.25</v>
      </c>
      <c r="G2" s="82">
        <v>584.62</v>
      </c>
      <c r="H2" s="136">
        <f t="shared" ref="H2:H65" si="0">G2/E2</f>
        <v>1.333937836425023E-2</v>
      </c>
    </row>
    <row r="3" spans="1:8">
      <c r="A3" s="135" t="s">
        <v>353</v>
      </c>
      <c r="B3" s="82">
        <v>13</v>
      </c>
      <c r="C3" s="82">
        <v>3493.95</v>
      </c>
      <c r="D3" s="82">
        <v>2592.5562</v>
      </c>
      <c r="E3" s="82">
        <v>33703.230000000003</v>
      </c>
      <c r="F3" s="82">
        <v>45421.35</v>
      </c>
      <c r="G3" s="82">
        <v>11718.12</v>
      </c>
      <c r="H3" s="136">
        <f t="shared" si="0"/>
        <v>0.3476853702152583</v>
      </c>
    </row>
    <row r="4" spans="1:8">
      <c r="A4" s="135" t="s">
        <v>354</v>
      </c>
      <c r="B4" s="82">
        <v>250</v>
      </c>
      <c r="C4" s="82">
        <v>195.6</v>
      </c>
      <c r="D4" s="82">
        <v>183.58799999999999</v>
      </c>
      <c r="E4" s="82">
        <v>45897</v>
      </c>
      <c r="F4" s="82">
        <v>48900</v>
      </c>
      <c r="G4" s="82">
        <v>3003</v>
      </c>
      <c r="H4" s="136">
        <f t="shared" si="0"/>
        <v>6.5429113013922485E-2</v>
      </c>
    </row>
    <row r="5" spans="1:8">
      <c r="A5" s="135" t="s">
        <v>355</v>
      </c>
      <c r="B5" s="82">
        <v>12</v>
      </c>
      <c r="C5" s="82">
        <v>3113.8</v>
      </c>
      <c r="D5" s="82">
        <v>2352.6</v>
      </c>
      <c r="E5" s="82">
        <v>28231.200000000001</v>
      </c>
      <c r="F5" s="82">
        <v>37365.599999999999</v>
      </c>
      <c r="G5" s="82">
        <v>9134.4</v>
      </c>
      <c r="H5" s="136">
        <f t="shared" si="0"/>
        <v>0.32355691575278411</v>
      </c>
    </row>
    <row r="6" spans="1:8">
      <c r="A6" s="135" t="s">
        <v>356</v>
      </c>
      <c r="B6" s="82">
        <v>36</v>
      </c>
      <c r="C6" s="82">
        <v>1286.8</v>
      </c>
      <c r="D6" s="82">
        <v>1156.3389</v>
      </c>
      <c r="E6" s="82">
        <v>41628.199999999997</v>
      </c>
      <c r="F6" s="82">
        <v>46324.800000000003</v>
      </c>
      <c r="G6" s="82">
        <v>4696.6000000000004</v>
      </c>
      <c r="H6" s="136">
        <f t="shared" si="0"/>
        <v>0.11282255778534744</v>
      </c>
    </row>
    <row r="7" spans="1:8">
      <c r="A7" s="135" t="s">
        <v>357</v>
      </c>
      <c r="B7" s="82">
        <v>11</v>
      </c>
      <c r="C7" s="82">
        <v>4082.3</v>
      </c>
      <c r="D7" s="82">
        <v>3118.3535999999999</v>
      </c>
      <c r="E7" s="82">
        <v>34301.89</v>
      </c>
      <c r="F7" s="82">
        <v>44905.3</v>
      </c>
      <c r="G7" s="82">
        <v>10603.41</v>
      </c>
      <c r="H7" s="136">
        <f t="shared" si="0"/>
        <v>0.30912028462571595</v>
      </c>
    </row>
    <row r="8" spans="1:8">
      <c r="A8" s="135" t="s">
        <v>358</v>
      </c>
      <c r="B8" s="82">
        <v>76</v>
      </c>
      <c r="C8" s="82">
        <v>774.45</v>
      </c>
      <c r="D8" s="82">
        <v>603.67700000000002</v>
      </c>
      <c r="E8" s="82">
        <v>45879.45</v>
      </c>
      <c r="F8" s="82">
        <v>58858.2</v>
      </c>
      <c r="G8" s="82">
        <v>12978.75</v>
      </c>
      <c r="H8" s="136">
        <f t="shared" si="0"/>
        <v>0.28288809041956697</v>
      </c>
    </row>
    <row r="9" spans="1:8">
      <c r="A9" s="135" t="s">
        <v>359</v>
      </c>
      <c r="B9" s="82">
        <v>20</v>
      </c>
      <c r="C9" s="82">
        <v>3738.1</v>
      </c>
      <c r="D9" s="82">
        <v>2859.69</v>
      </c>
      <c r="E9" s="82">
        <v>57193.8</v>
      </c>
      <c r="F9" s="82">
        <v>74762</v>
      </c>
      <c r="G9" s="82">
        <v>17568.2</v>
      </c>
      <c r="H9" s="136">
        <f t="shared" si="0"/>
        <v>0.30716965824967041</v>
      </c>
    </row>
    <row r="10" spans="1:8">
      <c r="A10" s="135" t="s">
        <v>360</v>
      </c>
      <c r="B10" s="82">
        <v>1</v>
      </c>
      <c r="C10" s="82">
        <v>7413.1</v>
      </c>
      <c r="D10" s="82">
        <v>7545</v>
      </c>
      <c r="E10" s="82">
        <v>7545</v>
      </c>
      <c r="F10" s="82">
        <v>7413.1</v>
      </c>
      <c r="G10" s="82">
        <v>-131.9</v>
      </c>
      <c r="H10" s="136">
        <f t="shared" si="0"/>
        <v>-1.7481776010603051E-2</v>
      </c>
    </row>
    <row r="11" spans="1:8">
      <c r="A11" s="135" t="s">
        <v>361</v>
      </c>
      <c r="B11" s="82">
        <v>10</v>
      </c>
      <c r="C11" s="82">
        <v>2107.1</v>
      </c>
      <c r="D11" s="82">
        <v>1889.8620000000001</v>
      </c>
      <c r="E11" s="82">
        <v>18898.62</v>
      </c>
      <c r="F11" s="82">
        <v>21071</v>
      </c>
      <c r="G11" s="82">
        <v>2172.38</v>
      </c>
      <c r="H11" s="136">
        <f t="shared" si="0"/>
        <v>0.11494913385210138</v>
      </c>
    </row>
    <row r="12" spans="1:8">
      <c r="A12" s="135" t="s">
        <v>362</v>
      </c>
      <c r="B12" s="82">
        <v>180</v>
      </c>
      <c r="C12" s="82">
        <v>758.6</v>
      </c>
      <c r="D12" s="82">
        <v>322.88889999999998</v>
      </c>
      <c r="E12" s="82">
        <v>58120</v>
      </c>
      <c r="F12" s="82">
        <v>136548</v>
      </c>
      <c r="G12" s="82">
        <v>78428</v>
      </c>
      <c r="H12" s="136">
        <f t="shared" si="0"/>
        <v>1.3494150034411563</v>
      </c>
    </row>
    <row r="13" spans="1:8">
      <c r="A13" s="135" t="s">
        <v>363</v>
      </c>
      <c r="B13" s="82">
        <v>54</v>
      </c>
      <c r="C13" s="82">
        <v>523.45000000000005</v>
      </c>
      <c r="D13" s="82">
        <v>414.23329999999999</v>
      </c>
      <c r="E13" s="82">
        <v>22368.6</v>
      </c>
      <c r="F13" s="82">
        <v>28266.3</v>
      </c>
      <c r="G13" s="82">
        <v>5897.7</v>
      </c>
      <c r="H13" s="136">
        <f t="shared" si="0"/>
        <v>0.26365977307475658</v>
      </c>
    </row>
    <row r="14" spans="1:8">
      <c r="A14" s="135" t="s">
        <v>364</v>
      </c>
      <c r="B14" s="82">
        <v>12</v>
      </c>
      <c r="C14" s="82">
        <v>3230</v>
      </c>
      <c r="D14" s="82">
        <v>3524.9749999999999</v>
      </c>
      <c r="E14" s="82">
        <v>42299.7</v>
      </c>
      <c r="F14" s="82">
        <v>38760</v>
      </c>
      <c r="G14" s="82">
        <v>-3539.7</v>
      </c>
      <c r="H14" s="136">
        <f t="shared" si="0"/>
        <v>-8.3681444549252124E-2</v>
      </c>
    </row>
    <row r="15" spans="1:8">
      <c r="A15" s="135" t="s">
        <v>365</v>
      </c>
      <c r="B15" s="82">
        <v>180</v>
      </c>
      <c r="C15" s="82">
        <v>103.5</v>
      </c>
      <c r="D15" s="82">
        <v>155.25</v>
      </c>
      <c r="E15" s="82">
        <v>27945</v>
      </c>
      <c r="F15" s="82">
        <v>18630</v>
      </c>
      <c r="G15" s="82">
        <v>-9315</v>
      </c>
      <c r="H15" s="136">
        <f t="shared" si="0"/>
        <v>-0.33333333333333331</v>
      </c>
    </row>
    <row r="16" spans="1:8">
      <c r="A16" s="135" t="s">
        <v>442</v>
      </c>
      <c r="B16" s="82">
        <v>81</v>
      </c>
      <c r="C16" s="82">
        <v>430.2</v>
      </c>
      <c r="D16" s="82">
        <v>411.62040000000002</v>
      </c>
      <c r="E16" s="82">
        <v>33341.25</v>
      </c>
      <c r="F16" s="82">
        <v>34846.199999999997</v>
      </c>
      <c r="G16" s="82">
        <v>1504.95</v>
      </c>
      <c r="H16" s="136">
        <f t="shared" si="0"/>
        <v>4.5137779777302892E-2</v>
      </c>
    </row>
    <row r="17" spans="1:8">
      <c r="A17" s="135" t="s">
        <v>366</v>
      </c>
      <c r="B17" s="82">
        <v>43</v>
      </c>
      <c r="C17" s="82">
        <v>1014.95</v>
      </c>
      <c r="D17" s="82">
        <v>701.07399999999996</v>
      </c>
      <c r="E17" s="82">
        <v>30146.18</v>
      </c>
      <c r="F17" s="82">
        <v>43642.85</v>
      </c>
      <c r="G17" s="82">
        <v>13496.67</v>
      </c>
      <c r="H17" s="136">
        <f t="shared" si="0"/>
        <v>0.44770747073095163</v>
      </c>
    </row>
    <row r="18" spans="1:8">
      <c r="A18" s="135" t="s">
        <v>367</v>
      </c>
      <c r="B18" s="82">
        <v>250</v>
      </c>
      <c r="C18" s="82">
        <v>186.25</v>
      </c>
      <c r="D18" s="82">
        <v>163.66999999999999</v>
      </c>
      <c r="E18" s="82">
        <v>40917.5</v>
      </c>
      <c r="F18" s="82">
        <v>46562.5</v>
      </c>
      <c r="G18" s="82">
        <v>5645</v>
      </c>
      <c r="H18" s="136">
        <f t="shared" si="0"/>
        <v>0.13796053033543104</v>
      </c>
    </row>
    <row r="19" spans="1:8">
      <c r="A19" s="135" t="s">
        <v>368</v>
      </c>
      <c r="B19" s="82">
        <v>4</v>
      </c>
      <c r="C19" s="82">
        <v>4406.8</v>
      </c>
      <c r="D19" s="82">
        <v>4792.0375000000004</v>
      </c>
      <c r="E19" s="82">
        <v>19168.150000000001</v>
      </c>
      <c r="F19" s="82">
        <v>17627.2</v>
      </c>
      <c r="G19" s="82">
        <v>-1540.95</v>
      </c>
      <c r="H19" s="136">
        <f t="shared" si="0"/>
        <v>-8.0391169726864609E-2</v>
      </c>
    </row>
    <row r="20" spans="1:8">
      <c r="A20" s="135" t="s">
        <v>369</v>
      </c>
      <c r="B20" s="82">
        <v>26</v>
      </c>
      <c r="C20" s="82">
        <v>1548.4</v>
      </c>
      <c r="D20" s="82">
        <v>1554.8558</v>
      </c>
      <c r="E20" s="82">
        <v>40426.25</v>
      </c>
      <c r="F20" s="82">
        <v>40258.400000000001</v>
      </c>
      <c r="G20" s="82">
        <v>-167.85</v>
      </c>
      <c r="H20" s="136">
        <f t="shared" si="0"/>
        <v>-4.152005194644569E-3</v>
      </c>
    </row>
    <row r="21" spans="1:8">
      <c r="A21" s="135" t="s">
        <v>370</v>
      </c>
      <c r="B21" s="82">
        <v>66</v>
      </c>
      <c r="C21" s="82">
        <v>543.20000000000005</v>
      </c>
      <c r="D21" s="82">
        <v>562.1309</v>
      </c>
      <c r="E21" s="82">
        <v>37100.639999999999</v>
      </c>
      <c r="F21" s="82">
        <v>35851.199999999997</v>
      </c>
      <c r="G21" s="82">
        <v>-1249.44</v>
      </c>
      <c r="H21" s="136">
        <f t="shared" si="0"/>
        <v>-3.3677047080589446E-2</v>
      </c>
    </row>
    <row r="22" spans="1:8">
      <c r="A22" s="135" t="s">
        <v>371</v>
      </c>
      <c r="B22" s="82">
        <v>11</v>
      </c>
      <c r="C22" s="82">
        <v>4379.75</v>
      </c>
      <c r="D22" s="82">
        <v>2298.1581999999999</v>
      </c>
      <c r="E22" s="82">
        <v>25279.74</v>
      </c>
      <c r="F22" s="82">
        <v>48177.25</v>
      </c>
      <c r="G22" s="82">
        <v>22897.51</v>
      </c>
      <c r="H22" s="136">
        <f t="shared" si="0"/>
        <v>0.90576524916791068</v>
      </c>
    </row>
    <row r="23" spans="1:8">
      <c r="A23" s="135" t="s">
        <v>372</v>
      </c>
      <c r="B23" s="82">
        <v>55</v>
      </c>
      <c r="C23" s="82">
        <v>385.6</v>
      </c>
      <c r="D23" s="82">
        <v>325.14240000000001</v>
      </c>
      <c r="E23" s="82">
        <v>17882.830000000002</v>
      </c>
      <c r="F23" s="82">
        <v>21208</v>
      </c>
      <c r="G23" s="82">
        <v>3325.17</v>
      </c>
      <c r="H23" s="136">
        <f t="shared" si="0"/>
        <v>0.18594204608554685</v>
      </c>
    </row>
    <row r="24" spans="1:8">
      <c r="A24" s="135" t="s">
        <v>373</v>
      </c>
      <c r="B24" s="82">
        <v>2</v>
      </c>
      <c r="C24" s="82">
        <v>2601.65</v>
      </c>
      <c r="D24" s="82">
        <v>3639.8</v>
      </c>
      <c r="E24" s="82">
        <v>7279.6</v>
      </c>
      <c r="F24" s="82">
        <v>5203.3</v>
      </c>
      <c r="G24" s="82">
        <v>-2076.3000000000002</v>
      </c>
      <c r="H24" s="136">
        <f t="shared" si="0"/>
        <v>-0.28522171547887248</v>
      </c>
    </row>
    <row r="25" spans="1:8">
      <c r="A25" s="135" t="s">
        <v>374</v>
      </c>
      <c r="B25" s="82">
        <v>10</v>
      </c>
      <c r="C25" s="82">
        <v>2482.6999999999998</v>
      </c>
      <c r="D25" s="82">
        <v>2469.0340000000001</v>
      </c>
      <c r="E25" s="82">
        <v>24690.34</v>
      </c>
      <c r="F25" s="82">
        <v>24827</v>
      </c>
      <c r="G25" s="82">
        <v>136.66</v>
      </c>
      <c r="H25" s="136">
        <f t="shared" si="0"/>
        <v>5.5349582063268466E-3</v>
      </c>
    </row>
    <row r="26" spans="1:8">
      <c r="A26" s="135" t="s">
        <v>375</v>
      </c>
      <c r="B26" s="82">
        <v>61</v>
      </c>
      <c r="C26" s="82">
        <v>372.75</v>
      </c>
      <c r="D26" s="82">
        <v>360.97</v>
      </c>
      <c r="E26" s="82">
        <v>22019.17</v>
      </c>
      <c r="F26" s="82">
        <v>22737.75</v>
      </c>
      <c r="G26" s="82">
        <v>718.58</v>
      </c>
      <c r="H26" s="136">
        <f t="shared" si="0"/>
        <v>3.2634290938305124E-2</v>
      </c>
    </row>
    <row r="27" spans="1:8">
      <c r="A27" s="135" t="s">
        <v>376</v>
      </c>
      <c r="B27" s="82">
        <v>28</v>
      </c>
      <c r="C27" s="82">
        <v>1116.5999999999999</v>
      </c>
      <c r="D27" s="82">
        <v>1376.7774999999999</v>
      </c>
      <c r="E27" s="82">
        <v>38549.769999999997</v>
      </c>
      <c r="F27" s="82">
        <v>31264.799999999999</v>
      </c>
      <c r="G27" s="82">
        <v>-7284.97</v>
      </c>
      <c r="H27" s="136">
        <f t="shared" si="0"/>
        <v>-0.18897570595103422</v>
      </c>
    </row>
    <row r="28" spans="1:8">
      <c r="A28" s="135" t="s">
        <v>443</v>
      </c>
      <c r="B28" s="82">
        <v>930</v>
      </c>
      <c r="C28" s="82">
        <v>52.55</v>
      </c>
      <c r="D28" s="82">
        <v>53.470199999999998</v>
      </c>
      <c r="E28" s="82">
        <v>49727.25</v>
      </c>
      <c r="F28" s="82">
        <v>48871.5</v>
      </c>
      <c r="G28" s="82">
        <v>-855.75</v>
      </c>
      <c r="H28" s="136">
        <f t="shared" si="0"/>
        <v>-1.7208874409906039E-2</v>
      </c>
    </row>
    <row r="29" spans="1:8">
      <c r="A29" s="135" t="s">
        <v>377</v>
      </c>
      <c r="B29" s="82">
        <v>86</v>
      </c>
      <c r="C29" s="82">
        <v>706.05</v>
      </c>
      <c r="D29" s="82">
        <v>714.27210000000002</v>
      </c>
      <c r="E29" s="82">
        <v>61427.4</v>
      </c>
      <c r="F29" s="82">
        <v>60720.3</v>
      </c>
      <c r="G29" s="82">
        <v>-707.1</v>
      </c>
      <c r="H29" s="136">
        <f t="shared" si="0"/>
        <v>-1.1511149747506813E-2</v>
      </c>
    </row>
    <row r="30" spans="1:8">
      <c r="A30" s="135" t="s">
        <v>378</v>
      </c>
      <c r="B30" s="82">
        <v>288</v>
      </c>
      <c r="C30" s="82">
        <v>156.94999999999999</v>
      </c>
      <c r="D30" s="82">
        <v>186.81219999999999</v>
      </c>
      <c r="E30" s="82">
        <v>53801.91</v>
      </c>
      <c r="F30" s="82">
        <v>45201.599999999999</v>
      </c>
      <c r="G30" s="82">
        <v>-8600.31</v>
      </c>
      <c r="H30" s="136">
        <f t="shared" si="0"/>
        <v>-0.15985138817562422</v>
      </c>
    </row>
    <row r="31" spans="1:8">
      <c r="A31" s="135" t="s">
        <v>379</v>
      </c>
      <c r="B31" s="82">
        <v>430</v>
      </c>
      <c r="C31" s="82">
        <v>101.45</v>
      </c>
      <c r="D31" s="82">
        <v>72.372900000000001</v>
      </c>
      <c r="E31" s="82">
        <v>31120.33</v>
      </c>
      <c r="F31" s="82">
        <v>43623.5</v>
      </c>
      <c r="G31" s="82">
        <v>12503.17</v>
      </c>
      <c r="H31" s="136">
        <f t="shared" si="0"/>
        <v>0.40176855451082938</v>
      </c>
    </row>
    <row r="32" spans="1:8">
      <c r="A32" s="135" t="s">
        <v>444</v>
      </c>
      <c r="B32" s="82">
        <v>216</v>
      </c>
      <c r="C32" s="82">
        <v>153.9</v>
      </c>
      <c r="D32" s="82">
        <v>187.09219999999999</v>
      </c>
      <c r="E32" s="82">
        <v>40411.919999999998</v>
      </c>
      <c r="F32" s="82">
        <v>33242.400000000001</v>
      </c>
      <c r="G32" s="82">
        <v>-7169.52</v>
      </c>
      <c r="H32" s="136">
        <f t="shared" si="0"/>
        <v>-0.17741102130262559</v>
      </c>
    </row>
    <row r="33" spans="1:8">
      <c r="A33" s="135" t="s">
        <v>380</v>
      </c>
      <c r="B33" s="82">
        <v>97</v>
      </c>
      <c r="C33" s="82">
        <v>117.2</v>
      </c>
      <c r="D33" s="82">
        <v>148.77119999999999</v>
      </c>
      <c r="E33" s="82">
        <v>14430.81</v>
      </c>
      <c r="F33" s="82">
        <v>11368.4</v>
      </c>
      <c r="G33" s="82">
        <v>-3062.41</v>
      </c>
      <c r="H33" s="136">
        <f t="shared" si="0"/>
        <v>-0.21221331304341198</v>
      </c>
    </row>
    <row r="34" spans="1:8">
      <c r="A34" s="135" t="s">
        <v>382</v>
      </c>
      <c r="B34" s="82">
        <v>11</v>
      </c>
      <c r="C34" s="82">
        <v>3331.1</v>
      </c>
      <c r="D34" s="82">
        <v>3984.3</v>
      </c>
      <c r="E34" s="82">
        <v>43827.3</v>
      </c>
      <c r="F34" s="82">
        <v>36642.1</v>
      </c>
      <c r="G34" s="82">
        <v>-7185.2</v>
      </c>
      <c r="H34" s="136">
        <f t="shared" si="0"/>
        <v>-0.16394347815174559</v>
      </c>
    </row>
    <row r="35" spans="1:8">
      <c r="A35" s="135" t="s">
        <v>383</v>
      </c>
      <c r="B35" s="82">
        <v>13</v>
      </c>
      <c r="C35" s="82">
        <v>1692.05</v>
      </c>
      <c r="D35" s="82">
        <v>1617.2192</v>
      </c>
      <c r="E35" s="82">
        <v>21023.85</v>
      </c>
      <c r="F35" s="82">
        <v>21996.65</v>
      </c>
      <c r="G35" s="82">
        <v>972.8</v>
      </c>
      <c r="H35" s="136">
        <f t="shared" si="0"/>
        <v>4.6271258594405881E-2</v>
      </c>
    </row>
    <row r="36" spans="1:8">
      <c r="A36" s="135" t="s">
        <v>384</v>
      </c>
      <c r="B36" s="82">
        <v>23</v>
      </c>
      <c r="C36" s="82">
        <v>1169.05</v>
      </c>
      <c r="D36" s="82">
        <v>1113.5373999999999</v>
      </c>
      <c r="E36" s="82">
        <v>25611.360000000001</v>
      </c>
      <c r="F36" s="82">
        <v>26888.15</v>
      </c>
      <c r="G36" s="82">
        <v>1276.79</v>
      </c>
      <c r="H36" s="136">
        <f t="shared" si="0"/>
        <v>4.985248733374565E-2</v>
      </c>
    </row>
    <row r="37" spans="1:8">
      <c r="A37" s="135" t="s">
        <v>385</v>
      </c>
      <c r="B37" s="82">
        <v>48</v>
      </c>
      <c r="C37" s="82">
        <v>1506.3</v>
      </c>
      <c r="D37" s="82">
        <v>1429.3218999999999</v>
      </c>
      <c r="E37" s="82">
        <v>68607.45</v>
      </c>
      <c r="F37" s="82">
        <v>72302.399999999994</v>
      </c>
      <c r="G37" s="82">
        <v>3694.95</v>
      </c>
      <c r="H37" s="136">
        <f t="shared" si="0"/>
        <v>5.3856396061943708E-2</v>
      </c>
    </row>
    <row r="38" spans="1:8">
      <c r="A38" s="135" t="s">
        <v>386</v>
      </c>
      <c r="B38" s="82">
        <v>73</v>
      </c>
      <c r="C38" s="82">
        <v>550.54999999999995</v>
      </c>
      <c r="D38" s="82">
        <v>659.36369999999999</v>
      </c>
      <c r="E38" s="82">
        <v>48133.55</v>
      </c>
      <c r="F38" s="82">
        <v>40190.15</v>
      </c>
      <c r="G38" s="82">
        <v>-7943.4</v>
      </c>
      <c r="H38" s="136">
        <f t="shared" si="0"/>
        <v>-0.16502834301646147</v>
      </c>
    </row>
    <row r="39" spans="1:8">
      <c r="A39" s="135" t="s">
        <v>387</v>
      </c>
      <c r="B39" s="82">
        <v>10</v>
      </c>
      <c r="C39" s="82">
        <v>2241.8000000000002</v>
      </c>
      <c r="D39" s="82">
        <v>2914.2950000000001</v>
      </c>
      <c r="E39" s="82">
        <v>29142.95</v>
      </c>
      <c r="F39" s="82">
        <v>22418</v>
      </c>
      <c r="G39" s="82">
        <v>-6724.95</v>
      </c>
      <c r="H39" s="136">
        <f t="shared" si="0"/>
        <v>-0.23075735297902236</v>
      </c>
    </row>
    <row r="40" spans="1:8">
      <c r="A40" s="135" t="s">
        <v>390</v>
      </c>
      <c r="B40" s="82">
        <v>15</v>
      </c>
      <c r="C40" s="82">
        <v>2080.4</v>
      </c>
      <c r="D40" s="82">
        <v>2300.6967</v>
      </c>
      <c r="E40" s="82">
        <v>34510.449999999997</v>
      </c>
      <c r="F40" s="82">
        <v>31206</v>
      </c>
      <c r="G40" s="82">
        <v>-3304.45</v>
      </c>
      <c r="H40" s="136">
        <f t="shared" si="0"/>
        <v>-9.5752156230938745E-2</v>
      </c>
    </row>
    <row r="41" spans="1:8">
      <c r="A41" s="135" t="s">
        <v>391</v>
      </c>
      <c r="B41" s="82">
        <v>76</v>
      </c>
      <c r="C41" s="82">
        <v>736.5</v>
      </c>
      <c r="D41" s="82">
        <v>527.16869999999994</v>
      </c>
      <c r="E41" s="82">
        <v>40064.82</v>
      </c>
      <c r="F41" s="82">
        <v>55974</v>
      </c>
      <c r="G41" s="82">
        <v>15909.18</v>
      </c>
      <c r="H41" s="136">
        <f t="shared" si="0"/>
        <v>0.39708602210118504</v>
      </c>
    </row>
    <row r="42" spans="1:8">
      <c r="A42" s="135" t="s">
        <v>392</v>
      </c>
      <c r="B42" s="82">
        <v>33</v>
      </c>
      <c r="C42" s="82">
        <v>1347.5</v>
      </c>
      <c r="D42" s="82">
        <v>1434.7542000000001</v>
      </c>
      <c r="E42" s="82">
        <v>47346.89</v>
      </c>
      <c r="F42" s="82">
        <v>44467.5</v>
      </c>
      <c r="G42" s="82">
        <v>-2879.39</v>
      </c>
      <c r="H42" s="136">
        <f t="shared" si="0"/>
        <v>-6.0814765235900389E-2</v>
      </c>
    </row>
    <row r="43" spans="1:8">
      <c r="A43" s="135" t="s">
        <v>393</v>
      </c>
      <c r="B43" s="82">
        <v>66</v>
      </c>
      <c r="C43" s="82">
        <v>507.8</v>
      </c>
      <c r="D43" s="82">
        <v>535.92650000000003</v>
      </c>
      <c r="E43" s="82">
        <v>35371.15</v>
      </c>
      <c r="F43" s="82">
        <v>33514.800000000003</v>
      </c>
      <c r="G43" s="82">
        <v>-1856.35</v>
      </c>
      <c r="H43" s="136">
        <f t="shared" si="0"/>
        <v>-5.2482036914264868E-2</v>
      </c>
    </row>
    <row r="44" spans="1:8">
      <c r="A44" s="135" t="s">
        <v>394</v>
      </c>
      <c r="B44" s="82">
        <v>45</v>
      </c>
      <c r="C44" s="82">
        <v>968.75</v>
      </c>
      <c r="D44" s="82">
        <v>1016.0751</v>
      </c>
      <c r="E44" s="82">
        <v>45723.38</v>
      </c>
      <c r="F44" s="82">
        <v>43593.75</v>
      </c>
      <c r="G44" s="82">
        <v>-2129.63</v>
      </c>
      <c r="H44" s="136">
        <f t="shared" si="0"/>
        <v>-4.6576390459323005E-2</v>
      </c>
    </row>
    <row r="45" spans="1:8">
      <c r="A45" s="135" t="s">
        <v>395</v>
      </c>
      <c r="B45" s="82">
        <v>17</v>
      </c>
      <c r="C45" s="82">
        <v>1902.35</v>
      </c>
      <c r="D45" s="82">
        <v>1725.4294</v>
      </c>
      <c r="E45" s="82">
        <v>29332.3</v>
      </c>
      <c r="F45" s="82">
        <v>32339.95</v>
      </c>
      <c r="G45" s="82">
        <v>3007.65</v>
      </c>
      <c r="H45" s="136">
        <f t="shared" si="0"/>
        <v>0.1025371348308861</v>
      </c>
    </row>
    <row r="46" spans="1:8">
      <c r="A46" s="135" t="s">
        <v>445</v>
      </c>
      <c r="B46" s="82">
        <v>40</v>
      </c>
      <c r="C46" s="82">
        <v>1027.3</v>
      </c>
      <c r="D46" s="82">
        <v>996.97069999999997</v>
      </c>
      <c r="E46" s="82">
        <v>39878.83</v>
      </c>
      <c r="F46" s="82">
        <v>41092</v>
      </c>
      <c r="G46" s="82">
        <v>1213.17</v>
      </c>
      <c r="H46" s="136">
        <f t="shared" si="0"/>
        <v>3.0421404038182664E-2</v>
      </c>
    </row>
    <row r="47" spans="1:8">
      <c r="A47" s="135" t="s">
        <v>396</v>
      </c>
      <c r="B47" s="82">
        <v>722</v>
      </c>
      <c r="C47" s="82">
        <v>253.75</v>
      </c>
      <c r="D47" s="82">
        <v>224.72020000000001</v>
      </c>
      <c r="E47" s="82">
        <v>162247.95000000001</v>
      </c>
      <c r="F47" s="82">
        <v>183207.5</v>
      </c>
      <c r="G47" s="82">
        <v>20959.55</v>
      </c>
      <c r="H47" s="136">
        <f t="shared" si="0"/>
        <v>0.12918221771060898</v>
      </c>
    </row>
    <row r="48" spans="1:8">
      <c r="A48" s="135" t="s">
        <v>397</v>
      </c>
      <c r="B48" s="82">
        <v>21</v>
      </c>
      <c r="C48" s="82">
        <v>1561</v>
      </c>
      <c r="D48" s="82">
        <v>815.2681</v>
      </c>
      <c r="E48" s="82">
        <v>17120.63</v>
      </c>
      <c r="F48" s="82">
        <v>32781</v>
      </c>
      <c r="G48" s="82">
        <v>15660.37</v>
      </c>
      <c r="H48" s="136">
        <f t="shared" si="0"/>
        <v>0.9147075779337559</v>
      </c>
    </row>
    <row r="49" spans="1:8">
      <c r="A49" s="135" t="s">
        <v>446</v>
      </c>
      <c r="B49" s="82">
        <v>234</v>
      </c>
      <c r="C49" s="82">
        <v>149</v>
      </c>
      <c r="D49" s="82">
        <v>151.24789999999999</v>
      </c>
      <c r="E49" s="82">
        <v>35392.01</v>
      </c>
      <c r="F49" s="82">
        <v>34866</v>
      </c>
      <c r="G49" s="82">
        <v>-526.01</v>
      </c>
      <c r="H49" s="136">
        <f t="shared" si="0"/>
        <v>-1.4862394082732232E-2</v>
      </c>
    </row>
    <row r="50" spans="1:8">
      <c r="A50" s="135" t="s">
        <v>447</v>
      </c>
      <c r="B50" s="82">
        <v>151</v>
      </c>
      <c r="C50" s="82">
        <v>220.65</v>
      </c>
      <c r="D50" s="82">
        <v>229.61580000000001</v>
      </c>
      <c r="E50" s="82">
        <v>34671.980000000003</v>
      </c>
      <c r="F50" s="82">
        <v>33318.15</v>
      </c>
      <c r="G50" s="82">
        <v>-1353.83</v>
      </c>
      <c r="H50" s="136">
        <f t="shared" si="0"/>
        <v>-3.9046803787957877E-2</v>
      </c>
    </row>
    <row r="51" spans="1:8">
      <c r="A51" s="135" t="s">
        <v>398</v>
      </c>
      <c r="B51" s="82">
        <v>38</v>
      </c>
      <c r="C51" s="82">
        <v>1776.7</v>
      </c>
      <c r="D51" s="82">
        <v>1711.2842000000001</v>
      </c>
      <c r="E51" s="82">
        <v>65028.800000000003</v>
      </c>
      <c r="F51" s="82">
        <v>67514.600000000006</v>
      </c>
      <c r="G51" s="82">
        <v>2485.8000000000002</v>
      </c>
      <c r="H51" s="136">
        <f t="shared" si="0"/>
        <v>3.8226139802672046E-2</v>
      </c>
    </row>
    <row r="52" spans="1:8">
      <c r="A52" s="135" t="s">
        <v>399</v>
      </c>
      <c r="B52" s="82">
        <v>35</v>
      </c>
      <c r="C52" s="82">
        <v>608.35</v>
      </c>
      <c r="D52" s="82">
        <v>575.41859999999997</v>
      </c>
      <c r="E52" s="82">
        <v>20139.650000000001</v>
      </c>
      <c r="F52" s="82">
        <v>21292.25</v>
      </c>
      <c r="G52" s="82">
        <v>1152.5999999999999</v>
      </c>
      <c r="H52" s="136">
        <f t="shared" si="0"/>
        <v>5.7230388810133238E-2</v>
      </c>
    </row>
    <row r="53" spans="1:8">
      <c r="A53" s="135" t="s">
        <v>400</v>
      </c>
      <c r="B53" s="82">
        <v>3</v>
      </c>
      <c r="C53" s="82">
        <v>6173</v>
      </c>
      <c r="D53" s="82">
        <v>4623.8167000000003</v>
      </c>
      <c r="E53" s="82">
        <v>13871.45</v>
      </c>
      <c r="F53" s="82">
        <v>18519</v>
      </c>
      <c r="G53" s="82">
        <v>4647.55</v>
      </c>
      <c r="H53" s="136">
        <f t="shared" si="0"/>
        <v>0.3350442815999769</v>
      </c>
    </row>
    <row r="54" spans="1:8">
      <c r="A54" s="135" t="s">
        <v>401</v>
      </c>
      <c r="B54" s="82">
        <v>62</v>
      </c>
      <c r="C54" s="82">
        <v>1790.4</v>
      </c>
      <c r="D54" s="82">
        <v>1053.2161000000001</v>
      </c>
      <c r="E54" s="82">
        <v>65299.4</v>
      </c>
      <c r="F54" s="82">
        <v>111004.8</v>
      </c>
      <c r="G54" s="82">
        <v>45705.4</v>
      </c>
      <c r="H54" s="136">
        <f t="shared" si="0"/>
        <v>0.6999359871606784</v>
      </c>
    </row>
    <row r="55" spans="1:8">
      <c r="A55" s="135" t="s">
        <v>402</v>
      </c>
      <c r="B55" s="82">
        <v>29</v>
      </c>
      <c r="C55" s="82">
        <v>825.95</v>
      </c>
      <c r="D55" s="82">
        <v>775.91719999999998</v>
      </c>
      <c r="E55" s="82">
        <v>22501.599999999999</v>
      </c>
      <c r="F55" s="82">
        <v>23952.55</v>
      </c>
      <c r="G55" s="82">
        <v>1450.95</v>
      </c>
      <c r="H55" s="136">
        <f t="shared" si="0"/>
        <v>6.4482081274220504E-2</v>
      </c>
    </row>
    <row r="56" spans="1:8">
      <c r="A56" s="135" t="s">
        <v>403</v>
      </c>
      <c r="B56" s="82">
        <v>118</v>
      </c>
      <c r="C56" s="82">
        <v>176.75</v>
      </c>
      <c r="D56" s="82">
        <v>184.30850000000001</v>
      </c>
      <c r="E56" s="82">
        <v>21748.400000000001</v>
      </c>
      <c r="F56" s="82">
        <v>20856.5</v>
      </c>
      <c r="G56" s="82">
        <v>-891.9</v>
      </c>
      <c r="H56" s="136">
        <f t="shared" si="0"/>
        <v>-4.1009913372937773E-2</v>
      </c>
    </row>
    <row r="57" spans="1:8">
      <c r="A57" s="135" t="s">
        <v>404</v>
      </c>
      <c r="B57" s="82">
        <v>59</v>
      </c>
      <c r="C57" s="82">
        <v>517.85</v>
      </c>
      <c r="D57" s="82">
        <v>460.53070000000002</v>
      </c>
      <c r="E57" s="82">
        <v>27171.31</v>
      </c>
      <c r="F57" s="82">
        <v>30553.15</v>
      </c>
      <c r="G57" s="82">
        <v>3381.84</v>
      </c>
      <c r="H57" s="136">
        <f t="shared" si="0"/>
        <v>0.12446363462048757</v>
      </c>
    </row>
    <row r="58" spans="1:8">
      <c r="A58" s="135" t="s">
        <v>405</v>
      </c>
      <c r="B58" s="82">
        <v>18</v>
      </c>
      <c r="C58" s="82">
        <v>931.55</v>
      </c>
      <c r="D58" s="82">
        <v>582.06169999999997</v>
      </c>
      <c r="E58" s="82">
        <v>10477.11</v>
      </c>
      <c r="F58" s="82">
        <v>16767.900000000001</v>
      </c>
      <c r="G58" s="82">
        <v>6290.79</v>
      </c>
      <c r="H58" s="136">
        <f t="shared" si="0"/>
        <v>0.60043179846350758</v>
      </c>
    </row>
    <row r="59" spans="1:8">
      <c r="A59" s="135" t="s">
        <v>406</v>
      </c>
      <c r="B59" s="82">
        <v>64</v>
      </c>
      <c r="C59" s="82">
        <v>347.81</v>
      </c>
      <c r="D59" s="82">
        <v>342.44</v>
      </c>
      <c r="E59" s="82">
        <v>21916.16</v>
      </c>
      <c r="F59" s="82">
        <v>22259.84</v>
      </c>
      <c r="G59" s="82">
        <v>343.68</v>
      </c>
      <c r="H59" s="136">
        <f t="shared" si="0"/>
        <v>1.5681579254759957E-2</v>
      </c>
    </row>
    <row r="60" spans="1:8">
      <c r="A60" s="135" t="s">
        <v>407</v>
      </c>
      <c r="B60" s="82">
        <v>4</v>
      </c>
      <c r="C60" s="82">
        <v>4248.8500000000004</v>
      </c>
      <c r="D60" s="82">
        <v>3909.95</v>
      </c>
      <c r="E60" s="82">
        <v>15639.8</v>
      </c>
      <c r="F60" s="82">
        <v>16995.400000000001</v>
      </c>
      <c r="G60" s="82">
        <v>1355.6</v>
      </c>
      <c r="H60" s="136">
        <f t="shared" si="0"/>
        <v>8.6676300208442567E-2</v>
      </c>
    </row>
    <row r="61" spans="1:8">
      <c r="A61" s="135" t="s">
        <v>448</v>
      </c>
      <c r="B61" s="82">
        <v>114</v>
      </c>
      <c r="C61" s="82">
        <v>140.30000000000001</v>
      </c>
      <c r="D61" s="82">
        <v>172.7311</v>
      </c>
      <c r="E61" s="82">
        <v>19691.34</v>
      </c>
      <c r="F61" s="82">
        <v>15994.2</v>
      </c>
      <c r="G61" s="82">
        <v>-3697.14</v>
      </c>
      <c r="H61" s="136">
        <f t="shared" si="0"/>
        <v>-0.18775461700422622</v>
      </c>
    </row>
    <row r="62" spans="1:8">
      <c r="A62" s="135" t="s">
        <v>408</v>
      </c>
      <c r="B62" s="82">
        <v>6</v>
      </c>
      <c r="C62" s="82">
        <v>3346.95</v>
      </c>
      <c r="D62" s="82">
        <v>2729.4167000000002</v>
      </c>
      <c r="E62" s="82">
        <v>16376.5</v>
      </c>
      <c r="F62" s="82">
        <v>20081.7</v>
      </c>
      <c r="G62" s="82">
        <v>3705.2</v>
      </c>
      <c r="H62" s="136">
        <f t="shared" si="0"/>
        <v>0.2262510304399597</v>
      </c>
    </row>
    <row r="63" spans="1:8">
      <c r="A63" s="135" t="s">
        <v>410</v>
      </c>
      <c r="B63" s="82">
        <v>75</v>
      </c>
      <c r="C63" s="82">
        <v>987.55</v>
      </c>
      <c r="D63" s="82">
        <v>440.02730000000003</v>
      </c>
      <c r="E63" s="82">
        <v>33002.050000000003</v>
      </c>
      <c r="F63" s="82">
        <v>74066.25</v>
      </c>
      <c r="G63" s="82">
        <v>41064.199999999997</v>
      </c>
      <c r="H63" s="136">
        <f t="shared" si="0"/>
        <v>1.2442924000175746</v>
      </c>
    </row>
    <row r="64" spans="1:8">
      <c r="A64" s="135" t="s">
        <v>411</v>
      </c>
      <c r="B64" s="82">
        <v>300</v>
      </c>
      <c r="C64" s="82">
        <v>167.85</v>
      </c>
      <c r="D64" s="82">
        <v>82.333299999999994</v>
      </c>
      <c r="E64" s="82">
        <v>24700</v>
      </c>
      <c r="F64" s="82">
        <v>50355</v>
      </c>
      <c r="G64" s="82">
        <v>25655</v>
      </c>
      <c r="H64" s="136">
        <f t="shared" si="0"/>
        <v>1.0386639676113361</v>
      </c>
    </row>
    <row r="65" spans="1:8">
      <c r="A65" s="135" t="s">
        <v>413</v>
      </c>
      <c r="B65" s="82">
        <v>8</v>
      </c>
      <c r="C65" s="82">
        <v>3586.65</v>
      </c>
      <c r="D65" s="82">
        <v>4260.1813000000002</v>
      </c>
      <c r="E65" s="82">
        <v>34081.449999999997</v>
      </c>
      <c r="F65" s="82">
        <v>28693.200000000001</v>
      </c>
      <c r="G65" s="82">
        <v>-5388.25</v>
      </c>
      <c r="H65" s="136">
        <f t="shared" si="0"/>
        <v>-0.15809920059152413</v>
      </c>
    </row>
    <row r="66" spans="1:8">
      <c r="A66" s="135" t="s">
        <v>449</v>
      </c>
      <c r="B66" s="82">
        <v>228</v>
      </c>
      <c r="C66" s="82">
        <v>148.80000000000001</v>
      </c>
      <c r="D66" s="82">
        <v>160.8066</v>
      </c>
      <c r="E66" s="82">
        <v>36663.9</v>
      </c>
      <c r="F66" s="82">
        <v>33926.400000000001</v>
      </c>
      <c r="G66" s="82">
        <v>-2737.5</v>
      </c>
      <c r="H66" s="136">
        <f t="shared" ref="H66:H94" si="1">G66/E66</f>
        <v>-7.4664724701954788E-2</v>
      </c>
    </row>
    <row r="67" spans="1:8">
      <c r="A67" s="135" t="s">
        <v>414</v>
      </c>
      <c r="B67" s="82">
        <v>5</v>
      </c>
      <c r="C67" s="82">
        <v>4720.8</v>
      </c>
      <c r="D67" s="82">
        <v>3892.57</v>
      </c>
      <c r="E67" s="82">
        <v>19462.849999999999</v>
      </c>
      <c r="F67" s="82">
        <v>23604</v>
      </c>
      <c r="G67" s="82">
        <v>4141.1499999999996</v>
      </c>
      <c r="H67" s="136">
        <f t="shared" si="1"/>
        <v>0.21277202465209361</v>
      </c>
    </row>
    <row r="68" spans="1:8">
      <c r="A68" s="135" t="s">
        <v>415</v>
      </c>
      <c r="B68" s="82">
        <v>30</v>
      </c>
      <c r="C68" s="82">
        <v>1073.3499999999999</v>
      </c>
      <c r="D68" s="82">
        <v>860.11969999999997</v>
      </c>
      <c r="E68" s="82">
        <v>25803.59</v>
      </c>
      <c r="F68" s="82">
        <v>32200.5</v>
      </c>
      <c r="G68" s="82">
        <v>6396.91</v>
      </c>
      <c r="H68" s="136">
        <f t="shared" si="1"/>
        <v>0.24790775237089102</v>
      </c>
    </row>
    <row r="69" spans="1:8">
      <c r="A69" s="135" t="s">
        <v>416</v>
      </c>
      <c r="B69" s="82">
        <v>3</v>
      </c>
      <c r="C69" s="82">
        <v>2485.5</v>
      </c>
      <c r="D69" s="82">
        <v>2387.5</v>
      </c>
      <c r="E69" s="82">
        <v>7162.5</v>
      </c>
      <c r="F69" s="82">
        <v>7456.5</v>
      </c>
      <c r="G69" s="82">
        <v>294</v>
      </c>
      <c r="H69" s="136">
        <f t="shared" si="1"/>
        <v>4.1047120418848171E-2</v>
      </c>
    </row>
    <row r="70" spans="1:8">
      <c r="A70" s="135" t="s">
        <v>450</v>
      </c>
      <c r="B70" s="82">
        <v>16</v>
      </c>
      <c r="C70" s="82">
        <v>2473.4499999999998</v>
      </c>
      <c r="D70" s="82">
        <v>528.10630000000003</v>
      </c>
      <c r="E70" s="82">
        <v>8449.7000000000007</v>
      </c>
      <c r="F70" s="82">
        <v>39575.199999999997</v>
      </c>
      <c r="G70" s="82">
        <v>31125.5</v>
      </c>
      <c r="H70" s="136">
        <f t="shared" si="1"/>
        <v>3.6836219037362272</v>
      </c>
    </row>
    <row r="71" spans="1:8">
      <c r="A71" s="135" t="s">
        <v>451</v>
      </c>
      <c r="B71" s="82">
        <v>223</v>
      </c>
      <c r="C71" s="82">
        <v>150.05000000000001</v>
      </c>
      <c r="D71" s="82">
        <v>151.5386</v>
      </c>
      <c r="E71" s="82">
        <v>33793.11</v>
      </c>
      <c r="F71" s="82">
        <v>33461.15</v>
      </c>
      <c r="G71" s="82">
        <v>-331.96</v>
      </c>
      <c r="H71" s="136">
        <f t="shared" si="1"/>
        <v>-9.8233042179308137E-3</v>
      </c>
    </row>
    <row r="72" spans="1:8">
      <c r="A72" s="135" t="s">
        <v>418</v>
      </c>
      <c r="B72" s="82">
        <v>5</v>
      </c>
      <c r="C72" s="82">
        <v>1084.3499999999999</v>
      </c>
      <c r="D72" s="82">
        <v>1441</v>
      </c>
      <c r="E72" s="82">
        <v>7205</v>
      </c>
      <c r="F72" s="82">
        <v>5421.75</v>
      </c>
      <c r="G72" s="82">
        <v>-1783.25</v>
      </c>
      <c r="H72" s="136">
        <f t="shared" si="1"/>
        <v>-0.24750173490631505</v>
      </c>
    </row>
    <row r="73" spans="1:8">
      <c r="A73" s="135" t="s">
        <v>452</v>
      </c>
      <c r="B73" s="82">
        <v>137</v>
      </c>
      <c r="C73" s="82">
        <v>253.95</v>
      </c>
      <c r="D73" s="82">
        <v>248.37280000000001</v>
      </c>
      <c r="E73" s="82">
        <v>34027.07</v>
      </c>
      <c r="F73" s="82">
        <v>34791.15</v>
      </c>
      <c r="G73" s="82">
        <v>764.08</v>
      </c>
      <c r="H73" s="136">
        <f t="shared" si="1"/>
        <v>2.2455062983677408E-2</v>
      </c>
    </row>
    <row r="74" spans="1:8">
      <c r="A74" s="135" t="s">
        <v>420</v>
      </c>
      <c r="B74" s="82">
        <v>35</v>
      </c>
      <c r="C74" s="82">
        <v>1112.8</v>
      </c>
      <c r="D74" s="82">
        <v>986.89430000000004</v>
      </c>
      <c r="E74" s="82">
        <v>34541.300000000003</v>
      </c>
      <c r="F74" s="82">
        <v>38948</v>
      </c>
      <c r="G74" s="82">
        <v>4406.7</v>
      </c>
      <c r="H74" s="136">
        <f t="shared" si="1"/>
        <v>0.12757771131949289</v>
      </c>
    </row>
    <row r="75" spans="1:8">
      <c r="A75" s="135" t="s">
        <v>421</v>
      </c>
      <c r="B75" s="82">
        <v>35</v>
      </c>
      <c r="C75" s="82">
        <v>2367.8000000000002</v>
      </c>
      <c r="D75" s="82">
        <v>984.23</v>
      </c>
      <c r="E75" s="82">
        <v>34448.050000000003</v>
      </c>
      <c r="F75" s="82">
        <v>82873</v>
      </c>
      <c r="G75" s="82">
        <v>48424.95</v>
      </c>
      <c r="H75" s="136">
        <f t="shared" si="1"/>
        <v>1.4057384960832324</v>
      </c>
    </row>
    <row r="76" spans="1:8">
      <c r="A76" s="135" t="s">
        <v>423</v>
      </c>
      <c r="B76" s="82">
        <v>22</v>
      </c>
      <c r="C76" s="82">
        <v>723.55</v>
      </c>
      <c r="D76" s="82">
        <v>597.13409999999999</v>
      </c>
      <c r="E76" s="82">
        <v>13136.95</v>
      </c>
      <c r="F76" s="82">
        <v>15918.1</v>
      </c>
      <c r="G76" s="82">
        <v>2781.15</v>
      </c>
      <c r="H76" s="136">
        <f t="shared" si="1"/>
        <v>0.21170439104967287</v>
      </c>
    </row>
    <row r="77" spans="1:8">
      <c r="A77" s="135" t="s">
        <v>424</v>
      </c>
      <c r="B77" s="82">
        <v>19</v>
      </c>
      <c r="C77" s="82">
        <v>657.35</v>
      </c>
      <c r="D77" s="82">
        <v>650.29470000000003</v>
      </c>
      <c r="E77" s="82">
        <v>12355.6</v>
      </c>
      <c r="F77" s="82">
        <v>12489.65</v>
      </c>
      <c r="G77" s="82">
        <v>134.05000000000001</v>
      </c>
      <c r="H77" s="136">
        <f t="shared" si="1"/>
        <v>1.0849331477224902E-2</v>
      </c>
    </row>
    <row r="78" spans="1:8">
      <c r="A78" s="135" t="s">
        <v>425</v>
      </c>
      <c r="B78" s="82">
        <v>100</v>
      </c>
      <c r="C78" s="82">
        <v>508.2</v>
      </c>
      <c r="D78" s="82">
        <v>264.06150000000002</v>
      </c>
      <c r="E78" s="82">
        <v>26406.15</v>
      </c>
      <c r="F78" s="82">
        <v>50820</v>
      </c>
      <c r="G78" s="82">
        <v>24413.85</v>
      </c>
      <c r="H78" s="136">
        <f t="shared" si="1"/>
        <v>0.92455166694122382</v>
      </c>
    </row>
    <row r="79" spans="1:8">
      <c r="A79" s="135" t="s">
        <v>426</v>
      </c>
      <c r="B79" s="82">
        <v>139</v>
      </c>
      <c r="C79" s="82">
        <v>908.25</v>
      </c>
      <c r="D79" s="82">
        <v>476.89420000000001</v>
      </c>
      <c r="E79" s="82">
        <v>66288.3</v>
      </c>
      <c r="F79" s="82">
        <v>126246.75</v>
      </c>
      <c r="G79" s="82">
        <v>59958.45</v>
      </c>
      <c r="H79" s="136">
        <f t="shared" si="1"/>
        <v>0.90451029819741935</v>
      </c>
    </row>
    <row r="80" spans="1:8">
      <c r="A80" s="135" t="s">
        <v>427</v>
      </c>
      <c r="B80" s="82">
        <v>27</v>
      </c>
      <c r="C80" s="82">
        <v>912.85</v>
      </c>
      <c r="D80" s="82">
        <v>739.79560000000004</v>
      </c>
      <c r="E80" s="82">
        <v>19974.48</v>
      </c>
      <c r="F80" s="82">
        <v>24646.95</v>
      </c>
      <c r="G80" s="82">
        <v>4672.47</v>
      </c>
      <c r="H80" s="136">
        <f t="shared" si="1"/>
        <v>0.23392198445216097</v>
      </c>
    </row>
    <row r="81" spans="1:8">
      <c r="A81" s="135" t="s">
        <v>428</v>
      </c>
      <c r="B81" s="82">
        <v>45</v>
      </c>
      <c r="C81" s="82">
        <v>488.75</v>
      </c>
      <c r="D81" s="82">
        <v>368.55090000000001</v>
      </c>
      <c r="E81" s="82">
        <v>16584.79</v>
      </c>
      <c r="F81" s="82">
        <v>21993.75</v>
      </c>
      <c r="G81" s="82">
        <v>5408.96</v>
      </c>
      <c r="H81" s="136">
        <f t="shared" si="1"/>
        <v>0.32613979435374219</v>
      </c>
    </row>
    <row r="82" spans="1:8">
      <c r="A82" s="135" t="s">
        <v>429</v>
      </c>
      <c r="B82" s="82">
        <v>50</v>
      </c>
      <c r="C82" s="82">
        <v>366.65</v>
      </c>
      <c r="D82" s="82">
        <v>283.19240000000002</v>
      </c>
      <c r="E82" s="82">
        <v>14159.62</v>
      </c>
      <c r="F82" s="82">
        <v>18332.5</v>
      </c>
      <c r="G82" s="82">
        <v>4172.88</v>
      </c>
      <c r="H82" s="136">
        <f t="shared" si="1"/>
        <v>0.29470282394584035</v>
      </c>
    </row>
    <row r="83" spans="1:8">
      <c r="A83" s="135" t="s">
        <v>430</v>
      </c>
      <c r="B83" s="82">
        <v>57</v>
      </c>
      <c r="C83" s="82">
        <v>597.29999999999995</v>
      </c>
      <c r="D83" s="82">
        <v>468.04349999999999</v>
      </c>
      <c r="E83" s="82">
        <v>26678.48</v>
      </c>
      <c r="F83" s="82">
        <v>34046.1</v>
      </c>
      <c r="G83" s="82">
        <v>7367.62</v>
      </c>
      <c r="H83" s="136">
        <f t="shared" si="1"/>
        <v>0.276163409609543</v>
      </c>
    </row>
    <row r="84" spans="1:8">
      <c r="A84" s="135" t="s">
        <v>431</v>
      </c>
      <c r="B84" s="82">
        <v>9</v>
      </c>
      <c r="C84" s="82">
        <v>3756.85</v>
      </c>
      <c r="D84" s="82">
        <v>3548.6556</v>
      </c>
      <c r="E84" s="82">
        <v>31937.9</v>
      </c>
      <c r="F84" s="82">
        <v>33811.65</v>
      </c>
      <c r="G84" s="82">
        <v>1873.75</v>
      </c>
      <c r="H84" s="136">
        <f t="shared" si="1"/>
        <v>5.866854113764524E-2</v>
      </c>
    </row>
    <row r="85" spans="1:8">
      <c r="A85" s="135" t="s">
        <v>432</v>
      </c>
      <c r="B85" s="82">
        <v>38</v>
      </c>
      <c r="C85" s="82">
        <v>789.6</v>
      </c>
      <c r="D85" s="82">
        <v>684.40920000000006</v>
      </c>
      <c r="E85" s="82">
        <v>26007.55</v>
      </c>
      <c r="F85" s="82">
        <v>30004.799999999999</v>
      </c>
      <c r="G85" s="82">
        <v>3997.25</v>
      </c>
      <c r="H85" s="136">
        <f t="shared" si="1"/>
        <v>0.15369575373305061</v>
      </c>
    </row>
    <row r="86" spans="1:8">
      <c r="A86" s="135" t="s">
        <v>433</v>
      </c>
      <c r="B86" s="82">
        <v>775</v>
      </c>
      <c r="C86" s="82">
        <v>212.4</v>
      </c>
      <c r="D86" s="82">
        <v>99.291600000000003</v>
      </c>
      <c r="E86" s="82">
        <v>76951</v>
      </c>
      <c r="F86" s="82">
        <v>164610</v>
      </c>
      <c r="G86" s="82">
        <v>87659</v>
      </c>
      <c r="H86" s="136">
        <f t="shared" si="1"/>
        <v>1.1391534872841158</v>
      </c>
    </row>
    <row r="87" spans="1:8">
      <c r="A87" s="135" t="s">
        <v>434</v>
      </c>
      <c r="B87" s="82">
        <v>105</v>
      </c>
      <c r="C87" s="82">
        <v>1316.15</v>
      </c>
      <c r="D87" s="82">
        <v>404.76429999999999</v>
      </c>
      <c r="E87" s="82">
        <v>42500.25</v>
      </c>
      <c r="F87" s="82">
        <v>138195.75</v>
      </c>
      <c r="G87" s="82">
        <v>95695.5</v>
      </c>
      <c r="H87" s="136">
        <f t="shared" si="1"/>
        <v>2.2516455785554204</v>
      </c>
    </row>
    <row r="88" spans="1:8">
      <c r="A88" s="135" t="s">
        <v>435</v>
      </c>
      <c r="B88" s="82">
        <v>16</v>
      </c>
      <c r="C88" s="82">
        <v>1487.35</v>
      </c>
      <c r="D88" s="82">
        <v>1340.2874999999999</v>
      </c>
      <c r="E88" s="82">
        <v>21444.6</v>
      </c>
      <c r="F88" s="82">
        <v>23797.599999999999</v>
      </c>
      <c r="G88" s="82">
        <v>2353</v>
      </c>
      <c r="H88" s="136">
        <f t="shared" si="1"/>
        <v>0.1097245926713485</v>
      </c>
    </row>
    <row r="89" spans="1:8">
      <c r="A89" s="135" t="s">
        <v>436</v>
      </c>
      <c r="B89" s="82">
        <v>3</v>
      </c>
      <c r="C89" s="82">
        <v>2521.65</v>
      </c>
      <c r="D89" s="82">
        <v>2438.9</v>
      </c>
      <c r="E89" s="82">
        <v>7316.7</v>
      </c>
      <c r="F89" s="82">
        <v>7564.95</v>
      </c>
      <c r="G89" s="82">
        <v>248.25</v>
      </c>
      <c r="H89" s="136">
        <f t="shared" si="1"/>
        <v>3.392923039074993E-2</v>
      </c>
    </row>
    <row r="90" spans="1:8">
      <c r="A90" s="135" t="s">
        <v>438</v>
      </c>
      <c r="B90" s="82">
        <v>27</v>
      </c>
      <c r="C90" s="82">
        <v>939.15</v>
      </c>
      <c r="D90" s="82">
        <v>663.14779999999996</v>
      </c>
      <c r="E90" s="82">
        <v>17904.990000000002</v>
      </c>
      <c r="F90" s="82">
        <v>25357.05</v>
      </c>
      <c r="G90" s="82">
        <v>7452.06</v>
      </c>
      <c r="H90" s="136">
        <f t="shared" si="1"/>
        <v>0.41620017659881403</v>
      </c>
    </row>
    <row r="91" spans="1:8">
      <c r="A91" s="135" t="s">
        <v>453</v>
      </c>
      <c r="B91" s="82">
        <v>40</v>
      </c>
      <c r="C91" s="82">
        <v>601.45000000000005</v>
      </c>
      <c r="D91" s="82">
        <v>621.23500000000001</v>
      </c>
      <c r="E91" s="82">
        <v>24849.4</v>
      </c>
      <c r="F91" s="82">
        <v>24058</v>
      </c>
      <c r="G91" s="82">
        <v>-791.4</v>
      </c>
      <c r="H91" s="136">
        <f t="shared" si="1"/>
        <v>-3.1847851457178035E-2</v>
      </c>
    </row>
    <row r="92" spans="1:8">
      <c r="A92" s="135" t="s">
        <v>439</v>
      </c>
      <c r="B92" s="82">
        <v>525</v>
      </c>
      <c r="C92" s="82">
        <v>12.67</v>
      </c>
      <c r="D92" s="82">
        <v>38.966700000000003</v>
      </c>
      <c r="E92" s="82">
        <v>20457.5</v>
      </c>
      <c r="F92" s="82">
        <v>6651.75</v>
      </c>
      <c r="G92" s="82">
        <v>-13805.75</v>
      </c>
      <c r="H92" s="136">
        <f t="shared" si="1"/>
        <v>-0.67485029940119756</v>
      </c>
    </row>
    <row r="93" spans="1:8" ht="15.75" thickBot="1">
      <c r="A93" s="135" t="s">
        <v>440</v>
      </c>
      <c r="B93" s="82">
        <v>30</v>
      </c>
      <c r="C93" s="82">
        <v>1557.75</v>
      </c>
      <c r="D93" s="82">
        <v>1918.1777</v>
      </c>
      <c r="E93" s="82">
        <v>57545.33</v>
      </c>
      <c r="F93" s="82">
        <v>46732.5</v>
      </c>
      <c r="G93" s="82">
        <v>-10812.83</v>
      </c>
      <c r="H93" s="136">
        <f t="shared" si="1"/>
        <v>-0.18790108597865368</v>
      </c>
    </row>
    <row r="94" spans="1:8" ht="18.75" thickBot="1">
      <c r="A94" s="44" t="s">
        <v>11</v>
      </c>
      <c r="B94" s="45">
        <f>SUM(B2:B93)</f>
        <v>8839</v>
      </c>
      <c r="C94" s="45"/>
      <c r="D94" s="45"/>
      <c r="E94" s="45">
        <f>SUM(E2:E93)</f>
        <v>3029267.8899999992</v>
      </c>
      <c r="F94" s="45">
        <f>SUM(F2:F93)</f>
        <v>3730110.9899999993</v>
      </c>
      <c r="G94" s="45">
        <f>SUM(G2:G93)</f>
        <v>700843.10000000009</v>
      </c>
      <c r="H94" s="64">
        <f t="shared" si="1"/>
        <v>0.23135725378187014</v>
      </c>
    </row>
    <row r="95" spans="1:8" ht="15.75" thickTop="1"/>
  </sheetData>
  <hyperlinks>
    <hyperlink ref="A2" r:id="rId1" location="/stock/1831632/3723" display="https://etportfolio.indiatimes.com/pw_companyinfo.cms - /stock/1831632/3723" xr:uid="{38779931-1EBC-4592-951D-1476C408C140}"/>
    <hyperlink ref="A3" r:id="rId2" location="/stock/1831632/15059" display="https://etportfolio.indiatimes.com/pw_companyinfo.cms - /stock/1831632/15059" xr:uid="{01A7EDB8-D27C-47AE-B1F5-ADDFF94C1044}"/>
    <hyperlink ref="A4" r:id="rId3" location="/stock/1831632/63" display="https://etportfolio.indiatimes.com/pw_companyinfo.cms - /stock/1831632/63" xr:uid="{7F496467-3E10-45EB-835A-68A047CFF130}"/>
    <hyperlink ref="A5" r:id="rId4" location="/stock/1831632/14034" display="https://etportfolio.indiatimes.com/pw_companyinfo.cms - /stock/1831632/14034" xr:uid="{290CF95C-B204-42D4-B6FE-CE6EE6297E95}"/>
    <hyperlink ref="A6" r:id="rId5" location="/stock/1831632/66288" display="https://etportfolio.indiatimes.com/pw_companyinfo.cms - /stock/1831632/66288" xr:uid="{CDA88778-96FA-4134-BBCC-D4D4671A9B18}"/>
    <hyperlink ref="A7" r:id="rId6" location="/stock/1831632/45987" display="https://etportfolio.indiatimes.com/pw_companyinfo.cms - /stock/1831632/45987" xr:uid="{DF59D776-30F0-41DD-BDDD-228C8091AA28}"/>
    <hyperlink ref="A8" r:id="rId7" location="/stock/1831632/9175" display="https://etportfolio.indiatimes.com/pw_companyinfo.cms - /stock/1831632/9175" xr:uid="{A2A3A750-0F5F-4772-AC82-69D49FFF992F}"/>
    <hyperlink ref="A9" r:id="rId8" location="/stock/1831632/21430" display="https://etportfolio.indiatimes.com/pw_companyinfo.cms - /stock/1831632/21430" xr:uid="{3FFFDE3D-B881-432C-BF94-C30193E750AD}"/>
    <hyperlink ref="A10" r:id="rId9" location="/stock/1831632/11260" display="https://etportfolio.indiatimes.com/pw_companyinfo.cms - /stock/1831632/11260" xr:uid="{987A8DE1-29B0-4F35-A64F-3EA0931231F0}"/>
    <hyperlink ref="A11" r:id="rId10" location="/stock/1831632/14013" display="https://etportfolio.indiatimes.com/pw_companyinfo.cms - /stock/1831632/14013" xr:uid="{BD57439A-57EC-47F9-80AC-EB5AB52E7D7A}"/>
    <hyperlink ref="A12" r:id="rId11" location="/stock/1831632/2718" display="https://etportfolio.indiatimes.com/pw_companyinfo.cms - /stock/1831632/2718" xr:uid="{5F2F73F2-11FC-4F77-A238-C606FC34BCD9}"/>
    <hyperlink ref="A13" r:id="rId12" location="/stock/1831632/20445" display="https://etportfolio.indiatimes.com/pw_companyinfo.cms - /stock/1831632/20445" xr:uid="{975CAC4E-8794-424D-9E20-FA0610247A0A}"/>
    <hyperlink ref="A14" r:id="rId13" location="/stock/1831632/13934" display="https://etportfolio.indiatimes.com/pw_companyinfo.cms - /stock/1831632/13934" xr:uid="{F0B70C6F-54AE-4148-B969-4578B741895E}"/>
    <hyperlink ref="A15" r:id="rId14" location="/stock/1831632/13577" display="https://etportfolio.indiatimes.com/pw_companyinfo.cms - /stock/1831632/13577" xr:uid="{DE3A684F-A9DE-4F48-9E9D-57C97FB79113}"/>
    <hyperlink ref="A16" r:id="rId15" location="/stock/1831632/10777" display="https://etportfolio.indiatimes.com/pw_companyinfo.cms - /stock/1831632/10777" xr:uid="{2DBFE14A-B536-4E22-BDFB-618ED7FC2EB5}"/>
    <hyperlink ref="A17" r:id="rId16" location="/stock/1831632/13917" display="https://etportfolio.indiatimes.com/pw_companyinfo.cms - /stock/1831632/13917" xr:uid="{9D8B306A-9714-494B-8EE4-71AFE30CA717}"/>
    <hyperlink ref="A18" r:id="rId17" location="/stock/1831632/11822" display="https://etportfolio.indiatimes.com/pw_companyinfo.cms - /stock/1831632/11822" xr:uid="{62D3DE02-05FE-4247-9AD4-E493CCAEC888}"/>
    <hyperlink ref="A19" r:id="rId18" location="/stock/1831632/858" display="https://etportfolio.indiatimes.com/pw_companyinfo.cms - /stock/1831632/858" xr:uid="{F56F2A29-D24E-4073-BA5A-714086D6AC11}"/>
    <hyperlink ref="A20" r:id="rId19" location="/stock/1831632/13873" display="https://etportfolio.indiatimes.com/pw_companyinfo.cms - /stock/1831632/13873" xr:uid="{4E38C745-9D19-4B20-86FC-4DDE8B989DD2}"/>
    <hyperlink ref="A21" r:id="rId20" location="/stock/1831632/11796" display="https://etportfolio.indiatimes.com/pw_companyinfo.cms - /stock/1831632/11796" xr:uid="{C4CA8A9D-3357-4597-9465-CCC97B1C4B52}"/>
    <hyperlink ref="A22" r:id="rId21" location="/stock/1831632/3635" display="https://etportfolio.indiatimes.com/pw_companyinfo.cms - /stock/1831632/3635" xr:uid="{D95010DF-F0BA-44B9-973A-6375FC3D6DBC}"/>
    <hyperlink ref="A23" r:id="rId22" location="/stock/1831632/12393" display="https://etportfolio.indiatimes.com/pw_companyinfo.cms - /stock/1831632/12393" xr:uid="{026BF1BE-83B7-431D-8A99-43C57EB747FD}"/>
    <hyperlink ref="A24" r:id="rId23" location="/stock/1831632/63225" display="https://etportfolio.indiatimes.com/pw_companyinfo.cms - /stock/1831632/63225" xr:uid="{EAFF7E5A-7741-4E85-A1CB-FA271892D297}"/>
    <hyperlink ref="A25" r:id="rId24" location="/stock/1831632/13787" display="https://etportfolio.indiatimes.com/pw_companyinfo.cms - /stock/1831632/13787" xr:uid="{AB3103EC-CF7D-403C-B1C5-2C144A71848E}"/>
    <hyperlink ref="A26" r:id="rId25" location="/stock/1831632/1941781" display="https://etportfolio.indiatimes.com/pw_companyinfo.cms - /stock/1831632/1941781" xr:uid="{B2169076-A2F8-44BC-AE9F-2E874472ABC1}"/>
    <hyperlink ref="A27" r:id="rId26" location="/stock/1831632/38215" display="https://etportfolio.indiatimes.com/pw_companyinfo.cms - /stock/1831632/38215" xr:uid="{7EDC806E-5355-48E0-85C6-53EA85B21E88}"/>
    <hyperlink ref="A28" r:id="rId27" location="/stock/1831632/64238" display="https://etportfolio.indiatimes.com/pw_companyinfo.cms - /stock/1831632/64238" xr:uid="{C7274CF3-08A3-4009-A1AB-8FE7C503608D}"/>
    <hyperlink ref="A29" r:id="rId28" location="/stock/1831632/55491" display="https://etportfolio.indiatimes.com/pw_companyinfo.cms - /stock/1831632/55491" xr:uid="{629D26E2-4CC0-44FB-B8C4-1A242C0F399D}"/>
    <hyperlink ref="A30" r:id="rId29" location="/stock/1831632/13895" display="https://etportfolio.indiatimes.com/pw_companyinfo.cms - /stock/1831632/13895" xr:uid="{EAA9FC19-C4C7-476E-A1E7-9E123FB5CB18}"/>
    <hyperlink ref="A31" r:id="rId30" location="/stock/1831632/9211" display="https://etportfolio.indiatimes.com/pw_companyinfo.cms - /stock/1831632/9211" xr:uid="{FFE0AF84-E5EB-4EF8-A392-9BFC839831E4}"/>
    <hyperlink ref="A32" r:id="rId31" location="/stock/1831632/13760" display="https://etportfolio.indiatimes.com/pw_companyinfo.cms - /stock/1831632/13760" xr:uid="{B53D03D6-CCE8-45A2-9F5F-1D88F42F72FA}"/>
    <hyperlink ref="A33" r:id="rId32" location="/stock/1831632/12266" display="https://etportfolio.indiatimes.com/pw_companyinfo.cms - /stock/1831632/12266" xr:uid="{74CCC81E-BB6F-462F-8EA6-0A07762658C4}"/>
    <hyperlink ref="A34" r:id="rId33" location="/stock/1831632/1996493" display="https://etportfolio.indiatimes.com/pw_companyinfo.cms - /stock/1831632/1996493" xr:uid="{18BAA564-9D5D-43E6-817F-278A989009FF}"/>
    <hyperlink ref="A35" r:id="rId34" location="/stock/1831632/5733" display="https://etportfolio.indiatimes.com/pw_companyinfo.cms - /stock/1831632/5733" xr:uid="{3D14E62C-C7DD-4D24-A113-A0BA7715960A}"/>
    <hyperlink ref="A36" r:id="rId35" location="/stock/1831632/4291" display="https://etportfolio.indiatimes.com/pw_companyinfo.cms - /stock/1831632/4291" xr:uid="{13FA00A6-F2B2-4AB1-9391-FF7B4099312C}"/>
    <hyperlink ref="A37" r:id="rId36" location="/stock/1831632/9195" display="https://etportfolio.indiatimes.com/pw_companyinfo.cms - /stock/1831632/9195" xr:uid="{25966076-268F-4655-AEDA-CB944B033BAF}"/>
    <hyperlink ref="A38" r:id="rId37" location="/stock/1831632/3068" display="https://etportfolio.indiatimes.com/pw_companyinfo.cms - /stock/1831632/3068" xr:uid="{41601D0E-CEE7-4219-BA2F-51D2D171BF2A}"/>
    <hyperlink ref="A39" r:id="rId38" location="/stock/1831632/13636" display="https://etportfolio.indiatimes.com/pw_companyinfo.cms - /stock/1831632/13636" xr:uid="{79988C78-C7B4-4D73-A0CB-418AD860473A}"/>
    <hyperlink ref="A40" r:id="rId39" location="/stock/1831632/13616" display="https://etportfolio.indiatimes.com/pw_companyinfo.cms - /stock/1831632/13616" xr:uid="{49840400-825F-4054-B79C-E49039D9D8F8}"/>
    <hyperlink ref="A41" r:id="rId40" location="/stock/1831632/9194" display="https://etportfolio.indiatimes.com/pw_companyinfo.cms - /stock/1831632/9194" xr:uid="{E8A8940B-7B52-456B-AFE6-57D7FBD7CF93}"/>
    <hyperlink ref="A42" r:id="rId41" location="/stock/1831632/1883" display="https://etportfolio.indiatimes.com/pw_companyinfo.cms - /stock/1831632/1883" xr:uid="{768DEC28-7407-4DF1-BCC8-A28562C5E9F5}"/>
    <hyperlink ref="A43" r:id="rId42" location="/stock/1831632/1898" display="https://etportfolio.indiatimes.com/pw_companyinfo.cms - /stock/1831632/1898" xr:uid="{059EEC7E-8643-40C1-AB98-BB7C9E90CA89}"/>
    <hyperlink ref="A44" r:id="rId43" location="/stock/1831632/9196" display="https://etportfolio.indiatimes.com/pw_companyinfo.cms - /stock/1831632/9196" xr:uid="{06F6992E-BAC1-4F5C-81F9-E45DA7C8505F}"/>
    <hyperlink ref="A45" r:id="rId44" location="/stock/1831632/10960" display="https://etportfolio.indiatimes.com/pw_companyinfo.cms - /stock/1831632/10960" xr:uid="{A411620D-0857-4A56-B86F-324A9A6B0898}"/>
    <hyperlink ref="A46" r:id="rId45" location="/stock/1831632/10587" display="https://etportfolio.indiatimes.com/pw_companyinfo.cms - /stock/1831632/10587" xr:uid="{96A9C3F4-BD27-474C-83D9-E9172D8DEB80}"/>
    <hyperlink ref="A47" r:id="rId46" location="/stock/1831632/13554" display="https://etportfolio.indiatimes.com/pw_companyinfo.cms - /stock/1831632/13554" xr:uid="{965D3EFA-25F6-460E-B287-19A1ACF82BDC}"/>
    <hyperlink ref="A48" r:id="rId47" location="/stock/1831632/13536" display="https://etportfolio.indiatimes.com/pw_companyinfo.cms - /stock/1831632/13536" xr:uid="{35A07452-1D7B-404B-87A6-9DF768468DC3}"/>
    <hyperlink ref="A49" r:id="rId48" location="/stock/1831632/16356" display="https://etportfolio.indiatimes.com/pw_companyinfo.cms - /stock/1831632/16356" xr:uid="{B2DBA070-7A1A-478F-B05B-CD89426AEEDA}"/>
    <hyperlink ref="A50" r:id="rId49" location="/stock/1831632/10413" display="https://etportfolio.indiatimes.com/pw_companyinfo.cms - /stock/1831632/10413" xr:uid="{AC56FDBF-81D6-4312-9977-9EE95720A3AA}"/>
    <hyperlink ref="A51" r:id="rId50" location="/stock/1831632/12161" display="https://etportfolio.indiatimes.com/pw_companyinfo.cms - /stock/1831632/12161" xr:uid="{3080691F-0B58-452E-965D-87C57286B655}"/>
    <hyperlink ref="A52" r:id="rId51" location="/stock/1831632/69000" display="https://etportfolio.indiatimes.com/pw_companyinfo.cms - /stock/1831632/69000" xr:uid="{1175D4D0-8552-4694-8AEF-AF6D5DBE6619}"/>
    <hyperlink ref="A53" r:id="rId52" location="/stock/1831632/3318" display="https://etportfolio.indiatimes.com/pw_companyinfo.cms - /stock/1831632/3318" xr:uid="{89CECA0A-2BF3-4F47-8D08-EBC789271A44}"/>
    <hyperlink ref="A54" r:id="rId53" location="/stock/1831632/13447" display="https://etportfolio.indiatimes.com/pw_companyinfo.cms - /stock/1831632/13447" xr:uid="{982ADE67-A09F-4A66-ADFC-B13280516CB6}"/>
    <hyperlink ref="A55" r:id="rId54" location="/stock/1831632/11898" display="https://etportfolio.indiatimes.com/pw_companyinfo.cms - /stock/1831632/11898" xr:uid="{9F243DA4-5CA2-4D5F-8515-F9492BE294D7}"/>
    <hyperlink ref="A56" r:id="rId55" location="/stock/1831632/17103" display="https://etportfolio.indiatimes.com/pw_companyinfo.cms - /stock/1831632/17103" xr:uid="{AD462F98-3FE0-4E65-9346-38236DB03C04}"/>
    <hyperlink ref="A57" r:id="rId56" location="/stock/1831632/5886" display="https://etportfolio.indiatimes.com/pw_companyinfo.cms - /stock/1831632/5886" xr:uid="{67DF9963-E3ED-47AB-949A-4F0E2D583FEB}"/>
    <hyperlink ref="A58" r:id="rId57" location="/stock/1831632/5459" display="https://etportfolio.indiatimes.com/pw_companyinfo.cms - /stock/1831632/5459" xr:uid="{3E4B7513-5DC4-4C4F-9E0F-2ACA9F7EA8EA}"/>
    <hyperlink ref="A59" r:id="rId58" location="/stock/1831632/1987283" display="https://etportfolio.indiatimes.com/pw_companyinfo.cms - /stock/1831632/1987283" xr:uid="{E040334F-2165-486A-8747-A2B241235D8F}"/>
    <hyperlink ref="A60" r:id="rId59" location="/stock/1831632/15673" display="https://etportfolio.indiatimes.com/pw_companyinfo.cms - /stock/1831632/15673" xr:uid="{BD1E3455-6B1D-4D53-AF0C-607A82832EF5}"/>
    <hyperlink ref="A61" r:id="rId60" location="/stock/1831632/10878" display="https://etportfolio.indiatimes.com/pw_companyinfo.cms - /stock/1831632/10878" xr:uid="{FBE38BEA-884B-405C-BCCB-EF8063DB6E71}"/>
    <hyperlink ref="A62" r:id="rId61" location="/stock/1831632/8684" display="https://etportfolio.indiatimes.com/pw_companyinfo.cms - /stock/1831632/8684" xr:uid="{2B8566CF-565C-4695-95D6-0E57D90F1399}"/>
    <hyperlink ref="A63" r:id="rId62" location="/stock/1831632/32621" display="https://etportfolio.indiatimes.com/pw_companyinfo.cms - /stock/1831632/32621" xr:uid="{3B906110-239C-4FDC-9861-CA2C8B19966B}"/>
    <hyperlink ref="A64" r:id="rId63" location="/stock/1831632/11599" display="https://etportfolio.indiatimes.com/pw_companyinfo.cms - /stock/1831632/11599" xr:uid="{36B75208-DBE9-43CD-B5D2-969333F342CC}"/>
    <hyperlink ref="A65" r:id="rId64" location="/stock/1831632/3160" display="https://etportfolio.indiatimes.com/pw_companyinfo.cms - /stock/1831632/3160" xr:uid="{DDC472F6-FC80-448B-8FA2-D8594C7C8D39}"/>
    <hyperlink ref="A66" r:id="rId65" location="/stock/1831632/41253" display="https://etportfolio.indiatimes.com/pw_companyinfo.cms - /stock/1831632/41253" xr:uid="{41E8632A-28AC-496B-989B-3B5122FDE00E}"/>
    <hyperlink ref="A67" r:id="rId66" location="/stock/1831632/21519" display="https://etportfolio.indiatimes.com/pw_companyinfo.cms - /stock/1831632/21519" xr:uid="{17B7D8F6-DF2A-4D9D-AE60-27E9ECD7C01D}"/>
    <hyperlink ref="A68" r:id="rId67" location="/stock/1831632/12358" display="https://etportfolio.indiatimes.com/pw_companyinfo.cms - /stock/1831632/12358" xr:uid="{ECEBDDAC-E45F-4E86-8853-36B4E9A32E76}"/>
    <hyperlink ref="A69" r:id="rId68" location="/stock/1831632/10460" display="https://etportfolio.indiatimes.com/pw_companyinfo.cms - /stock/1831632/10460" xr:uid="{BFD605C5-CE48-4EDF-8110-45CF31D3F984}"/>
    <hyperlink ref="A70" r:id="rId69" location="/stock/1831632/13282" display="https://etportfolio.indiatimes.com/pw_companyinfo.cms - /stock/1831632/13282" xr:uid="{B417D90D-00D9-47AE-A86D-595BF28BA5A1}"/>
    <hyperlink ref="A71" r:id="rId70" location="/stock/1831632/18903" display="https://etportfolio.indiatimes.com/pw_companyinfo.cms - /stock/1831632/18903" xr:uid="{42F346EE-E462-4550-AA8F-4C36994DBAE8}"/>
    <hyperlink ref="A72" r:id="rId71" location="/stock/1831632/7829" display="https://etportfolio.indiatimes.com/pw_companyinfo.cms - /stock/1831632/7829" xr:uid="{A2B19A75-ED51-417E-B8D5-BA2292E49E67}"/>
    <hyperlink ref="A73" r:id="rId72" location="/stock/1831632/13120" display="https://etportfolio.indiatimes.com/pw_companyinfo.cms - /stock/1831632/13120" xr:uid="{E69ACA58-44F6-4FBC-89F5-77B55B5357F1}"/>
    <hyperlink ref="A74" r:id="rId73" location="/stock/1831632/2898" display="https://etportfolio.indiatimes.com/pw_companyinfo.cms - /stock/1831632/2898" xr:uid="{EE8BEDB4-1101-422F-BDF7-ED797991119F}"/>
    <hyperlink ref="A75" r:id="rId74" location="/stock/1831632/13102" display="https://etportfolio.indiatimes.com/pw_companyinfo.cms - /stock/1831632/13102" xr:uid="{BCEAD89C-5C02-4C54-A0F9-DD9D9C24A62B}"/>
    <hyperlink ref="A76" r:id="rId75" location="/stock/1831632/19352" display="https://etportfolio.indiatimes.com/pw_companyinfo.cms - /stock/1831632/19352" xr:uid="{DA18522C-83AB-438B-83B2-80EEDE6A4DA3}"/>
    <hyperlink ref="A77" r:id="rId76" location="/stock/1831632/2011581" display="https://etportfolio.indiatimes.com/pw_companyinfo.cms - /stock/1831632/2011581" xr:uid="{4F46CD19-9781-4518-85D5-7802033E37FC}"/>
    <hyperlink ref="A78" r:id="rId77" location="/stock/1831632/11984" display="https://etportfolio.indiatimes.com/pw_companyinfo.cms - /stock/1831632/11984" xr:uid="{397EF531-5890-49D7-A1E0-922A2BBEC8E4}"/>
    <hyperlink ref="A79" r:id="rId78" location="/stock/1831632/9134" display="https://etportfolio.indiatimes.com/pw_companyinfo.cms - /stock/1831632/9134" xr:uid="{C6520BA1-D7DB-4B61-A2EE-5E723C540217}"/>
    <hyperlink ref="A80" r:id="rId79" location="/stock/1831632/12962" display="https://etportfolio.indiatimes.com/pw_companyinfo.cms - /stock/1831632/12962" xr:uid="{BFCA2568-9777-4997-8BCA-F8FCC2BE36C7}"/>
    <hyperlink ref="A81" r:id="rId80" location="/stock/1831632/3296" display="https://etportfolio.indiatimes.com/pw_companyinfo.cms - /stock/1831632/3296" xr:uid="{15A67087-32C7-4703-9AD2-970858A6D9C1}"/>
    <hyperlink ref="A82" r:id="rId81" location="/stock/1831632/6936" display="https://etportfolio.indiatimes.com/pw_companyinfo.cms - /stock/1831632/6936" xr:uid="{6557C3F3-8980-47ED-A6B9-FE1F6E9361BD}"/>
    <hyperlink ref="A83" r:id="rId82" location="/stock/1831632/303" display="https://etportfolio.indiatimes.com/pw_companyinfo.cms - /stock/1831632/303" xr:uid="{72DEA9CE-4F0B-4773-BAA2-7B34D5879BD5}"/>
    <hyperlink ref="A84" r:id="rId83" location="/stock/1831632/8345" display="https://etportfolio.indiatimes.com/pw_companyinfo.cms - /stock/1831632/8345" xr:uid="{D7961FFA-31D4-43D1-A0BF-1569D293D9F0}"/>
    <hyperlink ref="A85" r:id="rId84" location="/stock/1831632/12929" display="https://etportfolio.indiatimes.com/pw_companyinfo.cms - /stock/1831632/12929" xr:uid="{B6204C46-F772-4BD5-8256-1AE361993192}"/>
    <hyperlink ref="A86" r:id="rId85" location="/stock/1831632/129341111" display="https://etportfolio.indiatimes.com/pw_companyinfo.cms - /stock/1831632/129341111" xr:uid="{05AFCB3D-D97E-45A2-9CE9-6266DA2E3B23}"/>
    <hyperlink ref="A87" r:id="rId86" location="/stock/1831632/12902" display="https://etportfolio.indiatimes.com/pw_companyinfo.cms - /stock/1831632/12902" xr:uid="{D3D33657-1445-4FBC-B4D6-735AAF732214}"/>
    <hyperlink ref="A88" r:id="rId87" location="/stock/1831632/11221" display="https://etportfolio.indiatimes.com/pw_companyinfo.cms - /stock/1831632/11221" xr:uid="{E9EE350F-8015-4A8B-BAF0-E0931D35E3F0}"/>
    <hyperlink ref="A89" r:id="rId88" location="/stock/1831632/12903" display="https://etportfolio.indiatimes.com/pw_companyinfo.cms - /stock/1831632/12903" xr:uid="{E510E8E0-1B3D-4EB3-B28B-DCC1FC0EE8C8}"/>
    <hyperlink ref="A90" r:id="rId89" location="/stock/1831632/18605" display="https://etportfolio.indiatimes.com/pw_companyinfo.cms - /stock/1831632/18605" xr:uid="{896BC753-CBAE-433E-846E-3941D34155EC}"/>
    <hyperlink ref="A91" r:id="rId90" location="/stock/1831632/12799" display="https://etportfolio.indiatimes.com/pw_companyinfo.cms - /stock/1831632/12799" xr:uid="{E9024F34-048D-417E-A9DA-A2E47334F741}"/>
    <hyperlink ref="A92" r:id="rId91" location="/stock/1831632/16552" display="https://etportfolio.indiatimes.com/pw_companyinfo.cms - /stock/1831632/16552" xr:uid="{B2760AD0-D769-4190-8F99-97A64485123B}"/>
    <hyperlink ref="A93" r:id="rId92" location="/stock/1831632/6816" display="https://etportfolio.indiatimes.com/pw_companyinfo.cms - /stock/1831632/6816" xr:uid="{1115CDB7-688E-4083-8336-0C579BDD4E9E}"/>
  </hyperlinks>
  <pageMargins left="0.7" right="0.7" top="0.75" bottom="0.75" header="0.3" footer="0.3"/>
  <pageSetup paperSize="9" orientation="portrait" r:id="rId9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B307-7B86-4B6A-925B-4982E3FD1C4C}">
  <dimension ref="A1:I15"/>
  <sheetViews>
    <sheetView workbookViewId="0">
      <selection activeCell="I14" sqref="I14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>
      <c r="A2" s="77" t="s">
        <v>234</v>
      </c>
      <c r="B2" s="76" t="s">
        <v>235</v>
      </c>
      <c r="C2" s="82">
        <v>3774.1860000000001</v>
      </c>
      <c r="D2" s="82">
        <v>75.53</v>
      </c>
      <c r="E2" s="82">
        <v>68.885599999999997</v>
      </c>
      <c r="F2" s="82">
        <v>259987.1214</v>
      </c>
      <c r="G2" s="82">
        <v>285064.26860000001</v>
      </c>
      <c r="H2" s="82">
        <v>25077.147199999999</v>
      </c>
      <c r="I2" s="1">
        <f>H2/F2</f>
        <v>9.6455343883814396E-2</v>
      </c>
    </row>
    <row r="3" spans="1:9">
      <c r="A3" s="77" t="s">
        <v>236</v>
      </c>
      <c r="B3" s="76" t="s">
        <v>237</v>
      </c>
      <c r="C3" s="82">
        <v>11917.200999999999</v>
      </c>
      <c r="D3" s="82">
        <v>68.27</v>
      </c>
      <c r="E3" s="82">
        <v>43.632300000000001</v>
      </c>
      <c r="F3" s="82">
        <v>519974.9093</v>
      </c>
      <c r="G3" s="82">
        <v>813587.31229999999</v>
      </c>
      <c r="H3" s="82">
        <v>293612.40299999999</v>
      </c>
      <c r="I3" s="1">
        <f t="shared" ref="I3:I14" si="0">H3/F3</f>
        <v>0.56466648245636797</v>
      </c>
    </row>
    <row r="4" spans="1:9">
      <c r="A4" s="77" t="s">
        <v>454</v>
      </c>
      <c r="B4" s="76" t="s">
        <v>269</v>
      </c>
      <c r="C4" s="82">
        <v>42.13</v>
      </c>
      <c r="D4" s="82">
        <v>3199.2903000000001</v>
      </c>
      <c r="E4" s="82">
        <v>3151.9090999999999</v>
      </c>
      <c r="F4" s="82">
        <v>132789.93100000001</v>
      </c>
      <c r="G4" s="82">
        <v>134786.10029999999</v>
      </c>
      <c r="H4" s="82">
        <v>1996.1693</v>
      </c>
      <c r="I4" s="1">
        <f t="shared" si="0"/>
        <v>1.5032535109909801E-2</v>
      </c>
    </row>
    <row r="5" spans="1:9">
      <c r="A5" s="77" t="s">
        <v>441</v>
      </c>
      <c r="B5" s="76" t="s">
        <v>241</v>
      </c>
      <c r="C5" s="82">
        <v>1857.5519999999999</v>
      </c>
      <c r="D5" s="82">
        <v>542.00720000000001</v>
      </c>
      <c r="E5" s="82">
        <v>366.02140000000003</v>
      </c>
      <c r="F5" s="82">
        <v>679903.69869999995</v>
      </c>
      <c r="G5" s="82">
        <v>1006806.5584</v>
      </c>
      <c r="H5" s="82">
        <v>326902.85969999997</v>
      </c>
      <c r="I5" s="1">
        <f t="shared" si="0"/>
        <v>0.48080759131778494</v>
      </c>
    </row>
    <row r="6" spans="1:9">
      <c r="A6" s="77" t="s">
        <v>242</v>
      </c>
      <c r="B6" s="76" t="s">
        <v>237</v>
      </c>
      <c r="C6" s="82">
        <v>5856.576</v>
      </c>
      <c r="D6" s="82">
        <v>78.320999999999998</v>
      </c>
      <c r="E6" s="82">
        <v>44.3917</v>
      </c>
      <c r="F6" s="82">
        <v>259983.36480000001</v>
      </c>
      <c r="G6" s="82">
        <v>458692.88890000002</v>
      </c>
      <c r="H6" s="82">
        <v>198709.52410000001</v>
      </c>
      <c r="I6" s="1">
        <f t="shared" si="0"/>
        <v>0.7643163025175217</v>
      </c>
    </row>
    <row r="7" spans="1:9">
      <c r="A7" s="77" t="s">
        <v>272</v>
      </c>
      <c r="B7" s="76" t="s">
        <v>235</v>
      </c>
      <c r="C7" s="82">
        <v>6641.4979999999996</v>
      </c>
      <c r="D7" s="82">
        <v>79.617000000000004</v>
      </c>
      <c r="E7" s="82">
        <v>41.7624</v>
      </c>
      <c r="F7" s="82">
        <v>277364.96380000003</v>
      </c>
      <c r="G7" s="82">
        <v>528776.14630000002</v>
      </c>
      <c r="H7" s="82">
        <v>251411.1825</v>
      </c>
      <c r="I7" s="1">
        <f t="shared" si="0"/>
        <v>0.90642732613224153</v>
      </c>
    </row>
    <row r="8" spans="1:9">
      <c r="A8" s="77" t="s">
        <v>244</v>
      </c>
      <c r="B8" s="76" t="s">
        <v>233</v>
      </c>
      <c r="C8" s="82">
        <v>5841.7389999999996</v>
      </c>
      <c r="D8" s="82">
        <v>23.3935</v>
      </c>
      <c r="E8" s="82">
        <v>23.964300000000001</v>
      </c>
      <c r="F8" s="82">
        <v>139992.99739999999</v>
      </c>
      <c r="G8" s="82">
        <v>136658.7213</v>
      </c>
      <c r="H8" s="82">
        <v>-3334.2761</v>
      </c>
      <c r="I8" s="1">
        <f t="shared" si="0"/>
        <v>-2.381744917192551E-2</v>
      </c>
    </row>
    <row r="9" spans="1:9">
      <c r="A9" s="77" t="s">
        <v>246</v>
      </c>
      <c r="B9" s="76" t="s">
        <v>241</v>
      </c>
      <c r="C9" s="82">
        <v>9069.08</v>
      </c>
      <c r="D9" s="82">
        <v>11.1434</v>
      </c>
      <c r="E9" s="82">
        <v>11.081099999999999</v>
      </c>
      <c r="F9" s="82">
        <v>100494.9899</v>
      </c>
      <c r="G9" s="82">
        <v>101060.3861</v>
      </c>
      <c r="H9" s="82">
        <v>565.39620000000002</v>
      </c>
      <c r="I9" s="1">
        <f t="shared" si="0"/>
        <v>5.6261133073659828E-3</v>
      </c>
    </row>
    <row r="10" spans="1:9">
      <c r="A10" s="77" t="s">
        <v>250</v>
      </c>
      <c r="B10" s="76" t="s">
        <v>251</v>
      </c>
      <c r="C10" s="82">
        <v>11669.234</v>
      </c>
      <c r="D10" s="82">
        <v>52.514099999999999</v>
      </c>
      <c r="E10" s="82">
        <v>39.072299999999998</v>
      </c>
      <c r="F10" s="82">
        <v>455943.41110000003</v>
      </c>
      <c r="G10" s="82">
        <v>612799.32120000001</v>
      </c>
      <c r="H10" s="82">
        <v>156855.91010000001</v>
      </c>
      <c r="I10" s="1">
        <f t="shared" si="0"/>
        <v>0.34402495195965777</v>
      </c>
    </row>
    <row r="11" spans="1:9">
      <c r="A11" s="77" t="s">
        <v>274</v>
      </c>
      <c r="B11" s="76" t="s">
        <v>233</v>
      </c>
      <c r="C11" s="82">
        <v>5399.8710000000001</v>
      </c>
      <c r="D11" s="82">
        <v>35.25</v>
      </c>
      <c r="E11" s="82">
        <v>37.036200000000001</v>
      </c>
      <c r="F11" s="82">
        <v>199990.82519999999</v>
      </c>
      <c r="G11" s="82">
        <v>190345.45269999999</v>
      </c>
      <c r="H11" s="82">
        <v>-9645.3724999999995</v>
      </c>
      <c r="I11" s="1">
        <f t="shared" si="0"/>
        <v>-4.822907496058474E-2</v>
      </c>
    </row>
    <row r="12" spans="1:9">
      <c r="A12" s="77" t="s">
        <v>455</v>
      </c>
      <c r="B12" s="76" t="s">
        <v>241</v>
      </c>
      <c r="C12" s="82">
        <v>197.84399999999999</v>
      </c>
      <c r="D12" s="82">
        <v>150.5241</v>
      </c>
      <c r="E12" s="82">
        <v>126.3557</v>
      </c>
      <c r="F12" s="82">
        <v>24998.7091</v>
      </c>
      <c r="G12" s="82">
        <v>29780.29</v>
      </c>
      <c r="H12" s="82">
        <v>4781.5808999999999</v>
      </c>
      <c r="I12" s="1">
        <f t="shared" si="0"/>
        <v>0.1912731125784411</v>
      </c>
    </row>
    <row r="13" spans="1:9">
      <c r="A13" s="77" t="s">
        <v>255</v>
      </c>
      <c r="B13" s="76" t="s">
        <v>241</v>
      </c>
      <c r="C13" s="82">
        <v>18996.168000000001</v>
      </c>
      <c r="D13" s="82">
        <v>15.195600000000001</v>
      </c>
      <c r="E13" s="82">
        <v>9.4700000000000006</v>
      </c>
      <c r="F13" s="82">
        <v>179893.71100000001</v>
      </c>
      <c r="G13" s="82">
        <v>288658.17050000001</v>
      </c>
      <c r="H13" s="82">
        <v>108764.4595</v>
      </c>
      <c r="I13" s="1">
        <f t="shared" si="0"/>
        <v>0.60460401253271157</v>
      </c>
    </row>
    <row r="14" spans="1:9" ht="15.75" thickBot="1">
      <c r="A14" s="74" t="s">
        <v>11</v>
      </c>
      <c r="B14" s="75"/>
      <c r="C14" s="75">
        <f>SUM(C2:C13)</f>
        <v>81263.078999999998</v>
      </c>
      <c r="D14" s="75"/>
      <c r="E14" s="75"/>
      <c r="F14" s="75">
        <f t="shared" ref="F14:H14" si="1">SUM(F2:F13)</f>
        <v>3231318.6327</v>
      </c>
      <c r="G14" s="75">
        <f t="shared" si="1"/>
        <v>4587015.6166000003</v>
      </c>
      <c r="H14" s="75">
        <f t="shared" si="1"/>
        <v>1355696.9839000003</v>
      </c>
      <c r="I14" s="53">
        <f t="shared" si="0"/>
        <v>0.41954914943414839</v>
      </c>
    </row>
    <row r="15" spans="1:9" ht="15.75" thickTop="1"/>
  </sheetData>
  <hyperlinks>
    <hyperlink ref="A2" r:id="rId1" location="/mf/1831632/15690/NULL" display="https://etportfolio.indiatimes.com/pw_companyinfo.cms - /mf/1831632/15690/NULL" xr:uid="{5B87CDB5-1182-4603-9FD0-2426B25CECD5}"/>
    <hyperlink ref="A3" r:id="rId2" location="/mf/1831632/22335/NULL" display="https://etportfolio.indiatimes.com/pw_companyinfo.cms - /mf/1831632/22335/NULL" xr:uid="{C69CCE86-D062-44D1-B649-0E71A1E8152A}"/>
    <hyperlink ref="A4" r:id="rId3" location="/mf/1831632/16848/NULL" display="https://etportfolio.indiatimes.com/pw_companyinfo.cms - /mf/1831632/16848/NULL" xr:uid="{8D6992C8-7D3F-438D-A50C-C1900D395D04}"/>
    <hyperlink ref="A5" r:id="rId4" location="/mf/1831632/16071/NULL" display="https://etportfolio.indiatimes.com/pw_companyinfo.cms - /mf/1831632/16071/NULL" xr:uid="{64ED3E9C-1290-454E-B541-43CF019F55ED}"/>
    <hyperlink ref="A6" r:id="rId5" location="/mf/1831632/16617/NULL" display="https://etportfolio.indiatimes.com/pw_companyinfo.cms - /mf/1831632/16617/NULL" xr:uid="{8DF4E10D-556A-46F3-88C3-7C35689A098E}"/>
    <hyperlink ref="A7" r:id="rId6" location="/mf/1831632/17134/NULL" display="https://etportfolio.indiatimes.com/pw_companyinfo.cms - /mf/1831632/17134/NULL" xr:uid="{E2513C07-8EAA-43E8-AA43-7EB1DCAA8F6D}"/>
    <hyperlink ref="A8" r:id="rId7" location="/mf/1831632/38228/NULL" display="https://etportfolio.indiatimes.com/pw_companyinfo.cms - /mf/1831632/38228/NULL" xr:uid="{D0F44E5E-DF2D-4E39-B426-2D9B12062363}"/>
    <hyperlink ref="A9" r:id="rId8" location="/mf/1831632/41574/NULL" display="https://etportfolio.indiatimes.com/pw_companyinfo.cms - /mf/1831632/41574/NULL" xr:uid="{C4EE354E-D4D1-4830-BB48-15F4D12DEE62}"/>
    <hyperlink ref="A10" r:id="rId9" location="/mf/1831632/19701/NULL" display="https://etportfolio.indiatimes.com/pw_companyinfo.cms - /mf/1831632/19701/NULL" xr:uid="{57DF42E5-7A2D-47AB-B638-33A966499001}"/>
    <hyperlink ref="A11" r:id="rId10" location="/mf/1831632/17348/NULL" display="https://etportfolio.indiatimes.com/pw_companyinfo.cms - /mf/1831632/17348/NULL" xr:uid="{AB9CE342-C260-406C-B20C-448905CDE3F7}"/>
    <hyperlink ref="A12" r:id="rId11" location="/mf/1831632/16955/NULL" display="https://etportfolio.indiatimes.com/pw_companyinfo.cms - /mf/1831632/16955/NULL" xr:uid="{AEE5D2F8-ADF6-4DFC-9653-09D3D8487DDA}"/>
    <hyperlink ref="A13" r:id="rId12" location="/mf/1831632/36491/NULL" display="https://etportfolio.indiatimes.com/pw_companyinfo.cms - /mf/1831632/36491/NULL" xr:uid="{1E4EC5B7-337C-4890-B495-98A47FD31823}"/>
  </hyperlinks>
  <pageMargins left="0.7" right="0.7" top="0.75" bottom="0.75" header="0.3" footer="0.3"/>
  <pageSetup paperSize="9" orientation="portrait" r:id="rId1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806B-66A2-4639-98FE-B696C149E196}">
  <dimension ref="A1:H93"/>
  <sheetViews>
    <sheetView topLeftCell="A81" workbookViewId="0">
      <selection activeCell="B92" sqref="B92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 ht="15.75" thickBot="1">
      <c r="A2" s="77" t="s">
        <v>352</v>
      </c>
      <c r="B2" s="82">
        <v>25</v>
      </c>
      <c r="C2" s="82">
        <v>1705.15</v>
      </c>
      <c r="D2" s="82">
        <v>1753.0652</v>
      </c>
      <c r="E2" s="82">
        <v>43826.63</v>
      </c>
      <c r="F2" s="82">
        <v>42628.75</v>
      </c>
      <c r="G2" s="82">
        <v>-1197.8800000000001</v>
      </c>
      <c r="H2" s="63">
        <f t="shared" ref="H2:H65" si="0">G2/E2</f>
        <v>-2.7332240694755681E-2</v>
      </c>
    </row>
    <row r="3" spans="1:8" ht="15.75" thickBot="1">
      <c r="A3" s="77" t="s">
        <v>353</v>
      </c>
      <c r="B3" s="82">
        <v>13</v>
      </c>
      <c r="C3" s="82">
        <v>3176.9</v>
      </c>
      <c r="D3" s="82">
        <v>2592.5562</v>
      </c>
      <c r="E3" s="82">
        <v>33703.230000000003</v>
      </c>
      <c r="F3" s="82">
        <v>41299.699999999997</v>
      </c>
      <c r="G3" s="82">
        <v>7596.47</v>
      </c>
      <c r="H3" s="63">
        <f t="shared" si="0"/>
        <v>0.22539293711611616</v>
      </c>
    </row>
    <row r="4" spans="1:8" ht="15.75" thickBot="1">
      <c r="A4" s="77" t="s">
        <v>354</v>
      </c>
      <c r="B4" s="82">
        <v>250</v>
      </c>
      <c r="C4" s="82">
        <v>174.35</v>
      </c>
      <c r="D4" s="82">
        <v>183.58799999999999</v>
      </c>
      <c r="E4" s="82">
        <v>45897</v>
      </c>
      <c r="F4" s="82">
        <v>43587.5</v>
      </c>
      <c r="G4" s="82">
        <v>-2309.5</v>
      </c>
      <c r="H4" s="63">
        <f t="shared" si="0"/>
        <v>-5.0319192975575744E-2</v>
      </c>
    </row>
    <row r="5" spans="1:8" ht="15.75" thickBot="1">
      <c r="A5" s="77" t="s">
        <v>355</v>
      </c>
      <c r="B5" s="82">
        <v>12</v>
      </c>
      <c r="C5" s="82">
        <v>2738.95</v>
      </c>
      <c r="D5" s="82">
        <v>2352.6</v>
      </c>
      <c r="E5" s="82">
        <v>28231.200000000001</v>
      </c>
      <c r="F5" s="82">
        <v>32867.4</v>
      </c>
      <c r="G5" s="82">
        <v>4636.2</v>
      </c>
      <c r="H5" s="63">
        <f t="shared" si="0"/>
        <v>0.16422256227152937</v>
      </c>
    </row>
    <row r="6" spans="1:8" ht="15.75" thickBot="1">
      <c r="A6" s="77" t="s">
        <v>356</v>
      </c>
      <c r="B6" s="82">
        <v>42</v>
      </c>
      <c r="C6" s="82">
        <v>1124.8499999999999</v>
      </c>
      <c r="D6" s="82">
        <v>1158.8118999999999</v>
      </c>
      <c r="E6" s="82">
        <v>48670.1</v>
      </c>
      <c r="F6" s="82">
        <v>47243.7</v>
      </c>
      <c r="G6" s="82">
        <v>-1426.4</v>
      </c>
      <c r="H6" s="63">
        <f t="shared" si="0"/>
        <v>-2.930752145567813E-2</v>
      </c>
    </row>
    <row r="7" spans="1:8" ht="15.75" thickBot="1">
      <c r="A7" s="77" t="s">
        <v>357</v>
      </c>
      <c r="B7" s="82">
        <v>11</v>
      </c>
      <c r="C7" s="82">
        <v>4108.45</v>
      </c>
      <c r="D7" s="82">
        <v>3118.3535999999999</v>
      </c>
      <c r="E7" s="82">
        <v>34301.89</v>
      </c>
      <c r="F7" s="82">
        <v>45192.95</v>
      </c>
      <c r="G7" s="82">
        <v>10891.06</v>
      </c>
      <c r="H7" s="63">
        <f t="shared" si="0"/>
        <v>0.3175061199251703</v>
      </c>
    </row>
    <row r="8" spans="1:8" ht="15.75" thickBot="1">
      <c r="A8" s="77" t="s">
        <v>358</v>
      </c>
      <c r="B8" s="82">
        <v>76</v>
      </c>
      <c r="C8" s="82">
        <v>715.15</v>
      </c>
      <c r="D8" s="82">
        <v>603.67700000000002</v>
      </c>
      <c r="E8" s="82">
        <v>45879.45</v>
      </c>
      <c r="F8" s="82">
        <v>54351.4</v>
      </c>
      <c r="G8" s="82">
        <v>8471.9500000000007</v>
      </c>
      <c r="H8" s="63">
        <f t="shared" si="0"/>
        <v>0.18465674719291539</v>
      </c>
    </row>
    <row r="9" spans="1:8" ht="15.75" thickBot="1">
      <c r="A9" s="77" t="s">
        <v>359</v>
      </c>
      <c r="B9" s="82">
        <v>21</v>
      </c>
      <c r="C9" s="82">
        <v>3242.3</v>
      </c>
      <c r="D9" s="82">
        <v>2714.0237999999999</v>
      </c>
      <c r="E9" s="82">
        <v>56994.5</v>
      </c>
      <c r="F9" s="82">
        <v>68088.3</v>
      </c>
      <c r="G9" s="82">
        <v>11093.8</v>
      </c>
      <c r="H9" s="63">
        <f t="shared" si="0"/>
        <v>0.19464685188921738</v>
      </c>
    </row>
    <row r="10" spans="1:8" ht="15.75" thickBot="1">
      <c r="A10" s="77" t="s">
        <v>360</v>
      </c>
      <c r="B10" s="82">
        <v>1</v>
      </c>
      <c r="C10" s="82">
        <v>6539.25</v>
      </c>
      <c r="D10" s="82">
        <v>7545</v>
      </c>
      <c r="E10" s="82">
        <v>7545</v>
      </c>
      <c r="F10" s="82">
        <v>6539.25</v>
      </c>
      <c r="G10" s="82">
        <v>-1005.75</v>
      </c>
      <c r="H10" s="63">
        <f t="shared" si="0"/>
        <v>-0.13330019880715704</v>
      </c>
    </row>
    <row r="11" spans="1:8" ht="15.75" thickBot="1">
      <c r="A11" s="77" t="s">
        <v>361</v>
      </c>
      <c r="B11" s="82">
        <v>10</v>
      </c>
      <c r="C11" s="82">
        <v>1767.8</v>
      </c>
      <c r="D11" s="82">
        <v>1889.8620000000001</v>
      </c>
      <c r="E11" s="82">
        <v>18898.62</v>
      </c>
      <c r="F11" s="82">
        <v>17678</v>
      </c>
      <c r="G11" s="82">
        <v>-1220.6199999999999</v>
      </c>
      <c r="H11" s="63">
        <f t="shared" si="0"/>
        <v>-6.4587784716556018E-2</v>
      </c>
    </row>
    <row r="12" spans="1:8" ht="15.75" thickBot="1">
      <c r="A12" s="77" t="s">
        <v>362</v>
      </c>
      <c r="B12" s="82">
        <v>180</v>
      </c>
      <c r="C12" s="82">
        <v>653</v>
      </c>
      <c r="D12" s="82">
        <v>322.88889999999998</v>
      </c>
      <c r="E12" s="82">
        <v>58120</v>
      </c>
      <c r="F12" s="82">
        <v>117540</v>
      </c>
      <c r="G12" s="82">
        <v>59420</v>
      </c>
      <c r="H12" s="63">
        <f t="shared" si="0"/>
        <v>1.022367515485203</v>
      </c>
    </row>
    <row r="13" spans="1:8" ht="15.75" thickBot="1">
      <c r="A13" s="77" t="s">
        <v>363</v>
      </c>
      <c r="B13" s="82">
        <v>54</v>
      </c>
      <c r="C13" s="82">
        <v>478.05</v>
      </c>
      <c r="D13" s="82">
        <v>414.23329999999999</v>
      </c>
      <c r="E13" s="82">
        <v>22368.6</v>
      </c>
      <c r="F13" s="82">
        <v>25814.7</v>
      </c>
      <c r="G13" s="82">
        <v>3446.1</v>
      </c>
      <c r="H13" s="63">
        <f t="shared" si="0"/>
        <v>0.15405970869880101</v>
      </c>
    </row>
    <row r="14" spans="1:8" ht="15.75" thickBot="1">
      <c r="A14" s="77" t="s">
        <v>364</v>
      </c>
      <c r="B14" s="82">
        <v>11</v>
      </c>
      <c r="C14" s="82">
        <v>3371.35</v>
      </c>
      <c r="D14" s="82">
        <v>3551.2727</v>
      </c>
      <c r="E14" s="82">
        <v>39064</v>
      </c>
      <c r="F14" s="82">
        <v>37084.85</v>
      </c>
      <c r="G14" s="82">
        <v>-1979.15</v>
      </c>
      <c r="H14" s="63">
        <f t="shared" si="0"/>
        <v>-5.0664294491091541E-2</v>
      </c>
    </row>
    <row r="15" spans="1:8" ht="15.75" thickBot="1">
      <c r="A15" s="77" t="s">
        <v>365</v>
      </c>
      <c r="B15" s="82">
        <v>180</v>
      </c>
      <c r="C15" s="82">
        <v>108.35</v>
      </c>
      <c r="D15" s="82">
        <v>155.25</v>
      </c>
      <c r="E15" s="82">
        <v>27945</v>
      </c>
      <c r="F15" s="82">
        <v>19503</v>
      </c>
      <c r="G15" s="82">
        <v>-8442</v>
      </c>
      <c r="H15" s="63">
        <f t="shared" si="0"/>
        <v>-0.30209339774557165</v>
      </c>
    </row>
    <row r="16" spans="1:8" ht="15.75" thickBot="1">
      <c r="A16" s="77" t="s">
        <v>442</v>
      </c>
      <c r="B16" s="82">
        <v>66</v>
      </c>
      <c r="C16" s="82">
        <v>390.35</v>
      </c>
      <c r="D16" s="82">
        <v>412</v>
      </c>
      <c r="E16" s="82">
        <v>27192</v>
      </c>
      <c r="F16" s="82">
        <v>25763.1</v>
      </c>
      <c r="G16" s="82">
        <v>-1428.9</v>
      </c>
      <c r="H16" s="63">
        <f t="shared" si="0"/>
        <v>-5.2548543689320389E-2</v>
      </c>
    </row>
    <row r="17" spans="1:8" ht="15.75" thickBot="1">
      <c r="A17" s="77" t="s">
        <v>366</v>
      </c>
      <c r="B17" s="82">
        <v>43</v>
      </c>
      <c r="C17" s="82">
        <v>932</v>
      </c>
      <c r="D17" s="82">
        <v>701.07399999999996</v>
      </c>
      <c r="E17" s="82">
        <v>30146.18</v>
      </c>
      <c r="F17" s="82">
        <v>40076</v>
      </c>
      <c r="G17" s="82">
        <v>9929.82</v>
      </c>
      <c r="H17" s="63">
        <f t="shared" si="0"/>
        <v>0.32938899721291387</v>
      </c>
    </row>
    <row r="18" spans="1:8" ht="15.75" thickBot="1">
      <c r="A18" s="77" t="s">
        <v>367</v>
      </c>
      <c r="B18" s="82">
        <v>250</v>
      </c>
      <c r="C18" s="82">
        <v>181</v>
      </c>
      <c r="D18" s="82">
        <v>163.66999999999999</v>
      </c>
      <c r="E18" s="82">
        <v>40917.5</v>
      </c>
      <c r="F18" s="82">
        <v>45250</v>
      </c>
      <c r="G18" s="82">
        <v>4332.5</v>
      </c>
      <c r="H18" s="63">
        <f t="shared" si="0"/>
        <v>0.10588379055416387</v>
      </c>
    </row>
    <row r="19" spans="1:8" ht="15.75" thickBot="1">
      <c r="A19" s="77" t="s">
        <v>368</v>
      </c>
      <c r="B19" s="82">
        <v>4</v>
      </c>
      <c r="C19" s="82">
        <v>4661.75</v>
      </c>
      <c r="D19" s="82">
        <v>4688.7375000000002</v>
      </c>
      <c r="E19" s="82">
        <v>18754.95</v>
      </c>
      <c r="F19" s="82">
        <v>18647</v>
      </c>
      <c r="G19" s="82">
        <v>-107.95</v>
      </c>
      <c r="H19" s="63">
        <f t="shared" si="0"/>
        <v>-5.7558137984905318E-3</v>
      </c>
    </row>
    <row r="20" spans="1:8" ht="15.75" thickBot="1">
      <c r="A20" s="77" t="s">
        <v>369</v>
      </c>
      <c r="B20" s="82">
        <v>25</v>
      </c>
      <c r="C20" s="82">
        <v>1438.2</v>
      </c>
      <c r="D20" s="82">
        <v>1561.2460000000001</v>
      </c>
      <c r="E20" s="82">
        <v>39031.15</v>
      </c>
      <c r="F20" s="82">
        <v>35955</v>
      </c>
      <c r="G20" s="82">
        <v>-3076.15</v>
      </c>
      <c r="H20" s="63">
        <f t="shared" si="0"/>
        <v>-7.8812691914022515E-2</v>
      </c>
    </row>
    <row r="21" spans="1:8" ht="15.75" thickBot="1">
      <c r="A21" s="77" t="s">
        <v>370</v>
      </c>
      <c r="B21" s="82">
        <v>61</v>
      </c>
      <c r="C21" s="82">
        <v>539.45000000000005</v>
      </c>
      <c r="D21" s="82">
        <v>565.6146</v>
      </c>
      <c r="E21" s="82">
        <v>34502.49</v>
      </c>
      <c r="F21" s="82">
        <v>32906.449999999997</v>
      </c>
      <c r="G21" s="82">
        <v>-1596.04</v>
      </c>
      <c r="H21" s="63">
        <f t="shared" si="0"/>
        <v>-4.6258690314814964E-2</v>
      </c>
    </row>
    <row r="22" spans="1:8" ht="15.75" thickBot="1">
      <c r="A22" s="77" t="s">
        <v>371</v>
      </c>
      <c r="B22" s="82">
        <v>11</v>
      </c>
      <c r="C22" s="82">
        <v>4097.8999999999996</v>
      </c>
      <c r="D22" s="82">
        <v>2298.1581999999999</v>
      </c>
      <c r="E22" s="82">
        <v>25279.74</v>
      </c>
      <c r="F22" s="82">
        <v>45076.9</v>
      </c>
      <c r="G22" s="82">
        <v>19797.16</v>
      </c>
      <c r="H22" s="63">
        <f t="shared" si="0"/>
        <v>0.78312356060624033</v>
      </c>
    </row>
    <row r="23" spans="1:8" ht="15.75" thickBot="1">
      <c r="A23" s="77" t="s">
        <v>372</v>
      </c>
      <c r="B23" s="82">
        <v>55</v>
      </c>
      <c r="C23" s="82">
        <v>327.55</v>
      </c>
      <c r="D23" s="82">
        <v>325.14240000000001</v>
      </c>
      <c r="E23" s="82">
        <v>17882.830000000002</v>
      </c>
      <c r="F23" s="82">
        <v>18015.25</v>
      </c>
      <c r="G23" s="82">
        <v>132.41999999999999</v>
      </c>
      <c r="H23" s="63">
        <f t="shared" si="0"/>
        <v>7.404868245126749E-3</v>
      </c>
    </row>
    <row r="24" spans="1:8" ht="15.75" thickBot="1">
      <c r="A24" s="77" t="s">
        <v>373</v>
      </c>
      <c r="B24" s="82">
        <v>2</v>
      </c>
      <c r="C24" s="82">
        <v>2351.1</v>
      </c>
      <c r="D24" s="82">
        <v>3639.8</v>
      </c>
      <c r="E24" s="82">
        <v>7279.6</v>
      </c>
      <c r="F24" s="82">
        <v>4702.2</v>
      </c>
      <c r="G24" s="82">
        <v>-2577.4</v>
      </c>
      <c r="H24" s="63">
        <f t="shared" si="0"/>
        <v>-0.3540579152700698</v>
      </c>
    </row>
    <row r="25" spans="1:8" ht="15.75" thickBot="1">
      <c r="A25" s="77" t="s">
        <v>374</v>
      </c>
      <c r="B25" s="82">
        <v>9</v>
      </c>
      <c r="C25" s="82">
        <v>2339.35</v>
      </c>
      <c r="D25" s="82">
        <v>2478.4544000000001</v>
      </c>
      <c r="E25" s="82">
        <v>22306.09</v>
      </c>
      <c r="F25" s="82">
        <v>21054.15</v>
      </c>
      <c r="G25" s="82">
        <v>-1251.94</v>
      </c>
      <c r="H25" s="63">
        <f t="shared" si="0"/>
        <v>-5.6125479633588854E-2</v>
      </c>
    </row>
    <row r="26" spans="1:8" ht="15.75" thickBot="1">
      <c r="A26" s="77" t="s">
        <v>375</v>
      </c>
      <c r="B26" s="82">
        <v>61</v>
      </c>
      <c r="C26" s="82">
        <v>373.43</v>
      </c>
      <c r="D26" s="82">
        <v>360.97</v>
      </c>
      <c r="E26" s="82">
        <v>22019.17</v>
      </c>
      <c r="F26" s="82">
        <v>22779.23</v>
      </c>
      <c r="G26" s="82">
        <v>760.06</v>
      </c>
      <c r="H26" s="63">
        <f t="shared" si="0"/>
        <v>3.4518103997562125E-2</v>
      </c>
    </row>
    <row r="27" spans="1:8" ht="15.75" thickBot="1">
      <c r="A27" s="77" t="s">
        <v>376</v>
      </c>
      <c r="B27" s="82">
        <v>19</v>
      </c>
      <c r="C27" s="82">
        <v>1174.25</v>
      </c>
      <c r="D27" s="82">
        <v>1458.7642000000001</v>
      </c>
      <c r="E27" s="82">
        <v>27716.52</v>
      </c>
      <c r="F27" s="82">
        <v>22310.75</v>
      </c>
      <c r="G27" s="82">
        <v>-5405.77</v>
      </c>
      <c r="H27" s="63">
        <f t="shared" si="0"/>
        <v>-0.19503783303242977</v>
      </c>
    </row>
    <row r="28" spans="1:8" ht="15.75" thickBot="1">
      <c r="A28" s="77" t="s">
        <v>377</v>
      </c>
      <c r="B28" s="82">
        <v>86</v>
      </c>
      <c r="C28" s="82">
        <v>673.3</v>
      </c>
      <c r="D28" s="82">
        <v>714.27210000000002</v>
      </c>
      <c r="E28" s="82">
        <v>61427.4</v>
      </c>
      <c r="F28" s="82">
        <v>57903.8</v>
      </c>
      <c r="G28" s="82">
        <v>-3523.6</v>
      </c>
      <c r="H28" s="63">
        <f t="shared" si="0"/>
        <v>-5.7362024113017968E-2</v>
      </c>
    </row>
    <row r="29" spans="1:8" ht="15.75" thickBot="1">
      <c r="A29" s="77" t="s">
        <v>378</v>
      </c>
      <c r="B29" s="82">
        <v>308</v>
      </c>
      <c r="C29" s="82">
        <v>145</v>
      </c>
      <c r="D29" s="82">
        <v>190.13929999999999</v>
      </c>
      <c r="E29" s="82">
        <v>58562.91</v>
      </c>
      <c r="F29" s="82">
        <v>44660</v>
      </c>
      <c r="G29" s="82">
        <v>-13902.91</v>
      </c>
      <c r="H29" s="63">
        <f t="shared" si="0"/>
        <v>-0.23740128350862344</v>
      </c>
    </row>
    <row r="30" spans="1:8" ht="15.75" thickBot="1">
      <c r="A30" s="77" t="s">
        <v>379</v>
      </c>
      <c r="B30" s="82">
        <v>539</v>
      </c>
      <c r="C30" s="82">
        <v>93.25</v>
      </c>
      <c r="D30" s="82">
        <v>67.680999999999997</v>
      </c>
      <c r="E30" s="82">
        <v>36480.080000000002</v>
      </c>
      <c r="F30" s="82">
        <v>50261.75</v>
      </c>
      <c r="G30" s="82">
        <v>13781.67</v>
      </c>
      <c r="H30" s="63">
        <f t="shared" si="0"/>
        <v>0.37778617810048659</v>
      </c>
    </row>
    <row r="31" spans="1:8" ht="15.75" thickBot="1">
      <c r="A31" s="77" t="s">
        <v>444</v>
      </c>
      <c r="B31" s="82">
        <v>129</v>
      </c>
      <c r="C31" s="82">
        <v>148.65</v>
      </c>
      <c r="D31" s="82">
        <v>209.97</v>
      </c>
      <c r="E31" s="82">
        <v>27086.13</v>
      </c>
      <c r="F31" s="82">
        <v>19175.849999999999</v>
      </c>
      <c r="G31" s="82">
        <v>-7910.28</v>
      </c>
      <c r="H31" s="63">
        <f t="shared" si="0"/>
        <v>-0.29204172024574937</v>
      </c>
    </row>
    <row r="32" spans="1:8" ht="15.75" thickBot="1">
      <c r="A32" s="77" t="s">
        <v>380</v>
      </c>
      <c r="B32" s="82">
        <v>97</v>
      </c>
      <c r="C32" s="82">
        <v>114</v>
      </c>
      <c r="D32" s="82">
        <v>148.77119999999999</v>
      </c>
      <c r="E32" s="82">
        <v>14430.81</v>
      </c>
      <c r="F32" s="82">
        <v>11058</v>
      </c>
      <c r="G32" s="82">
        <v>-3372.81</v>
      </c>
      <c r="H32" s="63">
        <f t="shared" si="0"/>
        <v>-0.23372284715826763</v>
      </c>
    </row>
    <row r="33" spans="1:8" ht="15.75" thickBot="1">
      <c r="A33" s="77" t="s">
        <v>382</v>
      </c>
      <c r="B33" s="82">
        <v>11</v>
      </c>
      <c r="C33" s="82">
        <v>3244.05</v>
      </c>
      <c r="D33" s="82">
        <v>3984.3</v>
      </c>
      <c r="E33" s="82">
        <v>43827.3</v>
      </c>
      <c r="F33" s="82">
        <v>35684.550000000003</v>
      </c>
      <c r="G33" s="82">
        <v>-8142.75</v>
      </c>
      <c r="H33" s="63">
        <f t="shared" si="0"/>
        <v>-0.18579173255025977</v>
      </c>
    </row>
    <row r="34" spans="1:8" ht="15.75" thickBot="1">
      <c r="A34" s="77" t="s">
        <v>383</v>
      </c>
      <c r="B34" s="82">
        <v>13</v>
      </c>
      <c r="C34" s="82">
        <v>1466.25</v>
      </c>
      <c r="D34" s="82">
        <v>1617.2192</v>
      </c>
      <c r="E34" s="82">
        <v>21023.85</v>
      </c>
      <c r="F34" s="82">
        <v>19061.25</v>
      </c>
      <c r="G34" s="82">
        <v>-1962.6</v>
      </c>
      <c r="H34" s="63">
        <f t="shared" si="0"/>
        <v>-9.3351122653557744E-2</v>
      </c>
    </row>
    <row r="35" spans="1:8" ht="15.75" thickBot="1">
      <c r="A35" s="77" t="s">
        <v>384</v>
      </c>
      <c r="B35" s="82">
        <v>23</v>
      </c>
      <c r="C35" s="82">
        <v>1138.05</v>
      </c>
      <c r="D35" s="82">
        <v>1113.5373999999999</v>
      </c>
      <c r="E35" s="82">
        <v>25611.360000000001</v>
      </c>
      <c r="F35" s="82">
        <v>26175.15</v>
      </c>
      <c r="G35" s="82">
        <v>563.79</v>
      </c>
      <c r="H35" s="63">
        <f t="shared" si="0"/>
        <v>2.2013278482673312E-2</v>
      </c>
    </row>
    <row r="36" spans="1:8" ht="15.75" thickBot="1">
      <c r="A36" s="77" t="s">
        <v>385</v>
      </c>
      <c r="B36" s="82">
        <v>52</v>
      </c>
      <c r="C36" s="82">
        <v>1366.6</v>
      </c>
      <c r="D36" s="82">
        <v>1371.7106000000001</v>
      </c>
      <c r="E36" s="82">
        <v>71328.95</v>
      </c>
      <c r="F36" s="82">
        <v>71063.199999999997</v>
      </c>
      <c r="G36" s="82">
        <v>-265.75</v>
      </c>
      <c r="H36" s="63">
        <f t="shared" si="0"/>
        <v>-3.7256962285299308E-3</v>
      </c>
    </row>
    <row r="37" spans="1:8" ht="15.75" thickBot="1">
      <c r="A37" s="77" t="s">
        <v>386</v>
      </c>
      <c r="B37" s="82">
        <v>73</v>
      </c>
      <c r="C37" s="82">
        <v>521.65</v>
      </c>
      <c r="D37" s="82">
        <v>659.36369999999999</v>
      </c>
      <c r="E37" s="82">
        <v>48133.55</v>
      </c>
      <c r="F37" s="82">
        <v>38080.449999999997</v>
      </c>
      <c r="G37" s="82">
        <v>-10053.1</v>
      </c>
      <c r="H37" s="63">
        <f t="shared" si="0"/>
        <v>-0.20885847813011921</v>
      </c>
    </row>
    <row r="38" spans="1:8" ht="15.75" thickBot="1">
      <c r="A38" s="77" t="s">
        <v>387</v>
      </c>
      <c r="B38" s="82">
        <v>10</v>
      </c>
      <c r="C38" s="82">
        <v>2312.6999999999998</v>
      </c>
      <c r="D38" s="82">
        <v>2914.2950000000001</v>
      </c>
      <c r="E38" s="82">
        <v>29142.95</v>
      </c>
      <c r="F38" s="82">
        <v>23127</v>
      </c>
      <c r="G38" s="82">
        <v>-6015.95</v>
      </c>
      <c r="H38" s="63">
        <f t="shared" si="0"/>
        <v>-0.2064289991232871</v>
      </c>
    </row>
    <row r="39" spans="1:8" ht="15.75" thickBot="1">
      <c r="A39" s="77" t="s">
        <v>390</v>
      </c>
      <c r="B39" s="82">
        <v>13</v>
      </c>
      <c r="C39" s="82">
        <v>2019.9</v>
      </c>
      <c r="D39" s="82">
        <v>2352.6192000000001</v>
      </c>
      <c r="E39" s="82">
        <v>30584.05</v>
      </c>
      <c r="F39" s="82">
        <v>26258.7</v>
      </c>
      <c r="G39" s="82">
        <v>-4325.3500000000004</v>
      </c>
      <c r="H39" s="63">
        <f t="shared" si="0"/>
        <v>-0.14142502382777952</v>
      </c>
    </row>
    <row r="40" spans="1:8" ht="15.75" thickBot="1">
      <c r="A40" s="77" t="s">
        <v>391</v>
      </c>
      <c r="B40" s="82">
        <v>68</v>
      </c>
      <c r="C40" s="82">
        <v>688.2</v>
      </c>
      <c r="D40" s="82">
        <v>507.12970000000001</v>
      </c>
      <c r="E40" s="82">
        <v>34484.82</v>
      </c>
      <c r="F40" s="82">
        <v>46797.599999999999</v>
      </c>
      <c r="G40" s="82">
        <v>12312.78</v>
      </c>
      <c r="H40" s="63">
        <f t="shared" si="0"/>
        <v>0.35704927559430499</v>
      </c>
    </row>
    <row r="41" spans="1:8" ht="15.75" thickBot="1">
      <c r="A41" s="77" t="s">
        <v>392</v>
      </c>
      <c r="B41" s="82">
        <v>33</v>
      </c>
      <c r="C41" s="82">
        <v>1218.25</v>
      </c>
      <c r="D41" s="82">
        <v>1434.7542000000001</v>
      </c>
      <c r="E41" s="82">
        <v>47346.89</v>
      </c>
      <c r="F41" s="82">
        <v>40202.25</v>
      </c>
      <c r="G41" s="82">
        <v>-7144.64</v>
      </c>
      <c r="H41" s="63">
        <f t="shared" si="0"/>
        <v>-0.15089987959082424</v>
      </c>
    </row>
    <row r="42" spans="1:8" ht="15.75" thickBot="1">
      <c r="A42" s="77" t="s">
        <v>393</v>
      </c>
      <c r="B42" s="82">
        <v>66</v>
      </c>
      <c r="C42" s="82">
        <v>452.5</v>
      </c>
      <c r="D42" s="82">
        <v>535.92650000000003</v>
      </c>
      <c r="E42" s="82">
        <v>35371.15</v>
      </c>
      <c r="F42" s="82">
        <v>29865</v>
      </c>
      <c r="G42" s="82">
        <v>-5506.15</v>
      </c>
      <c r="H42" s="63">
        <f t="shared" si="0"/>
        <v>-0.15566782533222695</v>
      </c>
    </row>
    <row r="43" spans="1:8" ht="15.75" thickBot="1">
      <c r="A43" s="77" t="s">
        <v>394</v>
      </c>
      <c r="B43" s="82">
        <v>53</v>
      </c>
      <c r="C43" s="82">
        <v>903</v>
      </c>
      <c r="D43" s="82">
        <v>1035.0193999999999</v>
      </c>
      <c r="E43" s="82">
        <v>54856.03</v>
      </c>
      <c r="F43" s="82">
        <v>47859</v>
      </c>
      <c r="G43" s="82">
        <v>-6997.03</v>
      </c>
      <c r="H43" s="63">
        <f t="shared" si="0"/>
        <v>-0.12755261363244844</v>
      </c>
    </row>
    <row r="44" spans="1:8" ht="15.75" thickBot="1">
      <c r="A44" s="77" t="s">
        <v>395</v>
      </c>
      <c r="B44" s="82">
        <v>19</v>
      </c>
      <c r="C44" s="82">
        <v>1723.55</v>
      </c>
      <c r="D44" s="82">
        <v>1680.5921000000001</v>
      </c>
      <c r="E44" s="82">
        <v>31931.25</v>
      </c>
      <c r="F44" s="82">
        <v>32747.45</v>
      </c>
      <c r="G44" s="82">
        <v>816.2</v>
      </c>
      <c r="H44" s="63">
        <f t="shared" si="0"/>
        <v>2.5561166568800159E-2</v>
      </c>
    </row>
    <row r="45" spans="1:8" ht="15.75" thickBot="1">
      <c r="A45" s="77" t="s">
        <v>445</v>
      </c>
      <c r="B45" s="82">
        <v>40</v>
      </c>
      <c r="C45" s="82">
        <v>955.25</v>
      </c>
      <c r="D45" s="82">
        <v>996.97069999999997</v>
      </c>
      <c r="E45" s="82">
        <v>39878.83</v>
      </c>
      <c r="F45" s="82">
        <v>38210</v>
      </c>
      <c r="G45" s="82">
        <v>-1668.83</v>
      </c>
      <c r="H45" s="63">
        <f t="shared" si="0"/>
        <v>-4.1847516589629132E-2</v>
      </c>
    </row>
    <row r="46" spans="1:8" ht="15.75" thickBot="1">
      <c r="A46" s="77" t="s">
        <v>396</v>
      </c>
      <c r="B46" s="82">
        <v>720</v>
      </c>
      <c r="C46" s="82">
        <v>225.45</v>
      </c>
      <c r="D46" s="82">
        <v>224.7302</v>
      </c>
      <c r="E46" s="82">
        <v>161805.75</v>
      </c>
      <c r="F46" s="82">
        <v>162324</v>
      </c>
      <c r="G46" s="82">
        <v>518.25</v>
      </c>
      <c r="H46" s="63">
        <f t="shared" si="0"/>
        <v>3.2029146059395293E-3</v>
      </c>
    </row>
    <row r="47" spans="1:8" ht="15.75" thickBot="1">
      <c r="A47" s="77" t="s">
        <v>397</v>
      </c>
      <c r="B47" s="82">
        <v>21</v>
      </c>
      <c r="C47" s="82">
        <v>1578.95</v>
      </c>
      <c r="D47" s="82">
        <v>815.2681</v>
      </c>
      <c r="E47" s="82">
        <v>17120.63</v>
      </c>
      <c r="F47" s="82">
        <v>33157.949999999997</v>
      </c>
      <c r="G47" s="82">
        <v>16037.32</v>
      </c>
      <c r="H47" s="63">
        <f t="shared" si="0"/>
        <v>0.93672487519442915</v>
      </c>
    </row>
    <row r="48" spans="1:8" ht="15.75" thickBot="1">
      <c r="A48" s="77" t="s">
        <v>456</v>
      </c>
      <c r="B48" s="82">
        <v>46</v>
      </c>
      <c r="C48" s="82">
        <v>411.4</v>
      </c>
      <c r="D48" s="82">
        <v>590.95000000000005</v>
      </c>
      <c r="E48" s="82">
        <v>27183.7</v>
      </c>
      <c r="F48" s="82">
        <v>18924.400000000001</v>
      </c>
      <c r="G48" s="82">
        <v>-8259.2999999999993</v>
      </c>
      <c r="H48" s="63">
        <f t="shared" si="0"/>
        <v>-0.30383281157458325</v>
      </c>
    </row>
    <row r="49" spans="1:8" ht="15.75" thickBot="1">
      <c r="A49" s="77" t="s">
        <v>446</v>
      </c>
      <c r="B49" s="82">
        <v>231</v>
      </c>
      <c r="C49" s="82">
        <v>140.25</v>
      </c>
      <c r="D49" s="82">
        <v>151.42189999999999</v>
      </c>
      <c r="E49" s="82">
        <v>34978.46</v>
      </c>
      <c r="F49" s="82">
        <v>32397.75</v>
      </c>
      <c r="G49" s="82">
        <v>-2580.71</v>
      </c>
      <c r="H49" s="63">
        <f t="shared" si="0"/>
        <v>-7.3779977734868829E-2</v>
      </c>
    </row>
    <row r="50" spans="1:8" ht="15.75" thickBot="1">
      <c r="A50" s="77" t="s">
        <v>447</v>
      </c>
      <c r="B50" s="82">
        <v>117</v>
      </c>
      <c r="C50" s="82">
        <v>195.1</v>
      </c>
      <c r="D50" s="82">
        <v>233</v>
      </c>
      <c r="E50" s="82">
        <v>27261</v>
      </c>
      <c r="F50" s="82">
        <v>22826.7</v>
      </c>
      <c r="G50" s="82">
        <v>-4434.3</v>
      </c>
      <c r="H50" s="63">
        <f t="shared" si="0"/>
        <v>-0.1626609442060086</v>
      </c>
    </row>
    <row r="51" spans="1:8" ht="15.75" thickBot="1">
      <c r="A51" s="77" t="s">
        <v>398</v>
      </c>
      <c r="B51" s="82">
        <v>40</v>
      </c>
      <c r="C51" s="82">
        <v>1753.9</v>
      </c>
      <c r="D51" s="82">
        <v>1657.1575</v>
      </c>
      <c r="E51" s="82">
        <v>66286.3</v>
      </c>
      <c r="F51" s="82">
        <v>70156</v>
      </c>
      <c r="G51" s="82">
        <v>3869.7</v>
      </c>
      <c r="H51" s="63">
        <f t="shared" si="0"/>
        <v>5.8378578982383987E-2</v>
      </c>
    </row>
    <row r="52" spans="1:8" ht="15.75" thickBot="1">
      <c r="A52" s="77" t="s">
        <v>400</v>
      </c>
      <c r="B52" s="82">
        <v>3</v>
      </c>
      <c r="C52" s="82">
        <v>6108.3</v>
      </c>
      <c r="D52" s="82">
        <v>4623.8167000000003</v>
      </c>
      <c r="E52" s="82">
        <v>13871.45</v>
      </c>
      <c r="F52" s="82">
        <v>18324.900000000001</v>
      </c>
      <c r="G52" s="82">
        <v>4453.45</v>
      </c>
      <c r="H52" s="63">
        <f t="shared" si="0"/>
        <v>0.32105151227881723</v>
      </c>
    </row>
    <row r="53" spans="1:8" ht="15.75" thickBot="1">
      <c r="A53" s="77" t="s">
        <v>401</v>
      </c>
      <c r="B53" s="82">
        <v>62</v>
      </c>
      <c r="C53" s="82">
        <v>1711.7</v>
      </c>
      <c r="D53" s="82">
        <v>1053.2161000000001</v>
      </c>
      <c r="E53" s="82">
        <v>65299.4</v>
      </c>
      <c r="F53" s="82">
        <v>106125.4</v>
      </c>
      <c r="G53" s="82">
        <v>40826</v>
      </c>
      <c r="H53" s="63">
        <f t="shared" si="0"/>
        <v>0.62521248280994923</v>
      </c>
    </row>
    <row r="54" spans="1:8" ht="15.75" thickBot="1">
      <c r="A54" s="77" t="s">
        <v>402</v>
      </c>
      <c r="B54" s="82">
        <v>25</v>
      </c>
      <c r="C54" s="82">
        <v>732.1</v>
      </c>
      <c r="D54" s="82">
        <v>774.66399999999999</v>
      </c>
      <c r="E54" s="82">
        <v>19366.599999999999</v>
      </c>
      <c r="F54" s="82">
        <v>18302.5</v>
      </c>
      <c r="G54" s="82">
        <v>-1064.0999999999999</v>
      </c>
      <c r="H54" s="63">
        <f t="shared" si="0"/>
        <v>-5.4945111687131454E-2</v>
      </c>
    </row>
    <row r="55" spans="1:8" ht="15.75" thickBot="1">
      <c r="A55" s="77" t="s">
        <v>403</v>
      </c>
      <c r="B55" s="82">
        <v>97</v>
      </c>
      <c r="C55" s="82">
        <v>185.2</v>
      </c>
      <c r="D55" s="82">
        <v>186.7567</v>
      </c>
      <c r="E55" s="82">
        <v>18115.400000000001</v>
      </c>
      <c r="F55" s="82">
        <v>17964.400000000001</v>
      </c>
      <c r="G55" s="82">
        <v>-151</v>
      </c>
      <c r="H55" s="63">
        <f t="shared" si="0"/>
        <v>-8.335449396645947E-3</v>
      </c>
    </row>
    <row r="56" spans="1:8" ht="15.75" thickBot="1">
      <c r="A56" s="77" t="s">
        <v>404</v>
      </c>
      <c r="B56" s="82">
        <v>56</v>
      </c>
      <c r="C56" s="82">
        <v>500.65</v>
      </c>
      <c r="D56" s="82">
        <v>459.3109</v>
      </c>
      <c r="E56" s="82">
        <v>25721.41</v>
      </c>
      <c r="F56" s="82">
        <v>28036.400000000001</v>
      </c>
      <c r="G56" s="82">
        <v>2314.9899999999998</v>
      </c>
      <c r="H56" s="63">
        <f t="shared" si="0"/>
        <v>9.0002453209213643E-2</v>
      </c>
    </row>
    <row r="57" spans="1:8" ht="15.75" thickBot="1">
      <c r="A57" s="77" t="s">
        <v>405</v>
      </c>
      <c r="B57" s="82">
        <v>20</v>
      </c>
      <c r="C57" s="82">
        <v>913.35</v>
      </c>
      <c r="D57" s="82">
        <v>489.62150000000003</v>
      </c>
      <c r="E57" s="82">
        <v>9792.43</v>
      </c>
      <c r="F57" s="82">
        <v>18267</v>
      </c>
      <c r="G57" s="82">
        <v>8474.57</v>
      </c>
      <c r="H57" s="63">
        <f t="shared" si="0"/>
        <v>0.86542053402475172</v>
      </c>
    </row>
    <row r="58" spans="1:8" ht="15.75" thickBot="1">
      <c r="A58" s="77" t="s">
        <v>406</v>
      </c>
      <c r="B58" s="82">
        <v>64</v>
      </c>
      <c r="C58" s="82">
        <v>353.91</v>
      </c>
      <c r="D58" s="82">
        <v>342.44</v>
      </c>
      <c r="E58" s="82">
        <v>21916.16</v>
      </c>
      <c r="F58" s="82">
        <v>22650.240000000002</v>
      </c>
      <c r="G58" s="82">
        <v>734.08</v>
      </c>
      <c r="H58" s="63">
        <f t="shared" si="0"/>
        <v>3.3494918817895104E-2</v>
      </c>
    </row>
    <row r="59" spans="1:8" ht="15.75" thickBot="1">
      <c r="A59" s="77" t="s">
        <v>448</v>
      </c>
      <c r="B59" s="82">
        <v>80</v>
      </c>
      <c r="C59" s="82">
        <v>136.65</v>
      </c>
      <c r="D59" s="82">
        <v>188.8075</v>
      </c>
      <c r="E59" s="82">
        <v>15104.6</v>
      </c>
      <c r="F59" s="82">
        <v>10932</v>
      </c>
      <c r="G59" s="82">
        <v>-4172.6000000000004</v>
      </c>
      <c r="H59" s="63">
        <f t="shared" si="0"/>
        <v>-0.27624697112138025</v>
      </c>
    </row>
    <row r="60" spans="1:8" ht="15.75" thickBot="1">
      <c r="A60" s="77" t="s">
        <v>408</v>
      </c>
      <c r="B60" s="82">
        <v>7</v>
      </c>
      <c r="C60" s="82">
        <v>3186.35</v>
      </c>
      <c r="D60" s="82">
        <v>2635.8429000000001</v>
      </c>
      <c r="E60" s="82">
        <v>18450.900000000001</v>
      </c>
      <c r="F60" s="82">
        <v>22304.45</v>
      </c>
      <c r="G60" s="82">
        <v>3853.55</v>
      </c>
      <c r="H60" s="63">
        <f t="shared" si="0"/>
        <v>0.20885431062983376</v>
      </c>
    </row>
    <row r="61" spans="1:8" ht="15.75" thickBot="1">
      <c r="A61" s="77" t="s">
        <v>410</v>
      </c>
      <c r="B61" s="82">
        <v>75</v>
      </c>
      <c r="C61" s="82">
        <v>844.75</v>
      </c>
      <c r="D61" s="82">
        <v>440.02730000000003</v>
      </c>
      <c r="E61" s="82">
        <v>33002.050000000003</v>
      </c>
      <c r="F61" s="82">
        <v>63356.25</v>
      </c>
      <c r="G61" s="82">
        <v>30354.2</v>
      </c>
      <c r="H61" s="63">
        <f t="shared" si="0"/>
        <v>0.91976710537678719</v>
      </c>
    </row>
    <row r="62" spans="1:8" ht="15.75" thickBot="1">
      <c r="A62" s="77" t="s">
        <v>411</v>
      </c>
      <c r="B62" s="82">
        <v>300</v>
      </c>
      <c r="C62" s="82">
        <v>165.15</v>
      </c>
      <c r="D62" s="82">
        <v>82.333299999999994</v>
      </c>
      <c r="E62" s="82">
        <v>24700</v>
      </c>
      <c r="F62" s="82">
        <v>49545</v>
      </c>
      <c r="G62" s="82">
        <v>24845</v>
      </c>
      <c r="H62" s="63">
        <f t="shared" si="0"/>
        <v>1.0058704453441296</v>
      </c>
    </row>
    <row r="63" spans="1:8" ht="15.75" thickBot="1">
      <c r="A63" s="77" t="s">
        <v>413</v>
      </c>
      <c r="B63" s="82">
        <v>9</v>
      </c>
      <c r="C63" s="82">
        <v>3348.1</v>
      </c>
      <c r="D63" s="82">
        <v>4191.55</v>
      </c>
      <c r="E63" s="82">
        <v>37723.949999999997</v>
      </c>
      <c r="F63" s="82">
        <v>30132.9</v>
      </c>
      <c r="G63" s="82">
        <v>-7591.05</v>
      </c>
      <c r="H63" s="63">
        <f t="shared" si="0"/>
        <v>-0.20122627667569279</v>
      </c>
    </row>
    <row r="64" spans="1:8" ht="15.75" thickBot="1">
      <c r="A64" s="77" t="s">
        <v>449</v>
      </c>
      <c r="B64" s="82">
        <v>162</v>
      </c>
      <c r="C64" s="82">
        <v>133.19999999999999</v>
      </c>
      <c r="D64" s="82">
        <v>167.45</v>
      </c>
      <c r="E64" s="82">
        <v>27126.9</v>
      </c>
      <c r="F64" s="82">
        <v>21578.400000000001</v>
      </c>
      <c r="G64" s="82">
        <v>-5548.5</v>
      </c>
      <c r="H64" s="63">
        <f t="shared" si="0"/>
        <v>-0.20453866825918182</v>
      </c>
    </row>
    <row r="65" spans="1:8" ht="15.75" thickBot="1">
      <c r="A65" s="77" t="s">
        <v>414</v>
      </c>
      <c r="B65" s="82">
        <v>6</v>
      </c>
      <c r="C65" s="82">
        <v>4068.55</v>
      </c>
      <c r="D65" s="82">
        <v>3349.375</v>
      </c>
      <c r="E65" s="82">
        <v>20096.25</v>
      </c>
      <c r="F65" s="82">
        <v>24411.3</v>
      </c>
      <c r="G65" s="82">
        <v>4315.05</v>
      </c>
      <c r="H65" s="63">
        <f t="shared" si="0"/>
        <v>0.21471916402313865</v>
      </c>
    </row>
    <row r="66" spans="1:8" ht="15.75" thickBot="1">
      <c r="A66" s="77" t="s">
        <v>415</v>
      </c>
      <c r="B66" s="82">
        <v>30</v>
      </c>
      <c r="C66" s="82">
        <v>933.35</v>
      </c>
      <c r="D66" s="82">
        <v>860.11969999999997</v>
      </c>
      <c r="E66" s="82">
        <v>25803.59</v>
      </c>
      <c r="F66" s="82">
        <v>28000.5</v>
      </c>
      <c r="G66" s="82">
        <v>2196.91</v>
      </c>
      <c r="H66" s="63">
        <f t="shared" ref="H66:H92" si="1">G66/E66</f>
        <v>8.5139703428863955E-2</v>
      </c>
    </row>
    <row r="67" spans="1:8" ht="15.75" thickBot="1">
      <c r="A67" s="77" t="s">
        <v>416</v>
      </c>
      <c r="B67" s="82">
        <v>3</v>
      </c>
      <c r="C67" s="82">
        <v>2262.85</v>
      </c>
      <c r="D67" s="82">
        <v>2387.5</v>
      </c>
      <c r="E67" s="82">
        <v>7162.5</v>
      </c>
      <c r="F67" s="82">
        <v>6788.55</v>
      </c>
      <c r="G67" s="82">
        <v>-373.95</v>
      </c>
      <c r="H67" s="63">
        <f t="shared" si="1"/>
        <v>-5.2209424083769634E-2</v>
      </c>
    </row>
    <row r="68" spans="1:8" ht="15.75" thickBot="1">
      <c r="A68" s="77" t="s">
        <v>450</v>
      </c>
      <c r="B68" s="82">
        <v>16</v>
      </c>
      <c r="C68" s="82">
        <v>1828.4</v>
      </c>
      <c r="D68" s="82">
        <v>528.10630000000003</v>
      </c>
      <c r="E68" s="82">
        <v>8449.7000000000007</v>
      </c>
      <c r="F68" s="82">
        <v>29254.400000000001</v>
      </c>
      <c r="G68" s="82">
        <v>20804.7</v>
      </c>
      <c r="H68" s="63">
        <f t="shared" si="1"/>
        <v>2.4621820893049455</v>
      </c>
    </row>
    <row r="69" spans="1:8" ht="15.75" thickBot="1">
      <c r="A69" s="77" t="s">
        <v>451</v>
      </c>
      <c r="B69" s="82">
        <v>178</v>
      </c>
      <c r="C69" s="82">
        <v>154.44999999999999</v>
      </c>
      <c r="D69" s="82">
        <v>152.37</v>
      </c>
      <c r="E69" s="82">
        <v>27121.86</v>
      </c>
      <c r="F69" s="82">
        <v>27492.1</v>
      </c>
      <c r="G69" s="82">
        <v>370.24</v>
      </c>
      <c r="H69" s="63">
        <f t="shared" si="1"/>
        <v>1.3650981164271181E-2</v>
      </c>
    </row>
    <row r="70" spans="1:8" ht="15.75" thickBot="1">
      <c r="A70" s="77" t="s">
        <v>418</v>
      </c>
      <c r="B70" s="82">
        <v>5</v>
      </c>
      <c r="C70" s="82">
        <v>1164.5999999999999</v>
      </c>
      <c r="D70" s="82">
        <v>1441</v>
      </c>
      <c r="E70" s="82">
        <v>7205</v>
      </c>
      <c r="F70" s="82">
        <v>5823</v>
      </c>
      <c r="G70" s="82">
        <v>-1382</v>
      </c>
      <c r="H70" s="63">
        <f t="shared" si="1"/>
        <v>-0.19181124219292159</v>
      </c>
    </row>
    <row r="71" spans="1:8" ht="15.75" thickBot="1">
      <c r="A71" s="77" t="s">
        <v>452</v>
      </c>
      <c r="B71" s="82">
        <v>108</v>
      </c>
      <c r="C71" s="82">
        <v>211.05</v>
      </c>
      <c r="D71" s="82">
        <v>249.99</v>
      </c>
      <c r="E71" s="82">
        <v>26998.92</v>
      </c>
      <c r="F71" s="82">
        <v>22793.4</v>
      </c>
      <c r="G71" s="82">
        <v>-4205.5200000000004</v>
      </c>
      <c r="H71" s="63">
        <f t="shared" si="1"/>
        <v>-0.15576623064922598</v>
      </c>
    </row>
    <row r="72" spans="1:8" ht="15.75" thickBot="1">
      <c r="A72" s="77" t="s">
        <v>420</v>
      </c>
      <c r="B72" s="82">
        <v>35</v>
      </c>
      <c r="C72" s="82">
        <v>1056.3499999999999</v>
      </c>
      <c r="D72" s="82">
        <v>986.89430000000004</v>
      </c>
      <c r="E72" s="82">
        <v>34541.300000000003</v>
      </c>
      <c r="F72" s="82">
        <v>36972.25</v>
      </c>
      <c r="G72" s="82">
        <v>2430.9499999999998</v>
      </c>
      <c r="H72" s="63">
        <f t="shared" si="1"/>
        <v>7.0378069152000636E-2</v>
      </c>
    </row>
    <row r="73" spans="1:8" ht="15.75" thickBot="1">
      <c r="A73" s="77" t="s">
        <v>421</v>
      </c>
      <c r="B73" s="82">
        <v>35</v>
      </c>
      <c r="C73" s="82">
        <v>2290.4499999999998</v>
      </c>
      <c r="D73" s="82">
        <v>984.23</v>
      </c>
      <c r="E73" s="82">
        <v>34448.050000000003</v>
      </c>
      <c r="F73" s="82">
        <v>80165.75</v>
      </c>
      <c r="G73" s="82">
        <v>45717.7</v>
      </c>
      <c r="H73" s="63">
        <f t="shared" si="1"/>
        <v>1.3271491419688486</v>
      </c>
    </row>
    <row r="74" spans="1:8" ht="15.75" thickBot="1">
      <c r="A74" s="77" t="s">
        <v>423</v>
      </c>
      <c r="B74" s="82">
        <v>22</v>
      </c>
      <c r="C74" s="82">
        <v>743.9</v>
      </c>
      <c r="D74" s="82">
        <v>597.13409999999999</v>
      </c>
      <c r="E74" s="82">
        <v>13136.95</v>
      </c>
      <c r="F74" s="82">
        <v>16365.8</v>
      </c>
      <c r="G74" s="82">
        <v>3228.85</v>
      </c>
      <c r="H74" s="63">
        <f t="shared" si="1"/>
        <v>0.24578383871446566</v>
      </c>
    </row>
    <row r="75" spans="1:8" ht="15.75" thickBot="1">
      <c r="A75" s="77" t="s">
        <v>425</v>
      </c>
      <c r="B75" s="82">
        <v>98</v>
      </c>
      <c r="C75" s="82">
        <v>461.95</v>
      </c>
      <c r="D75" s="82">
        <v>259.5505</v>
      </c>
      <c r="E75" s="82">
        <v>25435.95</v>
      </c>
      <c r="F75" s="82">
        <v>45271.1</v>
      </c>
      <c r="G75" s="82">
        <v>19835.150000000001</v>
      </c>
      <c r="H75" s="63">
        <f t="shared" si="1"/>
        <v>0.77980771309898</v>
      </c>
    </row>
    <row r="76" spans="1:8" ht="15.75" thickBot="1">
      <c r="A76" s="77" t="s">
        <v>426</v>
      </c>
      <c r="B76" s="82">
        <v>139</v>
      </c>
      <c r="C76" s="82">
        <v>830.2</v>
      </c>
      <c r="D76" s="82">
        <v>476.89420000000001</v>
      </c>
      <c r="E76" s="82">
        <v>66288.3</v>
      </c>
      <c r="F76" s="82">
        <v>115397.8</v>
      </c>
      <c r="G76" s="82">
        <v>49109.5</v>
      </c>
      <c r="H76" s="63">
        <f t="shared" si="1"/>
        <v>0.74084717815964507</v>
      </c>
    </row>
    <row r="77" spans="1:8" ht="15.75" thickBot="1">
      <c r="A77" s="77" t="s">
        <v>427</v>
      </c>
      <c r="B77" s="82">
        <v>31</v>
      </c>
      <c r="C77" s="82">
        <v>822.55</v>
      </c>
      <c r="D77" s="82">
        <v>683.52350000000001</v>
      </c>
      <c r="E77" s="82">
        <v>21189.23</v>
      </c>
      <c r="F77" s="82">
        <v>25499.05</v>
      </c>
      <c r="G77" s="82">
        <v>4309.82</v>
      </c>
      <c r="H77" s="63">
        <f t="shared" si="1"/>
        <v>0.2033967256006943</v>
      </c>
    </row>
    <row r="78" spans="1:8" ht="15.75" thickBot="1">
      <c r="A78" s="77" t="s">
        <v>428</v>
      </c>
      <c r="B78" s="82">
        <v>45</v>
      </c>
      <c r="C78" s="82">
        <v>487.7</v>
      </c>
      <c r="D78" s="82">
        <v>368.55090000000001</v>
      </c>
      <c r="E78" s="82">
        <v>16584.79</v>
      </c>
      <c r="F78" s="82">
        <v>21946.5</v>
      </c>
      <c r="G78" s="82">
        <v>5361.71</v>
      </c>
      <c r="H78" s="63">
        <f t="shared" si="1"/>
        <v>0.32329079837610242</v>
      </c>
    </row>
    <row r="79" spans="1:8" ht="15.75" thickBot="1">
      <c r="A79" s="77" t="s">
        <v>429</v>
      </c>
      <c r="B79" s="82">
        <v>50</v>
      </c>
      <c r="C79" s="82">
        <v>288.55</v>
      </c>
      <c r="D79" s="82">
        <v>283.19240000000002</v>
      </c>
      <c r="E79" s="82">
        <v>14159.62</v>
      </c>
      <c r="F79" s="82">
        <v>14427.5</v>
      </c>
      <c r="G79" s="82">
        <v>267.88</v>
      </c>
      <c r="H79" s="63">
        <f t="shared" si="1"/>
        <v>1.8918586798233286E-2</v>
      </c>
    </row>
    <row r="80" spans="1:8" ht="15.75" thickBot="1">
      <c r="A80" s="77" t="s">
        <v>430</v>
      </c>
      <c r="B80" s="82">
        <v>57</v>
      </c>
      <c r="C80" s="82">
        <v>536.15</v>
      </c>
      <c r="D80" s="82">
        <v>468.04349999999999</v>
      </c>
      <c r="E80" s="82">
        <v>26678.48</v>
      </c>
      <c r="F80" s="82">
        <v>30560.55</v>
      </c>
      <c r="G80" s="82">
        <v>3882.07</v>
      </c>
      <c r="H80" s="63">
        <f t="shared" si="1"/>
        <v>0.14551316266893766</v>
      </c>
    </row>
    <row r="81" spans="1:8" ht="15.75" thickBot="1">
      <c r="A81" s="77" t="s">
        <v>431</v>
      </c>
      <c r="B81" s="82">
        <v>10</v>
      </c>
      <c r="C81" s="82">
        <v>3525.2</v>
      </c>
      <c r="D81" s="82">
        <v>3486.82</v>
      </c>
      <c r="E81" s="82">
        <v>34868.199999999997</v>
      </c>
      <c r="F81" s="82">
        <v>35252</v>
      </c>
      <c r="G81" s="82">
        <v>383.8</v>
      </c>
      <c r="H81" s="63">
        <f t="shared" si="1"/>
        <v>1.1007164120889522E-2</v>
      </c>
    </row>
    <row r="82" spans="1:8" ht="15.75" thickBot="1">
      <c r="A82" s="77" t="s">
        <v>432</v>
      </c>
      <c r="B82" s="82">
        <v>34</v>
      </c>
      <c r="C82" s="82">
        <v>670.05</v>
      </c>
      <c r="D82" s="82">
        <v>687.90440000000001</v>
      </c>
      <c r="E82" s="82">
        <v>23388.75</v>
      </c>
      <c r="F82" s="82">
        <v>22781.7</v>
      </c>
      <c r="G82" s="82">
        <v>-607.04999999999995</v>
      </c>
      <c r="H82" s="63">
        <f t="shared" si="1"/>
        <v>-2.5954785954785953E-2</v>
      </c>
    </row>
    <row r="83" spans="1:8" ht="15.75" thickBot="1">
      <c r="A83" s="77" t="s">
        <v>433</v>
      </c>
      <c r="B83" s="82">
        <v>775</v>
      </c>
      <c r="C83" s="82">
        <v>202.6</v>
      </c>
      <c r="D83" s="82">
        <v>99.291600000000003</v>
      </c>
      <c r="E83" s="82">
        <v>76951</v>
      </c>
      <c r="F83" s="82">
        <v>157015</v>
      </c>
      <c r="G83" s="82">
        <v>80064</v>
      </c>
      <c r="H83" s="63">
        <f t="shared" si="1"/>
        <v>1.0404543150836247</v>
      </c>
    </row>
    <row r="84" spans="1:8" ht="15.75" thickBot="1">
      <c r="A84" s="77" t="s">
        <v>434</v>
      </c>
      <c r="B84" s="82">
        <v>105</v>
      </c>
      <c r="C84" s="82">
        <v>1277.4000000000001</v>
      </c>
      <c r="D84" s="82">
        <v>404.76429999999999</v>
      </c>
      <c r="E84" s="82">
        <v>42500.25</v>
      </c>
      <c r="F84" s="82">
        <v>134127</v>
      </c>
      <c r="G84" s="82">
        <v>91626.75</v>
      </c>
      <c r="H84" s="63">
        <f t="shared" si="1"/>
        <v>2.1559108475832494</v>
      </c>
    </row>
    <row r="85" spans="1:8" ht="15.75" thickBot="1">
      <c r="A85" s="77" t="s">
        <v>435</v>
      </c>
      <c r="B85" s="82">
        <v>17</v>
      </c>
      <c r="C85" s="82">
        <v>1453.6</v>
      </c>
      <c r="D85" s="82">
        <v>1299.7029</v>
      </c>
      <c r="E85" s="82">
        <v>22094.95</v>
      </c>
      <c r="F85" s="82">
        <v>24711.200000000001</v>
      </c>
      <c r="G85" s="82">
        <v>2616.25</v>
      </c>
      <c r="H85" s="63">
        <f t="shared" si="1"/>
        <v>0.11840941029511268</v>
      </c>
    </row>
    <row r="86" spans="1:8" ht="15.75" thickBot="1">
      <c r="A86" s="77" t="s">
        <v>436</v>
      </c>
      <c r="B86" s="82">
        <v>3</v>
      </c>
      <c r="C86" s="82">
        <v>2443.6</v>
      </c>
      <c r="D86" s="82">
        <v>2438.9</v>
      </c>
      <c r="E86" s="82">
        <v>7316.7</v>
      </c>
      <c r="F86" s="82">
        <v>7330.8</v>
      </c>
      <c r="G86" s="82">
        <v>14.1</v>
      </c>
      <c r="H86" s="63">
        <f t="shared" si="1"/>
        <v>1.9270982820123825E-3</v>
      </c>
    </row>
    <row r="87" spans="1:8">
      <c r="A87" s="77" t="s">
        <v>457</v>
      </c>
      <c r="B87" s="82">
        <v>37</v>
      </c>
      <c r="C87" s="82">
        <v>713.5</v>
      </c>
      <c r="D87" s="82">
        <v>739.75</v>
      </c>
      <c r="E87" s="82">
        <v>27370.75</v>
      </c>
      <c r="F87" s="82">
        <v>26399.5</v>
      </c>
      <c r="G87" s="82">
        <v>-971.25</v>
      </c>
      <c r="H87" s="63">
        <f t="shared" si="1"/>
        <v>-3.5484961135518758E-2</v>
      </c>
    </row>
    <row r="88" spans="1:8" ht="15.75" thickBot="1">
      <c r="A88" s="77" t="s">
        <v>438</v>
      </c>
      <c r="B88" s="82">
        <v>27</v>
      </c>
      <c r="C88" s="82">
        <v>931.85</v>
      </c>
      <c r="D88" s="82">
        <v>663.14779999999996</v>
      </c>
      <c r="E88" s="82">
        <v>17904.990000000002</v>
      </c>
      <c r="F88" s="82">
        <v>25159.95</v>
      </c>
      <c r="G88" s="82">
        <v>7254.96</v>
      </c>
      <c r="H88" s="80">
        <f t="shared" si="1"/>
        <v>0.40519207215418718</v>
      </c>
    </row>
    <row r="89" spans="1:8" ht="15.75" thickBot="1">
      <c r="A89" s="77" t="s">
        <v>453</v>
      </c>
      <c r="B89" s="82">
        <v>43</v>
      </c>
      <c r="C89" s="82">
        <v>575.04999999999995</v>
      </c>
      <c r="D89" s="82">
        <v>614</v>
      </c>
      <c r="E89" s="82">
        <v>26402</v>
      </c>
      <c r="F89" s="82">
        <v>24727.15</v>
      </c>
      <c r="G89" s="82">
        <v>-1674.85</v>
      </c>
      <c r="H89" s="63">
        <f t="shared" si="1"/>
        <v>-6.3436482084690549E-2</v>
      </c>
    </row>
    <row r="90" spans="1:8" ht="15.75" thickBot="1">
      <c r="A90" s="77" t="s">
        <v>439</v>
      </c>
      <c r="B90" s="82">
        <v>525</v>
      </c>
      <c r="C90" s="82">
        <v>12.82</v>
      </c>
      <c r="D90" s="82">
        <v>38.966700000000003</v>
      </c>
      <c r="E90" s="82">
        <v>20457.5</v>
      </c>
      <c r="F90" s="82">
        <v>6730.5</v>
      </c>
      <c r="G90" s="82">
        <v>-13727</v>
      </c>
      <c r="H90" s="63">
        <f t="shared" si="1"/>
        <v>-0.67100085543199317</v>
      </c>
    </row>
    <row r="91" spans="1:8" ht="15.75" thickBot="1">
      <c r="A91" s="77" t="s">
        <v>440</v>
      </c>
      <c r="B91" s="82">
        <v>27</v>
      </c>
      <c r="C91" s="82">
        <v>1568.35</v>
      </c>
      <c r="D91" s="82">
        <v>1961.2474</v>
      </c>
      <c r="E91" s="82">
        <v>52953.68</v>
      </c>
      <c r="F91" s="82">
        <v>42345.45</v>
      </c>
      <c r="G91" s="82">
        <v>-10608.23</v>
      </c>
      <c r="H91" s="63">
        <f t="shared" si="1"/>
        <v>-0.20033036419754019</v>
      </c>
    </row>
    <row r="92" spans="1:8" ht="18.75" thickBot="1">
      <c r="A92" s="44" t="s">
        <v>11</v>
      </c>
      <c r="B92" s="45">
        <f>SUM(B2:B91)</f>
        <v>7721</v>
      </c>
      <c r="C92" s="45"/>
      <c r="D92" s="45"/>
      <c r="E92" s="45">
        <f t="shared" ref="E92:G92" si="2">SUM(E2:E91)</f>
        <v>2928318.1000000006</v>
      </c>
      <c r="F92" s="45">
        <f t="shared" si="2"/>
        <v>3395202.9699999993</v>
      </c>
      <c r="G92" s="45">
        <f t="shared" si="2"/>
        <v>466884.87000000011</v>
      </c>
      <c r="H92" s="64">
        <f t="shared" si="1"/>
        <v>0.15943789371789904</v>
      </c>
    </row>
    <row r="93" spans="1:8" ht="15.75" thickTop="1"/>
  </sheetData>
  <hyperlinks>
    <hyperlink ref="A2" r:id="rId1" location="/stock/1831632/3723" display="https://etportfolio.indiatimes.com/pw_companyinfo.cms - /stock/1831632/3723" xr:uid="{E36BC731-E554-466F-A7F7-80C70DEFCA24}"/>
    <hyperlink ref="A3" r:id="rId2" location="/stock/1831632/15059" display="https://etportfolio.indiatimes.com/pw_companyinfo.cms - /stock/1831632/15059" xr:uid="{355FBE20-26DC-4A95-A846-C4EAF20B767A}"/>
    <hyperlink ref="A4" r:id="rId3" location="/stock/1831632/63" display="https://etportfolio.indiatimes.com/pw_companyinfo.cms - /stock/1831632/63" xr:uid="{F007D203-0A78-42F6-9C2F-DD376B6F4753}"/>
    <hyperlink ref="A5" r:id="rId4" location="/stock/1831632/14034" display="https://etportfolio.indiatimes.com/pw_companyinfo.cms - /stock/1831632/14034" xr:uid="{6A226AA7-800E-4749-A53C-AFCE93BEA7EB}"/>
    <hyperlink ref="A6" r:id="rId5" location="/stock/1831632/66288" display="https://etportfolio.indiatimes.com/pw_companyinfo.cms - /stock/1831632/66288" xr:uid="{B06AA6D1-E480-4B95-ACBD-1F1FAA6E1AAE}"/>
    <hyperlink ref="A7" r:id="rId6" location="/stock/1831632/45987" display="https://etportfolio.indiatimes.com/pw_companyinfo.cms - /stock/1831632/45987" xr:uid="{674A907D-AEBC-44BF-8378-1AE844B486B5}"/>
    <hyperlink ref="A8" r:id="rId7" location="/stock/1831632/9175" display="https://etportfolio.indiatimes.com/pw_companyinfo.cms - /stock/1831632/9175" xr:uid="{1BF90C98-9B7D-477A-B2A3-03DB8475DF40}"/>
    <hyperlink ref="A9" r:id="rId8" location="/stock/1831632/21430" display="https://etportfolio.indiatimes.com/pw_companyinfo.cms - /stock/1831632/21430" xr:uid="{40DABE69-7C65-4F29-9411-E7DF145DDE7A}"/>
    <hyperlink ref="A10" r:id="rId9" location="/stock/1831632/11260" display="https://etportfolio.indiatimes.com/pw_companyinfo.cms - /stock/1831632/11260" xr:uid="{FFE755E0-AF5A-428A-95BA-7B85B3D7D5AE}"/>
    <hyperlink ref="A11" r:id="rId10" location="/stock/1831632/14013" display="https://etportfolio.indiatimes.com/pw_companyinfo.cms - /stock/1831632/14013" xr:uid="{AE5861CB-E9AF-49F0-A4FA-277566607A90}"/>
    <hyperlink ref="A12" r:id="rId11" location="/stock/1831632/2718" display="https://etportfolio.indiatimes.com/pw_companyinfo.cms - /stock/1831632/2718" xr:uid="{B7E4BB03-A9C7-4A1D-9FC8-EC36A24A1540}"/>
    <hyperlink ref="A13" r:id="rId12" location="/stock/1831632/20445" display="https://etportfolio.indiatimes.com/pw_companyinfo.cms - /stock/1831632/20445" xr:uid="{D598CB98-F2F0-4A60-A582-905DD4DF1817}"/>
    <hyperlink ref="A14" r:id="rId13" location="/stock/1831632/13934" display="https://etportfolio.indiatimes.com/pw_companyinfo.cms - /stock/1831632/13934" xr:uid="{CDB45CED-3470-4E19-A93A-2BF17AA51A6C}"/>
    <hyperlink ref="A15" r:id="rId14" location="/stock/1831632/13577" display="https://etportfolio.indiatimes.com/pw_companyinfo.cms - /stock/1831632/13577" xr:uid="{7EC5531A-A64D-4403-9BD2-0275A057D2AD}"/>
    <hyperlink ref="A16" r:id="rId15" location="/stock/1831632/10777" display="https://etportfolio.indiatimes.com/pw_companyinfo.cms - /stock/1831632/10777" xr:uid="{4D3E7EAE-435F-42CB-8F0E-EB9D76118DAB}"/>
    <hyperlink ref="A17" r:id="rId16" location="/stock/1831632/13917" display="https://etportfolio.indiatimes.com/pw_companyinfo.cms - /stock/1831632/13917" xr:uid="{49646C7B-AFD0-4F88-9E61-B214BF0A2A57}"/>
    <hyperlink ref="A18" r:id="rId17" location="/stock/1831632/11822" display="https://etportfolio.indiatimes.com/pw_companyinfo.cms - /stock/1831632/11822" xr:uid="{C5DB142A-1CC5-4DDB-9291-53AEAD4CE2A1}"/>
    <hyperlink ref="A19" r:id="rId18" location="/stock/1831632/858" display="https://etportfolio.indiatimes.com/pw_companyinfo.cms - /stock/1831632/858" xr:uid="{1BDFB95C-4470-4921-A740-7B2C56AA3A3F}"/>
    <hyperlink ref="A20" r:id="rId19" location="/stock/1831632/13873" display="https://etportfolio.indiatimes.com/pw_companyinfo.cms - /stock/1831632/13873" xr:uid="{F4697D67-0DB4-4994-B6B0-9A57F5CF241E}"/>
    <hyperlink ref="A21" r:id="rId20" location="/stock/1831632/11796" display="https://etportfolio.indiatimes.com/pw_companyinfo.cms - /stock/1831632/11796" xr:uid="{0BDF537D-D9A4-4957-A781-A19F638A31FB}"/>
    <hyperlink ref="A22" r:id="rId21" location="/stock/1831632/3635" display="https://etportfolio.indiatimes.com/pw_companyinfo.cms - /stock/1831632/3635" xr:uid="{55E251B8-F42F-4EAD-A2DA-24CE5C09E299}"/>
    <hyperlink ref="A23" r:id="rId22" location="/stock/1831632/12393" display="https://etportfolio.indiatimes.com/pw_companyinfo.cms - /stock/1831632/12393" xr:uid="{C96301D4-7F30-4DA5-AAA6-AEE2A871401B}"/>
    <hyperlink ref="A24" r:id="rId23" location="/stock/1831632/63225" display="https://etportfolio.indiatimes.com/pw_companyinfo.cms - /stock/1831632/63225" xr:uid="{FB5E550D-D335-4432-B5A5-787E71E1755D}"/>
    <hyperlink ref="A25" r:id="rId24" location="/stock/1831632/13787" display="https://etportfolio.indiatimes.com/pw_companyinfo.cms - /stock/1831632/13787" xr:uid="{39CBC5DE-AE13-43FE-8292-9826AF0C095D}"/>
    <hyperlink ref="A26" r:id="rId25" location="/stock/1831632/1941781" display="https://etportfolio.indiatimes.com/pw_companyinfo.cms - /stock/1831632/1941781" xr:uid="{D350BC1B-0980-4DB2-A0B9-0B7D61BBD76E}"/>
    <hyperlink ref="A27" r:id="rId26" location="/stock/1831632/38215" display="https://etportfolio.indiatimes.com/pw_companyinfo.cms - /stock/1831632/38215" xr:uid="{A045DF0E-A365-472A-AE4B-7D6BD0432FA8}"/>
    <hyperlink ref="A28" r:id="rId27" location="/stock/1831632/55491" display="https://etportfolio.indiatimes.com/pw_companyinfo.cms - /stock/1831632/55491" xr:uid="{A1757EA9-764D-47D1-B183-17DD2BBD3D4E}"/>
    <hyperlink ref="A29" r:id="rId28" location="/stock/1831632/13895" display="https://etportfolio.indiatimes.com/pw_companyinfo.cms - /stock/1831632/13895" xr:uid="{3B646A34-85E0-43BD-A353-AF30578D46F8}"/>
    <hyperlink ref="A30" r:id="rId29" location="/stock/1831632/9211" display="https://etportfolio.indiatimes.com/pw_companyinfo.cms - /stock/1831632/9211" xr:uid="{831C863B-1300-4261-A636-1688F0ABCD1F}"/>
    <hyperlink ref="A31" r:id="rId30" location="/stock/1831632/13760" display="https://etportfolio.indiatimes.com/pw_companyinfo.cms - /stock/1831632/13760" xr:uid="{E657A7DC-F556-49CE-B5CB-A9B23DE286E1}"/>
    <hyperlink ref="A32" r:id="rId31" location="/stock/1831632/12266" display="https://etportfolio.indiatimes.com/pw_companyinfo.cms - /stock/1831632/12266" xr:uid="{ABBD8B54-44C5-46C4-81F3-B8C625963387}"/>
    <hyperlink ref="A33" r:id="rId32" location="/stock/1831632/1996493" display="https://etportfolio.indiatimes.com/pw_companyinfo.cms - /stock/1831632/1996493" xr:uid="{13121E1A-B629-4EBC-8115-DE19CFEB4113}"/>
    <hyperlink ref="A34" r:id="rId33" location="/stock/1831632/5733" display="https://etportfolio.indiatimes.com/pw_companyinfo.cms - /stock/1831632/5733" xr:uid="{0751EA89-7567-481D-A03B-1124BFB4CC53}"/>
    <hyperlink ref="A35" r:id="rId34" location="/stock/1831632/4291" display="https://etportfolio.indiatimes.com/pw_companyinfo.cms - /stock/1831632/4291" xr:uid="{AF27A2C9-8484-4BF5-AEC5-0C121662819F}"/>
    <hyperlink ref="A36" r:id="rId35" location="/stock/1831632/9195" display="https://etportfolio.indiatimes.com/pw_companyinfo.cms - /stock/1831632/9195" xr:uid="{1BFB8F86-AAEC-41F4-BE72-418DD3A9C620}"/>
    <hyperlink ref="A37" r:id="rId36" location="/stock/1831632/3068" display="https://etportfolio.indiatimes.com/pw_companyinfo.cms - /stock/1831632/3068" xr:uid="{D0DAB801-23A8-45C7-96F0-7D19B46346E9}"/>
    <hyperlink ref="A38" r:id="rId37" location="/stock/1831632/13636" display="https://etportfolio.indiatimes.com/pw_companyinfo.cms - /stock/1831632/13636" xr:uid="{9EE9CB38-17F1-40C0-AAC7-7053F77F4BB5}"/>
    <hyperlink ref="A39" r:id="rId38" location="/stock/1831632/13616" display="https://etportfolio.indiatimes.com/pw_companyinfo.cms - /stock/1831632/13616" xr:uid="{DCEF3C00-D5D6-4EB2-8712-11AE7B4FB2FF}"/>
    <hyperlink ref="A40" r:id="rId39" location="/stock/1831632/9194" display="https://etportfolio.indiatimes.com/pw_companyinfo.cms - /stock/1831632/9194" xr:uid="{1BBF7AA9-9AE6-4A04-A754-56EC83FA66BE}"/>
    <hyperlink ref="A41" r:id="rId40" location="/stock/1831632/1883" display="https://etportfolio.indiatimes.com/pw_companyinfo.cms - /stock/1831632/1883" xr:uid="{1FF4737E-61FA-4B25-B3DD-58CFCC78885A}"/>
    <hyperlink ref="A42" r:id="rId41" location="/stock/1831632/1898" display="https://etportfolio.indiatimes.com/pw_companyinfo.cms - /stock/1831632/1898" xr:uid="{6B483EB7-0F22-43E9-B05F-7E81BBABBFE6}"/>
    <hyperlink ref="A43" r:id="rId42" location="/stock/1831632/9196" display="https://etportfolio.indiatimes.com/pw_companyinfo.cms - /stock/1831632/9196" xr:uid="{48DC20F7-0082-434B-BC9D-E178A07A5CAF}"/>
    <hyperlink ref="A44" r:id="rId43" location="/stock/1831632/10960" display="https://etportfolio.indiatimes.com/pw_companyinfo.cms - /stock/1831632/10960" xr:uid="{E51ABE4F-21CE-450C-A10A-AD27652163F9}"/>
    <hyperlink ref="A45" r:id="rId44" location="/stock/1831632/10587" display="https://etportfolio.indiatimes.com/pw_companyinfo.cms - /stock/1831632/10587" xr:uid="{8061C453-E456-4787-A91D-6BB04A21DE87}"/>
    <hyperlink ref="A46" r:id="rId45" location="/stock/1831632/13554" display="https://etportfolio.indiatimes.com/pw_companyinfo.cms - /stock/1831632/13554" xr:uid="{608E2FC5-B193-48B2-8D43-8A00503122DB}"/>
    <hyperlink ref="A47" r:id="rId46" location="/stock/1831632/13536" display="https://etportfolio.indiatimes.com/pw_companyinfo.cms - /stock/1831632/13536" xr:uid="{D7ADC867-D7A6-484A-98C4-FC13D1417F98}"/>
    <hyperlink ref="A48" r:id="rId47" location="/stock/1831632/12989" display="https://etportfolio.indiatimes.com/pw_companyinfo.cms - /stock/1831632/12989" xr:uid="{054ED1B6-F5A3-4C7E-A190-FE9B8131E603}"/>
    <hyperlink ref="A49" r:id="rId48" location="/stock/1831632/16356" display="https://etportfolio.indiatimes.com/pw_companyinfo.cms - /stock/1831632/16356" xr:uid="{29942D57-0A11-4ABA-A18F-AA04E807CF4D}"/>
    <hyperlink ref="A50" r:id="rId49" location="/stock/1831632/10413" display="https://etportfolio.indiatimes.com/pw_companyinfo.cms - /stock/1831632/10413" xr:uid="{E78E5290-3D5B-4201-BD97-04FF2C3D2B18}"/>
    <hyperlink ref="A51" r:id="rId50" location="/stock/1831632/12161" display="https://etportfolio.indiatimes.com/pw_companyinfo.cms - /stock/1831632/12161" xr:uid="{B016413A-DBAF-493A-AABC-B4EBA4903620}"/>
    <hyperlink ref="A52" r:id="rId51" location="/stock/1831632/3318" display="https://etportfolio.indiatimes.com/pw_companyinfo.cms - /stock/1831632/3318" xr:uid="{1BDA8970-441D-4955-A5D3-C88B7DEEEDC1}"/>
    <hyperlink ref="A53" r:id="rId52" location="/stock/1831632/13447" display="https://etportfolio.indiatimes.com/pw_companyinfo.cms - /stock/1831632/13447" xr:uid="{034B40FC-475A-4F1F-AEB4-9E26139F2819}"/>
    <hyperlink ref="A54" r:id="rId53" location="/stock/1831632/11898" display="https://etportfolio.indiatimes.com/pw_companyinfo.cms - /stock/1831632/11898" xr:uid="{A721D86A-7D77-48DD-A4C5-A35BFDEE9629}"/>
    <hyperlink ref="A55" r:id="rId54" location="/stock/1831632/17103" display="https://etportfolio.indiatimes.com/pw_companyinfo.cms - /stock/1831632/17103" xr:uid="{586EE96E-4F39-4616-A80C-362FD79D24E6}"/>
    <hyperlink ref="A56" r:id="rId55" location="/stock/1831632/5886" display="https://etportfolio.indiatimes.com/pw_companyinfo.cms - /stock/1831632/5886" xr:uid="{A8C86CF4-B28F-4A69-85A1-1F4B17CDB510}"/>
    <hyperlink ref="A57" r:id="rId56" location="/stock/1831632/5459" display="https://etportfolio.indiatimes.com/pw_companyinfo.cms - /stock/1831632/5459" xr:uid="{4FCB6225-31D6-423D-8ADC-E3755109D700}"/>
    <hyperlink ref="A58" r:id="rId57" location="/stock/1831632/1987283" display="https://etportfolio.indiatimes.com/pw_companyinfo.cms - /stock/1831632/1987283" xr:uid="{C4A24BE3-FA61-4BE6-8467-E7C17446C7A7}"/>
    <hyperlink ref="A59" r:id="rId58" location="/stock/1831632/10878" display="https://etportfolio.indiatimes.com/pw_companyinfo.cms - /stock/1831632/10878" xr:uid="{8BEBC558-47F9-4F15-9D0B-3A1CC581A821}"/>
    <hyperlink ref="A60" r:id="rId59" location="/stock/1831632/8684" display="https://etportfolio.indiatimes.com/pw_companyinfo.cms - /stock/1831632/8684" xr:uid="{F7E83093-09ED-470F-86EF-0187ADCF699F}"/>
    <hyperlink ref="A61" r:id="rId60" location="/stock/1831632/32621" display="https://etportfolio.indiatimes.com/pw_companyinfo.cms - /stock/1831632/32621" xr:uid="{6C76F614-35D9-4DAC-A2AC-3F8DD7C4139F}"/>
    <hyperlink ref="A62" r:id="rId61" location="/stock/1831632/11599" display="https://etportfolio.indiatimes.com/pw_companyinfo.cms - /stock/1831632/11599" xr:uid="{64892D4A-168C-4290-8490-552F8A3D74B0}"/>
    <hyperlink ref="A63" r:id="rId62" location="/stock/1831632/3160" display="https://etportfolio.indiatimes.com/pw_companyinfo.cms - /stock/1831632/3160" xr:uid="{11042943-94D8-44BB-B869-AFB495F21D0A}"/>
    <hyperlink ref="A64" r:id="rId63" location="/stock/1831632/41253" display="https://etportfolio.indiatimes.com/pw_companyinfo.cms - /stock/1831632/41253" xr:uid="{5410FFA0-A7AB-4D1B-AF1D-E9A6A8BDD748}"/>
    <hyperlink ref="A65" r:id="rId64" location="/stock/1831632/21519" display="https://etportfolio.indiatimes.com/pw_companyinfo.cms - /stock/1831632/21519" xr:uid="{12A0FF78-F315-453B-B721-A292D87221C4}"/>
    <hyperlink ref="A66" r:id="rId65" location="/stock/1831632/12358" display="https://etportfolio.indiatimes.com/pw_companyinfo.cms - /stock/1831632/12358" xr:uid="{B5DD1ADB-DA01-482E-AD1E-9A13B716503A}"/>
    <hyperlink ref="A67" r:id="rId66" location="/stock/1831632/10460" display="https://etportfolio.indiatimes.com/pw_companyinfo.cms - /stock/1831632/10460" xr:uid="{D06BB066-ED52-45FA-B536-8295197D1F7D}"/>
    <hyperlink ref="A68" r:id="rId67" location="/stock/1831632/13282" display="https://etportfolio.indiatimes.com/pw_companyinfo.cms - /stock/1831632/13282" xr:uid="{1A7F4D91-ED5E-42FD-8DF6-795E02FE7BF8}"/>
    <hyperlink ref="A69" r:id="rId68" location="/stock/1831632/18903" display="https://etportfolio.indiatimes.com/pw_companyinfo.cms - /stock/1831632/18903" xr:uid="{E8D09488-DF69-493F-A346-D6C93B93548D}"/>
    <hyperlink ref="A70" r:id="rId69" location="/stock/1831632/7829" display="https://etportfolio.indiatimes.com/pw_companyinfo.cms - /stock/1831632/7829" xr:uid="{03E0FC9A-9A90-4899-B610-6F09E1179503}"/>
    <hyperlink ref="A71" r:id="rId70" location="/stock/1831632/13120" display="https://etportfolio.indiatimes.com/pw_companyinfo.cms - /stock/1831632/13120" xr:uid="{4290FFF9-29E5-4140-B631-EC21279E040E}"/>
    <hyperlink ref="A72" r:id="rId71" location="/stock/1831632/2898" display="https://etportfolio.indiatimes.com/pw_companyinfo.cms - /stock/1831632/2898" xr:uid="{43326FC3-1020-4220-8108-B3A217F679D3}"/>
    <hyperlink ref="A73" r:id="rId72" location="/stock/1831632/13102" display="https://etportfolio.indiatimes.com/pw_companyinfo.cms - /stock/1831632/13102" xr:uid="{1549F367-039D-467B-991F-7390B6662DE3}"/>
    <hyperlink ref="A74" r:id="rId73" location="/stock/1831632/19352" display="https://etportfolio.indiatimes.com/pw_companyinfo.cms - /stock/1831632/19352" xr:uid="{14B2AEEF-61AF-4E76-93EE-0939B77564D1}"/>
    <hyperlink ref="A75" r:id="rId74" location="/stock/1831632/11984" display="https://etportfolio.indiatimes.com/pw_companyinfo.cms - /stock/1831632/11984" xr:uid="{812C40AB-FDD7-44FA-BACE-B7D389783FDE}"/>
    <hyperlink ref="A76" r:id="rId75" location="/stock/1831632/9134" display="https://etportfolio.indiatimes.com/pw_companyinfo.cms - /stock/1831632/9134" xr:uid="{A613697E-2AD7-4909-B6B9-3CE97A55FBAF}"/>
    <hyperlink ref="A77" r:id="rId76" location="/stock/1831632/12962" display="https://etportfolio.indiatimes.com/pw_companyinfo.cms - /stock/1831632/12962" xr:uid="{758F2162-B37C-4952-8E20-E764AAE5E433}"/>
    <hyperlink ref="A78" r:id="rId77" location="/stock/1831632/3296" display="https://etportfolio.indiatimes.com/pw_companyinfo.cms - /stock/1831632/3296" xr:uid="{5FD54CDE-8590-4DD9-B55A-B260D44BC6CA}"/>
    <hyperlink ref="A79" r:id="rId78" location="/stock/1831632/6936" display="https://etportfolio.indiatimes.com/pw_companyinfo.cms - /stock/1831632/6936" xr:uid="{546469D8-584D-4D9A-A230-70B97926E582}"/>
    <hyperlink ref="A80" r:id="rId79" location="/stock/1831632/303" display="https://etportfolio.indiatimes.com/pw_companyinfo.cms - /stock/1831632/303" xr:uid="{5C8F1DB3-094B-418C-B9A4-CCC54A928E48}"/>
    <hyperlink ref="A81" r:id="rId80" location="/stock/1831632/8345" display="https://etportfolio.indiatimes.com/pw_companyinfo.cms - /stock/1831632/8345" xr:uid="{094A531E-DAE2-47D2-9669-6F2554428CAE}"/>
    <hyperlink ref="A82" r:id="rId81" location="/stock/1831632/12929" display="https://etportfolio.indiatimes.com/pw_companyinfo.cms - /stock/1831632/12929" xr:uid="{8AFC3CB1-275B-4A05-8E44-3A1321FBD42B}"/>
    <hyperlink ref="A83" r:id="rId82" location="/stock/1831632/129341111" display="https://etportfolio.indiatimes.com/pw_companyinfo.cms - /stock/1831632/129341111" xr:uid="{E8B96A19-3033-44B8-A149-BE9A965D382C}"/>
    <hyperlink ref="A84" r:id="rId83" location="/stock/1831632/12902" display="https://etportfolio.indiatimes.com/pw_companyinfo.cms - /stock/1831632/12902" xr:uid="{BD092D00-27D2-49CA-AA62-76108099C8F8}"/>
    <hyperlink ref="A85" r:id="rId84" location="/stock/1831632/11221" display="https://etportfolio.indiatimes.com/pw_companyinfo.cms - /stock/1831632/11221" xr:uid="{8170881C-3689-401D-8344-680778FF5F09}"/>
    <hyperlink ref="A86" r:id="rId85" location="/stock/1831632/12903" display="https://etportfolio.indiatimes.com/pw_companyinfo.cms - /stock/1831632/12903" xr:uid="{509E9899-2F8C-4AE6-8950-18DFF873038A}"/>
    <hyperlink ref="A87" r:id="rId86" location="/stock/1831632/6114" display="https://etportfolio.indiatimes.com/pw_companyinfo.cms - /stock/1831632/6114" xr:uid="{CC67CF2F-8C4C-461D-8593-2C4945018787}"/>
    <hyperlink ref="A88" r:id="rId87" location="/stock/1831632/18605" display="https://etportfolio.indiatimes.com/pw_companyinfo.cms - /stock/1831632/18605" xr:uid="{64DDD399-F59E-489C-8BFA-194B7A1CA9BD}"/>
    <hyperlink ref="A89" r:id="rId88" location="/stock/1831632/12799" display="https://etportfolio.indiatimes.com/pw_companyinfo.cms - /stock/1831632/12799" xr:uid="{E013659F-5229-4E64-A345-F123653557BF}"/>
    <hyperlink ref="A90" r:id="rId89" location="/stock/1831632/16552" display="https://etportfolio.indiatimes.com/pw_companyinfo.cms - /stock/1831632/16552" xr:uid="{95F94718-ACDB-4633-8F3E-BF0F2B8BCDD6}"/>
    <hyperlink ref="A91" r:id="rId90" location="/stock/1831632/6816" display="https://etportfolio.indiatimes.com/pw_companyinfo.cms - /stock/1831632/6816" xr:uid="{FEA1475B-D57D-43B0-871E-D29CA093423A}"/>
  </hyperlinks>
  <pageMargins left="0.7" right="0.7" top="0.75" bottom="0.75" header="0.3" footer="0.3"/>
  <pageSetup paperSize="9" orientation="portrait" r:id="rId9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C592-6242-4205-9939-4F50396EE760}">
  <dimension ref="A1:I15"/>
  <sheetViews>
    <sheetView workbookViewId="0">
      <selection activeCell="C2" sqref="C2:H13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>
      <c r="A2" s="77" t="s">
        <v>234</v>
      </c>
      <c r="B2" s="76" t="s">
        <v>235</v>
      </c>
      <c r="C2" s="82">
        <v>3503.7469999999998</v>
      </c>
      <c r="D2" s="82">
        <v>70.709999999999994</v>
      </c>
      <c r="E2" s="82">
        <v>68.494699999999995</v>
      </c>
      <c r="F2" s="82">
        <v>239988.15729999999</v>
      </c>
      <c r="G2" s="82">
        <v>247749.9504</v>
      </c>
      <c r="H2" s="82">
        <v>7761.7930999999999</v>
      </c>
      <c r="I2" s="1">
        <f>H2/F2</f>
        <v>3.2342400505610283E-2</v>
      </c>
    </row>
    <row r="3" spans="1:9">
      <c r="A3" s="77" t="s">
        <v>236</v>
      </c>
      <c r="B3" s="76" t="s">
        <v>237</v>
      </c>
      <c r="C3" s="82">
        <v>11917.200999999999</v>
      </c>
      <c r="D3" s="82">
        <v>64.41</v>
      </c>
      <c r="E3" s="82">
        <v>43.632300000000001</v>
      </c>
      <c r="F3" s="82">
        <v>519974.9093</v>
      </c>
      <c r="G3" s="82">
        <v>767586.91639999999</v>
      </c>
      <c r="H3" s="82">
        <v>247612.00709999999</v>
      </c>
      <c r="I3" s="1">
        <f t="shared" ref="I3:I14" si="0">H3/F3</f>
        <v>0.47619991401765893</v>
      </c>
    </row>
    <row r="4" spans="1:9">
      <c r="A4" s="77" t="s">
        <v>454</v>
      </c>
      <c r="B4" s="76" t="s">
        <v>269</v>
      </c>
      <c r="C4" s="82">
        <v>42.13</v>
      </c>
      <c r="D4" s="82">
        <v>3190.0542999999998</v>
      </c>
      <c r="E4" s="82">
        <v>3151.9090999999999</v>
      </c>
      <c r="F4" s="82">
        <v>132789.93100000001</v>
      </c>
      <c r="G4" s="82">
        <v>134396.9877</v>
      </c>
      <c r="H4" s="82">
        <v>1607.0565999999999</v>
      </c>
      <c r="I4" s="1">
        <f t="shared" si="0"/>
        <v>1.2102247421154242E-2</v>
      </c>
    </row>
    <row r="5" spans="1:9">
      <c r="A5" s="77" t="s">
        <v>441</v>
      </c>
      <c r="B5" s="76" t="s">
        <v>241</v>
      </c>
      <c r="C5" s="82">
        <v>1857.5519999999999</v>
      </c>
      <c r="D5" s="82">
        <v>496.91460000000001</v>
      </c>
      <c r="E5" s="82">
        <v>366.02140000000003</v>
      </c>
      <c r="F5" s="82">
        <v>679903.69869999995</v>
      </c>
      <c r="G5" s="82">
        <v>923044.70909999998</v>
      </c>
      <c r="H5" s="82">
        <v>243141.0104</v>
      </c>
      <c r="I5" s="1">
        <f t="shared" si="0"/>
        <v>0.3576109541173173</v>
      </c>
    </row>
    <row r="6" spans="1:9">
      <c r="A6" s="77" t="s">
        <v>242</v>
      </c>
      <c r="B6" s="76" t="s">
        <v>237</v>
      </c>
      <c r="C6" s="82">
        <v>5856.576</v>
      </c>
      <c r="D6" s="82">
        <v>75.483000000000004</v>
      </c>
      <c r="E6" s="82">
        <v>44.3917</v>
      </c>
      <c r="F6" s="82">
        <v>259983.36480000001</v>
      </c>
      <c r="G6" s="82">
        <v>442071.92619999999</v>
      </c>
      <c r="H6" s="82">
        <v>182088.56140000001</v>
      </c>
      <c r="I6" s="1">
        <f t="shared" si="0"/>
        <v>0.70038543250671859</v>
      </c>
    </row>
    <row r="7" spans="1:9">
      <c r="A7" s="77" t="s">
        <v>272</v>
      </c>
      <c r="B7" s="76" t="s">
        <v>235</v>
      </c>
      <c r="C7" s="82">
        <v>6641.4979999999996</v>
      </c>
      <c r="D7" s="82">
        <v>74.236000000000004</v>
      </c>
      <c r="E7" s="82">
        <v>41.7624</v>
      </c>
      <c r="F7" s="82">
        <v>277364.96380000003</v>
      </c>
      <c r="G7" s="82">
        <v>493038.24550000002</v>
      </c>
      <c r="H7" s="82">
        <v>215673.28169999999</v>
      </c>
      <c r="I7" s="1">
        <f t="shared" si="0"/>
        <v>0.77757939844022927</v>
      </c>
    </row>
    <row r="8" spans="1:9">
      <c r="A8" s="77" t="s">
        <v>244</v>
      </c>
      <c r="B8" s="76" t="s">
        <v>233</v>
      </c>
      <c r="C8" s="82">
        <v>4933.9110000000001</v>
      </c>
      <c r="D8" s="82">
        <v>22.284400000000002</v>
      </c>
      <c r="E8" s="82">
        <v>24.3203</v>
      </c>
      <c r="F8" s="82">
        <v>119994.00049999999</v>
      </c>
      <c r="G8" s="82">
        <v>109949.2463</v>
      </c>
      <c r="H8" s="82">
        <v>-10044.754199999999</v>
      </c>
      <c r="I8" s="1">
        <f t="shared" si="0"/>
        <v>-8.3710470174715113E-2</v>
      </c>
    </row>
    <row r="9" spans="1:9">
      <c r="A9" s="77" t="s">
        <v>246</v>
      </c>
      <c r="B9" s="76" t="s">
        <v>241</v>
      </c>
      <c r="C9" s="82">
        <v>7158.0609999999997</v>
      </c>
      <c r="D9" s="82">
        <v>10.2464</v>
      </c>
      <c r="E9" s="82">
        <v>11.2455</v>
      </c>
      <c r="F9" s="82">
        <v>80495.985000000001</v>
      </c>
      <c r="G9" s="82">
        <v>73344.356199999995</v>
      </c>
      <c r="H9" s="82">
        <v>-7151.6287000000002</v>
      </c>
      <c r="I9" s="1">
        <f t="shared" si="0"/>
        <v>-8.8844539264908678E-2</v>
      </c>
    </row>
    <row r="10" spans="1:9">
      <c r="A10" s="77" t="s">
        <v>250</v>
      </c>
      <c r="B10" s="76" t="s">
        <v>251</v>
      </c>
      <c r="C10" s="82">
        <v>11284.888000000001</v>
      </c>
      <c r="D10" s="82">
        <v>49.4208</v>
      </c>
      <c r="E10" s="82">
        <v>38.630800000000001</v>
      </c>
      <c r="F10" s="82">
        <v>435944.42820000002</v>
      </c>
      <c r="G10" s="82">
        <v>557708.19290000002</v>
      </c>
      <c r="H10" s="82">
        <v>121763.7647</v>
      </c>
      <c r="I10" s="1">
        <f t="shared" si="0"/>
        <v>0.27931029008160174</v>
      </c>
    </row>
    <row r="11" spans="1:9">
      <c r="A11" s="77" t="s">
        <v>274</v>
      </c>
      <c r="B11" s="76" t="s">
        <v>233</v>
      </c>
      <c r="C11" s="82">
        <v>5399.8710000000001</v>
      </c>
      <c r="D11" s="82">
        <v>31.83</v>
      </c>
      <c r="E11" s="82">
        <v>37.036200000000001</v>
      </c>
      <c r="F11" s="82">
        <v>199990.82519999999</v>
      </c>
      <c r="G11" s="82">
        <v>171877.8939</v>
      </c>
      <c r="H11" s="82">
        <v>-28112.9313</v>
      </c>
      <c r="I11" s="1">
        <f t="shared" si="0"/>
        <v>-0.14057110505887349</v>
      </c>
    </row>
    <row r="12" spans="1:9">
      <c r="A12" s="77" t="s">
        <v>455</v>
      </c>
      <c r="B12" s="76" t="s">
        <v>241</v>
      </c>
      <c r="C12" s="82">
        <v>197.84399999999999</v>
      </c>
      <c r="D12" s="82">
        <v>139.74959999999999</v>
      </c>
      <c r="E12" s="82">
        <v>126.3557</v>
      </c>
      <c r="F12" s="82">
        <v>24998.7091</v>
      </c>
      <c r="G12" s="82">
        <v>27648.619900000002</v>
      </c>
      <c r="H12" s="82">
        <v>2649.9108000000001</v>
      </c>
      <c r="I12" s="1">
        <f t="shared" si="0"/>
        <v>0.10600190551439315</v>
      </c>
    </row>
    <row r="13" spans="1:9">
      <c r="A13" s="77" t="s">
        <v>255</v>
      </c>
      <c r="B13" s="76" t="s">
        <v>241</v>
      </c>
      <c r="C13" s="82">
        <v>18996.168000000001</v>
      </c>
      <c r="D13" s="82">
        <v>14.178599999999999</v>
      </c>
      <c r="E13" s="82">
        <v>9.4700000000000006</v>
      </c>
      <c r="F13" s="82">
        <v>179893.71100000001</v>
      </c>
      <c r="G13" s="82">
        <v>269339.06760000001</v>
      </c>
      <c r="H13" s="82">
        <v>89445.356599999999</v>
      </c>
      <c r="I13" s="1">
        <f t="shared" si="0"/>
        <v>0.49721224884843246</v>
      </c>
    </row>
    <row r="14" spans="1:9" ht="15.75" thickBot="1">
      <c r="A14" s="74" t="s">
        <v>11</v>
      </c>
      <c r="B14" s="75"/>
      <c r="C14" s="75">
        <f>SUM(C2:C13)</f>
        <v>77789.447</v>
      </c>
      <c r="D14" s="75"/>
      <c r="E14" s="75"/>
      <c r="F14" s="75">
        <f t="shared" ref="F14:H14" si="1">SUM(F2:F13)</f>
        <v>3151322.6839000001</v>
      </c>
      <c r="G14" s="75">
        <f t="shared" si="1"/>
        <v>4217756.1121000005</v>
      </c>
      <c r="H14" s="75">
        <f t="shared" si="1"/>
        <v>1066433.4282</v>
      </c>
      <c r="I14" s="53">
        <f t="shared" si="0"/>
        <v>0.33840819718284387</v>
      </c>
    </row>
    <row r="15" spans="1:9" ht="15.75" thickTop="1"/>
  </sheetData>
  <hyperlinks>
    <hyperlink ref="A2" r:id="rId1" location="/mf/1831632/15690/NULL" display="https://etportfolio.indiatimes.com/pw_companyinfo.cms - /mf/1831632/15690/NULL" xr:uid="{D3676706-2945-4792-8DB2-A6F0D0A101CF}"/>
    <hyperlink ref="A3" r:id="rId2" location="/mf/1831632/22335/NULL" display="https://etportfolio.indiatimes.com/pw_companyinfo.cms - /mf/1831632/22335/NULL" xr:uid="{21D8ACFD-A023-461A-9428-DCD3BD5DBC18}"/>
    <hyperlink ref="A4" r:id="rId3" location="/mf/1831632/16848/NULL" display="https://etportfolio.indiatimes.com/pw_companyinfo.cms - /mf/1831632/16848/NULL" xr:uid="{21A42545-3A65-44D5-B88C-54D78B546B60}"/>
    <hyperlink ref="A5" r:id="rId4" location="/mf/1831632/16071/NULL" display="https://etportfolio.indiatimes.com/pw_companyinfo.cms - /mf/1831632/16071/NULL" xr:uid="{E8FC12B3-15D2-44C7-B4E2-C821DA21DCCC}"/>
    <hyperlink ref="A6" r:id="rId5" location="/mf/1831632/16617/NULL" display="https://etportfolio.indiatimes.com/pw_companyinfo.cms - /mf/1831632/16617/NULL" xr:uid="{ED734A88-9A6A-4D9E-9A1C-AC14F4540C5A}"/>
    <hyperlink ref="A7" r:id="rId6" location="/mf/1831632/17134/NULL" display="https://etportfolio.indiatimes.com/pw_companyinfo.cms - /mf/1831632/17134/NULL" xr:uid="{69D26690-42ED-4786-8E11-4552F8650D37}"/>
    <hyperlink ref="A8" r:id="rId7" location="/mf/1831632/38228/NULL" display="https://etportfolio.indiatimes.com/pw_companyinfo.cms - /mf/1831632/38228/NULL" xr:uid="{73A853D3-60D6-459F-8BF5-9DF4B42EDCF2}"/>
    <hyperlink ref="A9" r:id="rId8" location="/mf/1831632/41574/NULL" display="https://etportfolio.indiatimes.com/pw_companyinfo.cms - /mf/1831632/41574/NULL" xr:uid="{26444606-DD86-485A-9C08-1137E94C2732}"/>
    <hyperlink ref="A10" r:id="rId9" location="/mf/1831632/19701/NULL" display="https://etportfolio.indiatimes.com/pw_companyinfo.cms - /mf/1831632/19701/NULL" xr:uid="{20CDA03F-0D61-4B1C-8FFE-73D60B0B12A1}"/>
    <hyperlink ref="A11" r:id="rId10" location="/mf/1831632/17348/NULL" display="https://etportfolio.indiatimes.com/pw_companyinfo.cms - /mf/1831632/17348/NULL" xr:uid="{4CD92CBC-C9C7-43F2-A783-A354BDBFDCDA}"/>
    <hyperlink ref="A12" r:id="rId11" location="/mf/1831632/16955/NULL" display="https://etportfolio.indiatimes.com/pw_companyinfo.cms - /mf/1831632/16955/NULL" xr:uid="{F13D5DCC-D645-4064-8F60-CBE5A82F823E}"/>
    <hyperlink ref="A13" r:id="rId12" location="/mf/1831632/36491/NULL" display="https://etportfolio.indiatimes.com/pw_companyinfo.cms - /mf/1831632/36491/NULL" xr:uid="{9F44093E-69DC-425B-A7B6-D1313027BC55}"/>
  </hyperlinks>
  <pageMargins left="0.7" right="0.7" top="0.75" bottom="0.75" header="0.3" footer="0.3"/>
  <pageSetup paperSize="9" orientation="portrait" r:id="rId1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2B13-5187-4FBA-B6A1-5DE650CCD39D}">
  <dimension ref="A1:H93"/>
  <sheetViews>
    <sheetView topLeftCell="A76" workbookViewId="0">
      <selection activeCell="C81" sqref="C81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 ht="15.75" thickBot="1">
      <c r="A2" s="77" t="s">
        <v>352</v>
      </c>
      <c r="B2" s="76">
        <v>25</v>
      </c>
      <c r="C2" s="78">
        <v>2195.1999999999998</v>
      </c>
      <c r="D2" s="78">
        <v>1753.0652</v>
      </c>
      <c r="E2" s="78">
        <v>43826.63</v>
      </c>
      <c r="F2" s="78">
        <v>54880</v>
      </c>
      <c r="G2" s="78">
        <v>11053.37</v>
      </c>
      <c r="H2" s="63">
        <f t="shared" ref="H2:H65" si="0">G2/E2</f>
        <v>0.25220670628793501</v>
      </c>
    </row>
    <row r="3" spans="1:8" ht="15.75" thickBot="1">
      <c r="A3" s="77" t="s">
        <v>353</v>
      </c>
      <c r="B3" s="76">
        <v>13</v>
      </c>
      <c r="C3" s="78">
        <v>3569.85</v>
      </c>
      <c r="D3" s="78">
        <v>2592.5562</v>
      </c>
      <c r="E3" s="78">
        <v>33703.230000000003</v>
      </c>
      <c r="F3" s="78">
        <v>46408.05</v>
      </c>
      <c r="G3" s="78">
        <v>12704.82</v>
      </c>
      <c r="H3" s="63">
        <f t="shared" si="0"/>
        <v>0.37696149597531153</v>
      </c>
    </row>
    <row r="4" spans="1:8" ht="15.75" thickBot="1">
      <c r="A4" s="77" t="s">
        <v>354</v>
      </c>
      <c r="B4" s="76">
        <v>250</v>
      </c>
      <c r="C4" s="76">
        <v>223.3</v>
      </c>
      <c r="D4" s="76">
        <v>183.58799999999999</v>
      </c>
      <c r="E4" s="78">
        <v>45897</v>
      </c>
      <c r="F4" s="78">
        <v>55825</v>
      </c>
      <c r="G4" s="78">
        <v>9928</v>
      </c>
      <c r="H4" s="63">
        <f t="shared" si="0"/>
        <v>0.21631043423317428</v>
      </c>
    </row>
    <row r="5" spans="1:8" ht="15.75" thickBot="1">
      <c r="A5" s="77" t="s">
        <v>355</v>
      </c>
      <c r="B5" s="76">
        <v>12</v>
      </c>
      <c r="C5" s="78">
        <v>3213.1</v>
      </c>
      <c r="D5" s="78">
        <v>2352.6</v>
      </c>
      <c r="E5" s="78">
        <v>28231.200000000001</v>
      </c>
      <c r="F5" s="78">
        <v>38557.199999999997</v>
      </c>
      <c r="G5" s="78">
        <v>10326</v>
      </c>
      <c r="H5" s="63">
        <f t="shared" si="0"/>
        <v>0.36576553600272038</v>
      </c>
    </row>
    <row r="6" spans="1:8" ht="15.75" thickBot="1">
      <c r="A6" s="77" t="s">
        <v>356</v>
      </c>
      <c r="B6" s="76">
        <v>42</v>
      </c>
      <c r="C6" s="78">
        <v>1382.35</v>
      </c>
      <c r="D6" s="78">
        <v>1158.8118999999999</v>
      </c>
      <c r="E6" s="78">
        <v>48670.1</v>
      </c>
      <c r="F6" s="78">
        <v>58058.7</v>
      </c>
      <c r="G6" s="78">
        <v>9388.6</v>
      </c>
      <c r="H6" s="63">
        <f t="shared" si="0"/>
        <v>0.19290282945792181</v>
      </c>
    </row>
    <row r="7" spans="1:8" ht="15.75" thickBot="1">
      <c r="A7" s="77" t="s">
        <v>357</v>
      </c>
      <c r="B7" s="76">
        <v>9</v>
      </c>
      <c r="C7" s="78">
        <v>4233.05</v>
      </c>
      <c r="D7" s="78">
        <v>2894.4322000000002</v>
      </c>
      <c r="E7" s="78">
        <v>26049.89</v>
      </c>
      <c r="F7" s="78">
        <v>38097.449999999997</v>
      </c>
      <c r="G7" s="78">
        <v>12047.56</v>
      </c>
      <c r="H7" s="63">
        <f t="shared" si="0"/>
        <v>0.46248026383220814</v>
      </c>
    </row>
    <row r="8" spans="1:8" ht="15.75" thickBot="1">
      <c r="A8" s="77" t="s">
        <v>358</v>
      </c>
      <c r="B8" s="76">
        <v>76</v>
      </c>
      <c r="C8" s="76">
        <v>795.9</v>
      </c>
      <c r="D8" s="76">
        <v>603.67700000000002</v>
      </c>
      <c r="E8" s="78">
        <v>45879.45</v>
      </c>
      <c r="F8" s="78">
        <v>60488.4</v>
      </c>
      <c r="G8" s="78">
        <v>14608.95</v>
      </c>
      <c r="H8" s="63">
        <f t="shared" si="0"/>
        <v>0.31842033851757162</v>
      </c>
    </row>
    <row r="9" spans="1:8" ht="15.75" thickBot="1">
      <c r="A9" s="77" t="s">
        <v>359</v>
      </c>
      <c r="B9" s="76">
        <v>21</v>
      </c>
      <c r="C9" s="78">
        <v>3576</v>
      </c>
      <c r="D9" s="78">
        <v>2714.0237999999999</v>
      </c>
      <c r="E9" s="78">
        <v>56994.5</v>
      </c>
      <c r="F9" s="78">
        <v>75096</v>
      </c>
      <c r="G9" s="78">
        <v>18101.5</v>
      </c>
      <c r="H9" s="63">
        <f t="shared" si="0"/>
        <v>0.31760082113186361</v>
      </c>
    </row>
    <row r="10" spans="1:8" ht="15.75" thickBot="1">
      <c r="A10" s="77" t="s">
        <v>360</v>
      </c>
      <c r="B10" s="76">
        <v>1</v>
      </c>
      <c r="C10" s="78">
        <v>7212.8</v>
      </c>
      <c r="D10" s="78">
        <v>7545</v>
      </c>
      <c r="E10" s="78">
        <v>7545</v>
      </c>
      <c r="F10" s="78">
        <v>7212.8</v>
      </c>
      <c r="G10" s="76">
        <v>-332.2</v>
      </c>
      <c r="H10" s="63">
        <f t="shared" si="0"/>
        <v>-4.4029158383035123E-2</v>
      </c>
    </row>
    <row r="11" spans="1:8" ht="15.75" thickBot="1">
      <c r="A11" s="77" t="s">
        <v>361</v>
      </c>
      <c r="B11" s="76">
        <v>10</v>
      </c>
      <c r="C11" s="78">
        <v>2351.1999999999998</v>
      </c>
      <c r="D11" s="78">
        <v>1889.8620000000001</v>
      </c>
      <c r="E11" s="78">
        <v>18898.62</v>
      </c>
      <c r="F11" s="78">
        <v>23512</v>
      </c>
      <c r="G11" s="78">
        <v>4613.38</v>
      </c>
      <c r="H11" s="63">
        <f t="shared" si="0"/>
        <v>0.24411200394526164</v>
      </c>
    </row>
    <row r="12" spans="1:8" ht="15.75" thickBot="1">
      <c r="A12" s="77" t="s">
        <v>362</v>
      </c>
      <c r="B12" s="76">
        <v>180</v>
      </c>
      <c r="C12" s="76">
        <v>728.8</v>
      </c>
      <c r="D12" s="76">
        <v>322.88889999999998</v>
      </c>
      <c r="E12" s="78">
        <v>58120</v>
      </c>
      <c r="F12" s="78">
        <v>131184</v>
      </c>
      <c r="G12" s="78">
        <v>73064</v>
      </c>
      <c r="H12" s="63">
        <f t="shared" si="0"/>
        <v>1.2571231933929801</v>
      </c>
    </row>
    <row r="13" spans="1:8" ht="15.75" thickBot="1">
      <c r="A13" s="77" t="s">
        <v>363</v>
      </c>
      <c r="B13" s="76">
        <v>54</v>
      </c>
      <c r="C13" s="76">
        <v>507.5</v>
      </c>
      <c r="D13" s="76">
        <v>414.23329999999999</v>
      </c>
      <c r="E13" s="78">
        <v>22368.6</v>
      </c>
      <c r="F13" s="78">
        <v>27405</v>
      </c>
      <c r="G13" s="78">
        <v>5036.3999999999996</v>
      </c>
      <c r="H13" s="63">
        <f t="shared" si="0"/>
        <v>0.2251549046431158</v>
      </c>
    </row>
    <row r="14" spans="1:8" ht="15.75" thickBot="1">
      <c r="A14" s="77" t="s">
        <v>364</v>
      </c>
      <c r="B14" s="76">
        <v>10</v>
      </c>
      <c r="C14" s="78">
        <v>3625.25</v>
      </c>
      <c r="D14" s="78">
        <v>3553.9</v>
      </c>
      <c r="E14" s="78">
        <v>35539</v>
      </c>
      <c r="F14" s="78">
        <v>36252.5</v>
      </c>
      <c r="G14" s="76">
        <v>713.5</v>
      </c>
      <c r="H14" s="63">
        <f t="shared" si="0"/>
        <v>2.0076535636905934E-2</v>
      </c>
    </row>
    <row r="15" spans="1:8" ht="15.75" thickBot="1">
      <c r="A15" s="77" t="s">
        <v>365</v>
      </c>
      <c r="B15" s="76">
        <v>180</v>
      </c>
      <c r="C15" s="76">
        <v>124.9</v>
      </c>
      <c r="D15" s="76">
        <v>155.25</v>
      </c>
      <c r="E15" s="78">
        <v>27945</v>
      </c>
      <c r="F15" s="78">
        <v>22482</v>
      </c>
      <c r="G15" s="78">
        <v>-5463</v>
      </c>
      <c r="H15" s="63">
        <f t="shared" si="0"/>
        <v>-0.19549114331723028</v>
      </c>
    </row>
    <row r="16" spans="1:8" ht="15.75" thickBot="1">
      <c r="A16" s="77" t="s">
        <v>442</v>
      </c>
      <c r="B16" s="76">
        <v>66</v>
      </c>
      <c r="C16" s="76">
        <v>414.05</v>
      </c>
      <c r="D16" s="76">
        <v>412</v>
      </c>
      <c r="E16" s="78">
        <v>27192</v>
      </c>
      <c r="F16" s="78">
        <v>27327.3</v>
      </c>
      <c r="G16" s="76">
        <v>135.30000000000001</v>
      </c>
      <c r="H16" s="63">
        <f t="shared" si="0"/>
        <v>4.9757281553398066E-3</v>
      </c>
    </row>
    <row r="17" spans="1:8" ht="15.75" thickBot="1">
      <c r="A17" s="77" t="s">
        <v>366</v>
      </c>
      <c r="B17" s="76">
        <v>43</v>
      </c>
      <c r="C17" s="76">
        <v>956.5</v>
      </c>
      <c r="D17" s="76">
        <v>701.07399999999996</v>
      </c>
      <c r="E17" s="78">
        <v>30146.18</v>
      </c>
      <c r="F17" s="78">
        <v>41129.5</v>
      </c>
      <c r="G17" s="78">
        <v>10983.32</v>
      </c>
      <c r="H17" s="63">
        <f t="shared" si="0"/>
        <v>0.36433538179630054</v>
      </c>
    </row>
    <row r="18" spans="1:8" ht="15.75" thickBot="1">
      <c r="A18" s="77" t="s">
        <v>367</v>
      </c>
      <c r="B18" s="76">
        <v>250</v>
      </c>
      <c r="C18" s="76">
        <v>164</v>
      </c>
      <c r="D18" s="76">
        <v>163.66999999999999</v>
      </c>
      <c r="E18" s="78">
        <v>40917.5</v>
      </c>
      <c r="F18" s="78">
        <v>41000</v>
      </c>
      <c r="G18" s="76">
        <v>82.5</v>
      </c>
      <c r="H18" s="63">
        <f t="shared" si="0"/>
        <v>2.0162522148225088E-3</v>
      </c>
    </row>
    <row r="19" spans="1:8" ht="15.75" thickBot="1">
      <c r="A19" s="77" t="s">
        <v>368</v>
      </c>
      <c r="B19" s="76">
        <v>3</v>
      </c>
      <c r="C19" s="78">
        <v>4779.3</v>
      </c>
      <c r="D19" s="78">
        <v>4763.5</v>
      </c>
      <c r="E19" s="78">
        <v>14290.5</v>
      </c>
      <c r="F19" s="78">
        <v>14337.9</v>
      </c>
      <c r="G19" s="76">
        <v>47.4</v>
      </c>
      <c r="H19" s="63">
        <f t="shared" si="0"/>
        <v>3.3168888422378503E-3</v>
      </c>
    </row>
    <row r="20" spans="1:8" ht="15.75" thickBot="1">
      <c r="A20" s="77" t="s">
        <v>369</v>
      </c>
      <c r="B20" s="76">
        <v>24</v>
      </c>
      <c r="C20" s="78">
        <v>1441.9</v>
      </c>
      <c r="D20" s="78">
        <v>1566.1353999999999</v>
      </c>
      <c r="E20" s="78">
        <v>37587.25</v>
      </c>
      <c r="F20" s="78">
        <v>34605.599999999999</v>
      </c>
      <c r="G20" s="78">
        <v>-2981.65</v>
      </c>
      <c r="H20" s="63">
        <f t="shared" si="0"/>
        <v>-7.9326101271042712E-2</v>
      </c>
    </row>
    <row r="21" spans="1:8" ht="15.75" thickBot="1">
      <c r="A21" s="77" t="s">
        <v>370</v>
      </c>
      <c r="B21" s="76">
        <v>57</v>
      </c>
      <c r="C21" s="76">
        <v>551.4</v>
      </c>
      <c r="D21" s="76">
        <v>565.98050000000001</v>
      </c>
      <c r="E21" s="78">
        <v>32260.89</v>
      </c>
      <c r="F21" s="78">
        <v>31429.8</v>
      </c>
      <c r="G21" s="76">
        <v>-831.09</v>
      </c>
      <c r="H21" s="63">
        <f t="shared" si="0"/>
        <v>-2.5761533547276595E-2</v>
      </c>
    </row>
    <row r="22" spans="1:8" ht="15.75" thickBot="1">
      <c r="A22" s="77" t="s">
        <v>371</v>
      </c>
      <c r="B22" s="76">
        <v>11</v>
      </c>
      <c r="C22" s="78">
        <v>4151.8</v>
      </c>
      <c r="D22" s="78">
        <v>2298.1581999999999</v>
      </c>
      <c r="E22" s="78">
        <v>25279.74</v>
      </c>
      <c r="F22" s="78">
        <v>45669.8</v>
      </c>
      <c r="G22" s="78">
        <v>20390.060000000001</v>
      </c>
      <c r="H22" s="63">
        <f t="shared" si="0"/>
        <v>0.8065771246065031</v>
      </c>
    </row>
    <row r="23" spans="1:8" ht="15.75" thickBot="1">
      <c r="A23" s="77" t="s">
        <v>372</v>
      </c>
      <c r="B23" s="76">
        <v>55</v>
      </c>
      <c r="C23" s="76">
        <v>407.25</v>
      </c>
      <c r="D23" s="76">
        <v>325.14240000000001</v>
      </c>
      <c r="E23" s="78">
        <v>17882.830000000002</v>
      </c>
      <c r="F23" s="78">
        <v>22398.75</v>
      </c>
      <c r="G23" s="78">
        <v>4515.92</v>
      </c>
      <c r="H23" s="63">
        <f t="shared" si="0"/>
        <v>0.25252826314403254</v>
      </c>
    </row>
    <row r="24" spans="1:8" ht="15.75" thickBot="1">
      <c r="A24" s="77" t="s">
        <v>373</v>
      </c>
      <c r="B24" s="76">
        <v>2</v>
      </c>
      <c r="C24" s="78">
        <v>3070.75</v>
      </c>
      <c r="D24" s="78">
        <v>3639.8</v>
      </c>
      <c r="E24" s="78">
        <v>7279.6</v>
      </c>
      <c r="F24" s="78">
        <v>6141.5</v>
      </c>
      <c r="G24" s="78">
        <v>-1138.0999999999999</v>
      </c>
      <c r="H24" s="63">
        <f t="shared" si="0"/>
        <v>-0.15634100774767842</v>
      </c>
    </row>
    <row r="25" spans="1:8" ht="15.75" thickBot="1">
      <c r="A25" s="77" t="s">
        <v>374</v>
      </c>
      <c r="B25" s="76">
        <v>9</v>
      </c>
      <c r="C25" s="78">
        <v>2717.75</v>
      </c>
      <c r="D25" s="78">
        <v>2478.4544000000001</v>
      </c>
      <c r="E25" s="78">
        <v>22306.09</v>
      </c>
      <c r="F25" s="78">
        <v>24459.75</v>
      </c>
      <c r="G25" s="78">
        <v>2153.66</v>
      </c>
      <c r="H25" s="63">
        <f t="shared" si="0"/>
        <v>9.6550314286367525E-2</v>
      </c>
    </row>
    <row r="26" spans="1:8" ht="15.75" thickBot="1">
      <c r="A26" s="77" t="s">
        <v>375</v>
      </c>
      <c r="B26" s="76">
        <v>61</v>
      </c>
      <c r="C26" s="76">
        <v>370.68</v>
      </c>
      <c r="D26" s="76">
        <v>360.97</v>
      </c>
      <c r="E26" s="78">
        <v>22019.17</v>
      </c>
      <c r="F26" s="78">
        <v>22611.48</v>
      </c>
      <c r="G26" s="76">
        <v>592.30999999999995</v>
      </c>
      <c r="H26" s="63">
        <f t="shared" si="0"/>
        <v>2.6899742360861012E-2</v>
      </c>
    </row>
    <row r="27" spans="1:8" ht="15.75" thickBot="1">
      <c r="A27" s="77" t="s">
        <v>376</v>
      </c>
      <c r="B27" s="76">
        <v>19</v>
      </c>
      <c r="C27" s="78">
        <v>1632.55</v>
      </c>
      <c r="D27" s="78">
        <v>1458.7642000000001</v>
      </c>
      <c r="E27" s="78">
        <v>27716.52</v>
      </c>
      <c r="F27" s="78">
        <v>31018.45</v>
      </c>
      <c r="G27" s="78">
        <v>3301.93</v>
      </c>
      <c r="H27" s="63">
        <f t="shared" si="0"/>
        <v>0.11913219985770218</v>
      </c>
    </row>
    <row r="28" spans="1:8" ht="15.75" thickBot="1">
      <c r="A28" s="77" t="s">
        <v>377</v>
      </c>
      <c r="B28" s="76">
        <v>86</v>
      </c>
      <c r="C28" s="76">
        <v>704.55</v>
      </c>
      <c r="D28" s="76">
        <v>714.27210000000002</v>
      </c>
      <c r="E28" s="78">
        <v>61427.4</v>
      </c>
      <c r="F28" s="78">
        <v>60591.3</v>
      </c>
      <c r="G28" s="76">
        <v>-836.1</v>
      </c>
      <c r="H28" s="63">
        <f t="shared" si="0"/>
        <v>-1.3611189794782133E-2</v>
      </c>
    </row>
    <row r="29" spans="1:8" ht="15.75" thickBot="1">
      <c r="A29" s="77" t="s">
        <v>378</v>
      </c>
      <c r="B29" s="76">
        <v>308</v>
      </c>
      <c r="C29" s="76">
        <v>176.5</v>
      </c>
      <c r="D29" s="76">
        <v>190.13929999999999</v>
      </c>
      <c r="E29" s="78">
        <v>58562.91</v>
      </c>
      <c r="F29" s="78">
        <v>54362</v>
      </c>
      <c r="G29" s="78">
        <v>-4200.91</v>
      </c>
      <c r="H29" s="63">
        <f t="shared" si="0"/>
        <v>-7.1733286477738203E-2</v>
      </c>
    </row>
    <row r="30" spans="1:8" ht="15.75" thickBot="1">
      <c r="A30" s="77" t="s">
        <v>379</v>
      </c>
      <c r="B30" s="76">
        <v>539</v>
      </c>
      <c r="C30" s="76">
        <v>101.35</v>
      </c>
      <c r="D30" s="76">
        <v>67.680999999999997</v>
      </c>
      <c r="E30" s="78">
        <v>36480.080000000002</v>
      </c>
      <c r="F30" s="78">
        <v>54627.65</v>
      </c>
      <c r="G30" s="78">
        <v>18147.57</v>
      </c>
      <c r="H30" s="63">
        <f t="shared" si="0"/>
        <v>0.49746519196229827</v>
      </c>
    </row>
    <row r="31" spans="1:8" ht="15.75" thickBot="1">
      <c r="A31" s="77" t="s">
        <v>444</v>
      </c>
      <c r="B31" s="76">
        <v>129</v>
      </c>
      <c r="C31" s="76">
        <v>181.9</v>
      </c>
      <c r="D31" s="76">
        <v>209.97</v>
      </c>
      <c r="E31" s="78">
        <v>27086.13</v>
      </c>
      <c r="F31" s="78">
        <v>23465.1</v>
      </c>
      <c r="G31" s="78">
        <v>-3621.03</v>
      </c>
      <c r="H31" s="63">
        <f t="shared" si="0"/>
        <v>-0.13368576463304283</v>
      </c>
    </row>
    <row r="32" spans="1:8" ht="15.75" thickBot="1">
      <c r="A32" s="77" t="s">
        <v>380</v>
      </c>
      <c r="B32" s="76">
        <v>82</v>
      </c>
      <c r="C32" s="76">
        <v>142.9</v>
      </c>
      <c r="D32" s="76">
        <v>153.60990000000001</v>
      </c>
      <c r="E32" s="78">
        <v>12596.01</v>
      </c>
      <c r="F32" s="78">
        <v>11717.8</v>
      </c>
      <c r="G32" s="76">
        <v>-878.21</v>
      </c>
      <c r="H32" s="63">
        <f t="shared" si="0"/>
        <v>-6.9721284756045762E-2</v>
      </c>
    </row>
    <row r="33" spans="1:8" ht="15.75" thickBot="1">
      <c r="A33" s="77" t="s">
        <v>382</v>
      </c>
      <c r="B33" s="76">
        <v>11</v>
      </c>
      <c r="C33" s="78">
        <v>3500</v>
      </c>
      <c r="D33" s="78">
        <v>3984.3</v>
      </c>
      <c r="E33" s="78">
        <v>43827.3</v>
      </c>
      <c r="F33" s="78">
        <v>38500</v>
      </c>
      <c r="G33" s="78">
        <v>-5327.3</v>
      </c>
      <c r="H33" s="63">
        <f t="shared" si="0"/>
        <v>-0.12155209196094671</v>
      </c>
    </row>
    <row r="34" spans="1:8" ht="15.75" thickBot="1">
      <c r="A34" s="77" t="s">
        <v>383</v>
      </c>
      <c r="B34" s="76">
        <v>13</v>
      </c>
      <c r="C34" s="78">
        <v>1743.85</v>
      </c>
      <c r="D34" s="78">
        <v>1617.2192</v>
      </c>
      <c r="E34" s="78">
        <v>21023.85</v>
      </c>
      <c r="F34" s="78">
        <v>22670.05</v>
      </c>
      <c r="G34" s="78">
        <v>1646.2</v>
      </c>
      <c r="H34" s="63">
        <f t="shared" si="0"/>
        <v>7.8301548003814725E-2</v>
      </c>
    </row>
    <row r="35" spans="1:8" ht="15.75" thickBot="1">
      <c r="A35" s="77" t="s">
        <v>384</v>
      </c>
      <c r="B35" s="76">
        <v>22</v>
      </c>
      <c r="C35" s="78">
        <v>1145.95</v>
      </c>
      <c r="D35" s="78">
        <v>1111.0027</v>
      </c>
      <c r="E35" s="78">
        <v>24442.06</v>
      </c>
      <c r="F35" s="78">
        <v>25210.9</v>
      </c>
      <c r="G35" s="76">
        <v>768.84</v>
      </c>
      <c r="H35" s="63">
        <f t="shared" si="0"/>
        <v>3.1455613806692234E-2</v>
      </c>
    </row>
    <row r="36" spans="1:8" ht="15.75" thickBot="1">
      <c r="A36" s="77" t="s">
        <v>385</v>
      </c>
      <c r="B36" s="76">
        <v>52</v>
      </c>
      <c r="C36" s="78">
        <v>1513.5</v>
      </c>
      <c r="D36" s="78">
        <v>1371.7106000000001</v>
      </c>
      <c r="E36" s="78">
        <v>71328.95</v>
      </c>
      <c r="F36" s="78">
        <v>78702</v>
      </c>
      <c r="G36" s="78">
        <v>7373.05</v>
      </c>
      <c r="H36" s="63">
        <f t="shared" si="0"/>
        <v>0.10336686576768619</v>
      </c>
    </row>
    <row r="37" spans="1:8" ht="15.75" thickBot="1">
      <c r="A37" s="77" t="s">
        <v>386</v>
      </c>
      <c r="B37" s="76">
        <v>63</v>
      </c>
      <c r="C37" s="76">
        <v>632.20000000000005</v>
      </c>
      <c r="D37" s="76">
        <v>670.28650000000005</v>
      </c>
      <c r="E37" s="78">
        <v>42228.05</v>
      </c>
      <c r="F37" s="78">
        <v>39828.6</v>
      </c>
      <c r="G37" s="78">
        <v>-2399.4499999999998</v>
      </c>
      <c r="H37" s="63">
        <f t="shared" si="0"/>
        <v>-5.6821236121487963E-2</v>
      </c>
    </row>
    <row r="38" spans="1:8" ht="15.75" thickBot="1">
      <c r="A38" s="77" t="s">
        <v>387</v>
      </c>
      <c r="B38" s="76">
        <v>10</v>
      </c>
      <c r="C38" s="78">
        <v>2733.4</v>
      </c>
      <c r="D38" s="78">
        <v>2914.2950000000001</v>
      </c>
      <c r="E38" s="78">
        <v>29142.95</v>
      </c>
      <c r="F38" s="78">
        <v>27334</v>
      </c>
      <c r="G38" s="78">
        <v>-1808.95</v>
      </c>
      <c r="H38" s="63">
        <f t="shared" si="0"/>
        <v>-6.2071615948282519E-2</v>
      </c>
    </row>
    <row r="39" spans="1:8" ht="15.75" thickBot="1">
      <c r="A39" s="77" t="s">
        <v>390</v>
      </c>
      <c r="B39" s="76">
        <v>12</v>
      </c>
      <c r="C39" s="78">
        <v>2305.8000000000002</v>
      </c>
      <c r="D39" s="78">
        <v>2357.7874999999999</v>
      </c>
      <c r="E39" s="78">
        <v>28293.45</v>
      </c>
      <c r="F39" s="78">
        <v>27669.599999999999</v>
      </c>
      <c r="G39" s="76">
        <v>-623.85</v>
      </c>
      <c r="H39" s="63">
        <f t="shared" si="0"/>
        <v>-2.2049272888247987E-2</v>
      </c>
    </row>
    <row r="40" spans="1:8" ht="15.75" thickBot="1">
      <c r="A40" s="77" t="s">
        <v>391</v>
      </c>
      <c r="B40" s="76">
        <v>68</v>
      </c>
      <c r="C40" s="76">
        <v>814.8</v>
      </c>
      <c r="D40" s="76">
        <v>507.12970000000001</v>
      </c>
      <c r="E40" s="78">
        <v>34484.82</v>
      </c>
      <c r="F40" s="78">
        <v>55406.400000000001</v>
      </c>
      <c r="G40" s="78">
        <v>20921.580000000002</v>
      </c>
      <c r="H40" s="63">
        <f t="shared" si="0"/>
        <v>0.60668955209857556</v>
      </c>
    </row>
    <row r="41" spans="1:8" ht="15.75" thickBot="1">
      <c r="A41" s="77" t="s">
        <v>392</v>
      </c>
      <c r="B41" s="76">
        <v>29</v>
      </c>
      <c r="C41" s="78">
        <v>1383.35</v>
      </c>
      <c r="D41" s="78">
        <v>1450.8548000000001</v>
      </c>
      <c r="E41" s="78">
        <v>42074.79</v>
      </c>
      <c r="F41" s="78">
        <v>40117.15</v>
      </c>
      <c r="G41" s="78">
        <v>-1957.64</v>
      </c>
      <c r="H41" s="63">
        <f t="shared" si="0"/>
        <v>-4.6527623786119909E-2</v>
      </c>
    </row>
    <row r="42" spans="1:8" ht="15.75" thickBot="1">
      <c r="A42" s="77" t="s">
        <v>393</v>
      </c>
      <c r="B42" s="76">
        <v>57</v>
      </c>
      <c r="C42" s="76">
        <v>560.4</v>
      </c>
      <c r="D42" s="76">
        <v>539.35180000000003</v>
      </c>
      <c r="E42" s="78">
        <v>30743.05</v>
      </c>
      <c r="F42" s="78">
        <v>31942.799999999999</v>
      </c>
      <c r="G42" s="78">
        <v>1199.75</v>
      </c>
      <c r="H42" s="63">
        <f t="shared" si="0"/>
        <v>3.902508046534095E-2</v>
      </c>
    </row>
    <row r="43" spans="1:8" ht="15.75" thickBot="1">
      <c r="A43" s="77" t="s">
        <v>394</v>
      </c>
      <c r="B43" s="76">
        <v>53</v>
      </c>
      <c r="C43" s="76">
        <v>947.5</v>
      </c>
      <c r="D43" s="78">
        <v>1035.0193999999999</v>
      </c>
      <c r="E43" s="78">
        <v>54856.03</v>
      </c>
      <c r="F43" s="78">
        <v>50217.5</v>
      </c>
      <c r="G43" s="78">
        <v>-4638.53</v>
      </c>
      <c r="H43" s="63">
        <f t="shared" si="0"/>
        <v>-8.4558251845786137E-2</v>
      </c>
    </row>
    <row r="44" spans="1:8" ht="15.75" thickBot="1">
      <c r="A44" s="77" t="s">
        <v>395</v>
      </c>
      <c r="B44" s="76">
        <v>17</v>
      </c>
      <c r="C44" s="78">
        <v>1780.75</v>
      </c>
      <c r="D44" s="78">
        <v>1673.3146999999999</v>
      </c>
      <c r="E44" s="78">
        <v>28446.35</v>
      </c>
      <c r="F44" s="78">
        <v>30272.75</v>
      </c>
      <c r="G44" s="78">
        <v>1826.4</v>
      </c>
      <c r="H44" s="63">
        <f t="shared" si="0"/>
        <v>6.4205073761660111E-2</v>
      </c>
    </row>
    <row r="45" spans="1:8" ht="15.75" thickBot="1">
      <c r="A45" s="77" t="s">
        <v>445</v>
      </c>
      <c r="B45" s="76">
        <v>40</v>
      </c>
      <c r="C45" s="78">
        <v>1047.95</v>
      </c>
      <c r="D45" s="76">
        <v>996.97069999999997</v>
      </c>
      <c r="E45" s="78">
        <v>39878.83</v>
      </c>
      <c r="F45" s="78">
        <v>41918</v>
      </c>
      <c r="G45" s="78">
        <v>2039.17</v>
      </c>
      <c r="H45" s="63">
        <f t="shared" si="0"/>
        <v>5.113414811818702E-2</v>
      </c>
    </row>
    <row r="46" spans="1:8" ht="15.75" thickBot="1">
      <c r="A46" s="77" t="s">
        <v>396</v>
      </c>
      <c r="B46" s="76">
        <v>720</v>
      </c>
      <c r="C46" s="76">
        <v>230.2</v>
      </c>
      <c r="D46" s="76">
        <v>224.7302</v>
      </c>
      <c r="E46" s="78">
        <v>161805.75</v>
      </c>
      <c r="F46" s="78">
        <v>165744</v>
      </c>
      <c r="G46" s="78">
        <v>3938.25</v>
      </c>
      <c r="H46" s="63">
        <f t="shared" si="0"/>
        <v>2.4339369892602703E-2</v>
      </c>
    </row>
    <row r="47" spans="1:8" ht="15.75" thickBot="1">
      <c r="A47" s="77" t="s">
        <v>397</v>
      </c>
      <c r="B47" s="76">
        <v>21</v>
      </c>
      <c r="C47" s="78">
        <v>1800.6</v>
      </c>
      <c r="D47" s="76">
        <v>815.2681</v>
      </c>
      <c r="E47" s="78">
        <v>17120.63</v>
      </c>
      <c r="F47" s="78">
        <v>37812.6</v>
      </c>
      <c r="G47" s="78">
        <v>20691.97</v>
      </c>
      <c r="H47" s="63">
        <f t="shared" si="0"/>
        <v>1.2085986321765028</v>
      </c>
    </row>
    <row r="48" spans="1:8" ht="15.75" thickBot="1">
      <c r="A48" s="77" t="s">
        <v>456</v>
      </c>
      <c r="B48" s="76">
        <v>46</v>
      </c>
      <c r="C48" s="76">
        <v>589.6</v>
      </c>
      <c r="D48" s="76">
        <v>590.95000000000005</v>
      </c>
      <c r="E48" s="78">
        <v>27183.7</v>
      </c>
      <c r="F48" s="78">
        <v>27121.599999999999</v>
      </c>
      <c r="G48" s="76">
        <v>-62.1</v>
      </c>
      <c r="H48" s="63">
        <f t="shared" si="0"/>
        <v>-2.284457229884085E-3</v>
      </c>
    </row>
    <row r="49" spans="1:8" ht="15.75" thickBot="1">
      <c r="A49" s="77" t="s">
        <v>446</v>
      </c>
      <c r="B49" s="76">
        <v>229</v>
      </c>
      <c r="C49" s="76">
        <v>141.65</v>
      </c>
      <c r="D49" s="76">
        <v>151.5317</v>
      </c>
      <c r="E49" s="78">
        <v>34700.76</v>
      </c>
      <c r="F49" s="78">
        <v>32437.85</v>
      </c>
      <c r="G49" s="78">
        <v>-2262.91</v>
      </c>
      <c r="H49" s="63">
        <f t="shared" si="0"/>
        <v>-6.5212116391687086E-2</v>
      </c>
    </row>
    <row r="50" spans="1:8" ht="15.75" thickBot="1">
      <c r="A50" s="77" t="s">
        <v>447</v>
      </c>
      <c r="B50" s="76">
        <v>117</v>
      </c>
      <c r="C50" s="76">
        <v>230.5</v>
      </c>
      <c r="D50" s="76">
        <v>233</v>
      </c>
      <c r="E50" s="78">
        <v>27261</v>
      </c>
      <c r="F50" s="78">
        <v>26968.5</v>
      </c>
      <c r="G50" s="76">
        <v>-292.5</v>
      </c>
      <c r="H50" s="63">
        <f t="shared" si="0"/>
        <v>-1.0729613733905579E-2</v>
      </c>
    </row>
    <row r="51" spans="1:8" ht="15.75" thickBot="1">
      <c r="A51" s="77" t="s">
        <v>398</v>
      </c>
      <c r="B51" s="76">
        <v>40</v>
      </c>
      <c r="C51" s="78">
        <v>1931.2</v>
      </c>
      <c r="D51" s="78">
        <v>1657.1575</v>
      </c>
      <c r="E51" s="78">
        <v>66286.3</v>
      </c>
      <c r="F51" s="78">
        <v>77248</v>
      </c>
      <c r="G51" s="78">
        <v>10961.7</v>
      </c>
      <c r="H51" s="63">
        <f t="shared" si="0"/>
        <v>0.16536901290311876</v>
      </c>
    </row>
    <row r="52" spans="1:8" ht="15.75" thickBot="1">
      <c r="A52" s="77" t="s">
        <v>400</v>
      </c>
      <c r="B52" s="76">
        <v>3</v>
      </c>
      <c r="C52" s="78">
        <v>6341</v>
      </c>
      <c r="D52" s="78">
        <v>4623.8167000000003</v>
      </c>
      <c r="E52" s="78">
        <v>13871.45</v>
      </c>
      <c r="F52" s="78">
        <v>19023</v>
      </c>
      <c r="G52" s="78">
        <v>5151.55</v>
      </c>
      <c r="H52" s="63">
        <f t="shared" si="0"/>
        <v>0.37137790209386906</v>
      </c>
    </row>
    <row r="53" spans="1:8" ht="15.75" thickBot="1">
      <c r="A53" s="77" t="s">
        <v>401</v>
      </c>
      <c r="B53" s="76">
        <v>62</v>
      </c>
      <c r="C53" s="78">
        <v>1995.3</v>
      </c>
      <c r="D53" s="78">
        <v>1053.2161000000001</v>
      </c>
      <c r="E53" s="78">
        <v>65299.4</v>
      </c>
      <c r="F53" s="78">
        <v>123708.6</v>
      </c>
      <c r="G53" s="78">
        <v>58409.2</v>
      </c>
      <c r="H53" s="63">
        <f t="shared" si="0"/>
        <v>0.89448295083875184</v>
      </c>
    </row>
    <row r="54" spans="1:8" ht="15.75" thickBot="1">
      <c r="A54" s="77" t="s">
        <v>402</v>
      </c>
      <c r="B54" s="76">
        <v>25</v>
      </c>
      <c r="C54" s="76">
        <v>876.95</v>
      </c>
      <c r="D54" s="76">
        <v>774.66399999999999</v>
      </c>
      <c r="E54" s="78">
        <v>19366.599999999999</v>
      </c>
      <c r="F54" s="78">
        <v>21923.75</v>
      </c>
      <c r="G54" s="78">
        <v>2557.15</v>
      </c>
      <c r="H54" s="63">
        <f t="shared" si="0"/>
        <v>0.13203918085776545</v>
      </c>
    </row>
    <row r="55" spans="1:8" ht="15.75" thickBot="1">
      <c r="A55" s="77" t="s">
        <v>403</v>
      </c>
      <c r="B55" s="76">
        <v>97</v>
      </c>
      <c r="C55" s="76">
        <v>215</v>
      </c>
      <c r="D55" s="76">
        <v>186.7567</v>
      </c>
      <c r="E55" s="78">
        <v>18115.400000000001</v>
      </c>
      <c r="F55" s="78">
        <v>20855</v>
      </c>
      <c r="G55" s="78">
        <v>2739.6</v>
      </c>
      <c r="H55" s="63">
        <f t="shared" si="0"/>
        <v>0.15123044481490885</v>
      </c>
    </row>
    <row r="56" spans="1:8" ht="15.75" thickBot="1">
      <c r="A56" s="77" t="s">
        <v>404</v>
      </c>
      <c r="B56" s="76">
        <v>56</v>
      </c>
      <c r="C56" s="76">
        <v>502.55</v>
      </c>
      <c r="D56" s="76">
        <v>459.3109</v>
      </c>
      <c r="E56" s="78">
        <v>25721.41</v>
      </c>
      <c r="F56" s="78">
        <v>28142.799999999999</v>
      </c>
      <c r="G56" s="78">
        <v>2421.39</v>
      </c>
      <c r="H56" s="63">
        <f t="shared" si="0"/>
        <v>9.4139084910197374E-2</v>
      </c>
    </row>
    <row r="57" spans="1:8" ht="15.75" thickBot="1">
      <c r="A57" s="77" t="s">
        <v>405</v>
      </c>
      <c r="B57" s="76">
        <v>20</v>
      </c>
      <c r="C57" s="78">
        <v>1109</v>
      </c>
      <c r="D57" s="76">
        <v>489.62150000000003</v>
      </c>
      <c r="E57" s="78">
        <v>9792.43</v>
      </c>
      <c r="F57" s="78">
        <v>22180</v>
      </c>
      <c r="G57" s="78">
        <v>12387.57</v>
      </c>
      <c r="H57" s="63">
        <f t="shared" si="0"/>
        <v>1.265014914581978</v>
      </c>
    </row>
    <row r="58" spans="1:8" ht="15.75" thickBot="1">
      <c r="A58" s="77" t="s">
        <v>406</v>
      </c>
      <c r="B58" s="76">
        <v>64</v>
      </c>
      <c r="C58" s="76">
        <v>347.2</v>
      </c>
      <c r="D58" s="76">
        <v>342.44</v>
      </c>
      <c r="E58" s="78">
        <v>21916.16</v>
      </c>
      <c r="F58" s="78">
        <v>22220.799999999999</v>
      </c>
      <c r="G58" s="76">
        <v>304.64</v>
      </c>
      <c r="H58" s="63">
        <f t="shared" si="0"/>
        <v>1.3900245298446443E-2</v>
      </c>
    </row>
    <row r="59" spans="1:8" ht="15.75" thickBot="1">
      <c r="A59" s="77" t="s">
        <v>448</v>
      </c>
      <c r="B59" s="76">
        <v>80</v>
      </c>
      <c r="C59" s="76">
        <v>184.05</v>
      </c>
      <c r="D59" s="76">
        <v>188.8075</v>
      </c>
      <c r="E59" s="78">
        <v>15104.6</v>
      </c>
      <c r="F59" s="78">
        <v>14724</v>
      </c>
      <c r="G59" s="76">
        <v>-380.6</v>
      </c>
      <c r="H59" s="63">
        <f t="shared" si="0"/>
        <v>-2.5197621916502259E-2</v>
      </c>
    </row>
    <row r="60" spans="1:8" ht="15.75" thickBot="1">
      <c r="A60" s="77" t="s">
        <v>408</v>
      </c>
      <c r="B60" s="76">
        <v>7</v>
      </c>
      <c r="C60" s="78">
        <v>3182.65</v>
      </c>
      <c r="D60" s="78">
        <v>2635.8429000000001</v>
      </c>
      <c r="E60" s="78">
        <v>18450.900000000001</v>
      </c>
      <c r="F60" s="78">
        <v>22278.55</v>
      </c>
      <c r="G60" s="78">
        <v>3827.65</v>
      </c>
      <c r="H60" s="63">
        <f t="shared" si="0"/>
        <v>0.20745058506631112</v>
      </c>
    </row>
    <row r="61" spans="1:8" ht="15.75" thickBot="1">
      <c r="A61" s="77" t="s">
        <v>410</v>
      </c>
      <c r="B61" s="76">
        <v>75</v>
      </c>
      <c r="C61" s="76">
        <v>962.35</v>
      </c>
      <c r="D61" s="76">
        <v>440.02730000000003</v>
      </c>
      <c r="E61" s="78">
        <v>33002.050000000003</v>
      </c>
      <c r="F61" s="78">
        <v>72176.25</v>
      </c>
      <c r="G61" s="78">
        <v>39174.199999999997</v>
      </c>
      <c r="H61" s="63">
        <f t="shared" si="0"/>
        <v>1.1870232303750825</v>
      </c>
    </row>
    <row r="62" spans="1:8" ht="15.75" thickBot="1">
      <c r="A62" s="77" t="s">
        <v>411</v>
      </c>
      <c r="B62" s="76">
        <v>300</v>
      </c>
      <c r="C62" s="76">
        <v>172.15</v>
      </c>
      <c r="D62" s="76">
        <v>82.333299999999994</v>
      </c>
      <c r="E62" s="78">
        <v>24700</v>
      </c>
      <c r="F62" s="78">
        <v>51645</v>
      </c>
      <c r="G62" s="78">
        <v>26945</v>
      </c>
      <c r="H62" s="63">
        <f t="shared" si="0"/>
        <v>1.0908906882591094</v>
      </c>
    </row>
    <row r="63" spans="1:8" ht="15.75" thickBot="1">
      <c r="A63" s="77" t="s">
        <v>413</v>
      </c>
      <c r="B63" s="76">
        <v>8</v>
      </c>
      <c r="C63" s="78">
        <v>3603.75</v>
      </c>
      <c r="D63" s="78">
        <v>4254.8688000000002</v>
      </c>
      <c r="E63" s="78">
        <v>34038.949999999997</v>
      </c>
      <c r="F63" s="78">
        <v>28830</v>
      </c>
      <c r="G63" s="78">
        <v>-5208.95</v>
      </c>
      <c r="H63" s="63">
        <f t="shared" si="0"/>
        <v>-0.15302910342416556</v>
      </c>
    </row>
    <row r="64" spans="1:8" ht="15.75" thickBot="1">
      <c r="A64" s="77" t="s">
        <v>449</v>
      </c>
      <c r="B64" s="76">
        <v>162</v>
      </c>
      <c r="C64" s="76">
        <v>172.3</v>
      </c>
      <c r="D64" s="76">
        <v>167.45</v>
      </c>
      <c r="E64" s="78">
        <v>27126.9</v>
      </c>
      <c r="F64" s="78">
        <v>27912.6</v>
      </c>
      <c r="G64" s="76">
        <v>785.7</v>
      </c>
      <c r="H64" s="63">
        <f t="shared" si="0"/>
        <v>2.8963869811884143E-2</v>
      </c>
    </row>
    <row r="65" spans="1:8" ht="15.75" thickBot="1">
      <c r="A65" s="77" t="s">
        <v>414</v>
      </c>
      <c r="B65" s="76">
        <v>6</v>
      </c>
      <c r="C65" s="78">
        <v>4478.55</v>
      </c>
      <c r="D65" s="78">
        <v>3349.375</v>
      </c>
      <c r="E65" s="78">
        <v>20096.25</v>
      </c>
      <c r="F65" s="78">
        <v>26871.3</v>
      </c>
      <c r="G65" s="78">
        <v>6775.05</v>
      </c>
      <c r="H65" s="63">
        <f t="shared" si="0"/>
        <v>0.33713006157865272</v>
      </c>
    </row>
    <row r="66" spans="1:8" ht="15.75" thickBot="1">
      <c r="A66" s="77" t="s">
        <v>415</v>
      </c>
      <c r="B66" s="76">
        <v>30</v>
      </c>
      <c r="C66" s="78">
        <v>1002</v>
      </c>
      <c r="D66" s="76">
        <v>860.11969999999997</v>
      </c>
      <c r="E66" s="78">
        <v>25803.59</v>
      </c>
      <c r="F66" s="78">
        <v>30060</v>
      </c>
      <c r="G66" s="78">
        <v>4256.41</v>
      </c>
      <c r="H66" s="63">
        <f t="shared" ref="H66:H92" si="1">G66/E66</f>
        <v>0.16495417885650795</v>
      </c>
    </row>
    <row r="67" spans="1:8" ht="15.75" thickBot="1">
      <c r="A67" s="77" t="s">
        <v>416</v>
      </c>
      <c r="B67" s="76">
        <v>3</v>
      </c>
      <c r="C67" s="78">
        <v>2486.9499999999998</v>
      </c>
      <c r="D67" s="78">
        <v>2387.5</v>
      </c>
      <c r="E67" s="78">
        <v>7162.5</v>
      </c>
      <c r="F67" s="78">
        <v>7460.85</v>
      </c>
      <c r="G67" s="76">
        <v>298.35000000000002</v>
      </c>
      <c r="H67" s="63">
        <f t="shared" si="1"/>
        <v>4.1654450261780107E-2</v>
      </c>
    </row>
    <row r="68" spans="1:8" ht="15.75" thickBot="1">
      <c r="A68" s="77" t="s">
        <v>450</v>
      </c>
      <c r="B68" s="76">
        <v>16</v>
      </c>
      <c r="C68" s="78">
        <v>1854.7</v>
      </c>
      <c r="D68" s="76">
        <v>528.10630000000003</v>
      </c>
      <c r="E68" s="78">
        <v>8449.7000000000007</v>
      </c>
      <c r="F68" s="78">
        <v>29675.200000000001</v>
      </c>
      <c r="G68" s="78">
        <v>21225.5</v>
      </c>
      <c r="H68" s="63">
        <f t="shared" si="1"/>
        <v>2.5119826739410867</v>
      </c>
    </row>
    <row r="69" spans="1:8" ht="15.75" thickBot="1">
      <c r="A69" s="77" t="s">
        <v>451</v>
      </c>
      <c r="B69" s="76">
        <v>178</v>
      </c>
      <c r="C69" s="76">
        <v>166.8</v>
      </c>
      <c r="D69" s="76">
        <v>152.37</v>
      </c>
      <c r="E69" s="78">
        <v>27121.86</v>
      </c>
      <c r="F69" s="78">
        <v>29690.400000000001</v>
      </c>
      <c r="G69" s="78">
        <v>2568.54</v>
      </c>
      <c r="H69" s="63">
        <f t="shared" si="1"/>
        <v>9.470368182713132E-2</v>
      </c>
    </row>
    <row r="70" spans="1:8" ht="15.75" thickBot="1">
      <c r="A70" s="77" t="s">
        <v>418</v>
      </c>
      <c r="B70" s="76">
        <v>5</v>
      </c>
      <c r="C70" s="78">
        <v>1288.0999999999999</v>
      </c>
      <c r="D70" s="78">
        <v>1441</v>
      </c>
      <c r="E70" s="78">
        <v>7205</v>
      </c>
      <c r="F70" s="78">
        <v>6440.5</v>
      </c>
      <c r="G70" s="76">
        <v>-764.5</v>
      </c>
      <c r="H70" s="63">
        <f t="shared" si="1"/>
        <v>-0.10610687022900764</v>
      </c>
    </row>
    <row r="71" spans="1:8" ht="15.75" thickBot="1">
      <c r="A71" s="77" t="s">
        <v>452</v>
      </c>
      <c r="B71" s="76">
        <v>108</v>
      </c>
      <c r="C71" s="76">
        <v>258.5</v>
      </c>
      <c r="D71" s="76">
        <v>249.99</v>
      </c>
      <c r="E71" s="78">
        <v>26998.92</v>
      </c>
      <c r="F71" s="78">
        <v>27918</v>
      </c>
      <c r="G71" s="76">
        <v>919.08</v>
      </c>
      <c r="H71" s="63">
        <f t="shared" si="1"/>
        <v>3.4041361654466182E-2</v>
      </c>
    </row>
    <row r="72" spans="1:8" ht="15.75" thickBot="1">
      <c r="A72" s="77" t="s">
        <v>420</v>
      </c>
      <c r="B72" s="76">
        <v>32</v>
      </c>
      <c r="C72" s="78">
        <v>1215.8499999999999</v>
      </c>
      <c r="D72" s="76">
        <v>968.9375</v>
      </c>
      <c r="E72" s="78">
        <v>31006</v>
      </c>
      <c r="F72" s="78">
        <v>38907.199999999997</v>
      </c>
      <c r="G72" s="78">
        <v>7901.2</v>
      </c>
      <c r="H72" s="63">
        <f t="shared" si="1"/>
        <v>0.25482809778752497</v>
      </c>
    </row>
    <row r="73" spans="1:8" ht="15.75" thickBot="1">
      <c r="A73" s="77" t="s">
        <v>421</v>
      </c>
      <c r="B73" s="76">
        <v>35</v>
      </c>
      <c r="C73" s="78">
        <v>2425.4</v>
      </c>
      <c r="D73" s="76">
        <v>984.23</v>
      </c>
      <c r="E73" s="78">
        <v>34448.050000000003</v>
      </c>
      <c r="F73" s="78">
        <v>84889</v>
      </c>
      <c r="G73" s="78">
        <v>50440.95</v>
      </c>
      <c r="H73" s="63">
        <f t="shared" si="1"/>
        <v>1.4642614023144995</v>
      </c>
    </row>
    <row r="74" spans="1:8" ht="15.75" thickBot="1">
      <c r="A74" s="77" t="s">
        <v>423</v>
      </c>
      <c r="B74" s="76">
        <v>22</v>
      </c>
      <c r="C74" s="76">
        <v>884</v>
      </c>
      <c r="D74" s="76">
        <v>597.13409999999999</v>
      </c>
      <c r="E74" s="78">
        <v>13136.95</v>
      </c>
      <c r="F74" s="78">
        <v>19448</v>
      </c>
      <c r="G74" s="78">
        <v>6311.05</v>
      </c>
      <c r="H74" s="63">
        <f t="shared" si="1"/>
        <v>0.4804045078956683</v>
      </c>
    </row>
    <row r="75" spans="1:8" ht="15.75" thickBot="1">
      <c r="A75" s="77" t="s">
        <v>425</v>
      </c>
      <c r="B75" s="76">
        <v>98</v>
      </c>
      <c r="C75" s="76">
        <v>535.4</v>
      </c>
      <c r="D75" s="76">
        <v>259.5505</v>
      </c>
      <c r="E75" s="78">
        <v>25435.95</v>
      </c>
      <c r="F75" s="78">
        <v>52469.2</v>
      </c>
      <c r="G75" s="78">
        <v>27033.25</v>
      </c>
      <c r="H75" s="63">
        <f t="shared" si="1"/>
        <v>1.0627969468409868</v>
      </c>
    </row>
    <row r="76" spans="1:8" ht="15.75" thickBot="1">
      <c r="A76" s="77" t="s">
        <v>426</v>
      </c>
      <c r="B76" s="76">
        <v>139</v>
      </c>
      <c r="C76" s="76">
        <v>894.3</v>
      </c>
      <c r="D76" s="76">
        <v>476.89420000000001</v>
      </c>
      <c r="E76" s="78">
        <v>66288.3</v>
      </c>
      <c r="F76" s="78">
        <v>124307.7</v>
      </c>
      <c r="G76" s="78">
        <v>58019.4</v>
      </c>
      <c r="H76" s="63">
        <f t="shared" si="1"/>
        <v>0.87525852978579932</v>
      </c>
    </row>
    <row r="77" spans="1:8" ht="15.75" thickBot="1">
      <c r="A77" s="77" t="s">
        <v>427</v>
      </c>
      <c r="B77" s="76">
        <v>31</v>
      </c>
      <c r="C77" s="76">
        <v>865.95</v>
      </c>
      <c r="D77" s="76">
        <v>683.52350000000001</v>
      </c>
      <c r="E77" s="78">
        <v>21189.23</v>
      </c>
      <c r="F77" s="78">
        <v>26844.45</v>
      </c>
      <c r="G77" s="78">
        <v>5655.22</v>
      </c>
      <c r="H77" s="63">
        <f t="shared" si="1"/>
        <v>0.26689124616609478</v>
      </c>
    </row>
    <row r="78" spans="1:8" ht="15.75" thickBot="1">
      <c r="A78" s="77" t="s">
        <v>428</v>
      </c>
      <c r="B78" s="76">
        <v>45</v>
      </c>
      <c r="C78" s="76">
        <v>522.04999999999995</v>
      </c>
      <c r="D78" s="76">
        <v>368.55090000000001</v>
      </c>
      <c r="E78" s="78">
        <v>16584.79</v>
      </c>
      <c r="F78" s="78">
        <v>23492.25</v>
      </c>
      <c r="G78" s="78">
        <v>6907.46</v>
      </c>
      <c r="H78" s="63">
        <f t="shared" si="1"/>
        <v>0.41649366678746008</v>
      </c>
    </row>
    <row r="79" spans="1:8" ht="15.75" thickBot="1">
      <c r="A79" s="77" t="s">
        <v>429</v>
      </c>
      <c r="B79" s="76">
        <v>50</v>
      </c>
      <c r="C79" s="76">
        <v>407.6</v>
      </c>
      <c r="D79" s="76">
        <v>283.19240000000002</v>
      </c>
      <c r="E79" s="78">
        <v>14159.62</v>
      </c>
      <c r="F79" s="78">
        <v>20380</v>
      </c>
      <c r="G79" s="78">
        <v>6220.38</v>
      </c>
      <c r="H79" s="63">
        <f t="shared" si="1"/>
        <v>0.43930416211734497</v>
      </c>
    </row>
    <row r="80" spans="1:8" ht="15.75" thickBot="1">
      <c r="A80" s="77" t="s">
        <v>430</v>
      </c>
      <c r="B80" s="76">
        <v>57</v>
      </c>
      <c r="C80" s="76">
        <v>588.6</v>
      </c>
      <c r="D80" s="76">
        <v>468.04349999999999</v>
      </c>
      <c r="E80" s="78">
        <v>26678.48</v>
      </c>
      <c r="F80" s="78">
        <v>33550.199999999997</v>
      </c>
      <c r="G80" s="78">
        <v>6871.72</v>
      </c>
      <c r="H80" s="63">
        <f t="shared" si="1"/>
        <v>0.25757539410041352</v>
      </c>
    </row>
    <row r="81" spans="1:8" ht="15.75" thickBot="1">
      <c r="A81" s="77" t="s">
        <v>431</v>
      </c>
      <c r="B81" s="76">
        <v>9</v>
      </c>
      <c r="C81" s="78">
        <v>3818.1</v>
      </c>
      <c r="D81" s="78">
        <v>3449.7</v>
      </c>
      <c r="E81" s="78">
        <v>31047.3</v>
      </c>
      <c r="F81" s="78">
        <v>34362.9</v>
      </c>
      <c r="G81" s="78">
        <v>3315.6</v>
      </c>
      <c r="H81" s="63">
        <f t="shared" si="1"/>
        <v>0.10679189494738672</v>
      </c>
    </row>
    <row r="82" spans="1:8" ht="15.75" thickBot="1">
      <c r="A82" s="77" t="s">
        <v>432</v>
      </c>
      <c r="B82" s="76">
        <v>33</v>
      </c>
      <c r="C82" s="76">
        <v>737.25</v>
      </c>
      <c r="D82" s="76">
        <v>686.89089999999999</v>
      </c>
      <c r="E82" s="78">
        <v>22667.4</v>
      </c>
      <c r="F82" s="78">
        <v>24329.25</v>
      </c>
      <c r="G82" s="78">
        <v>1661.85</v>
      </c>
      <c r="H82" s="63">
        <f t="shared" si="1"/>
        <v>7.3314539823711583E-2</v>
      </c>
    </row>
    <row r="83" spans="1:8" ht="15.75" thickBot="1">
      <c r="A83" s="77" t="s">
        <v>433</v>
      </c>
      <c r="B83" s="76">
        <v>775</v>
      </c>
      <c r="C83" s="76">
        <v>256.45</v>
      </c>
      <c r="D83" s="76">
        <v>99.291600000000003</v>
      </c>
      <c r="E83" s="78">
        <v>76951</v>
      </c>
      <c r="F83" s="78">
        <v>198748.75</v>
      </c>
      <c r="G83" s="78">
        <v>121797.75</v>
      </c>
      <c r="H83" s="63">
        <f t="shared" si="1"/>
        <v>1.5827961949812219</v>
      </c>
    </row>
    <row r="84" spans="1:8" ht="15.75" thickBot="1">
      <c r="A84" s="77" t="s">
        <v>434</v>
      </c>
      <c r="B84" s="76">
        <v>105</v>
      </c>
      <c r="C84" s="78">
        <v>1169.7</v>
      </c>
      <c r="D84" s="76">
        <v>404.76429999999999</v>
      </c>
      <c r="E84" s="78">
        <v>42500.25</v>
      </c>
      <c r="F84" s="78">
        <v>122818.5</v>
      </c>
      <c r="G84" s="78">
        <v>80318.25</v>
      </c>
      <c r="H84" s="63">
        <f t="shared" si="1"/>
        <v>1.8898300598231774</v>
      </c>
    </row>
    <row r="85" spans="1:8" ht="15.75" thickBot="1">
      <c r="A85" s="77" t="s">
        <v>435</v>
      </c>
      <c r="B85" s="76">
        <v>15</v>
      </c>
      <c r="C85" s="78">
        <v>1457.9</v>
      </c>
      <c r="D85" s="78">
        <v>1279.1632999999999</v>
      </c>
      <c r="E85" s="78">
        <v>19187.45</v>
      </c>
      <c r="F85" s="78">
        <v>21868.5</v>
      </c>
      <c r="G85" s="78">
        <v>2681.05</v>
      </c>
      <c r="H85" s="63">
        <f t="shared" si="1"/>
        <v>0.13972935434359438</v>
      </c>
    </row>
    <row r="86" spans="1:8" ht="15.75" thickBot="1">
      <c r="A86" s="77" t="s">
        <v>436</v>
      </c>
      <c r="B86" s="76">
        <v>3</v>
      </c>
      <c r="C86" s="78">
        <v>2465</v>
      </c>
      <c r="D86" s="78">
        <v>2438.9</v>
      </c>
      <c r="E86" s="78">
        <v>7316.7</v>
      </c>
      <c r="F86" s="78">
        <v>7395</v>
      </c>
      <c r="G86" s="76">
        <v>78.3</v>
      </c>
      <c r="H86" s="63">
        <f t="shared" si="1"/>
        <v>1.070154577883472E-2</v>
      </c>
    </row>
    <row r="87" spans="1:8">
      <c r="A87" s="77" t="s">
        <v>457</v>
      </c>
      <c r="B87" s="76">
        <v>37</v>
      </c>
      <c r="C87" s="76">
        <v>796.25</v>
      </c>
      <c r="D87" s="76">
        <v>739.75</v>
      </c>
      <c r="E87" s="78">
        <v>27370.75</v>
      </c>
      <c r="F87" s="78">
        <v>29461.25</v>
      </c>
      <c r="G87" s="78">
        <v>2090.5</v>
      </c>
      <c r="H87" s="63">
        <f t="shared" si="1"/>
        <v>7.6377154444068937E-2</v>
      </c>
    </row>
    <row r="88" spans="1:8" ht="15.75" thickBot="1">
      <c r="A88" s="77" t="s">
        <v>438</v>
      </c>
      <c r="B88" s="76">
        <v>27</v>
      </c>
      <c r="C88" s="76">
        <v>924.6</v>
      </c>
      <c r="D88" s="76">
        <v>663.14779999999996</v>
      </c>
      <c r="E88" s="78">
        <v>17904.990000000002</v>
      </c>
      <c r="F88" s="78">
        <v>24964.2</v>
      </c>
      <c r="G88" s="78">
        <v>7059.21</v>
      </c>
      <c r="H88" s="80">
        <f t="shared" si="1"/>
        <v>0.39425936568520842</v>
      </c>
    </row>
    <row r="89" spans="1:8" ht="15.75" thickBot="1">
      <c r="A89" s="77" t="s">
        <v>453</v>
      </c>
      <c r="B89" s="76">
        <v>39</v>
      </c>
      <c r="C89" s="76">
        <v>581.15</v>
      </c>
      <c r="D89" s="76">
        <v>618.62559999999996</v>
      </c>
      <c r="E89" s="78">
        <v>24126.400000000001</v>
      </c>
      <c r="F89" s="78">
        <v>22664.85</v>
      </c>
      <c r="G89" s="78">
        <v>-1461.55</v>
      </c>
      <c r="H89" s="63">
        <f t="shared" si="1"/>
        <v>-6.0578867962066442E-2</v>
      </c>
    </row>
    <row r="90" spans="1:8" ht="15.75" thickBot="1">
      <c r="A90" s="77" t="s">
        <v>439</v>
      </c>
      <c r="B90" s="76">
        <v>525</v>
      </c>
      <c r="C90" s="76">
        <v>13.53</v>
      </c>
      <c r="D90" s="76">
        <v>38.966700000000003</v>
      </c>
      <c r="E90" s="78">
        <v>20457.5</v>
      </c>
      <c r="F90" s="78">
        <v>7103.25</v>
      </c>
      <c r="G90" s="78">
        <v>-13354.25</v>
      </c>
      <c r="H90" s="63">
        <f t="shared" si="1"/>
        <v>-0.65278015397775879</v>
      </c>
    </row>
    <row r="91" spans="1:8" ht="15.75" thickBot="1">
      <c r="A91" s="77" t="s">
        <v>440</v>
      </c>
      <c r="B91" s="76">
        <v>24</v>
      </c>
      <c r="C91" s="78">
        <v>1760.85</v>
      </c>
      <c r="D91" s="78">
        <v>1998.6470999999999</v>
      </c>
      <c r="E91" s="78">
        <v>47967.53</v>
      </c>
      <c r="F91" s="78">
        <v>42260.4</v>
      </c>
      <c r="G91" s="78">
        <v>-5707.13</v>
      </c>
      <c r="H91" s="63">
        <f t="shared" si="1"/>
        <v>-0.11897902602030999</v>
      </c>
    </row>
    <row r="92" spans="1:8" ht="18.75" thickBot="1">
      <c r="A92" s="44" t="s">
        <v>11</v>
      </c>
      <c r="B92" s="44">
        <f>SUM(B2:B91)</f>
        <v>7653</v>
      </c>
      <c r="C92" s="44"/>
      <c r="D92" s="44"/>
      <c r="E92" s="45">
        <f t="shared" ref="E92:G92" si="2">SUM(E2:E91)</f>
        <v>2861596.35</v>
      </c>
      <c r="F92" s="45">
        <f t="shared" si="2"/>
        <v>3693476.5300000012</v>
      </c>
      <c r="G92" s="45">
        <f t="shared" si="2"/>
        <v>831880.18</v>
      </c>
      <c r="H92" s="64">
        <f t="shared" si="1"/>
        <v>0.29070493467745723</v>
      </c>
    </row>
    <row r="93" spans="1:8" ht="15.75" thickTop="1"/>
  </sheetData>
  <hyperlinks>
    <hyperlink ref="A2" r:id="rId1" location="/stock/1831632/3723" display="https://etportfolio.indiatimes.com/pw_companyinfo.cms - /stock/1831632/3723" xr:uid="{0A96C766-F3BE-4E3B-8724-68E5E090E965}"/>
    <hyperlink ref="A3" r:id="rId2" location="/stock/1831632/15059" display="https://etportfolio.indiatimes.com/pw_companyinfo.cms - /stock/1831632/15059" xr:uid="{911BF1A3-672D-44D0-B5AE-00290239C91E}"/>
    <hyperlink ref="A4" r:id="rId3" location="/stock/1831632/63" display="https://etportfolio.indiatimes.com/pw_companyinfo.cms - /stock/1831632/63" xr:uid="{AC098EA1-B16E-4D04-9F56-701A0052CDAA}"/>
    <hyperlink ref="A5" r:id="rId4" location="/stock/1831632/14034" display="https://etportfolio.indiatimes.com/pw_companyinfo.cms - /stock/1831632/14034" xr:uid="{BC389380-4288-419C-91B2-FDAC145D4B66}"/>
    <hyperlink ref="A6" r:id="rId5" location="/stock/1831632/66288" display="https://etportfolio.indiatimes.com/pw_companyinfo.cms - /stock/1831632/66288" xr:uid="{EC031B1B-8A5C-4813-9955-EBF9A5C11BC2}"/>
    <hyperlink ref="A7" r:id="rId6" location="/stock/1831632/45987" display="https://etportfolio.indiatimes.com/pw_companyinfo.cms - /stock/1831632/45987" xr:uid="{C8A65992-1861-4E8E-8372-47C71A58A46E}"/>
    <hyperlink ref="A8" r:id="rId7" location="/stock/1831632/9175" display="https://etportfolio.indiatimes.com/pw_companyinfo.cms - /stock/1831632/9175" xr:uid="{03E309BA-01F6-4821-95B6-2B9676C8F3D1}"/>
    <hyperlink ref="A9" r:id="rId8" location="/stock/1831632/21430" display="https://etportfolio.indiatimes.com/pw_companyinfo.cms - /stock/1831632/21430" xr:uid="{764E41AC-B2E1-4213-BF3F-CEA3FAE9596D}"/>
    <hyperlink ref="A10" r:id="rId9" location="/stock/1831632/11260" display="https://etportfolio.indiatimes.com/pw_companyinfo.cms - /stock/1831632/11260" xr:uid="{ADC0B9D6-AFA5-4574-891B-3D019F44877B}"/>
    <hyperlink ref="A11" r:id="rId10" location="/stock/1831632/14013" display="https://etportfolio.indiatimes.com/pw_companyinfo.cms - /stock/1831632/14013" xr:uid="{16AC54D6-427F-4900-AA3D-3F83CFED753D}"/>
    <hyperlink ref="A12" r:id="rId11" location="/stock/1831632/2718" display="https://etportfolio.indiatimes.com/pw_companyinfo.cms - /stock/1831632/2718" xr:uid="{04E73456-EA9F-447A-872D-13C800630609}"/>
    <hyperlink ref="A13" r:id="rId12" location="/stock/1831632/20445" display="https://etportfolio.indiatimes.com/pw_companyinfo.cms - /stock/1831632/20445" xr:uid="{88B47063-5F21-429B-8521-955C138207CD}"/>
    <hyperlink ref="A14" r:id="rId13" location="/stock/1831632/13934" display="https://etportfolio.indiatimes.com/pw_companyinfo.cms - /stock/1831632/13934" xr:uid="{67541443-64EB-4B09-B4E5-8F08E69B34E4}"/>
    <hyperlink ref="A15" r:id="rId14" location="/stock/1831632/13577" display="https://etportfolio.indiatimes.com/pw_companyinfo.cms - /stock/1831632/13577" xr:uid="{83C9BFBE-F645-4009-828E-14B0748FD7E7}"/>
    <hyperlink ref="A16" r:id="rId15" location="/stock/1831632/10777" display="https://etportfolio.indiatimes.com/pw_companyinfo.cms - /stock/1831632/10777" xr:uid="{E8FE0CDE-81F2-4988-B250-36D096B1D54E}"/>
    <hyperlink ref="A17" r:id="rId16" location="/stock/1831632/13917" display="https://etportfolio.indiatimes.com/pw_companyinfo.cms - /stock/1831632/13917" xr:uid="{EE9FBFD9-FAB9-4E5A-A6F5-FE9777F9A230}"/>
    <hyperlink ref="A18" r:id="rId17" location="/stock/1831632/11822" display="https://etportfolio.indiatimes.com/pw_companyinfo.cms - /stock/1831632/11822" xr:uid="{C32EE2E9-151E-4908-969F-FF6D97A636E5}"/>
    <hyperlink ref="A19" r:id="rId18" location="/stock/1831632/858" display="https://etportfolio.indiatimes.com/pw_companyinfo.cms - /stock/1831632/858" xr:uid="{2038F107-110D-4C31-A461-5AD2DE176104}"/>
    <hyperlink ref="A20" r:id="rId19" location="/stock/1831632/13873" display="https://etportfolio.indiatimes.com/pw_companyinfo.cms - /stock/1831632/13873" xr:uid="{D400BACF-CE6F-46F3-ACB7-2ED44DA45566}"/>
    <hyperlink ref="A21" r:id="rId20" location="/stock/1831632/11796" display="https://etportfolio.indiatimes.com/pw_companyinfo.cms - /stock/1831632/11796" xr:uid="{7A7008A3-61B3-4B46-B380-740169729493}"/>
    <hyperlink ref="A22" r:id="rId21" location="/stock/1831632/3635" display="https://etportfolio.indiatimes.com/pw_companyinfo.cms - /stock/1831632/3635" xr:uid="{40309380-5A08-444D-85D4-CFF3062FE56C}"/>
    <hyperlink ref="A23" r:id="rId22" location="/stock/1831632/12393" display="https://etportfolio.indiatimes.com/pw_companyinfo.cms - /stock/1831632/12393" xr:uid="{80D2310B-413E-43BF-B558-2CE69FB00589}"/>
    <hyperlink ref="A24" r:id="rId23" location="/stock/1831632/63225" display="https://etportfolio.indiatimes.com/pw_companyinfo.cms - /stock/1831632/63225" xr:uid="{C76DDE4D-AAB9-4741-A67A-F0C2E4FE5040}"/>
    <hyperlink ref="A25" r:id="rId24" location="/stock/1831632/13787" display="https://etportfolio.indiatimes.com/pw_companyinfo.cms - /stock/1831632/13787" xr:uid="{5BF97C4F-CCA5-4839-9EA3-A33F4B93FB16}"/>
    <hyperlink ref="A26" r:id="rId25" location="/stock/1831632/1941781" display="https://etportfolio.indiatimes.com/pw_companyinfo.cms - /stock/1831632/1941781" xr:uid="{29466E0B-2374-46D0-8460-31C9A6708962}"/>
    <hyperlink ref="A27" r:id="rId26" location="/stock/1831632/38215" display="https://etportfolio.indiatimes.com/pw_companyinfo.cms - /stock/1831632/38215" xr:uid="{E838EF2D-B437-44D6-9A36-C5BC794BA1C5}"/>
    <hyperlink ref="A28" r:id="rId27" location="/stock/1831632/55491" display="https://etportfolio.indiatimes.com/pw_companyinfo.cms - /stock/1831632/55491" xr:uid="{0F9243CE-987C-4B97-849A-3E40E02C3AB7}"/>
    <hyperlink ref="A29" r:id="rId28" location="/stock/1831632/13895" display="https://etportfolio.indiatimes.com/pw_companyinfo.cms - /stock/1831632/13895" xr:uid="{6F254FB4-57D5-4DE8-9003-BD44DCBEC93A}"/>
    <hyperlink ref="A30" r:id="rId29" location="/stock/1831632/9211" display="https://etportfolio.indiatimes.com/pw_companyinfo.cms - /stock/1831632/9211" xr:uid="{45E02E0C-5AF9-4D83-857C-D0A6A3AA05EF}"/>
    <hyperlink ref="A31" r:id="rId30" location="/stock/1831632/13760" display="https://etportfolio.indiatimes.com/pw_companyinfo.cms - /stock/1831632/13760" xr:uid="{11385ED8-503B-4E8E-BFAF-195ABB1AEAC6}"/>
    <hyperlink ref="A32" r:id="rId31" location="/stock/1831632/12266" display="https://etportfolio.indiatimes.com/pw_companyinfo.cms - /stock/1831632/12266" xr:uid="{9F98BC40-E27B-4C9A-99C2-DCB36B2ED6C7}"/>
    <hyperlink ref="A33" r:id="rId32" location="/stock/1831632/1996493" display="https://etportfolio.indiatimes.com/pw_companyinfo.cms - /stock/1831632/1996493" xr:uid="{2D1BDE32-CE0C-4E89-9FCE-E10D07EAB0D4}"/>
    <hyperlink ref="A34" r:id="rId33" location="/stock/1831632/5733" display="https://etportfolio.indiatimes.com/pw_companyinfo.cms - /stock/1831632/5733" xr:uid="{F1A7F307-6EFC-4E6E-AA30-EE7FA1D26B9A}"/>
    <hyperlink ref="A35" r:id="rId34" location="/stock/1831632/4291" display="https://etportfolio.indiatimes.com/pw_companyinfo.cms - /stock/1831632/4291" xr:uid="{92F28703-D3CC-4A49-9D4E-610CB59E9787}"/>
    <hyperlink ref="A36" r:id="rId35" location="/stock/1831632/9195" display="https://etportfolio.indiatimes.com/pw_companyinfo.cms - /stock/1831632/9195" xr:uid="{5ABFF8E9-643E-4758-9732-73E61F86732F}"/>
    <hyperlink ref="A37" r:id="rId36" location="/stock/1831632/3068" display="https://etportfolio.indiatimes.com/pw_companyinfo.cms - /stock/1831632/3068" xr:uid="{E414A903-0DA3-463A-977A-252012FD5149}"/>
    <hyperlink ref="A38" r:id="rId37" location="/stock/1831632/13636" display="https://etportfolio.indiatimes.com/pw_companyinfo.cms - /stock/1831632/13636" xr:uid="{1F32A75A-E46C-4F2B-BC5C-4D85A465BD52}"/>
    <hyperlink ref="A39" r:id="rId38" location="/stock/1831632/13616" display="https://etportfolio.indiatimes.com/pw_companyinfo.cms - /stock/1831632/13616" xr:uid="{008F19E5-20F2-431C-BAA6-E0C79995B54A}"/>
    <hyperlink ref="A40" r:id="rId39" location="/stock/1831632/9194" display="https://etportfolio.indiatimes.com/pw_companyinfo.cms - /stock/1831632/9194" xr:uid="{894B220F-C7DE-45AD-8729-F52AEC2C299D}"/>
    <hyperlink ref="A41" r:id="rId40" location="/stock/1831632/1883" display="https://etportfolio.indiatimes.com/pw_companyinfo.cms - /stock/1831632/1883" xr:uid="{B6F11272-B9BD-4658-BED2-1629E3300E5C}"/>
    <hyperlink ref="A42" r:id="rId41" location="/stock/1831632/1898" display="https://etportfolio.indiatimes.com/pw_companyinfo.cms - /stock/1831632/1898" xr:uid="{292D9965-47B2-45FC-A906-4E7CF6011E1D}"/>
    <hyperlink ref="A43" r:id="rId42" location="/stock/1831632/9196" display="https://etportfolio.indiatimes.com/pw_companyinfo.cms - /stock/1831632/9196" xr:uid="{5092C884-5626-4C44-A8C0-C7D6AC9FD7ED}"/>
    <hyperlink ref="A44" r:id="rId43" location="/stock/1831632/10960" display="https://etportfolio.indiatimes.com/pw_companyinfo.cms - /stock/1831632/10960" xr:uid="{B1BC6B99-70E1-4083-A949-B52F90C7B9F0}"/>
    <hyperlink ref="A45" r:id="rId44" location="/stock/1831632/10587" display="https://etportfolio.indiatimes.com/pw_companyinfo.cms - /stock/1831632/10587" xr:uid="{6A837367-4BC8-4A7F-9448-79398866CC42}"/>
    <hyperlink ref="A46" r:id="rId45" location="/stock/1831632/13554" display="https://etportfolio.indiatimes.com/pw_companyinfo.cms - /stock/1831632/13554" xr:uid="{9E7C658B-34BD-48A5-8478-2BCB0CF5ADAC}"/>
    <hyperlink ref="A47" r:id="rId46" location="/stock/1831632/13536" display="https://etportfolio.indiatimes.com/pw_companyinfo.cms - /stock/1831632/13536" xr:uid="{06848B75-9289-49F8-B53D-83C510BA2BDA}"/>
    <hyperlink ref="A48" r:id="rId47" location="/stock/1831632/12989" display="https://etportfolio.indiatimes.com/pw_companyinfo.cms - /stock/1831632/12989" xr:uid="{2B9F6800-4A4C-4C01-97ED-A3813BE393FC}"/>
    <hyperlink ref="A49" r:id="rId48" location="/stock/1831632/16356" display="https://etportfolio.indiatimes.com/pw_companyinfo.cms - /stock/1831632/16356" xr:uid="{0A3D7D4B-FAD6-467C-ACF7-270BAD5A7224}"/>
    <hyperlink ref="A50" r:id="rId49" location="/stock/1831632/10413" display="https://etportfolio.indiatimes.com/pw_companyinfo.cms - /stock/1831632/10413" xr:uid="{7319B355-C6E1-4D41-9E28-F10399284756}"/>
    <hyperlink ref="A51" r:id="rId50" location="/stock/1831632/12161" display="https://etportfolio.indiatimes.com/pw_companyinfo.cms - /stock/1831632/12161" xr:uid="{BF980A2A-5F4C-43FE-93B9-FD523CFA7521}"/>
    <hyperlink ref="A52" r:id="rId51" location="/stock/1831632/3318" display="https://etportfolio.indiatimes.com/pw_companyinfo.cms - /stock/1831632/3318" xr:uid="{77C235FE-768E-4D2B-AE0A-C36BB22A7DD6}"/>
    <hyperlink ref="A53" r:id="rId52" location="/stock/1831632/13447" display="https://etportfolio.indiatimes.com/pw_companyinfo.cms - /stock/1831632/13447" xr:uid="{721E7A8E-9A63-41C0-993E-A99173C0C95B}"/>
    <hyperlink ref="A54" r:id="rId53" location="/stock/1831632/11898" display="https://etportfolio.indiatimes.com/pw_companyinfo.cms - /stock/1831632/11898" xr:uid="{3FD959AB-6432-4D2B-8638-4F9A6B4E0823}"/>
    <hyperlink ref="A55" r:id="rId54" location="/stock/1831632/17103" display="https://etportfolio.indiatimes.com/pw_companyinfo.cms - /stock/1831632/17103" xr:uid="{FEE61458-6FFC-4BC8-82F3-207953AB1AAA}"/>
    <hyperlink ref="A56" r:id="rId55" location="/stock/1831632/5886" display="https://etportfolio.indiatimes.com/pw_companyinfo.cms - /stock/1831632/5886" xr:uid="{6C0E7123-8EA2-4ECD-8BB5-8D7F5347FA5E}"/>
    <hyperlink ref="A57" r:id="rId56" location="/stock/1831632/5459" display="https://etportfolio.indiatimes.com/pw_companyinfo.cms - /stock/1831632/5459" xr:uid="{EEADF8CE-580E-4CE7-96CA-F571D3EFC456}"/>
    <hyperlink ref="A58" r:id="rId57" location="/stock/1831632/1987283" display="https://etportfolio.indiatimes.com/pw_companyinfo.cms - /stock/1831632/1987283" xr:uid="{C818AAB6-37F9-4A81-A437-DA6F807ACF65}"/>
    <hyperlink ref="A59" r:id="rId58" location="/stock/1831632/10878" display="https://etportfolio.indiatimes.com/pw_companyinfo.cms - /stock/1831632/10878" xr:uid="{E453AF11-B299-4FA8-88E5-BCDF0A8F3BBC}"/>
    <hyperlink ref="A60" r:id="rId59" location="/stock/1831632/8684" display="https://etportfolio.indiatimes.com/pw_companyinfo.cms - /stock/1831632/8684" xr:uid="{874C62DF-2672-4F37-AF5D-77DD1706D5E4}"/>
    <hyperlink ref="A61" r:id="rId60" location="/stock/1831632/32621" display="https://etportfolio.indiatimes.com/pw_companyinfo.cms - /stock/1831632/32621" xr:uid="{BB5FE8D5-AF0A-4C1A-977A-D996751C2FBC}"/>
    <hyperlink ref="A62" r:id="rId61" location="/stock/1831632/11599" display="https://etportfolio.indiatimes.com/pw_companyinfo.cms - /stock/1831632/11599" xr:uid="{723F8EDB-F14A-470A-BC6D-0C2291B692AF}"/>
    <hyperlink ref="A63" r:id="rId62" location="/stock/1831632/3160" display="https://etportfolio.indiatimes.com/pw_companyinfo.cms - /stock/1831632/3160" xr:uid="{4F3D9843-6387-420E-9C24-46DBE9B65345}"/>
    <hyperlink ref="A64" r:id="rId63" location="/stock/1831632/41253" display="https://etportfolio.indiatimes.com/pw_companyinfo.cms - /stock/1831632/41253" xr:uid="{16116EB1-BF77-42BE-9025-AE084394AD1E}"/>
    <hyperlink ref="A65" r:id="rId64" location="/stock/1831632/21519" display="https://etportfolio.indiatimes.com/pw_companyinfo.cms - /stock/1831632/21519" xr:uid="{3E0D9D97-5804-4A6E-B247-4101CDDA8484}"/>
    <hyperlink ref="A66" r:id="rId65" location="/stock/1831632/12358" display="https://etportfolio.indiatimes.com/pw_companyinfo.cms - /stock/1831632/12358" xr:uid="{88D4EE6D-E339-4FFC-BEFD-3BFBD46D5F70}"/>
    <hyperlink ref="A67" r:id="rId66" location="/stock/1831632/10460" display="https://etportfolio.indiatimes.com/pw_companyinfo.cms - /stock/1831632/10460" xr:uid="{2B2D6DFE-58A5-4E32-9FD5-9B48C5B5714A}"/>
    <hyperlink ref="A68" r:id="rId67" location="/stock/1831632/13282" display="https://etportfolio.indiatimes.com/pw_companyinfo.cms - /stock/1831632/13282" xr:uid="{0DAE314A-EFC4-4FE9-A50D-2520DBE9DF79}"/>
    <hyperlink ref="A69" r:id="rId68" location="/stock/1831632/18903" display="https://etportfolio.indiatimes.com/pw_companyinfo.cms - /stock/1831632/18903" xr:uid="{216249C3-1F49-4FAB-BD6A-0FDB31715151}"/>
    <hyperlink ref="A70" r:id="rId69" location="/stock/1831632/7829" display="https://etportfolio.indiatimes.com/pw_companyinfo.cms - /stock/1831632/7829" xr:uid="{79FE0632-B185-4513-A359-C10B741F66F0}"/>
    <hyperlink ref="A71" r:id="rId70" location="/stock/1831632/13120" display="https://etportfolio.indiatimes.com/pw_companyinfo.cms - /stock/1831632/13120" xr:uid="{26A52EA1-450D-4BB9-929F-D702C883C8D7}"/>
    <hyperlink ref="A72" r:id="rId71" location="/stock/1831632/2898" display="https://etportfolio.indiatimes.com/pw_companyinfo.cms - /stock/1831632/2898" xr:uid="{109CF434-4136-4802-88EB-57DD0A72A842}"/>
    <hyperlink ref="A73" r:id="rId72" location="/stock/1831632/13102" display="https://etportfolio.indiatimes.com/pw_companyinfo.cms - /stock/1831632/13102" xr:uid="{0490B0BE-9767-4A80-8BD5-2ECA1E5A0641}"/>
    <hyperlink ref="A74" r:id="rId73" location="/stock/1831632/19352" display="https://etportfolio.indiatimes.com/pw_companyinfo.cms - /stock/1831632/19352" xr:uid="{04E1E5B2-FD33-4518-944E-3F1EAC498C7F}"/>
    <hyperlink ref="A75" r:id="rId74" location="/stock/1831632/11984" display="https://etportfolio.indiatimes.com/pw_companyinfo.cms - /stock/1831632/11984" xr:uid="{1CAC2AF6-96A0-4C70-A447-2EE2506C0E5C}"/>
    <hyperlink ref="A76" r:id="rId75" location="/stock/1831632/9134" display="https://etportfolio.indiatimes.com/pw_companyinfo.cms - /stock/1831632/9134" xr:uid="{DA7C461A-8152-4616-8A0E-925AE18CA6B9}"/>
    <hyperlink ref="A77" r:id="rId76" location="/stock/1831632/12962" display="https://etportfolio.indiatimes.com/pw_companyinfo.cms - /stock/1831632/12962" xr:uid="{A9E7A67E-BDF0-4769-A9E5-BA210DC97BF1}"/>
    <hyperlink ref="A78" r:id="rId77" location="/stock/1831632/3296" display="https://etportfolio.indiatimes.com/pw_companyinfo.cms - /stock/1831632/3296" xr:uid="{7DB10089-7AD6-41F0-8039-CC5194352276}"/>
    <hyperlink ref="A79" r:id="rId78" location="/stock/1831632/6936" display="https://etportfolio.indiatimes.com/pw_companyinfo.cms - /stock/1831632/6936" xr:uid="{1A569C23-C863-4CC3-9B3B-1FAAD735E494}"/>
    <hyperlink ref="A80" r:id="rId79" location="/stock/1831632/303" display="https://etportfolio.indiatimes.com/pw_companyinfo.cms - /stock/1831632/303" xr:uid="{71067F36-EDBC-4253-ACD3-81E9B4A963E7}"/>
    <hyperlink ref="A81" r:id="rId80" location="/stock/1831632/8345" display="https://etportfolio.indiatimes.com/pw_companyinfo.cms - /stock/1831632/8345" xr:uid="{42362FEC-1408-4E7F-8E07-20185C2EC225}"/>
    <hyperlink ref="A82" r:id="rId81" location="/stock/1831632/12929" display="https://etportfolio.indiatimes.com/pw_companyinfo.cms - /stock/1831632/12929" xr:uid="{FD3B6309-3F97-4C42-A601-16F22EA6DFA1}"/>
    <hyperlink ref="A83" r:id="rId82" location="/stock/1831632/129341111" display="https://etportfolio.indiatimes.com/pw_companyinfo.cms - /stock/1831632/129341111" xr:uid="{EE0813A9-85F3-43C4-B8DA-AF36A163FB27}"/>
    <hyperlink ref="A84" r:id="rId83" location="/stock/1831632/12902" display="https://etportfolio.indiatimes.com/pw_companyinfo.cms - /stock/1831632/12902" xr:uid="{94EC8DC7-D77B-4CE3-AD11-01ADCEADD7A4}"/>
    <hyperlink ref="A85" r:id="rId84" location="/stock/1831632/11221" display="https://etportfolio.indiatimes.com/pw_companyinfo.cms - /stock/1831632/11221" xr:uid="{3DEFF7D6-92CA-4AEA-B7B8-7C61E6A481B1}"/>
    <hyperlink ref="A86" r:id="rId85" location="/stock/1831632/12903" display="https://etportfolio.indiatimes.com/pw_companyinfo.cms - /stock/1831632/12903" xr:uid="{2F8DA2F5-964E-468C-B156-629F3F4D928D}"/>
    <hyperlink ref="A87" r:id="rId86" location="/stock/1831632/6114" display="https://etportfolio.indiatimes.com/pw_companyinfo.cms - /stock/1831632/6114" xr:uid="{C779845D-076C-47FC-9BCB-F7D9DE1D288E}"/>
    <hyperlink ref="A88" r:id="rId87" location="/stock/1831632/18605" display="https://etportfolio.indiatimes.com/pw_companyinfo.cms - /stock/1831632/18605" xr:uid="{AFE14E24-0673-4945-BC62-3A3622371F2B}"/>
    <hyperlink ref="A89" r:id="rId88" location="/stock/1831632/12799" display="https://etportfolio.indiatimes.com/pw_companyinfo.cms - /stock/1831632/12799" xr:uid="{D7635B95-2BCF-41B6-9D0A-6439771DDA4C}"/>
    <hyperlink ref="A90" r:id="rId89" location="/stock/1831632/16552" display="https://etportfolio.indiatimes.com/pw_companyinfo.cms - /stock/1831632/16552" xr:uid="{D608625F-E4E8-4568-9721-18D4652149A9}"/>
    <hyperlink ref="A91" r:id="rId90" location="/stock/1831632/6816" display="https://etportfolio.indiatimes.com/pw_companyinfo.cms - /stock/1831632/6816" xr:uid="{5C9F6B82-AA99-4464-8ED7-3A9607F4C57F}"/>
  </hyperlinks>
  <pageMargins left="0.7" right="0.7" top="0.75" bottom="0.75" header="0.3" footer="0.3"/>
  <pageSetup paperSize="9" orientation="portrait" r:id="rId9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9042-5861-4A7A-B4EE-943558848926}">
  <dimension ref="A1:I15"/>
  <sheetViews>
    <sheetView workbookViewId="0">
      <selection activeCell="A2" sqref="A2:H15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>
      <c r="A2" s="77" t="s">
        <v>234</v>
      </c>
      <c r="B2" s="76" t="s">
        <v>235</v>
      </c>
      <c r="C2" s="78">
        <v>3503.7469999999998</v>
      </c>
      <c r="D2" s="76">
        <v>76.680000000000007</v>
      </c>
      <c r="E2" s="76">
        <v>68.494699999999995</v>
      </c>
      <c r="F2" s="78">
        <v>239988.15729999999</v>
      </c>
      <c r="G2" s="78">
        <v>268667.32</v>
      </c>
      <c r="H2" s="78">
        <v>28679.162700000001</v>
      </c>
      <c r="I2" s="1">
        <f>H2/F2</f>
        <v>0.11950240804653239</v>
      </c>
    </row>
    <row r="3" spans="1:9">
      <c r="A3" s="77" t="s">
        <v>236</v>
      </c>
      <c r="B3" s="76" t="s">
        <v>237</v>
      </c>
      <c r="C3" s="78">
        <v>11608.812</v>
      </c>
      <c r="D3" s="76">
        <v>69.08</v>
      </c>
      <c r="E3" s="76">
        <v>43.0687</v>
      </c>
      <c r="F3" s="78">
        <v>499975.88270000002</v>
      </c>
      <c r="G3" s="78">
        <v>801936.73300000001</v>
      </c>
      <c r="H3" s="78">
        <v>301960.85029999999</v>
      </c>
      <c r="I3" s="1">
        <f t="shared" ref="I3:I14" si="0">H3/F3</f>
        <v>0.60395083192679766</v>
      </c>
    </row>
    <row r="4" spans="1:9">
      <c r="A4" s="77" t="s">
        <v>454</v>
      </c>
      <c r="B4" s="76" t="s">
        <v>269</v>
      </c>
      <c r="C4" s="76">
        <v>74.13</v>
      </c>
      <c r="D4" s="78">
        <v>3180.1947</v>
      </c>
      <c r="E4" s="78">
        <v>3147.1342</v>
      </c>
      <c r="F4" s="78">
        <v>233297.05799999999</v>
      </c>
      <c r="G4" s="78">
        <v>235747.83309999999</v>
      </c>
      <c r="H4" s="78">
        <v>2450.7750999999998</v>
      </c>
      <c r="I4" s="1">
        <f t="shared" si="0"/>
        <v>1.0504955017478189E-2</v>
      </c>
    </row>
    <row r="5" spans="1:9">
      <c r="A5" s="77" t="s">
        <v>441</v>
      </c>
      <c r="B5" s="76" t="s">
        <v>241</v>
      </c>
      <c r="C5" s="78">
        <v>1857.5519999999999</v>
      </c>
      <c r="D5" s="76">
        <v>537.67020000000002</v>
      </c>
      <c r="E5" s="76">
        <v>366.02140000000003</v>
      </c>
      <c r="F5" s="78">
        <v>679903.69869999995</v>
      </c>
      <c r="G5" s="78">
        <v>998750.3554</v>
      </c>
      <c r="H5" s="78">
        <v>318846.65669999999</v>
      </c>
      <c r="I5" s="1">
        <f t="shared" si="0"/>
        <v>0.46895855590967683</v>
      </c>
    </row>
    <row r="6" spans="1:9">
      <c r="A6" s="77" t="s">
        <v>242</v>
      </c>
      <c r="B6" s="76" t="s">
        <v>237</v>
      </c>
      <c r="C6" s="78">
        <v>5856.576</v>
      </c>
      <c r="D6" s="76">
        <v>83.956000000000003</v>
      </c>
      <c r="E6" s="76">
        <v>44.3917</v>
      </c>
      <c r="F6" s="78">
        <v>259983.36480000001</v>
      </c>
      <c r="G6" s="78">
        <v>491694.69469999999</v>
      </c>
      <c r="H6" s="78">
        <v>231711.32980000001</v>
      </c>
      <c r="I6" s="1">
        <f t="shared" si="0"/>
        <v>0.89125444613831695</v>
      </c>
    </row>
    <row r="7" spans="1:9">
      <c r="A7" s="77" t="s">
        <v>272</v>
      </c>
      <c r="B7" s="76" t="s">
        <v>235</v>
      </c>
      <c r="C7" s="78">
        <v>6641.4979999999996</v>
      </c>
      <c r="D7" s="76">
        <v>80.917000000000002</v>
      </c>
      <c r="E7" s="76">
        <v>41.7624</v>
      </c>
      <c r="F7" s="78">
        <v>277364.96380000003</v>
      </c>
      <c r="G7" s="78">
        <v>537410.09369999997</v>
      </c>
      <c r="H7" s="78">
        <v>260045.1299</v>
      </c>
      <c r="I7" s="1">
        <f t="shared" si="0"/>
        <v>0.9375557977377097</v>
      </c>
    </row>
    <row r="8" spans="1:9">
      <c r="A8" s="77" t="s">
        <v>244</v>
      </c>
      <c r="B8" s="76" t="s">
        <v>233</v>
      </c>
      <c r="C8" s="78">
        <v>4068.6480000000001</v>
      </c>
      <c r="D8" s="76">
        <v>23.521999999999998</v>
      </c>
      <c r="E8" s="76">
        <v>24.577000000000002</v>
      </c>
      <c r="F8" s="78">
        <v>99995.003700000001</v>
      </c>
      <c r="G8" s="78">
        <v>95702.738299999997</v>
      </c>
      <c r="H8" s="78">
        <v>-4292.2655000000004</v>
      </c>
      <c r="I8" s="1">
        <f t="shared" si="0"/>
        <v>-4.2924799651765003E-2</v>
      </c>
    </row>
    <row r="9" spans="1:9">
      <c r="A9" s="77" t="s">
        <v>246</v>
      </c>
      <c r="B9" s="76" t="s">
        <v>241</v>
      </c>
      <c r="C9" s="78">
        <v>7158.0609999999997</v>
      </c>
      <c r="D9" s="76">
        <v>11.0701</v>
      </c>
      <c r="E9" s="76">
        <v>11.2455</v>
      </c>
      <c r="F9" s="78">
        <v>80495.985000000001</v>
      </c>
      <c r="G9" s="78">
        <v>79240.451100000006</v>
      </c>
      <c r="H9" s="78">
        <v>-1255.5338999999999</v>
      </c>
      <c r="I9" s="1">
        <f t="shared" si="0"/>
        <v>-1.5597472345980981E-2</v>
      </c>
    </row>
    <row r="10" spans="1:9">
      <c r="A10" s="77" t="s">
        <v>250</v>
      </c>
      <c r="B10" s="76" t="s">
        <v>251</v>
      </c>
      <c r="C10" s="78">
        <v>10884.981</v>
      </c>
      <c r="D10" s="76">
        <v>53.310099999999998</v>
      </c>
      <c r="E10" s="76">
        <v>38.212800000000001</v>
      </c>
      <c r="F10" s="78">
        <v>415945.43910000002</v>
      </c>
      <c r="G10" s="78">
        <v>580279.42559999996</v>
      </c>
      <c r="H10" s="78">
        <v>164333.9865</v>
      </c>
      <c r="I10" s="1">
        <f t="shared" si="0"/>
        <v>0.3950854392238965</v>
      </c>
    </row>
    <row r="11" spans="1:9">
      <c r="A11" s="77" t="s">
        <v>274</v>
      </c>
      <c r="B11" s="76" t="s">
        <v>233</v>
      </c>
      <c r="C11" s="78">
        <v>5399.8710000000001</v>
      </c>
      <c r="D11" s="76">
        <v>35.15</v>
      </c>
      <c r="E11" s="76">
        <v>37.036200000000001</v>
      </c>
      <c r="F11" s="78">
        <v>199990.82519999999</v>
      </c>
      <c r="G11" s="78">
        <v>189805.4656</v>
      </c>
      <c r="H11" s="78">
        <v>-10185.3596</v>
      </c>
      <c r="I11" s="1">
        <f t="shared" si="0"/>
        <v>-5.0929134323107937E-2</v>
      </c>
    </row>
    <row r="12" spans="1:9">
      <c r="A12" s="77" t="s">
        <v>455</v>
      </c>
      <c r="B12" s="76" t="s">
        <v>241</v>
      </c>
      <c r="C12" s="76">
        <v>197.84399999999999</v>
      </c>
      <c r="D12" s="76">
        <v>151.1465</v>
      </c>
      <c r="E12" s="76">
        <v>126.3557</v>
      </c>
      <c r="F12" s="78">
        <v>24998.7091</v>
      </c>
      <c r="G12" s="78">
        <v>29903.428100000001</v>
      </c>
      <c r="H12" s="78">
        <v>4904.7190000000001</v>
      </c>
      <c r="I12" s="1">
        <f t="shared" si="0"/>
        <v>0.19619889092593185</v>
      </c>
    </row>
    <row r="13" spans="1:9">
      <c r="A13" s="77" t="s">
        <v>255</v>
      </c>
      <c r="B13" s="76" t="s">
        <v>241</v>
      </c>
      <c r="C13" s="78">
        <v>18996.168000000001</v>
      </c>
      <c r="D13" s="76">
        <v>15.173</v>
      </c>
      <c r="E13" s="76">
        <v>9.4700000000000006</v>
      </c>
      <c r="F13" s="78">
        <v>179893.71100000001</v>
      </c>
      <c r="G13" s="78">
        <v>288228.85710000002</v>
      </c>
      <c r="H13" s="78">
        <v>108335.1461</v>
      </c>
      <c r="I13" s="1">
        <f t="shared" si="0"/>
        <v>0.60221752888293012</v>
      </c>
    </row>
    <row r="14" spans="1:9" ht="15.75" thickBot="1">
      <c r="A14" s="74" t="s">
        <v>11</v>
      </c>
      <c r="B14" s="75"/>
      <c r="C14" s="75">
        <f>SUM(C2:C13)</f>
        <v>76247.887999999992</v>
      </c>
      <c r="D14" s="75"/>
      <c r="E14" s="75"/>
      <c r="F14" s="75">
        <f t="shared" ref="F14:H14" si="1">SUM(F2:F13)</f>
        <v>3191832.7983999997</v>
      </c>
      <c r="G14" s="75">
        <f t="shared" si="1"/>
        <v>4597367.3956999993</v>
      </c>
      <c r="H14" s="75">
        <f t="shared" si="1"/>
        <v>1405534.5970999999</v>
      </c>
      <c r="I14" s="53">
        <f t="shared" si="0"/>
        <v>0.44035345391668557</v>
      </c>
    </row>
    <row r="15" spans="1:9" ht="15.75" thickTop="1"/>
  </sheetData>
  <hyperlinks>
    <hyperlink ref="A13" r:id="rId1" location="/mf/1831632/36491/NULL" display="https://etportfolio.indiatimes.com/pw_companyinfo.cms - /mf/1831632/36491/NULL" xr:uid="{DB0FAC34-BB70-48F9-A8A9-B97EDFEE6893}"/>
    <hyperlink ref="A12" r:id="rId2" location="/mf/1831632/16955/NULL" display="https://etportfolio.indiatimes.com/pw_companyinfo.cms - /mf/1831632/16955/NULL" xr:uid="{EA40C9D1-1123-4FFD-A39A-D028D0BF9A4C}"/>
    <hyperlink ref="A11" r:id="rId3" location="/mf/1831632/17348/NULL" display="https://etportfolio.indiatimes.com/pw_companyinfo.cms - /mf/1831632/17348/NULL" xr:uid="{0B1108FD-5878-409B-B2E7-02A27FB84566}"/>
    <hyperlink ref="A10" r:id="rId4" location="/mf/1831632/19701/NULL" display="https://etportfolio.indiatimes.com/pw_companyinfo.cms - /mf/1831632/19701/NULL" xr:uid="{1FE03660-09CF-40D9-978D-66D88CD2C141}"/>
    <hyperlink ref="A9" r:id="rId5" location="/mf/1831632/41574/NULL" display="https://etportfolio.indiatimes.com/pw_companyinfo.cms - /mf/1831632/41574/NULL" xr:uid="{57571B2D-29F9-40DD-8934-CECF32C2AC66}"/>
    <hyperlink ref="A8" r:id="rId6" location="/mf/1831632/38228/NULL" display="https://etportfolio.indiatimes.com/pw_companyinfo.cms - /mf/1831632/38228/NULL" xr:uid="{A168DB8B-9EC9-471F-A7ED-F40CFBFFBDFB}"/>
    <hyperlink ref="A7" r:id="rId7" location="/mf/1831632/17134/NULL" display="https://etportfolio.indiatimes.com/pw_companyinfo.cms - /mf/1831632/17134/NULL" xr:uid="{90AED318-4851-4477-AE03-C2634DF4425D}"/>
    <hyperlink ref="A6" r:id="rId8" location="/mf/1831632/16617/NULL" display="https://etportfolio.indiatimes.com/pw_companyinfo.cms - /mf/1831632/16617/NULL" xr:uid="{987891ED-1CC9-4F11-88CF-DB0D7DF574A7}"/>
    <hyperlink ref="A5" r:id="rId9" location="/mf/1831632/16071/NULL" display="https://etportfolio.indiatimes.com/pw_companyinfo.cms - /mf/1831632/16071/NULL" xr:uid="{2058CE12-A3AD-4CEF-BFDB-C6B22C668A5D}"/>
    <hyperlink ref="A4" r:id="rId10" location="/mf/1831632/16848/NULL" display="https://etportfolio.indiatimes.com/pw_companyinfo.cms - /mf/1831632/16848/NULL" xr:uid="{5CAD90D9-67F3-48B1-A2CA-B8EFD112D5A2}"/>
    <hyperlink ref="A3" r:id="rId11" location="/mf/1831632/22335/NULL" display="https://etportfolio.indiatimes.com/pw_companyinfo.cms - /mf/1831632/22335/NULL" xr:uid="{002EF4AA-8155-46CF-8672-A0E5A0EBAC36}"/>
    <hyperlink ref="A2" r:id="rId12" location="/mf/1831632/15690/NULL" display="https://etportfolio.indiatimes.com/pw_companyinfo.cms - /mf/1831632/15690/NULL" xr:uid="{FEC50898-CCCA-43DF-A3ED-0AF80613D25C}"/>
  </hyperlinks>
  <pageMargins left="0.7" right="0.7" top="0.75" bottom="0.75" header="0.3" footer="0.3"/>
  <pageSetup paperSize="9" orientation="portrait" r:id="rId1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7AAF-C67D-43DC-BB2E-AD29B899C63D}">
  <dimension ref="A1:H91"/>
  <sheetViews>
    <sheetView topLeftCell="B79" workbookViewId="0">
      <selection activeCell="A90" sqref="A90:H90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 ht="15.75" thickBot="1">
      <c r="A2" s="77" t="s">
        <v>352</v>
      </c>
      <c r="B2" s="76">
        <v>25</v>
      </c>
      <c r="C2" s="78">
        <v>2235.3000000000002</v>
      </c>
      <c r="D2" s="78">
        <v>1753.0652</v>
      </c>
      <c r="E2" s="78">
        <v>43826.63</v>
      </c>
      <c r="F2" s="78">
        <v>55882.5</v>
      </c>
      <c r="G2" s="78">
        <v>12055.87</v>
      </c>
      <c r="H2" s="63">
        <f t="shared" ref="H2:H65" si="0">G2/E2</f>
        <v>0.27508092682462698</v>
      </c>
    </row>
    <row r="3" spans="1:8" ht="15.75" thickBot="1">
      <c r="A3" s="77" t="s">
        <v>353</v>
      </c>
      <c r="B3" s="76">
        <v>13</v>
      </c>
      <c r="C3" s="78">
        <v>3622.95</v>
      </c>
      <c r="D3" s="78">
        <v>2592.5562</v>
      </c>
      <c r="E3" s="78">
        <v>33703.230000000003</v>
      </c>
      <c r="F3" s="78">
        <v>47098.35</v>
      </c>
      <c r="G3" s="78">
        <v>13395.12</v>
      </c>
      <c r="H3" s="63">
        <f t="shared" si="0"/>
        <v>0.39744321241613934</v>
      </c>
    </row>
    <row r="4" spans="1:8" ht="15.75" thickBot="1">
      <c r="A4" s="77" t="s">
        <v>354</v>
      </c>
      <c r="B4" s="76">
        <v>250</v>
      </c>
      <c r="C4" s="76">
        <v>219.1</v>
      </c>
      <c r="D4" s="76">
        <v>183.58799999999999</v>
      </c>
      <c r="E4" s="78">
        <v>45897</v>
      </c>
      <c r="F4" s="78">
        <v>54775</v>
      </c>
      <c r="G4" s="78">
        <v>8878</v>
      </c>
      <c r="H4" s="63">
        <f t="shared" si="0"/>
        <v>0.19343312199054405</v>
      </c>
    </row>
    <row r="5" spans="1:8" ht="15.75" thickBot="1">
      <c r="A5" s="77" t="s">
        <v>355</v>
      </c>
      <c r="B5" s="76">
        <v>12</v>
      </c>
      <c r="C5" s="78">
        <v>3381.95</v>
      </c>
      <c r="D5" s="78">
        <v>2352.6</v>
      </c>
      <c r="E5" s="78">
        <v>28231.200000000001</v>
      </c>
      <c r="F5" s="78">
        <v>40583.4</v>
      </c>
      <c r="G5" s="78">
        <v>12352.2</v>
      </c>
      <c r="H5" s="63">
        <f t="shared" si="0"/>
        <v>0.4375371928929695</v>
      </c>
    </row>
    <row r="6" spans="1:8" ht="15.75" thickBot="1">
      <c r="A6" s="77" t="s">
        <v>356</v>
      </c>
      <c r="B6" s="76">
        <v>42</v>
      </c>
      <c r="C6" s="78">
        <v>1036.3</v>
      </c>
      <c r="D6" s="78">
        <v>1158.8118999999999</v>
      </c>
      <c r="E6" s="78">
        <v>48670.1</v>
      </c>
      <c r="F6" s="78">
        <v>43524.6</v>
      </c>
      <c r="G6" s="78">
        <v>-5145.5</v>
      </c>
      <c r="H6" s="63">
        <f t="shared" si="0"/>
        <v>-0.10572199358538405</v>
      </c>
    </row>
    <row r="7" spans="1:8" ht="15.75" thickBot="1">
      <c r="A7" s="77" t="s">
        <v>357</v>
      </c>
      <c r="B7" s="76">
        <v>9</v>
      </c>
      <c r="C7" s="78">
        <v>4669.7</v>
      </c>
      <c r="D7" s="78">
        <v>2894.4322000000002</v>
      </c>
      <c r="E7" s="78">
        <v>26049.89</v>
      </c>
      <c r="F7" s="78">
        <v>42027.3</v>
      </c>
      <c r="G7" s="78">
        <v>15977.41</v>
      </c>
      <c r="H7" s="63">
        <f t="shared" si="0"/>
        <v>0.61333886630615331</v>
      </c>
    </row>
    <row r="8" spans="1:8" ht="15.75" thickBot="1">
      <c r="A8" s="77" t="s">
        <v>358</v>
      </c>
      <c r="B8" s="76">
        <v>76</v>
      </c>
      <c r="C8" s="76">
        <v>678.55</v>
      </c>
      <c r="D8" s="76">
        <v>603.67700000000002</v>
      </c>
      <c r="E8" s="78">
        <v>45879.45</v>
      </c>
      <c r="F8" s="78">
        <v>51569.8</v>
      </c>
      <c r="G8" s="78">
        <v>5690.35</v>
      </c>
      <c r="H8" s="63">
        <f t="shared" si="0"/>
        <v>0.12402829589282349</v>
      </c>
    </row>
    <row r="9" spans="1:8" ht="15.75" thickBot="1">
      <c r="A9" s="77" t="s">
        <v>359</v>
      </c>
      <c r="B9" s="76">
        <v>21</v>
      </c>
      <c r="C9" s="78">
        <v>3250.8</v>
      </c>
      <c r="D9" s="78">
        <v>2714.0237999999999</v>
      </c>
      <c r="E9" s="78">
        <v>56994.5</v>
      </c>
      <c r="F9" s="78">
        <v>68266.8</v>
      </c>
      <c r="G9" s="78">
        <v>11272.3</v>
      </c>
      <c r="H9" s="63">
        <f t="shared" si="0"/>
        <v>0.19777873303564378</v>
      </c>
    </row>
    <row r="10" spans="1:8" ht="15.75" thickBot="1">
      <c r="A10" s="77" t="s">
        <v>360</v>
      </c>
      <c r="B10" s="76">
        <v>1</v>
      </c>
      <c r="C10" s="78">
        <v>6976.9</v>
      </c>
      <c r="D10" s="78">
        <v>7545</v>
      </c>
      <c r="E10" s="78">
        <v>7545</v>
      </c>
      <c r="F10" s="78">
        <v>6976.9</v>
      </c>
      <c r="G10" s="76">
        <v>-568.1</v>
      </c>
      <c r="H10" s="63">
        <f t="shared" si="0"/>
        <v>-7.5294897282968856E-2</v>
      </c>
    </row>
    <row r="11" spans="1:8" ht="15.75" thickBot="1">
      <c r="A11" s="77" t="s">
        <v>361</v>
      </c>
      <c r="B11" s="76">
        <v>10</v>
      </c>
      <c r="C11" s="78">
        <v>2319.9499999999998</v>
      </c>
      <c r="D11" s="78">
        <v>1889.8620000000001</v>
      </c>
      <c r="E11" s="78">
        <v>18898.62</v>
      </c>
      <c r="F11" s="78">
        <v>23199.5</v>
      </c>
      <c r="G11" s="78">
        <v>4300.88</v>
      </c>
      <c r="H11" s="63">
        <f t="shared" si="0"/>
        <v>0.22757640504968091</v>
      </c>
    </row>
    <row r="12" spans="1:8" ht="15.75" thickBot="1">
      <c r="A12" s="77" t="s">
        <v>362</v>
      </c>
      <c r="B12" s="76">
        <v>180</v>
      </c>
      <c r="C12" s="76">
        <v>683.85</v>
      </c>
      <c r="D12" s="76">
        <v>322.88889999999998</v>
      </c>
      <c r="E12" s="78">
        <v>58120</v>
      </c>
      <c r="F12" s="78">
        <v>123093</v>
      </c>
      <c r="G12" s="78">
        <v>64973</v>
      </c>
      <c r="H12" s="63">
        <f t="shared" si="0"/>
        <v>1.1179112181693049</v>
      </c>
    </row>
    <row r="13" spans="1:8" ht="15.75" thickBot="1">
      <c r="A13" s="77" t="s">
        <v>363</v>
      </c>
      <c r="B13" s="76">
        <v>65</v>
      </c>
      <c r="C13" s="76">
        <v>490.25</v>
      </c>
      <c r="D13" s="76">
        <v>404.41309999999999</v>
      </c>
      <c r="E13" s="78">
        <v>26286.85</v>
      </c>
      <c r="F13" s="78">
        <v>31866.25</v>
      </c>
      <c r="G13" s="78">
        <v>5579.4</v>
      </c>
      <c r="H13" s="63">
        <f t="shared" si="0"/>
        <v>0.2122506119980142</v>
      </c>
    </row>
    <row r="14" spans="1:8" ht="15.75" thickBot="1">
      <c r="A14" s="77" t="s">
        <v>364</v>
      </c>
      <c r="B14" s="76">
        <v>10</v>
      </c>
      <c r="C14" s="78">
        <v>3606.7</v>
      </c>
      <c r="D14" s="78">
        <v>3553.9</v>
      </c>
      <c r="E14" s="78">
        <v>35539</v>
      </c>
      <c r="F14" s="78">
        <v>36067</v>
      </c>
      <c r="G14" s="76">
        <v>528</v>
      </c>
      <c r="H14" s="63">
        <f t="shared" si="0"/>
        <v>1.4856917752328428E-2</v>
      </c>
    </row>
    <row r="15" spans="1:8" ht="15.75" thickBot="1">
      <c r="A15" s="77" t="s">
        <v>365</v>
      </c>
      <c r="B15" s="76">
        <v>180</v>
      </c>
      <c r="C15" s="76">
        <v>122.85</v>
      </c>
      <c r="D15" s="76">
        <v>155.25</v>
      </c>
      <c r="E15" s="78">
        <v>27945</v>
      </c>
      <c r="F15" s="78">
        <v>22113</v>
      </c>
      <c r="G15" s="78">
        <v>-5832</v>
      </c>
      <c r="H15" s="63">
        <f t="shared" si="0"/>
        <v>-0.20869565217391303</v>
      </c>
    </row>
    <row r="16" spans="1:8" ht="15.75" thickBot="1">
      <c r="A16" s="77" t="s">
        <v>442</v>
      </c>
      <c r="B16" s="76">
        <v>66</v>
      </c>
      <c r="C16" s="76">
        <v>394.65</v>
      </c>
      <c r="D16" s="76">
        <v>412</v>
      </c>
      <c r="E16" s="78">
        <v>27192</v>
      </c>
      <c r="F16" s="78">
        <v>26046.9</v>
      </c>
      <c r="G16" s="78">
        <v>-1145.0999999999999</v>
      </c>
      <c r="H16" s="63">
        <f t="shared" si="0"/>
        <v>-4.2111650485436893E-2</v>
      </c>
    </row>
    <row r="17" spans="1:8" ht="15.75" thickBot="1">
      <c r="A17" s="77" t="s">
        <v>366</v>
      </c>
      <c r="B17" s="76">
        <v>43</v>
      </c>
      <c r="C17" s="76">
        <v>944.3</v>
      </c>
      <c r="D17" s="76">
        <v>701.07399999999996</v>
      </c>
      <c r="E17" s="78">
        <v>30146.18</v>
      </c>
      <c r="F17" s="78">
        <v>40604.9</v>
      </c>
      <c r="G17" s="78">
        <v>10458.719999999999</v>
      </c>
      <c r="H17" s="63">
        <f t="shared" si="0"/>
        <v>0.34693350865681821</v>
      </c>
    </row>
    <row r="18" spans="1:8" ht="15.75" thickBot="1">
      <c r="A18" s="77" t="s">
        <v>367</v>
      </c>
      <c r="B18" s="76">
        <v>250</v>
      </c>
      <c r="C18" s="76">
        <v>146.05000000000001</v>
      </c>
      <c r="D18" s="76">
        <v>163.66999999999999</v>
      </c>
      <c r="E18" s="78">
        <v>40917.5</v>
      </c>
      <c r="F18" s="78">
        <v>36512.5</v>
      </c>
      <c r="G18" s="78">
        <v>-4405</v>
      </c>
      <c r="H18" s="63">
        <f t="shared" si="0"/>
        <v>-0.10765564856112911</v>
      </c>
    </row>
    <row r="19" spans="1:8" ht="15.75" thickBot="1">
      <c r="A19" s="77" t="s">
        <v>368</v>
      </c>
      <c r="B19" s="76">
        <v>3</v>
      </c>
      <c r="C19" s="78">
        <v>5889.15</v>
      </c>
      <c r="D19" s="78">
        <v>4763.5</v>
      </c>
      <c r="E19" s="78">
        <v>14290.5</v>
      </c>
      <c r="F19" s="78">
        <v>17667.45</v>
      </c>
      <c r="G19" s="78">
        <v>3376.95</v>
      </c>
      <c r="H19" s="63">
        <f t="shared" si="0"/>
        <v>0.23630733704209089</v>
      </c>
    </row>
    <row r="20" spans="1:8" ht="15.75" thickBot="1">
      <c r="A20" s="77" t="s">
        <v>369</v>
      </c>
      <c r="B20" s="76">
        <v>23</v>
      </c>
      <c r="C20" s="78">
        <v>1480.05</v>
      </c>
      <c r="D20" s="78">
        <v>1570.5065</v>
      </c>
      <c r="E20" s="78">
        <v>36121.65</v>
      </c>
      <c r="F20" s="78">
        <v>34041.15</v>
      </c>
      <c r="G20" s="78">
        <v>-2080.5</v>
      </c>
      <c r="H20" s="63">
        <f t="shared" si="0"/>
        <v>-5.7597036680218094E-2</v>
      </c>
    </row>
    <row r="21" spans="1:8" ht="15.75" thickBot="1">
      <c r="A21" s="77" t="s">
        <v>370</v>
      </c>
      <c r="B21" s="76">
        <v>55</v>
      </c>
      <c r="C21" s="76">
        <v>580.4</v>
      </c>
      <c r="D21" s="76">
        <v>565.28160000000003</v>
      </c>
      <c r="E21" s="78">
        <v>31090.49</v>
      </c>
      <c r="F21" s="78">
        <v>31922</v>
      </c>
      <c r="G21" s="76">
        <v>831.51</v>
      </c>
      <c r="H21" s="63">
        <f t="shared" si="0"/>
        <v>2.6744834192063232E-2</v>
      </c>
    </row>
    <row r="22" spans="1:8" ht="15.75" thickBot="1">
      <c r="A22" s="77" t="s">
        <v>371</v>
      </c>
      <c r="B22" s="76">
        <v>11</v>
      </c>
      <c r="C22" s="78">
        <v>4678.1000000000004</v>
      </c>
      <c r="D22" s="78">
        <v>2298.1581999999999</v>
      </c>
      <c r="E22" s="78">
        <v>25279.74</v>
      </c>
      <c r="F22" s="78">
        <v>51459.1</v>
      </c>
      <c r="G22" s="78">
        <v>26179.360000000001</v>
      </c>
      <c r="H22" s="63">
        <f t="shared" si="0"/>
        <v>1.0355866001786411</v>
      </c>
    </row>
    <row r="23" spans="1:8" ht="15.75" thickBot="1">
      <c r="A23" s="77" t="s">
        <v>372</v>
      </c>
      <c r="B23" s="76">
        <v>59</v>
      </c>
      <c r="C23" s="76">
        <v>390.4</v>
      </c>
      <c r="D23" s="76">
        <v>301.64100000000002</v>
      </c>
      <c r="E23" s="78">
        <v>17796.82</v>
      </c>
      <c r="F23" s="78">
        <v>23033.599999999999</v>
      </c>
      <c r="G23" s="78">
        <v>5236.78</v>
      </c>
      <c r="H23" s="63">
        <f t="shared" si="0"/>
        <v>0.29425369251360634</v>
      </c>
    </row>
    <row r="24" spans="1:8" ht="15.75" thickBot="1">
      <c r="A24" s="77" t="s">
        <v>373</v>
      </c>
      <c r="B24" s="76">
        <v>2</v>
      </c>
      <c r="C24" s="78">
        <v>3822.6</v>
      </c>
      <c r="D24" s="78">
        <v>3639.8</v>
      </c>
      <c r="E24" s="78">
        <v>7279.6</v>
      </c>
      <c r="F24" s="78">
        <v>7645.2</v>
      </c>
      <c r="G24" s="76">
        <v>365.6</v>
      </c>
      <c r="H24" s="63">
        <f t="shared" si="0"/>
        <v>5.0222539699983519E-2</v>
      </c>
    </row>
    <row r="25" spans="1:8" ht="15.75" thickBot="1">
      <c r="A25" s="77" t="s">
        <v>374</v>
      </c>
      <c r="B25" s="76">
        <v>9</v>
      </c>
      <c r="C25" s="78">
        <v>2589.9499999999998</v>
      </c>
      <c r="D25" s="78">
        <v>2478.4544000000001</v>
      </c>
      <c r="E25" s="78">
        <v>22306.09</v>
      </c>
      <c r="F25" s="78">
        <v>23309.55</v>
      </c>
      <c r="G25" s="78">
        <v>1003.46</v>
      </c>
      <c r="H25" s="63">
        <f t="shared" si="0"/>
        <v>4.4985920885282901E-2</v>
      </c>
    </row>
    <row r="26" spans="1:8" ht="15.75" thickBot="1">
      <c r="A26" s="77" t="s">
        <v>376</v>
      </c>
      <c r="B26" s="76">
        <v>17</v>
      </c>
      <c r="C26" s="78">
        <v>1691.35</v>
      </c>
      <c r="D26" s="78">
        <v>1441.1070999999999</v>
      </c>
      <c r="E26" s="78">
        <v>24498.82</v>
      </c>
      <c r="F26" s="78">
        <v>28752.95</v>
      </c>
      <c r="G26" s="78">
        <v>4254.13</v>
      </c>
      <c r="H26" s="63">
        <f t="shared" si="0"/>
        <v>0.17364632255757625</v>
      </c>
    </row>
    <row r="27" spans="1:8" ht="15.75" thickBot="1">
      <c r="A27" s="77" t="s">
        <v>377</v>
      </c>
      <c r="B27" s="76">
        <v>86</v>
      </c>
      <c r="C27" s="76">
        <v>758.9</v>
      </c>
      <c r="D27" s="76">
        <v>714.27210000000002</v>
      </c>
      <c r="E27" s="78">
        <v>61427.4</v>
      </c>
      <c r="F27" s="78">
        <v>65265.4</v>
      </c>
      <c r="G27" s="78">
        <v>3838</v>
      </c>
      <c r="H27" s="63">
        <f t="shared" si="0"/>
        <v>6.2480261251493634E-2</v>
      </c>
    </row>
    <row r="28" spans="1:8" ht="15.75" thickBot="1">
      <c r="A28" s="77" t="s">
        <v>378</v>
      </c>
      <c r="B28" s="76">
        <v>303</v>
      </c>
      <c r="C28" s="76">
        <v>168.2</v>
      </c>
      <c r="D28" s="76">
        <v>190.4205</v>
      </c>
      <c r="E28" s="78">
        <v>57697.41</v>
      </c>
      <c r="F28" s="78">
        <v>50964.6</v>
      </c>
      <c r="G28" s="78">
        <v>-6732.81</v>
      </c>
      <c r="H28" s="63">
        <f t="shared" si="0"/>
        <v>-0.11669171978430228</v>
      </c>
    </row>
    <row r="29" spans="1:8" ht="15.75" thickBot="1">
      <c r="A29" s="77" t="s">
        <v>379</v>
      </c>
      <c r="B29" s="76">
        <v>539</v>
      </c>
      <c r="C29" s="76">
        <v>83</v>
      </c>
      <c r="D29" s="76">
        <v>67.680999999999997</v>
      </c>
      <c r="E29" s="78">
        <v>36480.080000000002</v>
      </c>
      <c r="F29" s="78">
        <v>44737</v>
      </c>
      <c r="G29" s="78">
        <v>8256.92</v>
      </c>
      <c r="H29" s="63">
        <f t="shared" si="0"/>
        <v>0.22634051241115699</v>
      </c>
    </row>
    <row r="30" spans="1:8" ht="15.75" thickBot="1">
      <c r="A30" s="77" t="s">
        <v>444</v>
      </c>
      <c r="B30" s="76">
        <v>129</v>
      </c>
      <c r="C30" s="76">
        <v>206.85</v>
      </c>
      <c r="D30" s="76">
        <v>209.97</v>
      </c>
      <c r="E30" s="78">
        <v>27086.13</v>
      </c>
      <c r="F30" s="78">
        <v>26683.65</v>
      </c>
      <c r="G30" s="76">
        <v>-402.48</v>
      </c>
      <c r="H30" s="63">
        <f t="shared" si="0"/>
        <v>-1.4859265609372767E-2</v>
      </c>
    </row>
    <row r="31" spans="1:8" ht="15.75" thickBot="1">
      <c r="A31" s="77" t="s">
        <v>380</v>
      </c>
      <c r="B31" s="76">
        <v>78</v>
      </c>
      <c r="C31" s="76">
        <v>140.55000000000001</v>
      </c>
      <c r="D31" s="76">
        <v>154.29810000000001</v>
      </c>
      <c r="E31" s="78">
        <v>12035.25</v>
      </c>
      <c r="F31" s="78">
        <v>10962.9</v>
      </c>
      <c r="G31" s="78">
        <v>-1072.3499999999999</v>
      </c>
      <c r="H31" s="63">
        <f t="shared" si="0"/>
        <v>-8.9100766498410908E-2</v>
      </c>
    </row>
    <row r="32" spans="1:8" ht="15.75" thickBot="1">
      <c r="A32" s="77" t="s">
        <v>382</v>
      </c>
      <c r="B32" s="76">
        <v>11</v>
      </c>
      <c r="C32" s="78">
        <v>3862.55</v>
      </c>
      <c r="D32" s="78">
        <v>3984.3</v>
      </c>
      <c r="E32" s="78">
        <v>43827.3</v>
      </c>
      <c r="F32" s="78">
        <v>42488.05</v>
      </c>
      <c r="G32" s="78">
        <v>-1339.25</v>
      </c>
      <c r="H32" s="63">
        <f t="shared" si="0"/>
        <v>-3.0557437943929924E-2</v>
      </c>
    </row>
    <row r="33" spans="1:8" ht="15.75" thickBot="1">
      <c r="A33" s="77" t="s">
        <v>383</v>
      </c>
      <c r="B33" s="76">
        <v>14</v>
      </c>
      <c r="C33" s="78">
        <v>1872.85</v>
      </c>
      <c r="D33" s="78">
        <v>1527.5679</v>
      </c>
      <c r="E33" s="78">
        <v>21385.95</v>
      </c>
      <c r="F33" s="78">
        <v>26219.9</v>
      </c>
      <c r="G33" s="78">
        <v>4833.95</v>
      </c>
      <c r="H33" s="63">
        <f t="shared" si="0"/>
        <v>0.22603391478985033</v>
      </c>
    </row>
    <row r="34" spans="1:8" ht="15.75" thickBot="1">
      <c r="A34" s="77" t="s">
        <v>384</v>
      </c>
      <c r="B34" s="76">
        <v>21</v>
      </c>
      <c r="C34" s="78">
        <v>1318.4</v>
      </c>
      <c r="D34" s="78">
        <v>1103.6695</v>
      </c>
      <c r="E34" s="78">
        <v>23177.06</v>
      </c>
      <c r="F34" s="78">
        <v>27686.400000000001</v>
      </c>
      <c r="G34" s="78">
        <v>4509.34</v>
      </c>
      <c r="H34" s="63">
        <f t="shared" si="0"/>
        <v>0.19456048351257665</v>
      </c>
    </row>
    <row r="35" spans="1:8" ht="15.75" thickBot="1">
      <c r="A35" s="77" t="s">
        <v>385</v>
      </c>
      <c r="B35" s="76">
        <v>45</v>
      </c>
      <c r="C35" s="78">
        <v>1479.8</v>
      </c>
      <c r="D35" s="78">
        <v>1355.0210999999999</v>
      </c>
      <c r="E35" s="78">
        <v>60975.95</v>
      </c>
      <c r="F35" s="78">
        <v>66591</v>
      </c>
      <c r="G35" s="78">
        <v>5615.05</v>
      </c>
      <c r="H35" s="63">
        <f t="shared" si="0"/>
        <v>9.2086306158411638E-2</v>
      </c>
    </row>
    <row r="36" spans="1:8" ht="15.75" thickBot="1">
      <c r="A36" s="77" t="s">
        <v>386</v>
      </c>
      <c r="B36" s="76">
        <v>58</v>
      </c>
      <c r="C36" s="76">
        <v>648.79999999999995</v>
      </c>
      <c r="D36" s="76">
        <v>672.21640000000002</v>
      </c>
      <c r="E36" s="78">
        <v>38988.550000000003</v>
      </c>
      <c r="F36" s="78">
        <v>37630.400000000001</v>
      </c>
      <c r="G36" s="78">
        <v>-1358.15</v>
      </c>
      <c r="H36" s="63">
        <f t="shared" si="0"/>
        <v>-3.48345860515459E-2</v>
      </c>
    </row>
    <row r="37" spans="1:8" ht="15.75" thickBot="1">
      <c r="A37" s="77" t="s">
        <v>387</v>
      </c>
      <c r="B37" s="76">
        <v>10</v>
      </c>
      <c r="C37" s="78">
        <v>2461.3000000000002</v>
      </c>
      <c r="D37" s="78">
        <v>2914.2950000000001</v>
      </c>
      <c r="E37" s="78">
        <v>29142.95</v>
      </c>
      <c r="F37" s="78">
        <v>24613</v>
      </c>
      <c r="G37" s="78">
        <v>-4529.95</v>
      </c>
      <c r="H37" s="63">
        <f t="shared" si="0"/>
        <v>-0.15543896551310007</v>
      </c>
    </row>
    <row r="38" spans="1:8" ht="15.75" thickBot="1">
      <c r="A38" s="77" t="s">
        <v>390</v>
      </c>
      <c r="B38" s="76">
        <v>12</v>
      </c>
      <c r="C38" s="78">
        <v>2359.75</v>
      </c>
      <c r="D38" s="78">
        <v>2357.7874999999999</v>
      </c>
      <c r="E38" s="78">
        <v>28293.45</v>
      </c>
      <c r="F38" s="78">
        <v>28317</v>
      </c>
      <c r="G38" s="76">
        <v>23.55</v>
      </c>
      <c r="H38" s="63">
        <f t="shared" si="0"/>
        <v>8.3234812297545903E-4</v>
      </c>
    </row>
    <row r="39" spans="1:8" ht="15.75" thickBot="1">
      <c r="A39" s="77" t="s">
        <v>391</v>
      </c>
      <c r="B39" s="76">
        <v>64</v>
      </c>
      <c r="C39" s="76">
        <v>740.25</v>
      </c>
      <c r="D39" s="76">
        <v>488.6628</v>
      </c>
      <c r="E39" s="78">
        <v>31274.42</v>
      </c>
      <c r="F39" s="78">
        <v>47376</v>
      </c>
      <c r="G39" s="78">
        <v>16101.58</v>
      </c>
      <c r="H39" s="63">
        <f t="shared" si="0"/>
        <v>0.51484823699368365</v>
      </c>
    </row>
    <row r="40" spans="1:8" ht="15.75" thickBot="1">
      <c r="A40" s="77" t="s">
        <v>392</v>
      </c>
      <c r="B40" s="76">
        <v>27</v>
      </c>
      <c r="C40" s="78">
        <v>1400.95</v>
      </c>
      <c r="D40" s="78">
        <v>1454.2847999999999</v>
      </c>
      <c r="E40" s="78">
        <v>39265.69</v>
      </c>
      <c r="F40" s="78">
        <v>37825.65</v>
      </c>
      <c r="G40" s="78">
        <v>-1440.04</v>
      </c>
      <c r="H40" s="63">
        <f t="shared" si="0"/>
        <v>-3.667425683847654E-2</v>
      </c>
    </row>
    <row r="41" spans="1:8" ht="15.75" thickBot="1">
      <c r="A41" s="77" t="s">
        <v>393</v>
      </c>
      <c r="B41" s="76">
        <v>53</v>
      </c>
      <c r="C41" s="76">
        <v>561.1</v>
      </c>
      <c r="D41" s="76">
        <v>537.96320000000003</v>
      </c>
      <c r="E41" s="78">
        <v>28512.05</v>
      </c>
      <c r="F41" s="78">
        <v>29738.3</v>
      </c>
      <c r="G41" s="78">
        <v>1226.25</v>
      </c>
      <c r="H41" s="63">
        <f t="shared" si="0"/>
        <v>4.3008131649600781E-2</v>
      </c>
    </row>
    <row r="42" spans="1:8" ht="15.75" thickBot="1">
      <c r="A42" s="77" t="s">
        <v>394</v>
      </c>
      <c r="B42" s="76">
        <v>48</v>
      </c>
      <c r="C42" s="76">
        <v>887.65</v>
      </c>
      <c r="D42" s="78">
        <v>1048.7871</v>
      </c>
      <c r="E42" s="78">
        <v>50341.78</v>
      </c>
      <c r="F42" s="78">
        <v>42607.199999999997</v>
      </c>
      <c r="G42" s="78">
        <v>-7734.58</v>
      </c>
      <c r="H42" s="63">
        <f t="shared" si="0"/>
        <v>-0.1536413690576694</v>
      </c>
    </row>
    <row r="43" spans="1:8" ht="15.75" thickBot="1">
      <c r="A43" s="77" t="s">
        <v>395</v>
      </c>
      <c r="B43" s="76">
        <v>16</v>
      </c>
      <c r="C43" s="78">
        <v>1889.65</v>
      </c>
      <c r="D43" s="78">
        <v>1656.3031000000001</v>
      </c>
      <c r="E43" s="78">
        <v>26500.85</v>
      </c>
      <c r="F43" s="78">
        <v>30234.400000000001</v>
      </c>
      <c r="G43" s="78">
        <v>3733.55</v>
      </c>
      <c r="H43" s="63">
        <f t="shared" si="0"/>
        <v>0.140884160319386</v>
      </c>
    </row>
    <row r="44" spans="1:8" ht="15.75" thickBot="1">
      <c r="A44" s="77" t="s">
        <v>445</v>
      </c>
      <c r="B44" s="76">
        <v>20</v>
      </c>
      <c r="C44" s="78">
        <v>2164.4499999999998</v>
      </c>
      <c r="D44" s="78">
        <v>1993.9414999999999</v>
      </c>
      <c r="E44" s="78">
        <v>39878.83</v>
      </c>
      <c r="F44" s="78">
        <v>43289</v>
      </c>
      <c r="G44" s="78">
        <v>3410.17</v>
      </c>
      <c r="H44" s="63">
        <f t="shared" si="0"/>
        <v>8.5513291137177289E-2</v>
      </c>
    </row>
    <row r="45" spans="1:8" ht="15.75" thickBot="1">
      <c r="A45" s="77" t="s">
        <v>396</v>
      </c>
      <c r="B45" s="76">
        <v>716</v>
      </c>
      <c r="C45" s="76">
        <v>218</v>
      </c>
      <c r="D45" s="76">
        <v>224.75659999999999</v>
      </c>
      <c r="E45" s="78">
        <v>160925.75</v>
      </c>
      <c r="F45" s="78">
        <v>156088</v>
      </c>
      <c r="G45" s="78">
        <v>-4837.75</v>
      </c>
      <c r="H45" s="63">
        <f t="shared" si="0"/>
        <v>-3.0062000643153751E-2</v>
      </c>
    </row>
    <row r="46" spans="1:8" ht="15.75" thickBot="1">
      <c r="A46" s="77" t="s">
        <v>397</v>
      </c>
      <c r="B46" s="76">
        <v>21</v>
      </c>
      <c r="C46" s="78">
        <v>1777.6</v>
      </c>
      <c r="D46" s="76">
        <v>815.2681</v>
      </c>
      <c r="E46" s="78">
        <v>17120.63</v>
      </c>
      <c r="F46" s="78">
        <v>37329.599999999999</v>
      </c>
      <c r="G46" s="78">
        <v>20208.97</v>
      </c>
      <c r="H46" s="63">
        <f t="shared" si="0"/>
        <v>1.1803870535138017</v>
      </c>
    </row>
    <row r="47" spans="1:8" ht="15.75" thickBot="1">
      <c r="A47" s="77" t="s">
        <v>456</v>
      </c>
      <c r="B47" s="76">
        <v>46</v>
      </c>
      <c r="C47" s="76">
        <v>579.15</v>
      </c>
      <c r="D47" s="76">
        <v>590.95000000000005</v>
      </c>
      <c r="E47" s="78">
        <v>27183.7</v>
      </c>
      <c r="F47" s="78">
        <v>26640.9</v>
      </c>
      <c r="G47" s="76">
        <v>-542.79999999999995</v>
      </c>
      <c r="H47" s="63">
        <f t="shared" si="0"/>
        <v>-1.9967848379727555E-2</v>
      </c>
    </row>
    <row r="48" spans="1:8" ht="15.75" thickBot="1">
      <c r="A48" s="77" t="s">
        <v>446</v>
      </c>
      <c r="B48" s="76">
        <v>201</v>
      </c>
      <c r="C48" s="76">
        <v>138.19999999999999</v>
      </c>
      <c r="D48" s="76">
        <v>153.42509999999999</v>
      </c>
      <c r="E48" s="78">
        <v>30838.44</v>
      </c>
      <c r="F48" s="78">
        <v>27778.2</v>
      </c>
      <c r="G48" s="78">
        <v>-3060.24</v>
      </c>
      <c r="H48" s="63">
        <f t="shared" si="0"/>
        <v>-9.9234591633039798E-2</v>
      </c>
    </row>
    <row r="49" spans="1:8" ht="15.75" thickBot="1">
      <c r="A49" s="77" t="s">
        <v>447</v>
      </c>
      <c r="B49" s="76">
        <v>117</v>
      </c>
      <c r="C49" s="76">
        <v>212.1</v>
      </c>
      <c r="D49" s="76">
        <v>233</v>
      </c>
      <c r="E49" s="78">
        <v>27261</v>
      </c>
      <c r="F49" s="78">
        <v>24815.7</v>
      </c>
      <c r="G49" s="78">
        <v>-2445.3000000000002</v>
      </c>
      <c r="H49" s="63">
        <f t="shared" si="0"/>
        <v>-8.9699570815450644E-2</v>
      </c>
    </row>
    <row r="50" spans="1:8" ht="15.75" thickBot="1">
      <c r="A50" s="77" t="s">
        <v>398</v>
      </c>
      <c r="B50" s="76">
        <v>37</v>
      </c>
      <c r="C50" s="78">
        <v>1796.3</v>
      </c>
      <c r="D50" s="78">
        <v>1637.4473</v>
      </c>
      <c r="E50" s="78">
        <v>60585.55</v>
      </c>
      <c r="F50" s="78">
        <v>66463.100000000006</v>
      </c>
      <c r="G50" s="78">
        <v>5877.55</v>
      </c>
      <c r="H50" s="63">
        <f t="shared" si="0"/>
        <v>9.7012406423643921E-2</v>
      </c>
    </row>
    <row r="51" spans="1:8" ht="15.75" thickBot="1">
      <c r="A51" s="77" t="s">
        <v>400</v>
      </c>
      <c r="B51" s="76">
        <v>3</v>
      </c>
      <c r="C51" s="78">
        <v>7328.15</v>
      </c>
      <c r="D51" s="78">
        <v>4623.8167000000003</v>
      </c>
      <c r="E51" s="78">
        <v>13871.45</v>
      </c>
      <c r="F51" s="78">
        <v>21984.45</v>
      </c>
      <c r="G51" s="78">
        <v>8113</v>
      </c>
      <c r="H51" s="63">
        <f t="shared" si="0"/>
        <v>0.58487036322806918</v>
      </c>
    </row>
    <row r="52" spans="1:8" ht="15.75" thickBot="1">
      <c r="A52" s="77" t="s">
        <v>401</v>
      </c>
      <c r="B52" s="76">
        <v>62</v>
      </c>
      <c r="C52" s="78">
        <v>1895</v>
      </c>
      <c r="D52" s="78">
        <v>1053.2161000000001</v>
      </c>
      <c r="E52" s="78">
        <v>65299.4</v>
      </c>
      <c r="F52" s="78">
        <v>117490</v>
      </c>
      <c r="G52" s="78">
        <v>52190.6</v>
      </c>
      <c r="H52" s="63">
        <f t="shared" si="0"/>
        <v>0.79925083538286723</v>
      </c>
    </row>
    <row r="53" spans="1:8" ht="15.75" thickBot="1">
      <c r="A53" s="77" t="s">
        <v>402</v>
      </c>
      <c r="B53" s="76">
        <v>22</v>
      </c>
      <c r="C53" s="76">
        <v>837.3</v>
      </c>
      <c r="D53" s="76">
        <v>763.25909999999999</v>
      </c>
      <c r="E53" s="78">
        <v>16791.7</v>
      </c>
      <c r="F53" s="78">
        <v>18420.599999999999</v>
      </c>
      <c r="G53" s="78">
        <v>1628.9</v>
      </c>
      <c r="H53" s="63">
        <f t="shared" si="0"/>
        <v>9.7006259044647061E-2</v>
      </c>
    </row>
    <row r="54" spans="1:8" ht="15.75" thickBot="1">
      <c r="A54" s="77" t="s">
        <v>403</v>
      </c>
      <c r="B54" s="76">
        <v>78</v>
      </c>
      <c r="C54" s="76">
        <v>235</v>
      </c>
      <c r="D54" s="76">
        <v>182.61240000000001</v>
      </c>
      <c r="E54" s="78">
        <v>14243.77</v>
      </c>
      <c r="F54" s="78">
        <v>18330</v>
      </c>
      <c r="G54" s="78">
        <v>4086.23</v>
      </c>
      <c r="H54" s="63">
        <f t="shared" si="0"/>
        <v>0.28687840368104794</v>
      </c>
    </row>
    <row r="55" spans="1:8" ht="15.75" thickBot="1">
      <c r="A55" s="77" t="s">
        <v>404</v>
      </c>
      <c r="B55" s="76">
        <v>53</v>
      </c>
      <c r="C55" s="76">
        <v>512.35</v>
      </c>
      <c r="D55" s="76">
        <v>456.74740000000003</v>
      </c>
      <c r="E55" s="78">
        <v>24207.61</v>
      </c>
      <c r="F55" s="78">
        <v>27154.55</v>
      </c>
      <c r="G55" s="78">
        <v>2946.94</v>
      </c>
      <c r="H55" s="63">
        <f t="shared" si="0"/>
        <v>0.12173609868962694</v>
      </c>
    </row>
    <row r="56" spans="1:8" ht="15.75" thickBot="1">
      <c r="A56" s="77" t="s">
        <v>405</v>
      </c>
      <c r="B56" s="76">
        <v>20</v>
      </c>
      <c r="C56" s="78">
        <v>1225.25</v>
      </c>
      <c r="D56" s="76">
        <v>489.62150000000003</v>
      </c>
      <c r="E56" s="78">
        <v>9792.43</v>
      </c>
      <c r="F56" s="78">
        <v>24505</v>
      </c>
      <c r="G56" s="78">
        <v>14712.57</v>
      </c>
      <c r="H56" s="63">
        <f t="shared" si="0"/>
        <v>1.5024432137886101</v>
      </c>
    </row>
    <row r="57" spans="1:8" ht="15.75" thickBot="1">
      <c r="A57" s="77" t="s">
        <v>448</v>
      </c>
      <c r="B57" s="76">
        <v>73</v>
      </c>
      <c r="C57" s="76">
        <v>223.6</v>
      </c>
      <c r="D57" s="76">
        <v>189.24449999999999</v>
      </c>
      <c r="E57" s="78">
        <v>13814.85</v>
      </c>
      <c r="F57" s="78">
        <v>16322.8</v>
      </c>
      <c r="G57" s="78">
        <v>2507.9499999999998</v>
      </c>
      <c r="H57" s="63">
        <f t="shared" si="0"/>
        <v>0.18154015425429879</v>
      </c>
    </row>
    <row r="58" spans="1:8" ht="15.75" thickBot="1">
      <c r="A58" s="77" t="s">
        <v>408</v>
      </c>
      <c r="B58" s="76">
        <v>6</v>
      </c>
      <c r="C58" s="78">
        <v>3396.45</v>
      </c>
      <c r="D58" s="78">
        <v>2538.875</v>
      </c>
      <c r="E58" s="78">
        <v>15233.25</v>
      </c>
      <c r="F58" s="78">
        <v>20378.7</v>
      </c>
      <c r="G58" s="78">
        <v>5145.45</v>
      </c>
      <c r="H58" s="63">
        <f t="shared" si="0"/>
        <v>0.3377775589582</v>
      </c>
    </row>
    <row r="59" spans="1:8" ht="15.75" thickBot="1">
      <c r="A59" s="77" t="s">
        <v>410</v>
      </c>
      <c r="B59" s="76">
        <v>85</v>
      </c>
      <c r="C59" s="76">
        <v>863.25</v>
      </c>
      <c r="D59" s="76">
        <v>410.37709999999998</v>
      </c>
      <c r="E59" s="78">
        <v>34882.050000000003</v>
      </c>
      <c r="F59" s="78">
        <v>73376.25</v>
      </c>
      <c r="G59" s="78">
        <v>38494.199999999997</v>
      </c>
      <c r="H59" s="63">
        <f t="shared" si="0"/>
        <v>1.1035532602011635</v>
      </c>
    </row>
    <row r="60" spans="1:8" ht="15.75" thickBot="1">
      <c r="A60" s="77" t="s">
        <v>411</v>
      </c>
      <c r="B60" s="76">
        <v>300</v>
      </c>
      <c r="C60" s="76">
        <v>142.35</v>
      </c>
      <c r="D60" s="76">
        <v>82.333299999999994</v>
      </c>
      <c r="E60" s="78">
        <v>24700</v>
      </c>
      <c r="F60" s="78">
        <v>42705</v>
      </c>
      <c r="G60" s="78">
        <v>18005</v>
      </c>
      <c r="H60" s="63">
        <f t="shared" si="0"/>
        <v>0.72894736842105268</v>
      </c>
    </row>
    <row r="61" spans="1:8" ht="15.75" thickBot="1">
      <c r="A61" s="77" t="s">
        <v>413</v>
      </c>
      <c r="B61" s="76">
        <v>7</v>
      </c>
      <c r="C61" s="78">
        <v>3964.15</v>
      </c>
      <c r="D61" s="78">
        <v>4281.8213999999998</v>
      </c>
      <c r="E61" s="78">
        <v>29972.75</v>
      </c>
      <c r="F61" s="78">
        <v>27749.05</v>
      </c>
      <c r="G61" s="78">
        <v>-2223.6999999999998</v>
      </c>
      <c r="H61" s="63">
        <f t="shared" si="0"/>
        <v>-7.4190723240276577E-2</v>
      </c>
    </row>
    <row r="62" spans="1:8" ht="15.75" thickBot="1">
      <c r="A62" s="77" t="s">
        <v>449</v>
      </c>
      <c r="B62" s="76">
        <v>162</v>
      </c>
      <c r="C62" s="76">
        <v>159.55000000000001</v>
      </c>
      <c r="D62" s="76">
        <v>167.45</v>
      </c>
      <c r="E62" s="78">
        <v>27126.9</v>
      </c>
      <c r="F62" s="78">
        <v>25847.1</v>
      </c>
      <c r="G62" s="78">
        <v>-1279.8</v>
      </c>
      <c r="H62" s="63">
        <f t="shared" si="0"/>
        <v>-4.7178262167811284E-2</v>
      </c>
    </row>
    <row r="63" spans="1:8" ht="15.75" thickBot="1">
      <c r="A63" s="77" t="s">
        <v>414</v>
      </c>
      <c r="B63" s="76">
        <v>5</v>
      </c>
      <c r="C63" s="78">
        <v>4902.2</v>
      </c>
      <c r="D63" s="78">
        <v>3144.41</v>
      </c>
      <c r="E63" s="78">
        <v>15722.05</v>
      </c>
      <c r="F63" s="78">
        <v>24511</v>
      </c>
      <c r="G63" s="78">
        <v>8788.9500000000007</v>
      </c>
      <c r="H63" s="63">
        <f t="shared" si="0"/>
        <v>0.55902061117983981</v>
      </c>
    </row>
    <row r="64" spans="1:8" ht="15.75" thickBot="1">
      <c r="A64" s="77" t="s">
        <v>415</v>
      </c>
      <c r="B64" s="76">
        <v>31</v>
      </c>
      <c r="C64" s="76">
        <v>986.35</v>
      </c>
      <c r="D64" s="76">
        <v>834.73680000000002</v>
      </c>
      <c r="E64" s="78">
        <v>25876.84</v>
      </c>
      <c r="F64" s="78">
        <v>30576.85</v>
      </c>
      <c r="G64" s="78">
        <v>4700.01</v>
      </c>
      <c r="H64" s="63">
        <f t="shared" si="0"/>
        <v>0.18162998264084795</v>
      </c>
    </row>
    <row r="65" spans="1:8" ht="15.75" thickBot="1">
      <c r="A65" s="77" t="s">
        <v>416</v>
      </c>
      <c r="B65" s="76">
        <v>3</v>
      </c>
      <c r="C65" s="78">
        <v>2462.65</v>
      </c>
      <c r="D65" s="78">
        <v>2387.5</v>
      </c>
      <c r="E65" s="78">
        <v>7162.5</v>
      </c>
      <c r="F65" s="78">
        <v>7387.95</v>
      </c>
      <c r="G65" s="76">
        <v>225.45</v>
      </c>
      <c r="H65" s="63">
        <f t="shared" si="0"/>
        <v>3.1476439790575912E-2</v>
      </c>
    </row>
    <row r="66" spans="1:8" ht="15.75" thickBot="1">
      <c r="A66" s="77" t="s">
        <v>450</v>
      </c>
      <c r="B66" s="76">
        <v>16</v>
      </c>
      <c r="C66" s="78">
        <v>1875.35</v>
      </c>
      <c r="D66" s="76">
        <v>528.10630000000003</v>
      </c>
      <c r="E66" s="78">
        <v>8449.7000000000007</v>
      </c>
      <c r="F66" s="78">
        <v>30005.599999999999</v>
      </c>
      <c r="G66" s="78">
        <v>21555.9</v>
      </c>
      <c r="H66" s="63">
        <f t="shared" ref="H66:H90" si="1">G66/E66</f>
        <v>2.5510846538930374</v>
      </c>
    </row>
    <row r="67" spans="1:8" ht="15.75" thickBot="1">
      <c r="A67" s="77" t="s">
        <v>451</v>
      </c>
      <c r="B67" s="76">
        <v>178</v>
      </c>
      <c r="C67" s="76">
        <v>144.80000000000001</v>
      </c>
      <c r="D67" s="76">
        <v>152.37</v>
      </c>
      <c r="E67" s="78">
        <v>27121.86</v>
      </c>
      <c r="F67" s="78">
        <v>25774.400000000001</v>
      </c>
      <c r="G67" s="78">
        <v>-1347.46</v>
      </c>
      <c r="H67" s="63">
        <f t="shared" si="1"/>
        <v>-4.9681695871890794E-2</v>
      </c>
    </row>
    <row r="68" spans="1:8" ht="15.75" thickBot="1">
      <c r="A68" s="77" t="s">
        <v>418</v>
      </c>
      <c r="B68" s="76">
        <v>5</v>
      </c>
      <c r="C68" s="78">
        <v>1309.25</v>
      </c>
      <c r="D68" s="78">
        <v>1441</v>
      </c>
      <c r="E68" s="78">
        <v>7205</v>
      </c>
      <c r="F68" s="78">
        <v>6546.25</v>
      </c>
      <c r="G68" s="76">
        <v>-658.75</v>
      </c>
      <c r="H68" s="63">
        <f t="shared" si="1"/>
        <v>-9.1429562803608602E-2</v>
      </c>
    </row>
    <row r="69" spans="1:8" ht="15.75" thickBot="1">
      <c r="A69" s="77" t="s">
        <v>452</v>
      </c>
      <c r="B69" s="76">
        <v>108</v>
      </c>
      <c r="C69" s="76">
        <v>269.55</v>
      </c>
      <c r="D69" s="76">
        <v>249.99</v>
      </c>
      <c r="E69" s="78">
        <v>26998.92</v>
      </c>
      <c r="F69" s="78">
        <v>29111.4</v>
      </c>
      <c r="G69" s="78">
        <v>2112.48</v>
      </c>
      <c r="H69" s="63">
        <f t="shared" si="1"/>
        <v>7.8243129725189015E-2</v>
      </c>
    </row>
    <row r="70" spans="1:8" ht="15.75" thickBot="1">
      <c r="A70" s="77" t="s">
        <v>420</v>
      </c>
      <c r="B70" s="76">
        <v>31</v>
      </c>
      <c r="C70" s="78">
        <v>1196.25</v>
      </c>
      <c r="D70" s="76">
        <v>961.2903</v>
      </c>
      <c r="E70" s="78">
        <v>29800</v>
      </c>
      <c r="F70" s="78">
        <v>37083.75</v>
      </c>
      <c r="G70" s="78">
        <v>7283.75</v>
      </c>
      <c r="H70" s="63">
        <f t="shared" si="1"/>
        <v>0.24442114093959733</v>
      </c>
    </row>
    <row r="71" spans="1:8" ht="15.75" thickBot="1">
      <c r="A71" s="77" t="s">
        <v>421</v>
      </c>
      <c r="B71" s="76">
        <v>35</v>
      </c>
      <c r="C71" s="78">
        <v>2362.9</v>
      </c>
      <c r="D71" s="76">
        <v>984.23</v>
      </c>
      <c r="E71" s="78">
        <v>34448.050000000003</v>
      </c>
      <c r="F71" s="78">
        <v>82701.5</v>
      </c>
      <c r="G71" s="78">
        <v>48253.45</v>
      </c>
      <c r="H71" s="63">
        <f t="shared" si="1"/>
        <v>1.4007599849628642</v>
      </c>
    </row>
    <row r="72" spans="1:8" ht="15.75" thickBot="1">
      <c r="A72" s="77" t="s">
        <v>423</v>
      </c>
      <c r="B72" s="76">
        <v>26</v>
      </c>
      <c r="C72" s="76">
        <v>894.2</v>
      </c>
      <c r="D72" s="76">
        <v>574.95190000000002</v>
      </c>
      <c r="E72" s="78">
        <v>14948.75</v>
      </c>
      <c r="F72" s="78">
        <v>23249.200000000001</v>
      </c>
      <c r="G72" s="78">
        <v>8300.4500000000007</v>
      </c>
      <c r="H72" s="63">
        <f t="shared" si="1"/>
        <v>0.55526047328371941</v>
      </c>
    </row>
    <row r="73" spans="1:8" ht="15.75" thickBot="1">
      <c r="A73" s="77" t="s">
        <v>425</v>
      </c>
      <c r="B73" s="76">
        <v>98</v>
      </c>
      <c r="C73" s="76">
        <v>460.45</v>
      </c>
      <c r="D73" s="76">
        <v>259.5505</v>
      </c>
      <c r="E73" s="78">
        <v>25435.95</v>
      </c>
      <c r="F73" s="78">
        <v>45124.1</v>
      </c>
      <c r="G73" s="78">
        <v>19688.150000000001</v>
      </c>
      <c r="H73" s="63">
        <f t="shared" si="1"/>
        <v>0.77402849117096084</v>
      </c>
    </row>
    <row r="74" spans="1:8" ht="15.75" thickBot="1">
      <c r="A74" s="77" t="s">
        <v>426</v>
      </c>
      <c r="B74" s="76">
        <v>139</v>
      </c>
      <c r="C74" s="76">
        <v>845.4</v>
      </c>
      <c r="D74" s="76">
        <v>476.89420000000001</v>
      </c>
      <c r="E74" s="78">
        <v>66288.3</v>
      </c>
      <c r="F74" s="78">
        <v>117510.6</v>
      </c>
      <c r="G74" s="78">
        <v>51222.3</v>
      </c>
      <c r="H74" s="63">
        <f t="shared" si="1"/>
        <v>0.77272007277302335</v>
      </c>
    </row>
    <row r="75" spans="1:8" ht="15.75" thickBot="1">
      <c r="A75" s="77" t="s">
        <v>427</v>
      </c>
      <c r="B75" s="76">
        <v>26</v>
      </c>
      <c r="C75" s="76">
        <v>912.5</v>
      </c>
      <c r="D75" s="76">
        <v>655.67229999999995</v>
      </c>
      <c r="E75" s="78">
        <v>17047.48</v>
      </c>
      <c r="F75" s="78">
        <v>23725</v>
      </c>
      <c r="G75" s="78">
        <v>6677.52</v>
      </c>
      <c r="H75" s="63">
        <f t="shared" si="1"/>
        <v>0.39170129544073379</v>
      </c>
    </row>
    <row r="76" spans="1:8" ht="15.75" thickBot="1">
      <c r="A76" s="77" t="s">
        <v>428</v>
      </c>
      <c r="B76" s="76">
        <v>61</v>
      </c>
      <c r="C76" s="76">
        <v>490.95</v>
      </c>
      <c r="D76" s="76">
        <v>367.95150000000001</v>
      </c>
      <c r="E76" s="78">
        <v>22445.040000000001</v>
      </c>
      <c r="F76" s="78">
        <v>29947.95</v>
      </c>
      <c r="G76" s="78">
        <v>7502.91</v>
      </c>
      <c r="H76" s="63">
        <f t="shared" si="1"/>
        <v>0.33427919932421596</v>
      </c>
    </row>
    <row r="77" spans="1:8" ht="15.75" thickBot="1">
      <c r="A77" s="77" t="s">
        <v>429</v>
      </c>
      <c r="B77" s="76">
        <v>43</v>
      </c>
      <c r="C77" s="76">
        <v>429.75</v>
      </c>
      <c r="D77" s="76">
        <v>264.20159999999998</v>
      </c>
      <c r="E77" s="78">
        <v>11360.67</v>
      </c>
      <c r="F77" s="78">
        <v>18479.25</v>
      </c>
      <c r="G77" s="78">
        <v>7118.58</v>
      </c>
      <c r="H77" s="63">
        <f t="shared" si="1"/>
        <v>0.62659860730044969</v>
      </c>
    </row>
    <row r="78" spans="1:8" ht="15.75" thickBot="1">
      <c r="A78" s="77" t="s">
        <v>430</v>
      </c>
      <c r="B78" s="76">
        <v>57</v>
      </c>
      <c r="C78" s="76">
        <v>619.79999999999995</v>
      </c>
      <c r="D78" s="76">
        <v>468.04349999999999</v>
      </c>
      <c r="E78" s="78">
        <v>26678.48</v>
      </c>
      <c r="F78" s="78">
        <v>35328.6</v>
      </c>
      <c r="G78" s="78">
        <v>8650.1200000000008</v>
      </c>
      <c r="H78" s="63">
        <f t="shared" si="1"/>
        <v>0.32423586351246403</v>
      </c>
    </row>
    <row r="79" spans="1:8" ht="15.75" thickBot="1">
      <c r="A79" s="77" t="s">
        <v>431</v>
      </c>
      <c r="B79" s="76">
        <v>9</v>
      </c>
      <c r="C79" s="78">
        <v>3736.85</v>
      </c>
      <c r="D79" s="78">
        <v>3449.7</v>
      </c>
      <c r="E79" s="78">
        <v>31047.3</v>
      </c>
      <c r="F79" s="78">
        <v>33631.65</v>
      </c>
      <c r="G79" s="78">
        <v>2584.35</v>
      </c>
      <c r="H79" s="63">
        <f t="shared" si="1"/>
        <v>8.3239122242513841E-2</v>
      </c>
    </row>
    <row r="80" spans="1:8" ht="15.75" thickBot="1">
      <c r="A80" s="77" t="s">
        <v>432</v>
      </c>
      <c r="B80" s="76">
        <v>31</v>
      </c>
      <c r="C80" s="76">
        <v>743.4</v>
      </c>
      <c r="D80" s="76">
        <v>684.01289999999995</v>
      </c>
      <c r="E80" s="78">
        <v>21204.400000000001</v>
      </c>
      <c r="F80" s="78">
        <v>23045.4</v>
      </c>
      <c r="G80" s="78">
        <v>1841</v>
      </c>
      <c r="H80" s="63">
        <f t="shared" si="1"/>
        <v>8.6821603063515107E-2</v>
      </c>
    </row>
    <row r="81" spans="1:8" ht="15.75" thickBot="1">
      <c r="A81" s="77" t="s">
        <v>433</v>
      </c>
      <c r="B81" s="76">
        <v>775</v>
      </c>
      <c r="C81" s="76">
        <v>239.25</v>
      </c>
      <c r="D81" s="76">
        <v>99.291600000000003</v>
      </c>
      <c r="E81" s="78">
        <v>76951</v>
      </c>
      <c r="F81" s="78">
        <v>185418.75</v>
      </c>
      <c r="G81" s="78">
        <v>108467.75</v>
      </c>
      <c r="H81" s="63">
        <f t="shared" si="1"/>
        <v>1.4095690764252575</v>
      </c>
    </row>
    <row r="82" spans="1:8" ht="15.75" thickBot="1">
      <c r="A82" s="77" t="s">
        <v>434</v>
      </c>
      <c r="B82" s="76">
        <v>105</v>
      </c>
      <c r="C82" s="78">
        <v>1111.5</v>
      </c>
      <c r="D82" s="76">
        <v>404.76429999999999</v>
      </c>
      <c r="E82" s="78">
        <v>42500.25</v>
      </c>
      <c r="F82" s="78">
        <v>116707.5</v>
      </c>
      <c r="G82" s="78">
        <v>74207.25</v>
      </c>
      <c r="H82" s="63">
        <f t="shared" si="1"/>
        <v>1.7460426703372334</v>
      </c>
    </row>
    <row r="83" spans="1:8" ht="15.75" thickBot="1">
      <c r="A83" s="77" t="s">
        <v>435</v>
      </c>
      <c r="B83" s="76">
        <v>14</v>
      </c>
      <c r="C83" s="78">
        <v>1790.55</v>
      </c>
      <c r="D83" s="78">
        <v>1246.7285999999999</v>
      </c>
      <c r="E83" s="78">
        <v>17454.2</v>
      </c>
      <c r="F83" s="78">
        <v>25067.7</v>
      </c>
      <c r="G83" s="78">
        <v>7613.5</v>
      </c>
      <c r="H83" s="63">
        <f t="shared" si="1"/>
        <v>0.43619873726667507</v>
      </c>
    </row>
    <row r="84" spans="1:8" ht="15.75" thickBot="1">
      <c r="A84" s="77" t="s">
        <v>436</v>
      </c>
      <c r="B84" s="76">
        <v>3</v>
      </c>
      <c r="C84" s="78">
        <v>2524.35</v>
      </c>
      <c r="D84" s="78">
        <v>2438.9</v>
      </c>
      <c r="E84" s="78">
        <v>7316.7</v>
      </c>
      <c r="F84" s="78">
        <v>7573.05</v>
      </c>
      <c r="G84" s="76">
        <v>256.35000000000002</v>
      </c>
      <c r="H84" s="63">
        <f t="shared" si="1"/>
        <v>3.5036286850629386E-2</v>
      </c>
    </row>
    <row r="85" spans="1:8" ht="15.75" thickBot="1">
      <c r="A85" s="77" t="s">
        <v>457</v>
      </c>
      <c r="B85" s="76">
        <v>37</v>
      </c>
      <c r="C85" s="76">
        <v>747.05</v>
      </c>
      <c r="D85" s="76">
        <v>739.75</v>
      </c>
      <c r="E85" s="78">
        <v>27370.75</v>
      </c>
      <c r="F85" s="78">
        <v>27640.85</v>
      </c>
      <c r="G85" s="76">
        <v>270.10000000000002</v>
      </c>
      <c r="H85" s="63">
        <f t="shared" si="1"/>
        <v>9.8681987157823604E-3</v>
      </c>
    </row>
    <row r="86" spans="1:8" ht="15.75" thickBot="1">
      <c r="A86" s="77" t="s">
        <v>438</v>
      </c>
      <c r="B86" s="76">
        <v>24</v>
      </c>
      <c r="C86" s="76">
        <v>886.55</v>
      </c>
      <c r="D86" s="76">
        <v>639.54750000000001</v>
      </c>
      <c r="E86" s="78">
        <v>15349.14</v>
      </c>
      <c r="F86" s="78">
        <v>21277.200000000001</v>
      </c>
      <c r="G86" s="78">
        <v>5928.06</v>
      </c>
      <c r="H86" s="63">
        <f t="shared" si="1"/>
        <v>0.38621447195087155</v>
      </c>
    </row>
    <row r="87" spans="1:8">
      <c r="A87" s="77" t="s">
        <v>453</v>
      </c>
      <c r="B87" s="76">
        <v>34</v>
      </c>
      <c r="C87" s="76">
        <v>715.2</v>
      </c>
      <c r="D87" s="76">
        <v>614.89409999999998</v>
      </c>
      <c r="E87" s="78">
        <v>20906.400000000001</v>
      </c>
      <c r="F87" s="78">
        <v>24316.799999999999</v>
      </c>
      <c r="G87" s="78">
        <v>3410.4</v>
      </c>
      <c r="H87" s="63">
        <f t="shared" si="1"/>
        <v>0.16312708070255996</v>
      </c>
    </row>
    <row r="88" spans="1:8">
      <c r="A88" s="77" t="s">
        <v>439</v>
      </c>
      <c r="B88" s="76">
        <v>525</v>
      </c>
      <c r="C88" s="76">
        <v>13.69</v>
      </c>
      <c r="D88" s="76">
        <v>38.966700000000003</v>
      </c>
      <c r="E88" s="78">
        <v>20457.5</v>
      </c>
      <c r="F88" s="78">
        <v>7187.25</v>
      </c>
      <c r="G88" s="78">
        <v>-13270.25</v>
      </c>
      <c r="H88" s="80">
        <f t="shared" si="1"/>
        <v>-0.64867408041060737</v>
      </c>
    </row>
    <row r="89" spans="1:8" ht="18.75" thickBot="1">
      <c r="A89" s="77" t="s">
        <v>440</v>
      </c>
      <c r="B89" s="76">
        <v>22</v>
      </c>
      <c r="C89" s="78">
        <v>1886.55</v>
      </c>
      <c r="D89" s="78">
        <v>2010.5723</v>
      </c>
      <c r="E89" s="78">
        <v>44232.59</v>
      </c>
      <c r="F89" s="78">
        <v>41504.1</v>
      </c>
      <c r="G89" s="78">
        <v>-2728.49</v>
      </c>
      <c r="H89" s="79">
        <f t="shared" si="1"/>
        <v>-6.1685060721065624E-2</v>
      </c>
    </row>
    <row r="90" spans="1:8" ht="19.5" thickTop="1" thickBot="1">
      <c r="A90" s="44" t="s">
        <v>11</v>
      </c>
      <c r="B90" s="44">
        <f>SUM(B2:B89)</f>
        <v>7416</v>
      </c>
      <c r="C90" s="44"/>
      <c r="D90" s="44"/>
      <c r="E90" s="45">
        <f>SUM(E2:E89)</f>
        <v>2742428.01</v>
      </c>
      <c r="F90" s="45">
        <f>SUM(F2:F89)</f>
        <v>3505081.1999999997</v>
      </c>
      <c r="G90" s="45">
        <f>SUM(G2:G89)</f>
        <v>762653.19000000018</v>
      </c>
      <c r="H90" s="64">
        <f t="shared" si="1"/>
        <v>0.27809415132104059</v>
      </c>
    </row>
    <row r="91" spans="1:8" ht="15.75" thickTop="1"/>
  </sheetData>
  <hyperlinks>
    <hyperlink ref="A2" r:id="rId1" location="/stock/1831632/3723" display="https://etportfolio.indiatimes.com/pw_companyinfo.cms - /stock/1831632/3723" xr:uid="{0D2283DA-A883-4D4C-81C1-CAFF1701CC7D}"/>
    <hyperlink ref="A3" r:id="rId2" location="/stock/1831632/15059" display="https://etportfolio.indiatimes.com/pw_companyinfo.cms - /stock/1831632/15059" xr:uid="{30485438-D77D-4A1B-A045-7A6118B13D95}"/>
    <hyperlink ref="A4" r:id="rId3" location="/stock/1831632/63" display="https://etportfolio.indiatimes.com/pw_companyinfo.cms - /stock/1831632/63" xr:uid="{A8A2A6A9-4126-4ED9-BBAD-4240E67346BB}"/>
    <hyperlink ref="A5" r:id="rId4" location="/stock/1831632/14034" display="https://etportfolio.indiatimes.com/pw_companyinfo.cms - /stock/1831632/14034" xr:uid="{07F8C14F-AD87-4B37-A135-943BEF85F188}"/>
    <hyperlink ref="A6" r:id="rId5" location="/stock/1831632/66288" display="https://etportfolio.indiatimes.com/pw_companyinfo.cms - /stock/1831632/66288" xr:uid="{74EF2F75-D322-498B-A47D-40A0863F4126}"/>
    <hyperlink ref="A7" r:id="rId6" location="/stock/1831632/45987" display="https://etportfolio.indiatimes.com/pw_companyinfo.cms - /stock/1831632/45987" xr:uid="{12773078-A1EE-41FB-AECB-B9BDEF463906}"/>
    <hyperlink ref="A8" r:id="rId7" location="/stock/1831632/9175" display="https://etportfolio.indiatimes.com/pw_companyinfo.cms - /stock/1831632/9175" xr:uid="{BC5F8D63-55A2-428E-BF70-B7D8599F5232}"/>
    <hyperlink ref="A9" r:id="rId8" location="/stock/1831632/21430" display="https://etportfolio.indiatimes.com/pw_companyinfo.cms - /stock/1831632/21430" xr:uid="{9E579266-94CA-40F8-8511-1CEB1F803262}"/>
    <hyperlink ref="A10" r:id="rId9" location="/stock/1831632/11260" display="https://etportfolio.indiatimes.com/pw_companyinfo.cms - /stock/1831632/11260" xr:uid="{4FA57F70-AE14-4AF9-8DD1-B23D49E7BE4A}"/>
    <hyperlink ref="A11" r:id="rId10" location="/stock/1831632/14013" display="https://etportfolio.indiatimes.com/pw_companyinfo.cms - /stock/1831632/14013" xr:uid="{666E203C-EC2B-4230-89AE-6A9EEE705DA7}"/>
    <hyperlink ref="A12" r:id="rId11" location="/stock/1831632/2718" display="https://etportfolio.indiatimes.com/pw_companyinfo.cms - /stock/1831632/2718" xr:uid="{439C5FB2-1BDA-4694-A004-D5EE6D6F33E8}"/>
    <hyperlink ref="A13" r:id="rId12" location="/stock/1831632/20445" display="https://etportfolio.indiatimes.com/pw_companyinfo.cms - /stock/1831632/20445" xr:uid="{F4EFC0A1-3E95-48C7-B1E8-E6C6BB40DD3D}"/>
    <hyperlink ref="A14" r:id="rId13" location="/stock/1831632/13934" display="https://etportfolio.indiatimes.com/pw_companyinfo.cms - /stock/1831632/13934" xr:uid="{DD3029C4-CA0B-473E-8F4D-961B863CC833}"/>
    <hyperlink ref="A15" r:id="rId14" location="/stock/1831632/13577" display="https://etportfolio.indiatimes.com/pw_companyinfo.cms - /stock/1831632/13577" xr:uid="{AAEC04A4-3358-4B80-B705-A58D7C827928}"/>
    <hyperlink ref="A16" r:id="rId15" location="/stock/1831632/10777" display="https://etportfolio.indiatimes.com/pw_companyinfo.cms - /stock/1831632/10777" xr:uid="{B23E746E-0E90-47A1-A1C0-B148329E7830}"/>
    <hyperlink ref="A17" r:id="rId16" location="/stock/1831632/13917" display="https://etportfolio.indiatimes.com/pw_companyinfo.cms - /stock/1831632/13917" xr:uid="{095B3A96-E3A0-49C2-AAF9-9210D0B27ABB}"/>
    <hyperlink ref="A18" r:id="rId17" location="/stock/1831632/11822" display="https://etportfolio.indiatimes.com/pw_companyinfo.cms - /stock/1831632/11822" xr:uid="{EC050A78-B2D6-45CB-AA21-3C9CD9725871}"/>
    <hyperlink ref="A19" r:id="rId18" location="/stock/1831632/858" display="https://etportfolio.indiatimes.com/pw_companyinfo.cms - /stock/1831632/858" xr:uid="{5CE5E9C8-9375-4235-BABE-A1ECCA03C5C1}"/>
    <hyperlink ref="A20" r:id="rId19" location="/stock/1831632/13873" display="https://etportfolio.indiatimes.com/pw_companyinfo.cms - /stock/1831632/13873" xr:uid="{9632703A-3EDA-41DD-869E-89A1FF032FCF}"/>
    <hyperlink ref="A21" r:id="rId20" location="/stock/1831632/11796" display="https://etportfolio.indiatimes.com/pw_companyinfo.cms - /stock/1831632/11796" xr:uid="{F408727F-83FC-4EDE-9EC0-27CB716BD622}"/>
    <hyperlink ref="A22" r:id="rId21" location="/stock/1831632/3635" display="https://etportfolio.indiatimes.com/pw_companyinfo.cms - /stock/1831632/3635" xr:uid="{022B0AB5-F9EA-493C-AFF8-EA63A4E18246}"/>
    <hyperlink ref="A23" r:id="rId22" location="/stock/1831632/12393" display="https://etportfolio.indiatimes.com/pw_companyinfo.cms - /stock/1831632/12393" xr:uid="{4F09B084-D19A-473F-A437-CBAAC8D15413}"/>
    <hyperlink ref="A24" r:id="rId23" location="/stock/1831632/63225" display="https://etportfolio.indiatimes.com/pw_companyinfo.cms - /stock/1831632/63225" xr:uid="{14C9C2B4-8345-405E-AEF1-FB01936F169E}"/>
    <hyperlink ref="A25" r:id="rId24" location="/stock/1831632/13787" display="https://etportfolio.indiatimes.com/pw_companyinfo.cms - /stock/1831632/13787" xr:uid="{851E731E-1B86-4CE1-8D4E-B9F4673FC939}"/>
    <hyperlink ref="A26" r:id="rId25" location="/stock/1831632/38215" display="https://etportfolio.indiatimes.com/pw_companyinfo.cms - /stock/1831632/38215" xr:uid="{26F1C44D-4437-4F63-9AE4-A26CAA985A2B}"/>
    <hyperlink ref="A27" r:id="rId26" location="/stock/1831632/55491" display="https://etportfolio.indiatimes.com/pw_companyinfo.cms - /stock/1831632/55491" xr:uid="{3F92FF7B-1FBE-4882-8180-C63E995F900E}"/>
    <hyperlink ref="A28" r:id="rId27" location="/stock/1831632/13895" display="https://etportfolio.indiatimes.com/pw_companyinfo.cms - /stock/1831632/13895" xr:uid="{8DAC94E1-5FD3-461E-B772-1E4AE508AE2F}"/>
    <hyperlink ref="A29" r:id="rId28" location="/stock/1831632/9211" display="https://etportfolio.indiatimes.com/pw_companyinfo.cms - /stock/1831632/9211" xr:uid="{1B03322E-7258-4859-A22F-C0132DBA12E4}"/>
    <hyperlink ref="A30" r:id="rId29" location="/stock/1831632/13760" display="https://etportfolio.indiatimes.com/pw_companyinfo.cms - /stock/1831632/13760" xr:uid="{2F05C779-FD5A-4774-B3F9-464F1B1CA9A2}"/>
    <hyperlink ref="A31" r:id="rId30" location="/stock/1831632/12266" display="https://etportfolio.indiatimes.com/pw_companyinfo.cms - /stock/1831632/12266" xr:uid="{E6951E9D-57D3-421A-9711-30AA79622765}"/>
    <hyperlink ref="A32" r:id="rId31" location="/stock/1831632/1996493" display="https://etportfolio.indiatimes.com/pw_companyinfo.cms - /stock/1831632/1996493" xr:uid="{5296ADD2-57A5-4457-AD33-22A3E666EEFC}"/>
    <hyperlink ref="A33" r:id="rId32" location="/stock/1831632/5733" display="https://etportfolio.indiatimes.com/pw_companyinfo.cms - /stock/1831632/5733" xr:uid="{5BA5D586-8275-40D9-B4E6-0160D426BCAD}"/>
    <hyperlink ref="A34" r:id="rId33" location="/stock/1831632/4291" display="https://etportfolio.indiatimes.com/pw_companyinfo.cms - /stock/1831632/4291" xr:uid="{60FFB894-BF1C-438E-BD87-3DA36A3BB83D}"/>
    <hyperlink ref="A35" r:id="rId34" location="/stock/1831632/9195" display="https://etportfolio.indiatimes.com/pw_companyinfo.cms - /stock/1831632/9195" xr:uid="{C81CCB07-B4BB-4016-ADB9-C1208AB9056E}"/>
    <hyperlink ref="A36" r:id="rId35" location="/stock/1831632/3068" display="https://etportfolio.indiatimes.com/pw_companyinfo.cms - /stock/1831632/3068" xr:uid="{42D518AF-5510-422D-9A00-451D6AA437A6}"/>
    <hyperlink ref="A37" r:id="rId36" location="/stock/1831632/13636" display="https://etportfolio.indiatimes.com/pw_companyinfo.cms - /stock/1831632/13636" xr:uid="{D24706A4-A884-4EB5-85E9-FAF8E07D42B1}"/>
    <hyperlink ref="A38" r:id="rId37" location="/stock/1831632/13616" display="https://etportfolio.indiatimes.com/pw_companyinfo.cms - /stock/1831632/13616" xr:uid="{8071AB02-1F54-4444-8BBA-F0D122BBD6FE}"/>
    <hyperlink ref="A39" r:id="rId38" location="/stock/1831632/9194" display="https://etportfolio.indiatimes.com/pw_companyinfo.cms - /stock/1831632/9194" xr:uid="{E5E919D2-2E9F-4EF7-A82F-AB8E8D0D7555}"/>
    <hyperlink ref="A40" r:id="rId39" location="/stock/1831632/1883" display="https://etportfolio.indiatimes.com/pw_companyinfo.cms - /stock/1831632/1883" xr:uid="{396BA9DD-2216-4DE3-89CF-28C8C78C51D3}"/>
    <hyperlink ref="A41" r:id="rId40" location="/stock/1831632/1898" display="https://etportfolio.indiatimes.com/pw_companyinfo.cms - /stock/1831632/1898" xr:uid="{209F22C7-D68D-4A8D-987A-4ADDEAF11A9C}"/>
    <hyperlink ref="A42" r:id="rId41" location="/stock/1831632/9196" display="https://etportfolio.indiatimes.com/pw_companyinfo.cms - /stock/1831632/9196" xr:uid="{962E0F5B-5A48-436D-B2D1-7E04C21D068F}"/>
    <hyperlink ref="A43" r:id="rId42" location="/stock/1831632/10960" display="https://etportfolio.indiatimes.com/pw_companyinfo.cms - /stock/1831632/10960" xr:uid="{59E4B2A9-43D1-4BBB-9A61-9C0488FA9F8E}"/>
    <hyperlink ref="A44" r:id="rId43" location="/stock/1831632/10587" display="https://etportfolio.indiatimes.com/pw_companyinfo.cms - /stock/1831632/10587" xr:uid="{7771F4ED-C641-46A8-9184-8B0317FB369D}"/>
    <hyperlink ref="A45" r:id="rId44" location="/stock/1831632/13554" display="https://etportfolio.indiatimes.com/pw_companyinfo.cms - /stock/1831632/13554" xr:uid="{CB6BD62C-E7A8-4A98-916E-AB05F2019988}"/>
    <hyperlink ref="A46" r:id="rId45" location="/stock/1831632/13536" display="https://etportfolio.indiatimes.com/pw_companyinfo.cms - /stock/1831632/13536" xr:uid="{410A44FE-2A5A-435A-87F0-767C1FBF44CB}"/>
    <hyperlink ref="A47" r:id="rId46" location="/stock/1831632/12989" display="https://etportfolio.indiatimes.com/pw_companyinfo.cms - /stock/1831632/12989" xr:uid="{F8E493B7-272E-4F78-BD63-C7F638C1A3B0}"/>
    <hyperlink ref="A48" r:id="rId47" location="/stock/1831632/16356" display="https://etportfolio.indiatimes.com/pw_companyinfo.cms - /stock/1831632/16356" xr:uid="{CE38D726-7FC2-47DF-AD42-EFC920E1528B}"/>
    <hyperlink ref="A49" r:id="rId48" location="/stock/1831632/10413" display="https://etportfolio.indiatimes.com/pw_companyinfo.cms - /stock/1831632/10413" xr:uid="{5E9205B5-9631-456D-BA94-67FDC13A6DE1}"/>
    <hyperlink ref="A50" r:id="rId49" location="/stock/1831632/12161" display="https://etportfolio.indiatimes.com/pw_companyinfo.cms - /stock/1831632/12161" xr:uid="{FDFDE187-661E-4834-B955-7C69B354C492}"/>
    <hyperlink ref="A51" r:id="rId50" location="/stock/1831632/3318" display="https://etportfolio.indiatimes.com/pw_companyinfo.cms - /stock/1831632/3318" xr:uid="{9B004D01-523B-4302-A353-C11835312B25}"/>
    <hyperlink ref="A52" r:id="rId51" location="/stock/1831632/13447" display="https://etportfolio.indiatimes.com/pw_companyinfo.cms - /stock/1831632/13447" xr:uid="{2BF1BD59-171A-4BDB-8021-DA89224EE89A}"/>
    <hyperlink ref="A53" r:id="rId52" location="/stock/1831632/11898" display="https://etportfolio.indiatimes.com/pw_companyinfo.cms - /stock/1831632/11898" xr:uid="{CF5038FF-FAD1-4A63-A2D9-337C39CDC1C9}"/>
    <hyperlink ref="A54" r:id="rId53" location="/stock/1831632/17103" display="https://etportfolio.indiatimes.com/pw_companyinfo.cms - /stock/1831632/17103" xr:uid="{295A56CA-0819-4CB3-87A9-F833DFD8FDBD}"/>
    <hyperlink ref="A55" r:id="rId54" location="/stock/1831632/5886" display="https://etportfolio.indiatimes.com/pw_companyinfo.cms - /stock/1831632/5886" xr:uid="{833AC025-2BB6-4C0E-B81D-97B67EFD3D27}"/>
    <hyperlink ref="A56" r:id="rId55" location="/stock/1831632/5459" display="https://etportfolio.indiatimes.com/pw_companyinfo.cms - /stock/1831632/5459" xr:uid="{AEBF141D-CFAD-4F6E-829E-A404DAA56DCE}"/>
    <hyperlink ref="A57" r:id="rId56" location="/stock/1831632/10878" display="https://etportfolio.indiatimes.com/pw_companyinfo.cms - /stock/1831632/10878" xr:uid="{DD94EA8F-F48F-4CEA-8305-3720153B8607}"/>
    <hyperlink ref="A58" r:id="rId57" location="/stock/1831632/8684" display="https://etportfolio.indiatimes.com/pw_companyinfo.cms - /stock/1831632/8684" xr:uid="{009D7C1E-BF79-4634-B3A6-35541C7DC241}"/>
    <hyperlink ref="A59" r:id="rId58" location="/stock/1831632/32621" display="https://etportfolio.indiatimes.com/pw_companyinfo.cms - /stock/1831632/32621" xr:uid="{97E8CAA3-89AE-4F97-9833-F23733F89530}"/>
    <hyperlink ref="A60" r:id="rId59" location="/stock/1831632/11599" display="https://etportfolio.indiatimes.com/pw_companyinfo.cms - /stock/1831632/11599" xr:uid="{847C0993-E29D-4142-9079-7D714DE1961B}"/>
    <hyperlink ref="A61" r:id="rId60" location="/stock/1831632/3160" display="https://etportfolio.indiatimes.com/pw_companyinfo.cms - /stock/1831632/3160" xr:uid="{179F3163-7D01-44FA-9737-6848B52CF571}"/>
    <hyperlink ref="A62" r:id="rId61" location="/stock/1831632/41253" display="https://etportfolio.indiatimes.com/pw_companyinfo.cms - /stock/1831632/41253" xr:uid="{1636D860-1E90-4421-9A4C-42E856494405}"/>
    <hyperlink ref="A63" r:id="rId62" location="/stock/1831632/21519" display="https://etportfolio.indiatimes.com/pw_companyinfo.cms - /stock/1831632/21519" xr:uid="{EB2C183D-AFD0-4C7A-828C-114977DD9439}"/>
    <hyperlink ref="A64" r:id="rId63" location="/stock/1831632/12358" display="https://etportfolio.indiatimes.com/pw_companyinfo.cms - /stock/1831632/12358" xr:uid="{CC5C5101-3561-4FF2-857F-D9423519F0FD}"/>
    <hyperlink ref="A65" r:id="rId64" location="/stock/1831632/10460" display="https://etportfolio.indiatimes.com/pw_companyinfo.cms - /stock/1831632/10460" xr:uid="{CFBE54D2-1BA0-4035-8A18-D0153A3F0F7B}"/>
    <hyperlink ref="A66" r:id="rId65" location="/stock/1831632/13282" display="https://etportfolio.indiatimes.com/pw_companyinfo.cms - /stock/1831632/13282" xr:uid="{25FD8D64-AF38-4A83-829A-6AA265AB7002}"/>
    <hyperlink ref="A67" r:id="rId66" location="/stock/1831632/18903" display="https://etportfolio.indiatimes.com/pw_companyinfo.cms - /stock/1831632/18903" xr:uid="{9F151687-9C0D-4D3E-8061-D509A6664EFC}"/>
    <hyperlink ref="A68" r:id="rId67" location="/stock/1831632/7829" display="https://etportfolio.indiatimes.com/pw_companyinfo.cms - /stock/1831632/7829" xr:uid="{5734238B-FE73-4C8E-A496-0114DB434E99}"/>
    <hyperlink ref="A69" r:id="rId68" location="/stock/1831632/13120" display="https://etportfolio.indiatimes.com/pw_companyinfo.cms - /stock/1831632/13120" xr:uid="{79B5E34A-2CC8-47A5-BA2F-C8EF33D06E1F}"/>
    <hyperlink ref="A70" r:id="rId69" location="/stock/1831632/2898" display="https://etportfolio.indiatimes.com/pw_companyinfo.cms - /stock/1831632/2898" xr:uid="{FEFB3EA6-226C-4E8E-BAF0-CF68060DEF16}"/>
    <hyperlink ref="A71" r:id="rId70" location="/stock/1831632/13102" display="https://etportfolio.indiatimes.com/pw_companyinfo.cms - /stock/1831632/13102" xr:uid="{5953A581-F679-4524-84FE-392E721D4C4D}"/>
    <hyperlink ref="A72" r:id="rId71" location="/stock/1831632/19352" display="https://etportfolio.indiatimes.com/pw_companyinfo.cms - /stock/1831632/19352" xr:uid="{7784A273-1FCA-4841-B9B8-CB2855A00350}"/>
    <hyperlink ref="A73" r:id="rId72" location="/stock/1831632/11984" display="https://etportfolio.indiatimes.com/pw_companyinfo.cms - /stock/1831632/11984" xr:uid="{5DC4274F-EEA4-44EA-99E5-107F88A9222B}"/>
    <hyperlink ref="A74" r:id="rId73" location="/stock/1831632/9134" display="https://etportfolio.indiatimes.com/pw_companyinfo.cms - /stock/1831632/9134" xr:uid="{EF338C12-743C-4A4A-B119-A09452958521}"/>
    <hyperlink ref="A75" r:id="rId74" location="/stock/1831632/12962" display="https://etportfolio.indiatimes.com/pw_companyinfo.cms - /stock/1831632/12962" xr:uid="{F4BD56E7-602C-404B-8CB9-447AF35A3167}"/>
    <hyperlink ref="A76" r:id="rId75" location="/stock/1831632/3296" display="https://etportfolio.indiatimes.com/pw_companyinfo.cms - /stock/1831632/3296" xr:uid="{5E90B692-8D64-4023-A007-2EEE1B8DAA61}"/>
    <hyperlink ref="A77" r:id="rId76" location="/stock/1831632/6936" display="https://etportfolio.indiatimes.com/pw_companyinfo.cms - /stock/1831632/6936" xr:uid="{D5279A5B-7A1C-4C8D-A938-65CFA6659422}"/>
    <hyperlink ref="A78" r:id="rId77" location="/stock/1831632/303" display="https://etportfolio.indiatimes.com/pw_companyinfo.cms - /stock/1831632/303" xr:uid="{EA78AC3B-39EA-4BD8-816A-5B722BB4E5C3}"/>
    <hyperlink ref="A79" r:id="rId78" location="/stock/1831632/8345" display="https://etportfolio.indiatimes.com/pw_companyinfo.cms - /stock/1831632/8345" xr:uid="{BDC90F1A-6616-4401-8525-D8D6FD124D73}"/>
    <hyperlink ref="A80" r:id="rId79" location="/stock/1831632/12929" display="https://etportfolio.indiatimes.com/pw_companyinfo.cms - /stock/1831632/12929" xr:uid="{A7C66147-3CFA-455F-B16E-EC55E76D22B4}"/>
    <hyperlink ref="A81" r:id="rId80" location="/stock/1831632/129341111" display="https://etportfolio.indiatimes.com/pw_companyinfo.cms - /stock/1831632/129341111" xr:uid="{63E6A93E-FF5A-4990-9201-5B6BDE967136}"/>
    <hyperlink ref="A82" r:id="rId81" location="/stock/1831632/12902" display="https://etportfolio.indiatimes.com/pw_companyinfo.cms - /stock/1831632/12902" xr:uid="{9D00EF7B-1B3F-4503-AEB2-DA72AEC8702C}"/>
    <hyperlink ref="A83" r:id="rId82" location="/stock/1831632/11221" display="https://etportfolio.indiatimes.com/pw_companyinfo.cms - /stock/1831632/11221" xr:uid="{4A48F489-F585-4860-9371-C5F1B12646C0}"/>
    <hyperlink ref="A84" r:id="rId83" location="/stock/1831632/12903" display="https://etportfolio.indiatimes.com/pw_companyinfo.cms - /stock/1831632/12903" xr:uid="{48E85F4E-38C5-4B0B-BAA5-FBF131FC2136}"/>
    <hyperlink ref="A85" r:id="rId84" location="/stock/1831632/6114" display="https://etportfolio.indiatimes.com/pw_companyinfo.cms - /stock/1831632/6114" xr:uid="{0FF2FA59-4655-4476-9F20-84DF7A163831}"/>
    <hyperlink ref="A86" r:id="rId85" location="/stock/1831632/18605" display="https://etportfolio.indiatimes.com/pw_companyinfo.cms - /stock/1831632/18605" xr:uid="{C31F0B28-8C5D-4FB0-8C85-6A521FEA7DE1}"/>
    <hyperlink ref="A87" r:id="rId86" location="/stock/1831632/12799" display="https://etportfolio.indiatimes.com/pw_companyinfo.cms - /stock/1831632/12799" xr:uid="{7C7BCD99-C52E-4D1C-BF6F-DBCBBC06B20D}"/>
    <hyperlink ref="A88" r:id="rId87" location="/stock/1831632/16552" display="https://etportfolio.indiatimes.com/pw_companyinfo.cms - /stock/1831632/16552" xr:uid="{3F7FEFFA-EDEA-4301-B39E-D3E5A4BD6894}"/>
    <hyperlink ref="A89" r:id="rId88" location="/stock/1831632/6816" display="https://etportfolio.indiatimes.com/pw_companyinfo.cms - /stock/1831632/6816" xr:uid="{F7FAFFAC-38CF-46FC-889C-95F6946BC832}"/>
  </hyperlinks>
  <pageMargins left="0.7" right="0.7" top="0.75" bottom="0.75" header="0.3" footer="0.3"/>
  <pageSetup paperSize="9" orientation="portrait" r:id="rId89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341C-45C6-49DE-93AE-FADD359CB76B}">
  <dimension ref="A1:I15"/>
  <sheetViews>
    <sheetView workbookViewId="0">
      <selection activeCell="F14" sqref="F14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>
      <c r="A2" s="77" t="s">
        <v>234</v>
      </c>
      <c r="B2" s="76" t="s">
        <v>235</v>
      </c>
      <c r="C2" s="78">
        <v>3251.33</v>
      </c>
      <c r="D2" s="76">
        <v>78.22</v>
      </c>
      <c r="E2" s="76">
        <v>67.661299999999997</v>
      </c>
      <c r="F2" s="78">
        <v>219989.15839999999</v>
      </c>
      <c r="G2" s="78">
        <v>254319.03260000001</v>
      </c>
      <c r="H2" s="78">
        <v>34329.874199999998</v>
      </c>
      <c r="I2" s="1">
        <f>H2/F2</f>
        <v>0.15605257299807007</v>
      </c>
    </row>
    <row r="3" spans="1:9">
      <c r="A3" s="77" t="s">
        <v>236</v>
      </c>
      <c r="B3" s="76" t="s">
        <v>237</v>
      </c>
      <c r="C3" s="78">
        <v>11032.213</v>
      </c>
      <c r="D3" s="76">
        <v>68.83</v>
      </c>
      <c r="E3" s="76">
        <v>41.694099999999999</v>
      </c>
      <c r="F3" s="78">
        <v>459977.90919999999</v>
      </c>
      <c r="G3" s="78">
        <v>759347.22080000001</v>
      </c>
      <c r="H3" s="78">
        <v>299369.31160000002</v>
      </c>
      <c r="I3" s="1">
        <f t="shared" ref="I3:I14" si="0">H3/F3</f>
        <v>0.65083410662191865</v>
      </c>
    </row>
    <row r="4" spans="1:9">
      <c r="A4" s="77" t="s">
        <v>454</v>
      </c>
      <c r="B4" s="76" t="s">
        <v>269</v>
      </c>
      <c r="C4" s="76">
        <v>90.13</v>
      </c>
      <c r="D4" s="78">
        <v>3170.4933999999998</v>
      </c>
      <c r="E4" s="78">
        <v>3145.9569999999999</v>
      </c>
      <c r="F4" s="78">
        <v>283545.10220000002</v>
      </c>
      <c r="G4" s="78">
        <v>285756.57010000001</v>
      </c>
      <c r="H4" s="78">
        <v>2211.4679999999998</v>
      </c>
      <c r="I4" s="1">
        <f t="shared" si="0"/>
        <v>7.7993517886270148E-3</v>
      </c>
    </row>
    <row r="5" spans="1:9">
      <c r="A5" s="77" t="s">
        <v>441</v>
      </c>
      <c r="B5" s="76" t="s">
        <v>241</v>
      </c>
      <c r="C5" s="78">
        <v>1857.5519999999999</v>
      </c>
      <c r="D5" s="76">
        <v>532.08920000000001</v>
      </c>
      <c r="E5" s="76">
        <v>366.02140000000003</v>
      </c>
      <c r="F5" s="78">
        <v>679903.69869999995</v>
      </c>
      <c r="G5" s="78">
        <v>988383.35759999999</v>
      </c>
      <c r="H5" s="78">
        <v>308479.65899999999</v>
      </c>
      <c r="I5" s="1">
        <f t="shared" si="0"/>
        <v>0.45371081167792449</v>
      </c>
    </row>
    <row r="6" spans="1:9">
      <c r="A6" s="77" t="s">
        <v>242</v>
      </c>
      <c r="B6" s="76" t="s">
        <v>237</v>
      </c>
      <c r="C6" s="78">
        <v>5856.576</v>
      </c>
      <c r="D6" s="76">
        <v>83.923000000000002</v>
      </c>
      <c r="E6" s="76">
        <v>44.3917</v>
      </c>
      <c r="F6" s="78">
        <v>259983.36480000001</v>
      </c>
      <c r="G6" s="78">
        <v>491501.4276</v>
      </c>
      <c r="H6" s="78">
        <v>231518.06280000001</v>
      </c>
      <c r="I6" s="1">
        <f t="shared" si="0"/>
        <v>0.89051106396019686</v>
      </c>
    </row>
    <row r="7" spans="1:9">
      <c r="A7" s="77" t="s">
        <v>272</v>
      </c>
      <c r="B7" s="76" t="s">
        <v>235</v>
      </c>
      <c r="C7" s="78">
        <v>6641.4979999999996</v>
      </c>
      <c r="D7" s="76">
        <v>80.751999999999995</v>
      </c>
      <c r="E7" s="76">
        <v>41.7624</v>
      </c>
      <c r="F7" s="78">
        <v>277364.96380000003</v>
      </c>
      <c r="G7" s="78">
        <v>536314.24650000001</v>
      </c>
      <c r="H7" s="78">
        <v>258949.28270000001</v>
      </c>
      <c r="I7" s="1">
        <f t="shared" si="0"/>
        <v>0.93360487623347033</v>
      </c>
    </row>
    <row r="8" spans="1:9">
      <c r="A8" s="77" t="s">
        <v>244</v>
      </c>
      <c r="B8" s="76" t="s">
        <v>233</v>
      </c>
      <c r="C8" s="78">
        <v>3284.38</v>
      </c>
      <c r="D8" s="76">
        <v>25.716899999999999</v>
      </c>
      <c r="E8" s="76">
        <v>24.3565</v>
      </c>
      <c r="F8" s="78">
        <v>79996.012900000002</v>
      </c>
      <c r="G8" s="78">
        <v>84464.072</v>
      </c>
      <c r="H8" s="78">
        <v>4468.0591000000004</v>
      </c>
      <c r="I8" s="1">
        <f t="shared" si="0"/>
        <v>5.5853522419740502E-2</v>
      </c>
    </row>
    <row r="9" spans="1:9">
      <c r="A9" s="77" t="s">
        <v>246</v>
      </c>
      <c r="B9" s="76" t="s">
        <v>241</v>
      </c>
      <c r="C9" s="78">
        <v>5393.9669999999996</v>
      </c>
      <c r="D9" s="76">
        <v>10.929</v>
      </c>
      <c r="E9" s="76">
        <v>11.2157</v>
      </c>
      <c r="F9" s="78">
        <v>60496.980499999998</v>
      </c>
      <c r="G9" s="78">
        <v>58950.665300000001</v>
      </c>
      <c r="H9" s="78">
        <v>-1546.3152</v>
      </c>
      <c r="I9" s="1">
        <f t="shared" si="0"/>
        <v>-2.5560204612195481E-2</v>
      </c>
    </row>
    <row r="10" spans="1:9">
      <c r="A10" s="77" t="s">
        <v>250</v>
      </c>
      <c r="B10" s="76" t="s">
        <v>251</v>
      </c>
      <c r="C10" s="78">
        <v>10502.985000000001</v>
      </c>
      <c r="D10" s="76">
        <v>54.458100000000002</v>
      </c>
      <c r="E10" s="76">
        <v>37.698500000000003</v>
      </c>
      <c r="F10" s="78">
        <v>395946.45870000002</v>
      </c>
      <c r="G10" s="78">
        <v>571972.60739999998</v>
      </c>
      <c r="H10" s="78">
        <v>176026.1488</v>
      </c>
      <c r="I10" s="1">
        <f t="shared" si="0"/>
        <v>0.44457058506834929</v>
      </c>
    </row>
    <row r="11" spans="1:9">
      <c r="A11" s="77" t="s">
        <v>274</v>
      </c>
      <c r="B11" s="76" t="s">
        <v>233</v>
      </c>
      <c r="C11" s="78">
        <v>5399.8710000000001</v>
      </c>
      <c r="D11" s="76">
        <v>41.21</v>
      </c>
      <c r="E11" s="76">
        <v>37.036200000000001</v>
      </c>
      <c r="F11" s="78">
        <v>199990.82519999999</v>
      </c>
      <c r="G11" s="78">
        <v>222528.6839</v>
      </c>
      <c r="H11" s="78">
        <v>22537.858700000001</v>
      </c>
      <c r="I11" s="1">
        <f t="shared" si="0"/>
        <v>0.11269446324580695</v>
      </c>
    </row>
    <row r="12" spans="1:9">
      <c r="A12" s="77" t="s">
        <v>455</v>
      </c>
      <c r="B12" s="76" t="s">
        <v>241</v>
      </c>
      <c r="C12" s="76">
        <v>197.84399999999999</v>
      </c>
      <c r="D12" s="76">
        <v>149.5573</v>
      </c>
      <c r="E12" s="76">
        <v>126.3557</v>
      </c>
      <c r="F12" s="78">
        <v>24998.7091</v>
      </c>
      <c r="G12" s="78">
        <v>29589.014500000001</v>
      </c>
      <c r="H12" s="78">
        <v>4590.3054000000002</v>
      </c>
      <c r="I12" s="1">
        <f t="shared" si="0"/>
        <v>0.18362169748997159</v>
      </c>
    </row>
    <row r="13" spans="1:9">
      <c r="A13" s="77" t="s">
        <v>255</v>
      </c>
      <c r="B13" s="76" t="s">
        <v>241</v>
      </c>
      <c r="C13" s="78">
        <v>18996.168000000001</v>
      </c>
      <c r="D13" s="76">
        <v>15.3239</v>
      </c>
      <c r="E13" s="76">
        <v>9.4700000000000006</v>
      </c>
      <c r="F13" s="78">
        <v>179893.71100000001</v>
      </c>
      <c r="G13" s="78">
        <v>291095.37880000001</v>
      </c>
      <c r="H13" s="78">
        <v>111201.6679</v>
      </c>
      <c r="I13" s="1">
        <f t="shared" si="0"/>
        <v>0.61815205924569538</v>
      </c>
    </row>
    <row r="14" spans="1:9" ht="15.75" thickBot="1">
      <c r="A14" s="74" t="s">
        <v>11</v>
      </c>
      <c r="B14" s="75"/>
      <c r="C14" s="75">
        <f>SUM(C2:C13)</f>
        <v>72504.513999999996</v>
      </c>
      <c r="D14" s="75"/>
      <c r="E14" s="75"/>
      <c r="F14" s="75">
        <f t="shared" ref="F14:H14" si="1">SUM(F2:F13)</f>
        <v>3122086.8944999999</v>
      </c>
      <c r="G14" s="75">
        <f t="shared" si="1"/>
        <v>4574222.2770999996</v>
      </c>
      <c r="H14" s="75">
        <f t="shared" si="1"/>
        <v>1452135.3829999999</v>
      </c>
      <c r="I14" s="53">
        <f t="shared" si="0"/>
        <v>0.46511690163337316</v>
      </c>
    </row>
    <row r="15" spans="1:9" ht="15.75" thickTop="1"/>
  </sheetData>
  <hyperlinks>
    <hyperlink ref="A2" r:id="rId1" location="/mf/1831632/15690/NULL" display="https://etportfolio.indiatimes.com/pw_companyinfo.cms - /mf/1831632/15690/NULL" xr:uid="{B20A5CAF-B4E6-4913-867F-837CDE045676}"/>
    <hyperlink ref="A3" r:id="rId2" location="/mf/1831632/22335/NULL" display="https://etportfolio.indiatimes.com/pw_companyinfo.cms - /mf/1831632/22335/NULL" xr:uid="{94EBF633-5FF0-492E-B466-86B19AB23152}"/>
    <hyperlink ref="A4" r:id="rId3" location="/mf/1831632/16848/NULL" display="https://etportfolio.indiatimes.com/pw_companyinfo.cms - /mf/1831632/16848/NULL" xr:uid="{3D67F7C0-F335-4685-AE6C-8E17E6AE622A}"/>
    <hyperlink ref="A5" r:id="rId4" location="/mf/1831632/16071/NULL" display="https://etportfolio.indiatimes.com/pw_companyinfo.cms - /mf/1831632/16071/NULL" xr:uid="{E933942C-A70D-43A9-B196-C3EDEBBFE81D}"/>
    <hyperlink ref="A6" r:id="rId5" location="/mf/1831632/16617/NULL" display="https://etportfolio.indiatimes.com/pw_companyinfo.cms - /mf/1831632/16617/NULL" xr:uid="{34D9B449-467E-4FA7-BDB1-AB480D33C353}"/>
    <hyperlink ref="A7" r:id="rId6" location="/mf/1831632/17134/NULL" display="https://etportfolio.indiatimes.com/pw_companyinfo.cms - /mf/1831632/17134/NULL" xr:uid="{C05B2A30-E779-4751-AE35-6D8E2265E7CD}"/>
    <hyperlink ref="A8" r:id="rId7" location="/mf/1831632/38228/NULL" display="https://etportfolio.indiatimes.com/pw_companyinfo.cms - /mf/1831632/38228/NULL" xr:uid="{39557417-F99F-4CE6-823C-9DCA22394BBD}"/>
    <hyperlink ref="A9" r:id="rId8" location="/mf/1831632/41574/NULL" display="https://etportfolio.indiatimes.com/pw_companyinfo.cms - /mf/1831632/41574/NULL" xr:uid="{A9AB4CE2-FE9B-416A-8390-8813AD533642}"/>
    <hyperlink ref="A10" r:id="rId9" location="/mf/1831632/19701/NULL" display="https://etportfolio.indiatimes.com/pw_companyinfo.cms - /mf/1831632/19701/NULL" xr:uid="{5AB9E95C-E01D-4BF3-9AA2-07739556D872}"/>
    <hyperlink ref="A11" r:id="rId10" location="/mf/1831632/17348/NULL" display="https://etportfolio.indiatimes.com/pw_companyinfo.cms - /mf/1831632/17348/NULL" xr:uid="{E4ABF643-E2C5-45EB-BDF3-1771A9539F91}"/>
    <hyperlink ref="A12" r:id="rId11" location="/mf/1831632/16955/NULL" display="https://etportfolio.indiatimes.com/pw_companyinfo.cms - /mf/1831632/16955/NULL" xr:uid="{C8072995-4C1C-45D2-88E2-66887306FF66}"/>
    <hyperlink ref="A13" r:id="rId12" location="/mf/1831632/36491/NULL" display="https://etportfolio.indiatimes.com/pw_companyinfo.cms - /mf/1831632/36491/NULL" xr:uid="{74D59D48-D7E0-4D4B-AE0D-E7A13500C661}"/>
  </hyperlinks>
  <pageMargins left="0.7" right="0.7" top="0.75" bottom="0.75" header="0.3" footer="0.3"/>
  <pageSetup paperSize="9" orientation="portrait" r:id="rId1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874-93B9-4449-B215-9F77A6E1783A}">
  <dimension ref="A1:H91"/>
  <sheetViews>
    <sheetView topLeftCell="A83" workbookViewId="0">
      <selection activeCell="A90" sqref="A90:H90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 ht="15.75" thickBot="1">
      <c r="A2" s="77" t="s">
        <v>352</v>
      </c>
      <c r="B2" s="76">
        <v>25</v>
      </c>
      <c r="C2" s="78">
        <v>2115.25</v>
      </c>
      <c r="D2" s="78">
        <v>1753.0652</v>
      </c>
      <c r="E2" s="78">
        <v>43826.63</v>
      </c>
      <c r="F2" s="78">
        <v>52881.25</v>
      </c>
      <c r="G2" s="78">
        <v>9054.6200000000008</v>
      </c>
      <c r="H2" s="63">
        <f>G2/E2</f>
        <v>0.20660087257450552</v>
      </c>
    </row>
    <row r="3" spans="1:8" ht="15.75" thickBot="1">
      <c r="A3" s="77" t="s">
        <v>458</v>
      </c>
      <c r="B3" s="76">
        <v>224</v>
      </c>
      <c r="C3" s="76">
        <v>99.85</v>
      </c>
      <c r="D3" s="76">
        <v>109.11539999999999</v>
      </c>
      <c r="E3" s="78">
        <v>24441.84</v>
      </c>
      <c r="F3" s="78">
        <v>22366.400000000001</v>
      </c>
      <c r="G3" s="78">
        <v>-2075.44</v>
      </c>
      <c r="H3" s="63">
        <f t="shared" ref="H3:H66" si="0">G3/E3</f>
        <v>-8.4913410774311596E-2</v>
      </c>
    </row>
    <row r="4" spans="1:8" ht="15.75" thickBot="1">
      <c r="A4" s="77" t="s">
        <v>353</v>
      </c>
      <c r="B4" s="76">
        <v>13</v>
      </c>
      <c r="C4" s="78">
        <v>3436.75</v>
      </c>
      <c r="D4" s="78">
        <v>2592.5562</v>
      </c>
      <c r="E4" s="78">
        <v>33703.230000000003</v>
      </c>
      <c r="F4" s="78">
        <v>44677.75</v>
      </c>
      <c r="G4" s="78">
        <v>10974.52</v>
      </c>
      <c r="H4" s="63">
        <f t="shared" si="0"/>
        <v>0.32562220297579786</v>
      </c>
    </row>
    <row r="5" spans="1:8" ht="15.75" thickBot="1">
      <c r="A5" s="77" t="s">
        <v>354</v>
      </c>
      <c r="B5" s="76">
        <v>250</v>
      </c>
      <c r="C5" s="76">
        <v>210</v>
      </c>
      <c r="D5" s="76">
        <v>183.58799999999999</v>
      </c>
      <c r="E5" s="78">
        <v>45897</v>
      </c>
      <c r="F5" s="78">
        <v>52500</v>
      </c>
      <c r="G5" s="78">
        <v>6603</v>
      </c>
      <c r="H5" s="63">
        <f t="shared" si="0"/>
        <v>0.14386561213151186</v>
      </c>
    </row>
    <row r="6" spans="1:8" ht="15.75" thickBot="1">
      <c r="A6" s="77" t="s">
        <v>355</v>
      </c>
      <c r="B6" s="76">
        <v>12</v>
      </c>
      <c r="C6" s="78">
        <v>3110.7</v>
      </c>
      <c r="D6" s="78">
        <v>2352.6</v>
      </c>
      <c r="E6" s="78">
        <v>28231.200000000001</v>
      </c>
      <c r="F6" s="78">
        <v>37328.400000000001</v>
      </c>
      <c r="G6" s="78">
        <v>9097.2000000000007</v>
      </c>
      <c r="H6" s="63">
        <f t="shared" si="0"/>
        <v>0.32223922468757971</v>
      </c>
    </row>
    <row r="7" spans="1:8" ht="15.75" thickBot="1">
      <c r="A7" s="77" t="s">
        <v>357</v>
      </c>
      <c r="B7" s="76">
        <v>9</v>
      </c>
      <c r="C7" s="78">
        <v>4800.45</v>
      </c>
      <c r="D7" s="78">
        <v>2894.4322000000002</v>
      </c>
      <c r="E7" s="78">
        <v>26049.89</v>
      </c>
      <c r="F7" s="78">
        <v>43204.05</v>
      </c>
      <c r="G7" s="78">
        <v>17154.16</v>
      </c>
      <c r="H7" s="63">
        <f t="shared" si="0"/>
        <v>0.65851180177728197</v>
      </c>
    </row>
    <row r="8" spans="1:8" ht="15.75" thickBot="1">
      <c r="A8" s="77" t="s">
        <v>358</v>
      </c>
      <c r="B8" s="76">
        <v>71</v>
      </c>
      <c r="C8" s="76">
        <v>672.95</v>
      </c>
      <c r="D8" s="76">
        <v>598.48170000000005</v>
      </c>
      <c r="E8" s="78">
        <v>42492.2</v>
      </c>
      <c r="F8" s="78">
        <v>47779.45</v>
      </c>
      <c r="G8" s="78">
        <v>5287.25</v>
      </c>
      <c r="H8" s="63">
        <f t="shared" si="0"/>
        <v>0.12442871868248762</v>
      </c>
    </row>
    <row r="9" spans="1:8" ht="15.75" thickBot="1">
      <c r="A9" s="77" t="s">
        <v>359</v>
      </c>
      <c r="B9" s="76">
        <v>23</v>
      </c>
      <c r="C9" s="78">
        <v>3286.95</v>
      </c>
      <c r="D9" s="78">
        <v>2608.1608999999999</v>
      </c>
      <c r="E9" s="78">
        <v>59987.7</v>
      </c>
      <c r="F9" s="78">
        <v>75599.850000000006</v>
      </c>
      <c r="G9" s="78">
        <v>15612.15</v>
      </c>
      <c r="H9" s="63">
        <f t="shared" si="0"/>
        <v>0.26025585244975219</v>
      </c>
    </row>
    <row r="10" spans="1:8" ht="15.75" thickBot="1">
      <c r="A10" s="77" t="s">
        <v>459</v>
      </c>
      <c r="B10" s="76">
        <v>87</v>
      </c>
      <c r="C10" s="76">
        <v>181.2</v>
      </c>
      <c r="D10" s="76">
        <v>245.89060000000001</v>
      </c>
      <c r="E10" s="78">
        <v>21392.48</v>
      </c>
      <c r="F10" s="78">
        <v>15764.4</v>
      </c>
      <c r="G10" s="78">
        <v>-5628.08</v>
      </c>
      <c r="H10" s="63">
        <f t="shared" si="0"/>
        <v>-0.26308684173129998</v>
      </c>
    </row>
    <row r="11" spans="1:8" ht="15.75" thickBot="1">
      <c r="A11" s="77" t="s">
        <v>360</v>
      </c>
      <c r="B11" s="76">
        <v>1</v>
      </c>
      <c r="C11" s="78">
        <v>7070.2</v>
      </c>
      <c r="D11" s="78">
        <v>7545</v>
      </c>
      <c r="E11" s="78">
        <v>7545</v>
      </c>
      <c r="F11" s="78">
        <v>7070.2</v>
      </c>
      <c r="G11" s="76">
        <v>-474.8</v>
      </c>
      <c r="H11" s="63">
        <f t="shared" si="0"/>
        <v>-6.2929092113982774E-2</v>
      </c>
    </row>
    <row r="12" spans="1:8" ht="15.75" thickBot="1">
      <c r="A12" s="77" t="s">
        <v>361</v>
      </c>
      <c r="B12" s="76">
        <v>8</v>
      </c>
      <c r="C12" s="78">
        <v>2202.6999999999998</v>
      </c>
      <c r="D12" s="78">
        <v>1823.655</v>
      </c>
      <c r="E12" s="78">
        <v>14589.24</v>
      </c>
      <c r="F12" s="78">
        <v>17621.599999999999</v>
      </c>
      <c r="G12" s="78">
        <v>3032.36</v>
      </c>
      <c r="H12" s="63">
        <f t="shared" si="0"/>
        <v>0.20784907233001856</v>
      </c>
    </row>
    <row r="13" spans="1:8" ht="15.75" thickBot="1">
      <c r="A13" s="77" t="s">
        <v>362</v>
      </c>
      <c r="B13" s="76">
        <v>180</v>
      </c>
      <c r="C13" s="76">
        <v>718.35</v>
      </c>
      <c r="D13" s="76">
        <v>322.88889999999998</v>
      </c>
      <c r="E13" s="78">
        <v>58120</v>
      </c>
      <c r="F13" s="78">
        <v>129303</v>
      </c>
      <c r="G13" s="78">
        <v>71183</v>
      </c>
      <c r="H13" s="63">
        <f t="shared" si="0"/>
        <v>1.2247591190640055</v>
      </c>
    </row>
    <row r="14" spans="1:8" ht="15.75" thickBot="1">
      <c r="A14" s="77" t="s">
        <v>363</v>
      </c>
      <c r="B14" s="76">
        <v>63</v>
      </c>
      <c r="C14" s="76">
        <v>494.1</v>
      </c>
      <c r="D14" s="76">
        <v>402.31979999999999</v>
      </c>
      <c r="E14" s="78">
        <v>25346.15</v>
      </c>
      <c r="F14" s="78">
        <v>31128.3</v>
      </c>
      <c r="G14" s="78">
        <v>5782.15</v>
      </c>
      <c r="H14" s="63">
        <f t="shared" si="0"/>
        <v>0.22812734872949145</v>
      </c>
    </row>
    <row r="15" spans="1:8" ht="15.75" thickBot="1">
      <c r="A15" s="77" t="s">
        <v>364</v>
      </c>
      <c r="B15" s="76">
        <v>10</v>
      </c>
      <c r="C15" s="78">
        <v>3555.8</v>
      </c>
      <c r="D15" s="78">
        <v>3557.0250000000001</v>
      </c>
      <c r="E15" s="78">
        <v>35570.25</v>
      </c>
      <c r="F15" s="78">
        <v>35558</v>
      </c>
      <c r="G15" s="76">
        <v>-12.25</v>
      </c>
      <c r="H15" s="63">
        <f t="shared" si="0"/>
        <v>-3.443889205164428E-4</v>
      </c>
    </row>
    <row r="16" spans="1:8" ht="15.75" thickBot="1">
      <c r="A16" s="77" t="s">
        <v>365</v>
      </c>
      <c r="B16" s="76">
        <v>180</v>
      </c>
      <c r="C16" s="76">
        <v>126.75</v>
      </c>
      <c r="D16" s="76">
        <v>155.25</v>
      </c>
      <c r="E16" s="78">
        <v>27945</v>
      </c>
      <c r="F16" s="78">
        <v>22815</v>
      </c>
      <c r="G16" s="78">
        <v>-5130</v>
      </c>
      <c r="H16" s="63">
        <f t="shared" si="0"/>
        <v>-0.18357487922705315</v>
      </c>
    </row>
    <row r="17" spans="1:8" ht="15.75" thickBot="1">
      <c r="A17" s="77" t="s">
        <v>366</v>
      </c>
      <c r="B17" s="76">
        <v>43</v>
      </c>
      <c r="C17" s="76">
        <v>911.85</v>
      </c>
      <c r="D17" s="76">
        <v>701.07399999999996</v>
      </c>
      <c r="E17" s="78">
        <v>30146.18</v>
      </c>
      <c r="F17" s="78">
        <v>39209.550000000003</v>
      </c>
      <c r="G17" s="78">
        <v>9063.3700000000008</v>
      </c>
      <c r="H17" s="63">
        <f t="shared" si="0"/>
        <v>0.30064737887188364</v>
      </c>
    </row>
    <row r="18" spans="1:8" ht="15.75" thickBot="1">
      <c r="A18" s="77" t="s">
        <v>460</v>
      </c>
      <c r="B18" s="76">
        <v>412</v>
      </c>
      <c r="C18" s="76">
        <v>144.19999999999999</v>
      </c>
      <c r="D18" s="76">
        <v>154.65209999999999</v>
      </c>
      <c r="E18" s="78">
        <v>63716.67</v>
      </c>
      <c r="F18" s="78">
        <v>59410.400000000001</v>
      </c>
      <c r="G18" s="78">
        <v>-4306.2700000000004</v>
      </c>
      <c r="H18" s="63">
        <f t="shared" si="0"/>
        <v>-6.7584668188089558E-2</v>
      </c>
    </row>
    <row r="19" spans="1:8" ht="15.75" thickBot="1">
      <c r="A19" s="77" t="s">
        <v>367</v>
      </c>
      <c r="B19" s="76">
        <v>250</v>
      </c>
      <c r="C19" s="76">
        <v>159.80000000000001</v>
      </c>
      <c r="D19" s="76">
        <v>163.66999999999999</v>
      </c>
      <c r="E19" s="78">
        <v>40917.5</v>
      </c>
      <c r="F19" s="78">
        <v>39950</v>
      </c>
      <c r="G19" s="76">
        <v>-967.5</v>
      </c>
      <c r="H19" s="63">
        <f t="shared" si="0"/>
        <v>-2.3645139610191237E-2</v>
      </c>
    </row>
    <row r="20" spans="1:8" ht="15.75" thickBot="1">
      <c r="A20" s="77" t="s">
        <v>368</v>
      </c>
      <c r="B20" s="76">
        <v>2</v>
      </c>
      <c r="C20" s="78">
        <v>5348.55</v>
      </c>
      <c r="D20" s="78">
        <v>4417.8500000000004</v>
      </c>
      <c r="E20" s="78">
        <v>8835.7000000000007</v>
      </c>
      <c r="F20" s="78">
        <v>10697.1</v>
      </c>
      <c r="G20" s="78">
        <v>1861.4</v>
      </c>
      <c r="H20" s="63">
        <f t="shared" si="0"/>
        <v>0.21066808515454349</v>
      </c>
    </row>
    <row r="21" spans="1:8" ht="15.75" thickBot="1">
      <c r="A21" s="77" t="s">
        <v>369</v>
      </c>
      <c r="B21" s="76">
        <v>18</v>
      </c>
      <c r="C21" s="78">
        <v>1452.05</v>
      </c>
      <c r="D21" s="78">
        <v>1606.6832999999999</v>
      </c>
      <c r="E21" s="78">
        <v>28920.3</v>
      </c>
      <c r="F21" s="78">
        <v>26136.9</v>
      </c>
      <c r="G21" s="78">
        <v>-2783.4</v>
      </c>
      <c r="H21" s="63">
        <f t="shared" si="0"/>
        <v>-9.6243814898185703E-2</v>
      </c>
    </row>
    <row r="22" spans="1:8" ht="15.75" thickBot="1">
      <c r="A22" s="77" t="s">
        <v>370</v>
      </c>
      <c r="B22" s="76">
        <v>38</v>
      </c>
      <c r="C22" s="76">
        <v>581.1</v>
      </c>
      <c r="D22" s="76">
        <v>562.8347</v>
      </c>
      <c r="E22" s="78">
        <v>21387.72</v>
      </c>
      <c r="F22" s="78">
        <v>22081.8</v>
      </c>
      <c r="G22" s="76">
        <v>694.08</v>
      </c>
      <c r="H22" s="63">
        <f t="shared" si="0"/>
        <v>3.2452267001812252E-2</v>
      </c>
    </row>
    <row r="23" spans="1:8" ht="15.75" thickBot="1">
      <c r="A23" s="77" t="s">
        <v>371</v>
      </c>
      <c r="B23" s="76">
        <v>11</v>
      </c>
      <c r="C23" s="78">
        <v>4757.1000000000004</v>
      </c>
      <c r="D23" s="78">
        <v>2298.1581999999999</v>
      </c>
      <c r="E23" s="78">
        <v>25279.74</v>
      </c>
      <c r="F23" s="78">
        <v>52328.1</v>
      </c>
      <c r="G23" s="78">
        <v>27048.36</v>
      </c>
      <c r="H23" s="63">
        <f t="shared" si="0"/>
        <v>1.0699619537226253</v>
      </c>
    </row>
    <row r="24" spans="1:8" ht="15.75" thickBot="1">
      <c r="A24" s="77" t="s">
        <v>372</v>
      </c>
      <c r="B24" s="76">
        <v>58</v>
      </c>
      <c r="C24" s="76">
        <v>386.3</v>
      </c>
      <c r="D24" s="76">
        <v>299.74</v>
      </c>
      <c r="E24" s="78">
        <v>17384.919999999998</v>
      </c>
      <c r="F24" s="78">
        <v>22405.4</v>
      </c>
      <c r="G24" s="78">
        <v>5020.4799999999996</v>
      </c>
      <c r="H24" s="63">
        <f t="shared" si="0"/>
        <v>0.28878361246413559</v>
      </c>
    </row>
    <row r="25" spans="1:8" ht="15.75" thickBot="1">
      <c r="A25" s="77" t="s">
        <v>373</v>
      </c>
      <c r="B25" s="76">
        <v>2</v>
      </c>
      <c r="C25" s="78">
        <v>3704.5</v>
      </c>
      <c r="D25" s="78">
        <v>3639.8</v>
      </c>
      <c r="E25" s="78">
        <v>7279.6</v>
      </c>
      <c r="F25" s="78">
        <v>7409</v>
      </c>
      <c r="G25" s="76">
        <v>129.4</v>
      </c>
      <c r="H25" s="63">
        <f t="shared" si="0"/>
        <v>1.7775701961646243E-2</v>
      </c>
    </row>
    <row r="26" spans="1:8" ht="15.75" thickBot="1">
      <c r="A26" s="77" t="s">
        <v>374</v>
      </c>
      <c r="B26" s="76">
        <v>8</v>
      </c>
      <c r="C26" s="78">
        <v>2458.0500000000002</v>
      </c>
      <c r="D26" s="78">
        <v>2477.4425000000001</v>
      </c>
      <c r="E26" s="78">
        <v>19819.54</v>
      </c>
      <c r="F26" s="78">
        <v>19664.400000000001</v>
      </c>
      <c r="G26" s="76">
        <v>-155.13999999999999</v>
      </c>
      <c r="H26" s="63">
        <f t="shared" si="0"/>
        <v>-7.8276286937032837E-3</v>
      </c>
    </row>
    <row r="27" spans="1:8" ht="15.75" thickBot="1">
      <c r="A27" s="77" t="s">
        <v>376</v>
      </c>
      <c r="B27" s="76">
        <v>12</v>
      </c>
      <c r="C27" s="78">
        <v>1734.35</v>
      </c>
      <c r="D27" s="78">
        <v>1344.9317000000001</v>
      </c>
      <c r="E27" s="78">
        <v>16139.18</v>
      </c>
      <c r="F27" s="78">
        <v>20812.2</v>
      </c>
      <c r="G27" s="78">
        <v>4673.0200000000004</v>
      </c>
      <c r="H27" s="63">
        <f t="shared" si="0"/>
        <v>0.28954506982386963</v>
      </c>
    </row>
    <row r="28" spans="1:8" ht="15.75" thickBot="1">
      <c r="A28" s="77" t="s">
        <v>377</v>
      </c>
      <c r="B28" s="76">
        <v>86</v>
      </c>
      <c r="C28" s="76">
        <v>705.7</v>
      </c>
      <c r="D28" s="76">
        <v>714.27210000000002</v>
      </c>
      <c r="E28" s="78">
        <v>61427.4</v>
      </c>
      <c r="F28" s="78">
        <v>60690.2</v>
      </c>
      <c r="G28" s="76">
        <v>-737.2</v>
      </c>
      <c r="H28" s="63">
        <f t="shared" si="0"/>
        <v>-1.2001159091871055E-2</v>
      </c>
    </row>
    <row r="29" spans="1:8" ht="15.75" thickBot="1">
      <c r="A29" s="77" t="s">
        <v>378</v>
      </c>
      <c r="B29" s="76">
        <v>265</v>
      </c>
      <c r="C29" s="76">
        <v>165</v>
      </c>
      <c r="D29" s="76">
        <v>194.17169999999999</v>
      </c>
      <c r="E29" s="78">
        <v>51455.51</v>
      </c>
      <c r="F29" s="78">
        <v>43725</v>
      </c>
      <c r="G29" s="78">
        <v>-7730.51</v>
      </c>
      <c r="H29" s="63">
        <f t="shared" si="0"/>
        <v>-0.1502367773635904</v>
      </c>
    </row>
    <row r="30" spans="1:8" ht="15.75" thickBot="1">
      <c r="A30" s="77" t="s">
        <v>379</v>
      </c>
      <c r="B30" s="76">
        <v>507</v>
      </c>
      <c r="C30" s="76">
        <v>89.2</v>
      </c>
      <c r="D30" s="76">
        <v>66.787400000000005</v>
      </c>
      <c r="E30" s="78">
        <v>33861.199999999997</v>
      </c>
      <c r="F30" s="78">
        <v>45224.4</v>
      </c>
      <c r="G30" s="78">
        <v>11363.2</v>
      </c>
      <c r="H30" s="63">
        <f t="shared" si="0"/>
        <v>0.33558172775920525</v>
      </c>
    </row>
    <row r="31" spans="1:8" ht="15.75" thickBot="1">
      <c r="A31" s="77" t="s">
        <v>380</v>
      </c>
      <c r="B31" s="76">
        <v>78</v>
      </c>
      <c r="C31" s="76">
        <v>141.15</v>
      </c>
      <c r="D31" s="76">
        <v>154.29810000000001</v>
      </c>
      <c r="E31" s="78">
        <v>12035.25</v>
      </c>
      <c r="F31" s="78">
        <v>11009.7</v>
      </c>
      <c r="G31" s="78">
        <v>-1025.55</v>
      </c>
      <c r="H31" s="63">
        <f t="shared" si="0"/>
        <v>-8.5212189194241908E-2</v>
      </c>
    </row>
    <row r="32" spans="1:8" ht="15.75" thickBot="1">
      <c r="A32" s="77" t="s">
        <v>382</v>
      </c>
      <c r="B32" s="76">
        <v>11</v>
      </c>
      <c r="C32" s="78">
        <v>3649.25</v>
      </c>
      <c r="D32" s="78">
        <v>3984.3</v>
      </c>
      <c r="E32" s="78">
        <v>43827.3</v>
      </c>
      <c r="F32" s="78">
        <v>40141.75</v>
      </c>
      <c r="G32" s="78">
        <v>-3685.55</v>
      </c>
      <c r="H32" s="63">
        <f t="shared" si="0"/>
        <v>-8.4092563310995655E-2</v>
      </c>
    </row>
    <row r="33" spans="1:8" ht="15.75" thickBot="1">
      <c r="A33" s="77" t="s">
        <v>383</v>
      </c>
      <c r="B33" s="76">
        <v>12</v>
      </c>
      <c r="C33" s="78">
        <v>2023.15</v>
      </c>
      <c r="D33" s="78">
        <v>1444.4625000000001</v>
      </c>
      <c r="E33" s="78">
        <v>17333.55</v>
      </c>
      <c r="F33" s="78">
        <v>24277.8</v>
      </c>
      <c r="G33" s="78">
        <v>6944.25</v>
      </c>
      <c r="H33" s="63">
        <f t="shared" si="0"/>
        <v>0.4006247998823092</v>
      </c>
    </row>
    <row r="34" spans="1:8" ht="15.75" thickBot="1">
      <c r="A34" s="77" t="s">
        <v>461</v>
      </c>
      <c r="B34" s="76">
        <v>76</v>
      </c>
      <c r="C34" s="76">
        <v>422.6</v>
      </c>
      <c r="D34" s="76">
        <v>233.3013</v>
      </c>
      <c r="E34" s="78">
        <v>17730.900000000001</v>
      </c>
      <c r="F34" s="78">
        <v>32117.599999999999</v>
      </c>
      <c r="G34" s="78">
        <v>14386.7</v>
      </c>
      <c r="H34" s="63">
        <f t="shared" si="0"/>
        <v>0.81139141273144622</v>
      </c>
    </row>
    <row r="35" spans="1:8" ht="15.75" thickBot="1">
      <c r="A35" s="77" t="s">
        <v>384</v>
      </c>
      <c r="B35" s="76">
        <v>18</v>
      </c>
      <c r="C35" s="78">
        <v>1171</v>
      </c>
      <c r="D35" s="78">
        <v>1090.5310999999999</v>
      </c>
      <c r="E35" s="78">
        <v>19629.560000000001</v>
      </c>
      <c r="F35" s="78">
        <v>21078</v>
      </c>
      <c r="G35" s="78">
        <v>1448.44</v>
      </c>
      <c r="H35" s="63">
        <f t="shared" si="0"/>
        <v>7.3788714571289424E-2</v>
      </c>
    </row>
    <row r="36" spans="1:8" ht="15.75" thickBot="1">
      <c r="A36" s="77" t="s">
        <v>385</v>
      </c>
      <c r="B36" s="76">
        <v>44</v>
      </c>
      <c r="C36" s="78">
        <v>1513.1</v>
      </c>
      <c r="D36" s="78">
        <v>1352.6898000000001</v>
      </c>
      <c r="E36" s="78">
        <v>59518.35</v>
      </c>
      <c r="F36" s="78">
        <v>66576.399999999994</v>
      </c>
      <c r="G36" s="78">
        <v>7058.05</v>
      </c>
      <c r="H36" s="63">
        <f t="shared" si="0"/>
        <v>0.11858611671862544</v>
      </c>
    </row>
    <row r="37" spans="1:8" ht="15.75" thickBot="1">
      <c r="A37" s="77" t="s">
        <v>386</v>
      </c>
      <c r="B37" s="76">
        <v>50</v>
      </c>
      <c r="C37" s="76">
        <v>690.7</v>
      </c>
      <c r="D37" s="76">
        <v>672.83180000000004</v>
      </c>
      <c r="E37" s="78">
        <v>33641.589999999997</v>
      </c>
      <c r="F37" s="78">
        <v>34535</v>
      </c>
      <c r="G37" s="76">
        <v>893.41</v>
      </c>
      <c r="H37" s="63">
        <f t="shared" si="0"/>
        <v>2.6556711499070053E-2</v>
      </c>
    </row>
    <row r="38" spans="1:8" ht="15.75" thickBot="1">
      <c r="A38" s="77" t="s">
        <v>387</v>
      </c>
      <c r="B38" s="76">
        <v>12</v>
      </c>
      <c r="C38" s="78">
        <v>2462.85</v>
      </c>
      <c r="D38" s="78">
        <v>2939.2042000000001</v>
      </c>
      <c r="E38" s="78">
        <v>35270.449999999997</v>
      </c>
      <c r="F38" s="78">
        <v>29554.2</v>
      </c>
      <c r="G38" s="78">
        <v>-5716.25</v>
      </c>
      <c r="H38" s="63">
        <f t="shared" si="0"/>
        <v>-0.16206909750230009</v>
      </c>
    </row>
    <row r="39" spans="1:8" ht="15.75" thickBot="1">
      <c r="A39" s="77" t="s">
        <v>390</v>
      </c>
      <c r="B39" s="76">
        <v>11</v>
      </c>
      <c r="C39" s="78">
        <v>2343.1</v>
      </c>
      <c r="D39" s="78">
        <v>2361.2773000000002</v>
      </c>
      <c r="E39" s="78">
        <v>25974.05</v>
      </c>
      <c r="F39" s="78">
        <v>25774.1</v>
      </c>
      <c r="G39" s="76">
        <v>-199.95</v>
      </c>
      <c r="H39" s="63">
        <f t="shared" si="0"/>
        <v>-7.698067879287211E-3</v>
      </c>
    </row>
    <row r="40" spans="1:8" ht="15.75" thickBot="1">
      <c r="A40" s="77" t="s">
        <v>391</v>
      </c>
      <c r="B40" s="76">
        <v>62</v>
      </c>
      <c r="C40" s="76">
        <v>716.6</v>
      </c>
      <c r="D40" s="76">
        <v>480.6019</v>
      </c>
      <c r="E40" s="78">
        <v>29797.32</v>
      </c>
      <c r="F40" s="78">
        <v>44429.2</v>
      </c>
      <c r="G40" s="78">
        <v>14631.88</v>
      </c>
      <c r="H40" s="63">
        <f t="shared" si="0"/>
        <v>0.49104684582371833</v>
      </c>
    </row>
    <row r="41" spans="1:8" ht="15.75" thickBot="1">
      <c r="A41" s="77" t="s">
        <v>392</v>
      </c>
      <c r="B41" s="76">
        <v>27</v>
      </c>
      <c r="C41" s="78">
        <v>1449.1</v>
      </c>
      <c r="D41" s="78">
        <v>1454.2847999999999</v>
      </c>
      <c r="E41" s="78">
        <v>39265.69</v>
      </c>
      <c r="F41" s="78">
        <v>39125.699999999997</v>
      </c>
      <c r="G41" s="76">
        <v>-139.99</v>
      </c>
      <c r="H41" s="63">
        <f t="shared" si="0"/>
        <v>-3.5651990325396041E-3</v>
      </c>
    </row>
    <row r="42" spans="1:8" ht="15.75" thickBot="1">
      <c r="A42" s="77" t="s">
        <v>393</v>
      </c>
      <c r="B42" s="76">
        <v>57</v>
      </c>
      <c r="C42" s="76">
        <v>603</v>
      </c>
      <c r="D42" s="76">
        <v>530.38329999999996</v>
      </c>
      <c r="E42" s="78">
        <v>30231.85</v>
      </c>
      <c r="F42" s="78">
        <v>34371</v>
      </c>
      <c r="G42" s="78">
        <v>4139.1499999999996</v>
      </c>
      <c r="H42" s="63">
        <f t="shared" si="0"/>
        <v>0.13691355309053199</v>
      </c>
    </row>
    <row r="43" spans="1:8" ht="15.75" thickBot="1">
      <c r="A43" s="77" t="s">
        <v>394</v>
      </c>
      <c r="B43" s="76">
        <v>41</v>
      </c>
      <c r="C43" s="76">
        <v>951.25</v>
      </c>
      <c r="D43" s="78">
        <v>1081.0582999999999</v>
      </c>
      <c r="E43" s="78">
        <v>44323.39</v>
      </c>
      <c r="F43" s="78">
        <v>39001.25</v>
      </c>
      <c r="G43" s="78">
        <v>-5322.14</v>
      </c>
      <c r="H43" s="63">
        <f t="shared" si="0"/>
        <v>-0.12007520182910197</v>
      </c>
    </row>
    <row r="44" spans="1:8" ht="15.75" thickBot="1">
      <c r="A44" s="77" t="s">
        <v>395</v>
      </c>
      <c r="B44" s="76">
        <v>13</v>
      </c>
      <c r="C44" s="78">
        <v>1734.9</v>
      </c>
      <c r="D44" s="78">
        <v>1617.9846</v>
      </c>
      <c r="E44" s="78">
        <v>21033.8</v>
      </c>
      <c r="F44" s="78">
        <v>22553.7</v>
      </c>
      <c r="G44" s="78">
        <v>1519.9</v>
      </c>
      <c r="H44" s="63">
        <f t="shared" si="0"/>
        <v>7.2259886468446027E-2</v>
      </c>
    </row>
    <row r="45" spans="1:8" ht="15.75" thickBot="1">
      <c r="A45" s="77" t="s">
        <v>445</v>
      </c>
      <c r="B45" s="76">
        <v>20</v>
      </c>
      <c r="C45" s="78">
        <v>2039.75</v>
      </c>
      <c r="D45" s="78">
        <v>1993.9414999999999</v>
      </c>
      <c r="E45" s="78">
        <v>39878.83</v>
      </c>
      <c r="F45" s="78">
        <v>40795</v>
      </c>
      <c r="G45" s="76">
        <v>916.17</v>
      </c>
      <c r="H45" s="63">
        <f t="shared" si="0"/>
        <v>2.2973843515469234E-2</v>
      </c>
    </row>
    <row r="46" spans="1:8" ht="15.75" thickBot="1">
      <c r="A46" s="77" t="s">
        <v>396</v>
      </c>
      <c r="B46" s="76">
        <v>711</v>
      </c>
      <c r="C46" s="76">
        <v>221.7</v>
      </c>
      <c r="D46" s="76">
        <v>224.7954</v>
      </c>
      <c r="E46" s="78">
        <v>159829.5</v>
      </c>
      <c r="F46" s="78">
        <v>157628.70000000001</v>
      </c>
      <c r="G46" s="78">
        <v>-2200.8000000000002</v>
      </c>
      <c r="H46" s="63">
        <f t="shared" si="0"/>
        <v>-1.3769673308118966E-2</v>
      </c>
    </row>
    <row r="47" spans="1:8" ht="15.75" thickBot="1">
      <c r="A47" s="77" t="s">
        <v>397</v>
      </c>
      <c r="B47" s="76">
        <v>21</v>
      </c>
      <c r="C47" s="78">
        <v>1616.85</v>
      </c>
      <c r="D47" s="76">
        <v>815.2681</v>
      </c>
      <c r="E47" s="78">
        <v>17120.63</v>
      </c>
      <c r="F47" s="78">
        <v>33953.85</v>
      </c>
      <c r="G47" s="78">
        <v>16833.22</v>
      </c>
      <c r="H47" s="63">
        <f t="shared" si="0"/>
        <v>0.98321265046905404</v>
      </c>
    </row>
    <row r="48" spans="1:8" ht="15.75" thickBot="1">
      <c r="A48" s="77" t="s">
        <v>446</v>
      </c>
      <c r="B48" s="76">
        <v>139</v>
      </c>
      <c r="C48" s="76">
        <v>150.9</v>
      </c>
      <c r="D48" s="76">
        <v>155.88229999999999</v>
      </c>
      <c r="E48" s="78">
        <v>21667.64</v>
      </c>
      <c r="F48" s="78">
        <v>20975.1</v>
      </c>
      <c r="G48" s="76">
        <v>-692.54</v>
      </c>
      <c r="H48" s="63">
        <f t="shared" si="0"/>
        <v>-3.1961948786300674E-2</v>
      </c>
    </row>
    <row r="49" spans="1:8" ht="15.75" thickBot="1">
      <c r="A49" s="77" t="s">
        <v>398</v>
      </c>
      <c r="B49" s="76">
        <v>34</v>
      </c>
      <c r="C49" s="78">
        <v>1913.6</v>
      </c>
      <c r="D49" s="78">
        <v>1617.4309000000001</v>
      </c>
      <c r="E49" s="78">
        <v>54992.65</v>
      </c>
      <c r="F49" s="78">
        <v>65062.400000000001</v>
      </c>
      <c r="G49" s="78">
        <v>10069.75</v>
      </c>
      <c r="H49" s="63">
        <f t="shared" si="0"/>
        <v>0.18311083390234875</v>
      </c>
    </row>
    <row r="50" spans="1:8" ht="15.75" thickBot="1">
      <c r="A50" s="77" t="s">
        <v>400</v>
      </c>
      <c r="B50" s="76">
        <v>3</v>
      </c>
      <c r="C50" s="78">
        <v>6847.7</v>
      </c>
      <c r="D50" s="78">
        <v>4623.8167000000003</v>
      </c>
      <c r="E50" s="78">
        <v>13871.45</v>
      </c>
      <c r="F50" s="78">
        <v>20543.099999999999</v>
      </c>
      <c r="G50" s="78">
        <v>6671.65</v>
      </c>
      <c r="H50" s="63">
        <f t="shared" si="0"/>
        <v>0.48096269676205439</v>
      </c>
    </row>
    <row r="51" spans="1:8" ht="15.75" thickBot="1">
      <c r="A51" s="77" t="s">
        <v>401</v>
      </c>
      <c r="B51" s="76">
        <v>62</v>
      </c>
      <c r="C51" s="78">
        <v>1801.85</v>
      </c>
      <c r="D51" s="78">
        <v>1053.2161000000001</v>
      </c>
      <c r="E51" s="78">
        <v>65299.4</v>
      </c>
      <c r="F51" s="78">
        <v>111714.7</v>
      </c>
      <c r="G51" s="78">
        <v>46415.3</v>
      </c>
      <c r="H51" s="63">
        <f t="shared" si="0"/>
        <v>0.71080744999188361</v>
      </c>
    </row>
    <row r="52" spans="1:8" ht="15.75" thickBot="1">
      <c r="A52" s="77" t="s">
        <v>462</v>
      </c>
      <c r="B52" s="76">
        <v>383</v>
      </c>
      <c r="C52" s="76">
        <v>66.25</v>
      </c>
      <c r="D52" s="76">
        <v>61.524700000000003</v>
      </c>
      <c r="E52" s="78">
        <v>23563.95</v>
      </c>
      <c r="F52" s="78">
        <v>25373.75</v>
      </c>
      <c r="G52" s="78">
        <v>1809.8</v>
      </c>
      <c r="H52" s="63">
        <f t="shared" si="0"/>
        <v>7.6803761678326421E-2</v>
      </c>
    </row>
    <row r="53" spans="1:8" ht="15.75" thickBot="1">
      <c r="A53" s="77" t="s">
        <v>463</v>
      </c>
      <c r="B53" s="76">
        <v>79</v>
      </c>
      <c r="C53" s="76">
        <v>494.75</v>
      </c>
      <c r="D53" s="76">
        <v>326.61</v>
      </c>
      <c r="E53" s="78">
        <v>25802.19</v>
      </c>
      <c r="F53" s="78">
        <v>39085.25</v>
      </c>
      <c r="G53" s="78">
        <v>13283.06</v>
      </c>
      <c r="H53" s="63">
        <f t="shared" si="0"/>
        <v>0.51480358837757567</v>
      </c>
    </row>
    <row r="54" spans="1:8" ht="15.75" thickBot="1">
      <c r="A54" s="77" t="s">
        <v>402</v>
      </c>
      <c r="B54" s="76">
        <v>18</v>
      </c>
      <c r="C54" s="76">
        <v>836.8</v>
      </c>
      <c r="D54" s="76">
        <v>744.52779999999996</v>
      </c>
      <c r="E54" s="78">
        <v>13401.5</v>
      </c>
      <c r="F54" s="78">
        <v>15062.4</v>
      </c>
      <c r="G54" s="78">
        <v>1660.9</v>
      </c>
      <c r="H54" s="63">
        <f t="shared" si="0"/>
        <v>0.12393388799761221</v>
      </c>
    </row>
    <row r="55" spans="1:8" ht="15.75" thickBot="1">
      <c r="A55" s="77" t="s">
        <v>403</v>
      </c>
      <c r="B55" s="76">
        <v>67</v>
      </c>
      <c r="C55" s="76">
        <v>242.5</v>
      </c>
      <c r="D55" s="76">
        <v>175.2757</v>
      </c>
      <c r="E55" s="78">
        <v>11743.47</v>
      </c>
      <c r="F55" s="78">
        <v>16247.5</v>
      </c>
      <c r="G55" s="78">
        <v>4504.03</v>
      </c>
      <c r="H55" s="63">
        <f t="shared" si="0"/>
        <v>0.38353484958023482</v>
      </c>
    </row>
    <row r="56" spans="1:8" ht="15.75" thickBot="1">
      <c r="A56" s="77" t="s">
        <v>404</v>
      </c>
      <c r="B56" s="76">
        <v>49</v>
      </c>
      <c r="C56" s="76">
        <v>531.4</v>
      </c>
      <c r="D56" s="76">
        <v>451.601</v>
      </c>
      <c r="E56" s="78">
        <v>22128.45</v>
      </c>
      <c r="F56" s="78">
        <v>26038.6</v>
      </c>
      <c r="G56" s="78">
        <v>3910.15</v>
      </c>
      <c r="H56" s="63">
        <f t="shared" si="0"/>
        <v>0.17670238990982198</v>
      </c>
    </row>
    <row r="57" spans="1:8" ht="15.75" thickBot="1">
      <c r="A57" s="77" t="s">
        <v>405</v>
      </c>
      <c r="B57" s="76">
        <v>20</v>
      </c>
      <c r="C57" s="76">
        <v>881.3</v>
      </c>
      <c r="D57" s="76">
        <v>489.62150000000003</v>
      </c>
      <c r="E57" s="78">
        <v>9792.43</v>
      </c>
      <c r="F57" s="78">
        <v>17626</v>
      </c>
      <c r="G57" s="78">
        <v>7833.57</v>
      </c>
      <c r="H57" s="63">
        <f t="shared" si="0"/>
        <v>0.79996180723272969</v>
      </c>
    </row>
    <row r="58" spans="1:8" ht="15.75" thickBot="1">
      <c r="A58" s="77" t="s">
        <v>448</v>
      </c>
      <c r="B58" s="76">
        <v>56</v>
      </c>
      <c r="C58" s="76">
        <v>214.8</v>
      </c>
      <c r="D58" s="76">
        <v>179.75980000000001</v>
      </c>
      <c r="E58" s="78">
        <v>10066.549999999999</v>
      </c>
      <c r="F58" s="78">
        <v>12028.8</v>
      </c>
      <c r="G58" s="78">
        <v>1962.25</v>
      </c>
      <c r="H58" s="63">
        <f t="shared" si="0"/>
        <v>0.19492775578524918</v>
      </c>
    </row>
    <row r="59" spans="1:8" ht="15.75" thickBot="1">
      <c r="A59" s="77" t="s">
        <v>408</v>
      </c>
      <c r="B59" s="76">
        <v>6</v>
      </c>
      <c r="C59" s="78">
        <v>3085.45</v>
      </c>
      <c r="D59" s="78">
        <v>2538.875</v>
      </c>
      <c r="E59" s="78">
        <v>15233.25</v>
      </c>
      <c r="F59" s="78">
        <v>18512.7</v>
      </c>
      <c r="G59" s="78">
        <v>3279.45</v>
      </c>
      <c r="H59" s="63">
        <f t="shared" si="0"/>
        <v>0.21528235931268769</v>
      </c>
    </row>
    <row r="60" spans="1:8" ht="15.75" thickBot="1">
      <c r="A60" s="77" t="s">
        <v>409</v>
      </c>
      <c r="B60" s="76">
        <v>267</v>
      </c>
      <c r="C60" s="76">
        <v>91.6</v>
      </c>
      <c r="D60" s="76">
        <v>96.45</v>
      </c>
      <c r="E60" s="78">
        <v>25752.15</v>
      </c>
      <c r="F60" s="78">
        <v>24457.200000000001</v>
      </c>
      <c r="G60" s="78">
        <v>-1294.95</v>
      </c>
      <c r="H60" s="63">
        <f t="shared" si="0"/>
        <v>-5.0285121824779677E-2</v>
      </c>
    </row>
    <row r="61" spans="1:8" ht="15.75" thickBot="1">
      <c r="A61" s="77" t="s">
        <v>464</v>
      </c>
      <c r="B61" s="76">
        <v>171</v>
      </c>
      <c r="C61" s="76">
        <v>146.15</v>
      </c>
      <c r="D61" s="76">
        <v>150.5</v>
      </c>
      <c r="E61" s="78">
        <v>25735.5</v>
      </c>
      <c r="F61" s="78">
        <v>24991.65</v>
      </c>
      <c r="G61" s="76">
        <v>-743.85</v>
      </c>
      <c r="H61" s="63">
        <f t="shared" si="0"/>
        <v>-2.8903654485049834E-2</v>
      </c>
    </row>
    <row r="62" spans="1:8" ht="15.75" thickBot="1">
      <c r="A62" s="77" t="s">
        <v>410</v>
      </c>
      <c r="B62" s="76">
        <v>82</v>
      </c>
      <c r="C62" s="76">
        <v>853.55</v>
      </c>
      <c r="D62" s="76">
        <v>393.49759999999998</v>
      </c>
      <c r="E62" s="78">
        <v>32266.799999999999</v>
      </c>
      <c r="F62" s="78">
        <v>69991.100000000006</v>
      </c>
      <c r="G62" s="78">
        <v>37724.300000000003</v>
      </c>
      <c r="H62" s="63">
        <f t="shared" si="0"/>
        <v>1.1691366977822406</v>
      </c>
    </row>
    <row r="63" spans="1:8" ht="15.75" thickBot="1">
      <c r="A63" s="77" t="s">
        <v>411</v>
      </c>
      <c r="B63" s="76">
        <v>300</v>
      </c>
      <c r="C63" s="76">
        <v>145.80000000000001</v>
      </c>
      <c r="D63" s="76">
        <v>82.333299999999994</v>
      </c>
      <c r="E63" s="78">
        <v>24700</v>
      </c>
      <c r="F63" s="78">
        <v>43740</v>
      </c>
      <c r="G63" s="78">
        <v>19040</v>
      </c>
      <c r="H63" s="63">
        <f t="shared" si="0"/>
        <v>0.77085020242914981</v>
      </c>
    </row>
    <row r="64" spans="1:8" ht="15.75" thickBot="1">
      <c r="A64" s="77" t="s">
        <v>413</v>
      </c>
      <c r="B64" s="76">
        <v>8</v>
      </c>
      <c r="C64" s="78">
        <v>4159.8500000000004</v>
      </c>
      <c r="D64" s="78">
        <v>4196.7</v>
      </c>
      <c r="E64" s="78">
        <v>33573.599999999999</v>
      </c>
      <c r="F64" s="78">
        <v>33278.800000000003</v>
      </c>
      <c r="G64" s="76">
        <v>-294.8</v>
      </c>
      <c r="H64" s="63">
        <f t="shared" si="0"/>
        <v>-8.7807086520361247E-3</v>
      </c>
    </row>
    <row r="65" spans="1:8" ht="15.75" thickBot="1">
      <c r="A65" s="77" t="s">
        <v>414</v>
      </c>
      <c r="B65" s="76">
        <v>4</v>
      </c>
      <c r="C65" s="78">
        <v>4339.25</v>
      </c>
      <c r="D65" s="78">
        <v>2774.5124999999998</v>
      </c>
      <c r="E65" s="78">
        <v>11098.05</v>
      </c>
      <c r="F65" s="78">
        <v>17357</v>
      </c>
      <c r="G65" s="78">
        <v>6258.95</v>
      </c>
      <c r="H65" s="63">
        <f t="shared" si="0"/>
        <v>0.56396844490698816</v>
      </c>
    </row>
    <row r="66" spans="1:8" ht="15.75" thickBot="1">
      <c r="A66" s="77" t="s">
        <v>415</v>
      </c>
      <c r="B66" s="76">
        <v>31</v>
      </c>
      <c r="C66" s="76">
        <v>993</v>
      </c>
      <c r="D66" s="76">
        <v>834.73680000000002</v>
      </c>
      <c r="E66" s="78">
        <v>25876.84</v>
      </c>
      <c r="F66" s="78">
        <v>30783</v>
      </c>
      <c r="G66" s="78">
        <v>4906.16</v>
      </c>
      <c r="H66" s="63">
        <f t="shared" si="0"/>
        <v>0.1895965658867157</v>
      </c>
    </row>
    <row r="67" spans="1:8" ht="15.75" thickBot="1">
      <c r="A67" s="77" t="s">
        <v>416</v>
      </c>
      <c r="B67" s="76">
        <v>3</v>
      </c>
      <c r="C67" s="78">
        <v>2211.4</v>
      </c>
      <c r="D67" s="78">
        <v>2387.5</v>
      </c>
      <c r="E67" s="78">
        <v>7162.5</v>
      </c>
      <c r="F67" s="78">
        <v>6634.2</v>
      </c>
      <c r="G67" s="76">
        <v>-528.29999999999995</v>
      </c>
      <c r="H67" s="63">
        <f t="shared" ref="H67:H90" si="1">G67/E67</f>
        <v>-7.3759162303664916E-2</v>
      </c>
    </row>
    <row r="68" spans="1:8" ht="15.75" thickBot="1">
      <c r="A68" s="77" t="s">
        <v>450</v>
      </c>
      <c r="B68" s="76">
        <v>16</v>
      </c>
      <c r="C68" s="78">
        <v>1905.55</v>
      </c>
      <c r="D68" s="76">
        <v>528.10630000000003</v>
      </c>
      <c r="E68" s="78">
        <v>8449.7000000000007</v>
      </c>
      <c r="F68" s="78">
        <v>30488.799999999999</v>
      </c>
      <c r="G68" s="78">
        <v>22039.1</v>
      </c>
      <c r="H68" s="63">
        <f t="shared" si="1"/>
        <v>2.608270116098796</v>
      </c>
    </row>
    <row r="69" spans="1:8" ht="15.75" thickBot="1">
      <c r="A69" s="77" t="s">
        <v>418</v>
      </c>
      <c r="B69" s="76">
        <v>5</v>
      </c>
      <c r="C69" s="78">
        <v>1271.7</v>
      </c>
      <c r="D69" s="78">
        <v>1441</v>
      </c>
      <c r="E69" s="78">
        <v>7205</v>
      </c>
      <c r="F69" s="78">
        <v>6358.5</v>
      </c>
      <c r="G69" s="76">
        <v>-846.5</v>
      </c>
      <c r="H69" s="63">
        <f t="shared" si="1"/>
        <v>-0.11748785565579459</v>
      </c>
    </row>
    <row r="70" spans="1:8" ht="15.75" thickBot="1">
      <c r="A70" s="77" t="s">
        <v>420</v>
      </c>
      <c r="B70" s="76">
        <v>36</v>
      </c>
      <c r="C70" s="78">
        <v>1165.05</v>
      </c>
      <c r="D70" s="76">
        <v>938.69439999999997</v>
      </c>
      <c r="E70" s="78">
        <v>33793</v>
      </c>
      <c r="F70" s="78">
        <v>41941.800000000003</v>
      </c>
      <c r="G70" s="78">
        <v>8148.8</v>
      </c>
      <c r="H70" s="63">
        <f t="shared" si="1"/>
        <v>0.24113869736335927</v>
      </c>
    </row>
    <row r="71" spans="1:8" ht="15.75" thickBot="1">
      <c r="A71" s="77" t="s">
        <v>421</v>
      </c>
      <c r="B71" s="76">
        <v>35</v>
      </c>
      <c r="C71" s="78">
        <v>2185.9499999999998</v>
      </c>
      <c r="D71" s="76">
        <v>984.23</v>
      </c>
      <c r="E71" s="78">
        <v>34448.050000000003</v>
      </c>
      <c r="F71" s="78">
        <v>76508.25</v>
      </c>
      <c r="G71" s="78">
        <v>42060.2</v>
      </c>
      <c r="H71" s="63">
        <f t="shared" si="1"/>
        <v>1.2209747721569144</v>
      </c>
    </row>
    <row r="72" spans="1:8" ht="15.75" thickBot="1">
      <c r="A72" s="77" t="s">
        <v>423</v>
      </c>
      <c r="B72" s="76">
        <v>25</v>
      </c>
      <c r="C72" s="76">
        <v>827.55</v>
      </c>
      <c r="D72" s="76">
        <v>564.16399999999999</v>
      </c>
      <c r="E72" s="78">
        <v>14104.1</v>
      </c>
      <c r="F72" s="78">
        <v>20688.75</v>
      </c>
      <c r="G72" s="78">
        <v>6584.65</v>
      </c>
      <c r="H72" s="63">
        <f t="shared" si="1"/>
        <v>0.46686070008011848</v>
      </c>
    </row>
    <row r="73" spans="1:8" ht="15.75" thickBot="1">
      <c r="A73" s="77" t="s">
        <v>425</v>
      </c>
      <c r="B73" s="76">
        <v>96</v>
      </c>
      <c r="C73" s="76">
        <v>473.2</v>
      </c>
      <c r="D73" s="76">
        <v>255.35470000000001</v>
      </c>
      <c r="E73" s="78">
        <v>24514.05</v>
      </c>
      <c r="F73" s="78">
        <v>45427.199999999997</v>
      </c>
      <c r="G73" s="78">
        <v>20913.150000000001</v>
      </c>
      <c r="H73" s="63">
        <f t="shared" si="1"/>
        <v>0.85310872744405764</v>
      </c>
    </row>
    <row r="74" spans="1:8" ht="15.75" thickBot="1">
      <c r="A74" s="77" t="s">
        <v>426</v>
      </c>
      <c r="B74" s="76">
        <v>139</v>
      </c>
      <c r="C74" s="76">
        <v>751.8</v>
      </c>
      <c r="D74" s="76">
        <v>476.89420000000001</v>
      </c>
      <c r="E74" s="78">
        <v>66288.3</v>
      </c>
      <c r="F74" s="78">
        <v>104500.2</v>
      </c>
      <c r="G74" s="78">
        <v>38211.9</v>
      </c>
      <c r="H74" s="63">
        <f t="shared" si="1"/>
        <v>0.57645014278537843</v>
      </c>
    </row>
    <row r="75" spans="1:8" ht="15.75" thickBot="1">
      <c r="A75" s="77" t="s">
        <v>427</v>
      </c>
      <c r="B75" s="76">
        <v>25</v>
      </c>
      <c r="C75" s="76">
        <v>850.15</v>
      </c>
      <c r="D75" s="76">
        <v>645.78719999999998</v>
      </c>
      <c r="E75" s="78">
        <v>16144.68</v>
      </c>
      <c r="F75" s="78">
        <v>21253.75</v>
      </c>
      <c r="G75" s="78">
        <v>5109.07</v>
      </c>
      <c r="H75" s="63">
        <f t="shared" si="1"/>
        <v>0.31645532769927925</v>
      </c>
    </row>
    <row r="76" spans="1:8" ht="15.75" thickBot="1">
      <c r="A76" s="77" t="s">
        <v>428</v>
      </c>
      <c r="B76" s="76">
        <v>59</v>
      </c>
      <c r="C76" s="76">
        <v>429.05</v>
      </c>
      <c r="D76" s="76">
        <v>364.86</v>
      </c>
      <c r="E76" s="78">
        <v>21526.74</v>
      </c>
      <c r="F76" s="78">
        <v>25313.95</v>
      </c>
      <c r="G76" s="78">
        <v>3787.21</v>
      </c>
      <c r="H76" s="63">
        <f t="shared" si="1"/>
        <v>0.17593049388806664</v>
      </c>
    </row>
    <row r="77" spans="1:8" ht="15.75" thickBot="1">
      <c r="A77" s="77" t="s">
        <v>429</v>
      </c>
      <c r="B77" s="76">
        <v>58</v>
      </c>
      <c r="C77" s="76">
        <v>416.5</v>
      </c>
      <c r="D77" s="76">
        <v>236.09950000000001</v>
      </c>
      <c r="E77" s="78">
        <v>13693.77</v>
      </c>
      <c r="F77" s="78">
        <v>24157</v>
      </c>
      <c r="G77" s="78">
        <v>10463.23</v>
      </c>
      <c r="H77" s="63">
        <f t="shared" si="1"/>
        <v>0.76408688038429151</v>
      </c>
    </row>
    <row r="78" spans="1:8" ht="15.75" thickBot="1">
      <c r="A78" s="77" t="s">
        <v>430</v>
      </c>
      <c r="B78" s="76">
        <v>57</v>
      </c>
      <c r="C78" s="76">
        <v>594.35</v>
      </c>
      <c r="D78" s="76">
        <v>468.04349999999999</v>
      </c>
      <c r="E78" s="78">
        <v>26678.48</v>
      </c>
      <c r="F78" s="78">
        <v>33877.949999999997</v>
      </c>
      <c r="G78" s="78">
        <v>7199.47</v>
      </c>
      <c r="H78" s="63">
        <f t="shared" si="1"/>
        <v>0.26986057676449332</v>
      </c>
    </row>
    <row r="79" spans="1:8" ht="15.75" thickBot="1">
      <c r="A79" s="77" t="s">
        <v>431</v>
      </c>
      <c r="B79" s="76">
        <v>8</v>
      </c>
      <c r="C79" s="78">
        <v>3639.65</v>
      </c>
      <c r="D79" s="78">
        <v>3426.5374999999999</v>
      </c>
      <c r="E79" s="78">
        <v>27412.3</v>
      </c>
      <c r="F79" s="78">
        <v>29117.200000000001</v>
      </c>
      <c r="G79" s="78">
        <v>1704.9</v>
      </c>
      <c r="H79" s="63">
        <f t="shared" si="1"/>
        <v>6.2194708214925419E-2</v>
      </c>
    </row>
    <row r="80" spans="1:8" ht="15.75" thickBot="1">
      <c r="A80" s="77" t="s">
        <v>432</v>
      </c>
      <c r="B80" s="76">
        <v>22</v>
      </c>
      <c r="C80" s="76">
        <v>774.2</v>
      </c>
      <c r="D80" s="76">
        <v>659.54549999999995</v>
      </c>
      <c r="E80" s="78">
        <v>14510</v>
      </c>
      <c r="F80" s="78">
        <v>17032.400000000001</v>
      </c>
      <c r="G80" s="78">
        <v>2522.4</v>
      </c>
      <c r="H80" s="63">
        <f t="shared" si="1"/>
        <v>0.17383873190902827</v>
      </c>
    </row>
    <row r="81" spans="1:8" ht="15.75" thickBot="1">
      <c r="A81" s="77" t="s">
        <v>433</v>
      </c>
      <c r="B81" s="76">
        <v>775</v>
      </c>
      <c r="C81" s="76">
        <v>258.14999999999998</v>
      </c>
      <c r="D81" s="76">
        <v>99.291600000000003</v>
      </c>
      <c r="E81" s="78">
        <v>76951</v>
      </c>
      <c r="F81" s="78">
        <v>200066.25</v>
      </c>
      <c r="G81" s="78">
        <v>123115.25</v>
      </c>
      <c r="H81" s="63">
        <f t="shared" si="1"/>
        <v>1.5999174799547764</v>
      </c>
    </row>
    <row r="82" spans="1:8" ht="15.75" thickBot="1">
      <c r="A82" s="77" t="s">
        <v>434</v>
      </c>
      <c r="B82" s="76">
        <v>105</v>
      </c>
      <c r="C82" s="78">
        <v>1118</v>
      </c>
      <c r="D82" s="76">
        <v>404.76429999999999</v>
      </c>
      <c r="E82" s="78">
        <v>42500.25</v>
      </c>
      <c r="F82" s="78">
        <v>117390</v>
      </c>
      <c r="G82" s="78">
        <v>74889.75</v>
      </c>
      <c r="H82" s="63">
        <f t="shared" si="1"/>
        <v>1.7621013994035328</v>
      </c>
    </row>
    <row r="83" spans="1:8" ht="15.75" thickBot="1">
      <c r="A83" s="77" t="s">
        <v>435</v>
      </c>
      <c r="B83" s="76">
        <v>15</v>
      </c>
      <c r="C83" s="78">
        <v>1592.9</v>
      </c>
      <c r="D83" s="78">
        <v>1235.48</v>
      </c>
      <c r="E83" s="78">
        <v>18532.2</v>
      </c>
      <c r="F83" s="78">
        <v>23893.5</v>
      </c>
      <c r="G83" s="78">
        <v>5361.3</v>
      </c>
      <c r="H83" s="63">
        <f t="shared" si="1"/>
        <v>0.28929646776961182</v>
      </c>
    </row>
    <row r="84" spans="1:8" ht="15.75" thickBot="1">
      <c r="A84" s="77" t="s">
        <v>436</v>
      </c>
      <c r="B84" s="76">
        <v>3</v>
      </c>
      <c r="C84" s="78">
        <v>2369.5500000000002</v>
      </c>
      <c r="D84" s="78">
        <v>2438.9</v>
      </c>
      <c r="E84" s="78">
        <v>7316.7</v>
      </c>
      <c r="F84" s="78">
        <v>7108.65</v>
      </c>
      <c r="G84" s="76">
        <v>-208.05</v>
      </c>
      <c r="H84" s="63">
        <f t="shared" si="1"/>
        <v>-2.8434950182459309E-2</v>
      </c>
    </row>
    <row r="85" spans="1:8" ht="15.75" thickBot="1">
      <c r="A85" s="77" t="s">
        <v>438</v>
      </c>
      <c r="B85" s="76">
        <v>29</v>
      </c>
      <c r="C85" s="76">
        <v>878.75</v>
      </c>
      <c r="D85" s="76">
        <v>712.35659999999996</v>
      </c>
      <c r="E85" s="78">
        <v>20658.34</v>
      </c>
      <c r="F85" s="78">
        <v>25483.75</v>
      </c>
      <c r="G85" s="78">
        <v>4825.41</v>
      </c>
      <c r="H85" s="63">
        <f t="shared" si="1"/>
        <v>0.23358169146214069</v>
      </c>
    </row>
    <row r="86" spans="1:8" ht="15.75" thickBot="1">
      <c r="A86" s="77" t="s">
        <v>465</v>
      </c>
      <c r="B86" s="76">
        <v>209</v>
      </c>
      <c r="C86" s="76">
        <v>165.25</v>
      </c>
      <c r="D86" s="76">
        <v>123.35</v>
      </c>
      <c r="E86" s="78">
        <v>25780.15</v>
      </c>
      <c r="F86" s="78">
        <v>34537.25</v>
      </c>
      <c r="G86" s="78">
        <v>8757.1</v>
      </c>
      <c r="H86" s="63">
        <f t="shared" si="1"/>
        <v>0.33968382650993106</v>
      </c>
    </row>
    <row r="87" spans="1:8" ht="15.75" thickBot="1">
      <c r="A87" s="77" t="s">
        <v>453</v>
      </c>
      <c r="B87" s="76">
        <v>29</v>
      </c>
      <c r="C87" s="76">
        <v>640.4</v>
      </c>
      <c r="D87" s="76">
        <v>606.29830000000004</v>
      </c>
      <c r="E87" s="78">
        <v>17582.650000000001</v>
      </c>
      <c r="F87" s="78">
        <v>18571.599999999999</v>
      </c>
      <c r="G87" s="76">
        <v>988.95</v>
      </c>
      <c r="H87" s="63">
        <f t="shared" si="1"/>
        <v>5.6245787750993162E-2</v>
      </c>
    </row>
    <row r="88" spans="1:8" ht="15.75" thickBot="1">
      <c r="A88" s="77" t="s">
        <v>439</v>
      </c>
      <c r="B88" s="76">
        <v>525</v>
      </c>
      <c r="C88" s="76">
        <v>12.57</v>
      </c>
      <c r="D88" s="76">
        <v>38.966700000000003</v>
      </c>
      <c r="E88" s="78">
        <v>20457.5</v>
      </c>
      <c r="F88" s="78">
        <v>6599.25</v>
      </c>
      <c r="G88" s="78">
        <v>-13858.25</v>
      </c>
      <c r="H88" s="63">
        <f t="shared" si="1"/>
        <v>-0.67741659538066723</v>
      </c>
    </row>
    <row r="89" spans="1:8" ht="15.75" thickBot="1">
      <c r="A89" s="77" t="s">
        <v>440</v>
      </c>
      <c r="B89" s="76">
        <v>16</v>
      </c>
      <c r="C89" s="78">
        <v>1916.6</v>
      </c>
      <c r="D89" s="78">
        <v>2041.29</v>
      </c>
      <c r="E89" s="78">
        <v>32660.639999999999</v>
      </c>
      <c r="F89" s="78">
        <v>30665.599999999999</v>
      </c>
      <c r="G89" s="78">
        <v>-1995.04</v>
      </c>
      <c r="H89" s="63">
        <f t="shared" si="1"/>
        <v>-6.1083922421605943E-2</v>
      </c>
    </row>
    <row r="90" spans="1:8" ht="18.75" thickBot="1">
      <c r="A90" s="44" t="s">
        <v>11</v>
      </c>
      <c r="B90" s="44">
        <f>SUM(B2:B89)</f>
        <v>8201</v>
      </c>
      <c r="C90" s="44"/>
      <c r="D90" s="44"/>
      <c r="E90" s="45">
        <f>SUM(E2:E89)</f>
        <v>2613086.9500000002</v>
      </c>
      <c r="F90" s="45">
        <f>SUM(F2:F89)</f>
        <v>3382749.9000000008</v>
      </c>
      <c r="G90" s="45">
        <f>SUM(G2:G89)</f>
        <v>769662.95</v>
      </c>
      <c r="H90" s="64">
        <f t="shared" si="1"/>
        <v>0.29454165312026831</v>
      </c>
    </row>
    <row r="91" spans="1:8" ht="15.75" thickTop="1"/>
  </sheetData>
  <hyperlinks>
    <hyperlink ref="A2" r:id="rId1" location="/stock/1831632/3723" display="https://etportfolio.indiatimes.com/pw_companyinfo.cms - /stock/1831632/3723" xr:uid="{1E5F7AB1-1540-47B4-A524-BAE02C4EADBC}"/>
    <hyperlink ref="A3" r:id="rId2" location="/stock/1831632/31" display="https://etportfolio.indiatimes.com/pw_companyinfo.cms - /stock/1831632/31" xr:uid="{6206CB85-5BA4-48D7-96AB-2F74B195BBFD}"/>
    <hyperlink ref="A4" r:id="rId3" location="/stock/1831632/15059" display="https://etportfolio.indiatimes.com/pw_companyinfo.cms - /stock/1831632/15059" xr:uid="{A134198F-46AA-4E07-9BD0-47DB6D4CA7DF}"/>
    <hyperlink ref="A5" r:id="rId4" location="/stock/1831632/63" display="https://etportfolio.indiatimes.com/pw_companyinfo.cms - /stock/1831632/63" xr:uid="{C25CEA33-8C7F-4CF9-9852-8D0A94EC3240}"/>
    <hyperlink ref="A6" r:id="rId5" location="/stock/1831632/14034" display="https://etportfolio.indiatimes.com/pw_companyinfo.cms - /stock/1831632/14034" xr:uid="{56E7D9FF-189E-4489-99F5-57B25A7B702E}"/>
    <hyperlink ref="A7" r:id="rId6" location="/stock/1831632/45987" display="https://etportfolio.indiatimes.com/pw_companyinfo.cms - /stock/1831632/45987" xr:uid="{203E826E-A9AA-458E-A4AE-E912E313402F}"/>
    <hyperlink ref="A8" r:id="rId7" location="/stock/1831632/9175" display="https://etportfolio.indiatimes.com/pw_companyinfo.cms - /stock/1831632/9175" xr:uid="{F65320A4-2724-4EA1-AE51-CBC01CB4A208}"/>
    <hyperlink ref="A9" r:id="rId8" location="/stock/1831632/21430" display="https://etportfolio.indiatimes.com/pw_companyinfo.cms - /stock/1831632/21430" xr:uid="{70D49B61-4D82-4C70-9500-A9C6B9B313F1}"/>
    <hyperlink ref="A10" r:id="rId9" location="/stock/1831632/31863" display="https://etportfolio.indiatimes.com/pw_companyinfo.cms - /stock/1831632/31863" xr:uid="{6495624D-BB62-4913-992D-41B048C9C424}"/>
    <hyperlink ref="A11" r:id="rId10" location="/stock/1831632/11260" display="https://etportfolio.indiatimes.com/pw_companyinfo.cms - /stock/1831632/11260" xr:uid="{D326ED6F-6146-4231-A8A2-B3F9206A8B8D}"/>
    <hyperlink ref="A12" r:id="rId11" location="/stock/1831632/14013" display="https://etportfolio.indiatimes.com/pw_companyinfo.cms - /stock/1831632/14013" xr:uid="{A82C7139-DC83-4D33-A3DA-2A873A723ED0}"/>
    <hyperlink ref="A13" r:id="rId12" location="/stock/1831632/2718" display="https://etportfolio.indiatimes.com/pw_companyinfo.cms - /stock/1831632/2718" xr:uid="{D47617CA-8C17-4134-AEEA-29F0C9976307}"/>
    <hyperlink ref="A14" r:id="rId13" location="/stock/1831632/20445" display="https://etportfolio.indiatimes.com/pw_companyinfo.cms - /stock/1831632/20445" xr:uid="{A3012106-C282-4950-AD6B-0D28D18A0210}"/>
    <hyperlink ref="A15" r:id="rId14" location="/stock/1831632/13934" display="https://etportfolio.indiatimes.com/pw_companyinfo.cms - /stock/1831632/13934" xr:uid="{0B10773A-FA2F-463E-9A59-16A31F20BA75}"/>
    <hyperlink ref="A16" r:id="rId15" location="/stock/1831632/13577" display="https://etportfolio.indiatimes.com/pw_companyinfo.cms - /stock/1831632/13577" xr:uid="{5A6183B7-57D8-478C-BAC6-C205D3E1AAEE}"/>
    <hyperlink ref="A17" r:id="rId16" location="/stock/1831632/13917" display="https://etportfolio.indiatimes.com/pw_companyinfo.cms - /stock/1831632/13917" xr:uid="{EBD41A3B-C703-43DD-B184-519FA5CA71C7}"/>
    <hyperlink ref="A18" r:id="rId17" location="/stock/1831632/7749" display="https://etportfolio.indiatimes.com/pw_companyinfo.cms - /stock/1831632/7749" xr:uid="{ABF58FC2-FB61-4041-AC66-3A3F45400E08}"/>
    <hyperlink ref="A19" r:id="rId18" location="/stock/1831632/11822" display="https://etportfolio.indiatimes.com/pw_companyinfo.cms - /stock/1831632/11822" xr:uid="{F1F4C70B-5ED6-4B35-B94B-53BACD56747B}"/>
    <hyperlink ref="A20" r:id="rId19" location="/stock/1831632/858" display="https://etportfolio.indiatimes.com/pw_companyinfo.cms - /stock/1831632/858" xr:uid="{C9F10B77-2FDD-4C40-B178-C7844405E611}"/>
    <hyperlink ref="A21" r:id="rId20" location="/stock/1831632/13873" display="https://etportfolio.indiatimes.com/pw_companyinfo.cms - /stock/1831632/13873" xr:uid="{F1BC69B6-B64D-4AEA-9C6F-2E1FE6F2A26F}"/>
    <hyperlink ref="A22" r:id="rId21" location="/stock/1831632/11796" display="https://etportfolio.indiatimes.com/pw_companyinfo.cms - /stock/1831632/11796" xr:uid="{7BF0B3C9-23FB-4CA0-A9C7-167B74478DF4}"/>
    <hyperlink ref="A23" r:id="rId22" location="/stock/1831632/3635" display="https://etportfolio.indiatimes.com/pw_companyinfo.cms - /stock/1831632/3635" xr:uid="{3D53F7B4-0134-413C-B086-EF7E59CE8358}"/>
    <hyperlink ref="A24" r:id="rId23" location="/stock/1831632/12393" display="https://etportfolio.indiatimes.com/pw_companyinfo.cms - /stock/1831632/12393" xr:uid="{B2208686-4E2B-45F9-BC0E-A158862C5D53}"/>
    <hyperlink ref="A25" r:id="rId24" location="/stock/1831632/63225" display="https://etportfolio.indiatimes.com/pw_companyinfo.cms - /stock/1831632/63225" xr:uid="{491C13F5-DD84-4DCC-804D-E754BA86FB7A}"/>
    <hyperlink ref="A26" r:id="rId25" location="/stock/1831632/13787" display="https://etportfolio.indiatimes.com/pw_companyinfo.cms - /stock/1831632/13787" xr:uid="{2B3536E8-34AA-4B1B-987C-54CB6F1180A0}"/>
    <hyperlink ref="A27" r:id="rId26" location="/stock/1831632/38215" display="https://etportfolio.indiatimes.com/pw_companyinfo.cms - /stock/1831632/38215" xr:uid="{777EA4E8-702C-4809-8E3E-944971F119A6}"/>
    <hyperlink ref="A28" r:id="rId27" location="/stock/1831632/55491" display="https://etportfolio.indiatimes.com/pw_companyinfo.cms - /stock/1831632/55491" xr:uid="{EE222219-3F02-4301-B253-1D630D3474A2}"/>
    <hyperlink ref="A29" r:id="rId28" location="/stock/1831632/13895" display="https://etportfolio.indiatimes.com/pw_companyinfo.cms - /stock/1831632/13895" xr:uid="{486EF6E7-61E7-4CF1-8A0B-94DA8A129815}"/>
    <hyperlink ref="A30" r:id="rId29" location="/stock/1831632/9211" display="https://etportfolio.indiatimes.com/pw_companyinfo.cms - /stock/1831632/9211" xr:uid="{8F043CDD-919D-41E3-BBBA-42C881061141}"/>
    <hyperlink ref="A31" r:id="rId30" location="/stock/1831632/12266" display="https://etportfolio.indiatimes.com/pw_companyinfo.cms - /stock/1831632/12266" xr:uid="{F0A082AA-F2BE-4664-A6B9-C661BE07B514}"/>
    <hyperlink ref="A32" r:id="rId31" location="/stock/1831632/1996493" display="https://etportfolio.indiatimes.com/pw_companyinfo.cms - /stock/1831632/1996493" xr:uid="{CF5FA73E-2808-434D-8E9B-7F201DA23991}"/>
    <hyperlink ref="A33" r:id="rId32" location="/stock/1831632/5733" display="https://etportfolio.indiatimes.com/pw_companyinfo.cms - /stock/1831632/5733" xr:uid="{096C1FC0-E6D8-4A7C-A605-499E8E30E4EA}"/>
    <hyperlink ref="A34" r:id="rId33" location="/stock/1831632/13673" display="https://etportfolio.indiatimes.com/pw_companyinfo.cms - /stock/1831632/13673" xr:uid="{76E08DFC-9DAF-4C82-BF3D-457CCFE7F7AD}"/>
    <hyperlink ref="A35" r:id="rId34" location="/stock/1831632/4291" display="https://etportfolio.indiatimes.com/pw_companyinfo.cms - /stock/1831632/4291" xr:uid="{1CA8CCE9-C721-4A4F-9D04-F7B1A219FDB8}"/>
    <hyperlink ref="A36" r:id="rId35" location="/stock/1831632/9195" display="https://etportfolio.indiatimes.com/pw_companyinfo.cms - /stock/1831632/9195" xr:uid="{8F4FE50F-C4F8-44CE-9A11-DE7C2CEC47F2}"/>
    <hyperlink ref="A37" r:id="rId36" location="/stock/1831632/3068" display="https://etportfolio.indiatimes.com/pw_companyinfo.cms - /stock/1831632/3068" xr:uid="{5FE31C8F-9511-4BD1-AD13-090E4722F87E}"/>
    <hyperlink ref="A38" r:id="rId37" location="/stock/1831632/13636" display="https://etportfolio.indiatimes.com/pw_companyinfo.cms - /stock/1831632/13636" xr:uid="{03B0E219-F921-4102-BF34-F3ED2FE3BC38}"/>
    <hyperlink ref="A39" r:id="rId38" location="/stock/1831632/13616" display="https://etportfolio.indiatimes.com/pw_companyinfo.cms - /stock/1831632/13616" xr:uid="{18D1DBD6-E22A-45BE-A7EF-8CFFD268877D}"/>
    <hyperlink ref="A40" r:id="rId39" location="/stock/1831632/9194" display="https://etportfolio.indiatimes.com/pw_companyinfo.cms - /stock/1831632/9194" xr:uid="{120EF770-223E-44D7-9BE5-CC0551138C8D}"/>
    <hyperlink ref="A41" r:id="rId40" location="/stock/1831632/1883" display="https://etportfolio.indiatimes.com/pw_companyinfo.cms - /stock/1831632/1883" xr:uid="{BCFEE762-0CFE-4ADD-848B-9E5DD15CE21C}"/>
    <hyperlink ref="A42" r:id="rId41" location="/stock/1831632/1898" display="https://etportfolio.indiatimes.com/pw_companyinfo.cms - /stock/1831632/1898" xr:uid="{9A0F7876-CD56-48E3-9239-2D2A3FEEB6C7}"/>
    <hyperlink ref="A43" r:id="rId42" location="/stock/1831632/9196" display="https://etportfolio.indiatimes.com/pw_companyinfo.cms - /stock/1831632/9196" xr:uid="{ACE12805-1678-4FE3-AF4C-EF709EB483E0}"/>
    <hyperlink ref="A44" r:id="rId43" location="/stock/1831632/10960" display="https://etportfolio.indiatimes.com/pw_companyinfo.cms - /stock/1831632/10960" xr:uid="{68A89227-F848-41CE-B118-D082C6DCAD3F}"/>
    <hyperlink ref="A45" r:id="rId44" location="/stock/1831632/10587" display="https://etportfolio.indiatimes.com/pw_companyinfo.cms - /stock/1831632/10587" xr:uid="{348A77ED-A0E4-4F75-B5B0-79C2F5354907}"/>
    <hyperlink ref="A46" r:id="rId45" location="/stock/1831632/13554" display="https://etportfolio.indiatimes.com/pw_companyinfo.cms - /stock/1831632/13554" xr:uid="{B924C8A5-3EAD-4F89-8C1C-0EFA3AA04C04}"/>
    <hyperlink ref="A47" r:id="rId46" location="/stock/1831632/13536" display="https://etportfolio.indiatimes.com/pw_companyinfo.cms - /stock/1831632/13536" xr:uid="{3C74ED1D-1B96-4BF3-A5B5-D67347833070}"/>
    <hyperlink ref="A48" r:id="rId47" location="/stock/1831632/16356" display="https://etportfolio.indiatimes.com/pw_companyinfo.cms - /stock/1831632/16356" xr:uid="{ED02FCD9-AC71-4DF0-87D9-299EC8545163}"/>
    <hyperlink ref="A49" r:id="rId48" location="/stock/1831632/12161" display="https://etportfolio.indiatimes.com/pw_companyinfo.cms - /stock/1831632/12161" xr:uid="{BBD529A5-2EFC-4CE9-9342-B2201065CBED}"/>
    <hyperlink ref="A50" r:id="rId49" location="/stock/1831632/3318" display="https://etportfolio.indiatimes.com/pw_companyinfo.cms - /stock/1831632/3318" xr:uid="{E1FFF4E2-18E9-4B27-BA1A-8C9E097CF80C}"/>
    <hyperlink ref="A51" r:id="rId50" location="/stock/1831632/13447" display="https://etportfolio.indiatimes.com/pw_companyinfo.cms - /stock/1831632/13447" xr:uid="{E642B883-65A3-429E-85C1-975DF640783A}"/>
    <hyperlink ref="A52" r:id="rId51" location="/stock/1831632/18545" display="https://etportfolio.indiatimes.com/pw_companyinfo.cms - /stock/1831632/18545" xr:uid="{1A912E7D-B692-4767-B898-BFDBE1191D07}"/>
    <hyperlink ref="A53" r:id="rId52" location="/stock/1831632/12199" display="https://etportfolio.indiatimes.com/pw_companyinfo.cms - /stock/1831632/12199" xr:uid="{12E6F819-6DC6-4341-BDD6-93DA52551946}"/>
    <hyperlink ref="A54" r:id="rId53" location="/stock/1831632/11898" display="https://etportfolio.indiatimes.com/pw_companyinfo.cms - /stock/1831632/11898" xr:uid="{3D5FB297-024B-46E7-9C8B-F098548D2B00}"/>
    <hyperlink ref="A55" r:id="rId54" location="/stock/1831632/17103" display="https://etportfolio.indiatimes.com/pw_companyinfo.cms - /stock/1831632/17103" xr:uid="{AD47CD15-C2CC-4E36-910A-5F01D4321733}"/>
    <hyperlink ref="A56" r:id="rId55" location="/stock/1831632/5886" display="https://etportfolio.indiatimes.com/pw_companyinfo.cms - /stock/1831632/5886" xr:uid="{58C849E4-1A84-4D18-ADE4-3BC561C4088C}"/>
    <hyperlink ref="A57" r:id="rId56" location="/stock/1831632/5459" display="https://etportfolio.indiatimes.com/pw_companyinfo.cms - /stock/1831632/5459" xr:uid="{85458612-97EB-471D-8B31-F4280B1E27C6}"/>
    <hyperlink ref="A58" r:id="rId57" location="/stock/1831632/10878" display="https://etportfolio.indiatimes.com/pw_companyinfo.cms - /stock/1831632/10878" xr:uid="{A14EFB1D-C56C-4CF6-AB4D-A37DCB49BF01}"/>
    <hyperlink ref="A59" r:id="rId58" location="/stock/1831632/8684" display="https://etportfolio.indiatimes.com/pw_companyinfo.cms - /stock/1831632/8684" xr:uid="{87FCC4DA-0A1F-4134-8290-7C19324312FE}"/>
    <hyperlink ref="A60" r:id="rId59" location="/stock/1831632/11997" display="https://etportfolio.indiatimes.com/pw_companyinfo.cms - /stock/1831632/11997" xr:uid="{944FC30C-EF6C-46A6-A889-CB012F8E3B25}"/>
    <hyperlink ref="A61" r:id="rId60" location="/stock/1831632/11633" display="https://etportfolio.indiatimes.com/pw_companyinfo.cms - /stock/1831632/11633" xr:uid="{A2364ABE-852A-4D6D-85E3-E9114D0AC474}"/>
    <hyperlink ref="A62" r:id="rId61" location="/stock/1831632/32621" display="https://etportfolio.indiatimes.com/pw_companyinfo.cms - /stock/1831632/32621" xr:uid="{B2D7AFF6-6E39-49E3-AA32-C1AE634D8F7A}"/>
    <hyperlink ref="A63" r:id="rId62" location="/stock/1831632/11599" display="https://etportfolio.indiatimes.com/pw_companyinfo.cms - /stock/1831632/11599" xr:uid="{B0D59B5D-269E-40CB-B7CE-0EA5BC75883A}"/>
    <hyperlink ref="A64" r:id="rId63" location="/stock/1831632/3160" display="https://etportfolio.indiatimes.com/pw_companyinfo.cms - /stock/1831632/3160" xr:uid="{81B1AD6A-F78C-4D63-81F0-212FD5BEBB52}"/>
    <hyperlink ref="A65" r:id="rId64" location="/stock/1831632/21519" display="https://etportfolio.indiatimes.com/pw_companyinfo.cms - /stock/1831632/21519" xr:uid="{55D629AF-50A3-4BA1-A6F6-53B513319995}"/>
    <hyperlink ref="A66" r:id="rId65" location="/stock/1831632/12358" display="https://etportfolio.indiatimes.com/pw_companyinfo.cms - /stock/1831632/12358" xr:uid="{B436F527-F6DE-4F0E-97A6-7F51C46A4FFC}"/>
    <hyperlink ref="A67" r:id="rId66" location="/stock/1831632/10460" display="https://etportfolio.indiatimes.com/pw_companyinfo.cms - /stock/1831632/10460" xr:uid="{7A6A19E9-1ECE-4681-9CF6-381E73864D9C}"/>
    <hyperlink ref="A68" r:id="rId67" location="/stock/1831632/13282" display="https://etportfolio.indiatimes.com/pw_companyinfo.cms - /stock/1831632/13282" xr:uid="{7D46A299-ADA1-41B6-9F17-FAE7B04F6E83}"/>
    <hyperlink ref="A69" r:id="rId68" location="/stock/1831632/7829" display="https://etportfolio.indiatimes.com/pw_companyinfo.cms - /stock/1831632/7829" xr:uid="{C05A2257-85E8-405F-892E-868A8FDF6360}"/>
    <hyperlink ref="A70" r:id="rId69" location="/stock/1831632/2898" display="https://etportfolio.indiatimes.com/pw_companyinfo.cms - /stock/1831632/2898" xr:uid="{1139D4E4-5509-4C95-BACB-7CE3311F2BBC}"/>
    <hyperlink ref="A71" r:id="rId70" location="/stock/1831632/13102" display="https://etportfolio.indiatimes.com/pw_companyinfo.cms - /stock/1831632/13102" xr:uid="{16842F79-E71D-449B-A393-6199E8852821}"/>
    <hyperlink ref="A72" r:id="rId71" location="/stock/1831632/19352" display="https://etportfolio.indiatimes.com/pw_companyinfo.cms - /stock/1831632/19352" xr:uid="{7D201298-29EB-4BD6-8FAF-677BF5C2C60A}"/>
    <hyperlink ref="A73" r:id="rId72" location="/stock/1831632/11984" display="https://etportfolio.indiatimes.com/pw_companyinfo.cms - /stock/1831632/11984" xr:uid="{1FA19AC8-63C2-4847-A14F-B6EB703A6ABD}"/>
    <hyperlink ref="A74" r:id="rId73" location="/stock/1831632/9134" display="https://etportfolio.indiatimes.com/pw_companyinfo.cms - /stock/1831632/9134" xr:uid="{EE3C145F-DF4F-4233-88CD-4932977785A7}"/>
    <hyperlink ref="A75" r:id="rId74" location="/stock/1831632/12962" display="https://etportfolio.indiatimes.com/pw_companyinfo.cms - /stock/1831632/12962" xr:uid="{F1608033-E82A-4092-965F-CE70B00C55D1}"/>
    <hyperlink ref="A76" r:id="rId75" location="/stock/1831632/3296" display="https://etportfolio.indiatimes.com/pw_companyinfo.cms - /stock/1831632/3296" xr:uid="{6185F9DE-65E5-41C5-AE11-B270ED6591FF}"/>
    <hyperlink ref="A77" r:id="rId76" location="/stock/1831632/6936" display="https://etportfolio.indiatimes.com/pw_companyinfo.cms - /stock/1831632/6936" xr:uid="{BDB548F7-934F-4C4F-9132-3EA94E25EACD}"/>
    <hyperlink ref="A78" r:id="rId77" location="/stock/1831632/303" display="https://etportfolio.indiatimes.com/pw_companyinfo.cms - /stock/1831632/303" xr:uid="{88D3A51F-B68B-462A-9BFA-65759FCFC078}"/>
    <hyperlink ref="A79" r:id="rId78" location="/stock/1831632/8345" display="https://etportfolio.indiatimes.com/pw_companyinfo.cms - /stock/1831632/8345" xr:uid="{4EC0C916-0997-461B-9FA0-DD1C2DAA7BEC}"/>
    <hyperlink ref="A80" r:id="rId79" location="/stock/1831632/12929" display="https://etportfolio.indiatimes.com/pw_companyinfo.cms - /stock/1831632/12929" xr:uid="{CA2338AC-C35A-485A-90D8-209EB40306A9}"/>
    <hyperlink ref="A81" r:id="rId80" location="/stock/1831632/129341111" display="https://etportfolio.indiatimes.com/pw_companyinfo.cms - /stock/1831632/129341111" xr:uid="{75832CF8-CDDB-486E-BF67-B59B3E8EE3FB}"/>
    <hyperlink ref="A82" r:id="rId81" location="/stock/1831632/12902" display="https://etportfolio.indiatimes.com/pw_companyinfo.cms - /stock/1831632/12902" xr:uid="{911445D7-8928-4801-A27A-D480AB065A4E}"/>
    <hyperlink ref="A83" r:id="rId82" location="/stock/1831632/11221" display="https://etportfolio.indiatimes.com/pw_companyinfo.cms - /stock/1831632/11221" xr:uid="{24DFE7CA-8EDE-46FA-8197-1A7DBF8631BF}"/>
    <hyperlink ref="A84" r:id="rId83" location="/stock/1831632/12903" display="https://etportfolio.indiatimes.com/pw_companyinfo.cms - /stock/1831632/12903" xr:uid="{C975E414-107B-4739-8D66-D80F5A20DEF1}"/>
    <hyperlink ref="A85" r:id="rId84" location="/stock/1831632/18605" display="https://etportfolio.indiatimes.com/pw_companyinfo.cms - /stock/1831632/18605" xr:uid="{51353CB5-659B-4C21-87C0-189EED9C6913}"/>
    <hyperlink ref="A86" r:id="rId85" location="/stock/1831632/5032" display="https://etportfolio.indiatimes.com/pw_companyinfo.cms - /stock/1831632/5032" xr:uid="{844BE77D-77F4-44A9-8089-B7AFEF5C3A45}"/>
    <hyperlink ref="A87" r:id="rId86" location="/stock/1831632/12799" display="https://etportfolio.indiatimes.com/pw_companyinfo.cms - /stock/1831632/12799" xr:uid="{B2AB5952-1921-457D-B9E6-3A506611B30E}"/>
    <hyperlink ref="A88" r:id="rId87" location="/stock/1831632/16552" display="https://etportfolio.indiatimes.com/pw_companyinfo.cms - /stock/1831632/16552" xr:uid="{3439E663-7AF2-47F5-8948-1513C78936BC}"/>
    <hyperlink ref="A89" r:id="rId88" location="/stock/1831632/6816" display="https://etportfolio.indiatimes.com/pw_companyinfo.cms - /stock/1831632/6816" xr:uid="{354708D2-6D04-4D0D-ACD4-26A8FBA6D462}"/>
  </hyperlinks>
  <pageMargins left="0.7" right="0.7" top="0.75" bottom="0.75" header="0.3" footer="0.3"/>
  <pageSetup paperSize="9" orientation="portrait" r:id="rId89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80A3-57A7-419A-A540-52C8C7ACAB4E}">
  <dimension ref="A1:I15"/>
  <sheetViews>
    <sheetView workbookViewId="0">
      <selection activeCell="F15" sqref="F15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>
      <c r="A2" s="77" t="s">
        <v>234</v>
      </c>
      <c r="B2" s="76" t="s">
        <v>235</v>
      </c>
      <c r="C2" s="78">
        <v>2981.4740000000002</v>
      </c>
      <c r="D2" s="76">
        <v>77.52</v>
      </c>
      <c r="E2" s="76">
        <v>67.077600000000004</v>
      </c>
      <c r="F2" s="78">
        <v>199990.13020000001</v>
      </c>
      <c r="G2" s="78">
        <v>231123.8645</v>
      </c>
      <c r="H2" s="78">
        <v>31133.734199999999</v>
      </c>
      <c r="I2" s="1">
        <f>H2/F2</f>
        <v>0.1556763534723675</v>
      </c>
    </row>
    <row r="3" spans="1:9">
      <c r="A3" s="77" t="s">
        <v>236</v>
      </c>
      <c r="B3" s="76" t="s">
        <v>237</v>
      </c>
      <c r="C3" s="78">
        <v>11032.213</v>
      </c>
      <c r="D3" s="76">
        <v>66.930000000000007</v>
      </c>
      <c r="E3" s="76">
        <v>41.694099999999999</v>
      </c>
      <c r="F3" s="78">
        <v>459977.90919999999</v>
      </c>
      <c r="G3" s="78">
        <v>738386.01610000001</v>
      </c>
      <c r="H3" s="78">
        <v>278408.10690000001</v>
      </c>
      <c r="I3" s="1">
        <f t="shared" ref="I3:I14" si="0">H3/F3</f>
        <v>0.60526408188647862</v>
      </c>
    </row>
    <row r="4" spans="1:9">
      <c r="A4" s="77" t="s">
        <v>454</v>
      </c>
      <c r="B4" s="76" t="s">
        <v>269</v>
      </c>
      <c r="C4" s="76">
        <v>74.358000000000004</v>
      </c>
      <c r="D4" s="78">
        <v>3161.8123000000001</v>
      </c>
      <c r="E4" s="78">
        <v>3140.8521000000001</v>
      </c>
      <c r="F4" s="78">
        <v>233547.48370000001</v>
      </c>
      <c r="G4" s="78">
        <v>235106.03899999999</v>
      </c>
      <c r="H4" s="78">
        <v>1558.5554</v>
      </c>
      <c r="I4" s="1">
        <f t="shared" si="0"/>
        <v>6.6733983826690229E-3</v>
      </c>
    </row>
    <row r="5" spans="1:9">
      <c r="A5" s="77" t="s">
        <v>441</v>
      </c>
      <c r="B5" s="76" t="s">
        <v>241</v>
      </c>
      <c r="C5" s="78">
        <v>1857.5519999999999</v>
      </c>
      <c r="D5" s="76">
        <v>527.024</v>
      </c>
      <c r="E5" s="76">
        <v>366.02140000000003</v>
      </c>
      <c r="F5" s="78">
        <v>679903.69869999995</v>
      </c>
      <c r="G5" s="78">
        <v>978974.4852</v>
      </c>
      <c r="H5" s="78">
        <v>299070.78659999999</v>
      </c>
      <c r="I5" s="1">
        <f t="shared" si="0"/>
        <v>0.43987227481161517</v>
      </c>
    </row>
    <row r="6" spans="1:9">
      <c r="A6" s="77" t="s">
        <v>242</v>
      </c>
      <c r="B6" s="76" t="s">
        <v>237</v>
      </c>
      <c r="C6" s="78">
        <v>5856.576</v>
      </c>
      <c r="D6" s="76">
        <v>80.710999999999999</v>
      </c>
      <c r="E6" s="76">
        <v>44.3917</v>
      </c>
      <c r="F6" s="78">
        <v>259983.36480000001</v>
      </c>
      <c r="G6" s="78">
        <v>472690.10550000001</v>
      </c>
      <c r="H6" s="78">
        <v>212706.74069999999</v>
      </c>
      <c r="I6" s="1">
        <f t="shared" si="0"/>
        <v>0.81815519567427331</v>
      </c>
    </row>
    <row r="7" spans="1:9">
      <c r="A7" s="77" t="s">
        <v>272</v>
      </c>
      <c r="B7" s="76" t="s">
        <v>235</v>
      </c>
      <c r="C7" s="78">
        <v>6641.4979999999996</v>
      </c>
      <c r="D7" s="76">
        <v>80.045000000000002</v>
      </c>
      <c r="E7" s="76">
        <v>41.7624</v>
      </c>
      <c r="F7" s="78">
        <v>277364.96380000003</v>
      </c>
      <c r="G7" s="78">
        <v>531618.70739999996</v>
      </c>
      <c r="H7" s="78">
        <v>254253.74359999999</v>
      </c>
      <c r="I7" s="1">
        <f t="shared" si="0"/>
        <v>0.91667577662525224</v>
      </c>
    </row>
    <row r="8" spans="1:9">
      <c r="A8" s="77" t="s">
        <v>244</v>
      </c>
      <c r="B8" s="76" t="s">
        <v>233</v>
      </c>
      <c r="C8" s="78">
        <v>2480.4029999999998</v>
      </c>
      <c r="D8" s="76">
        <v>25.261800000000001</v>
      </c>
      <c r="E8" s="76">
        <v>24.188400000000001</v>
      </c>
      <c r="F8" s="78">
        <v>59997.0046</v>
      </c>
      <c r="G8" s="78">
        <v>62659.444499999998</v>
      </c>
      <c r="H8" s="78">
        <v>2662.4398999999999</v>
      </c>
      <c r="I8" s="1">
        <f t="shared" si="0"/>
        <v>4.4376213741844035E-2</v>
      </c>
    </row>
    <row r="9" spans="1:9">
      <c r="A9" s="77" t="s">
        <v>246</v>
      </c>
      <c r="B9" s="76" t="s">
        <v>241</v>
      </c>
      <c r="C9" s="78">
        <v>3580.2130000000002</v>
      </c>
      <c r="D9" s="76">
        <v>10.8286</v>
      </c>
      <c r="E9" s="76">
        <v>11.3116</v>
      </c>
      <c r="F9" s="78">
        <v>40497.984799999998</v>
      </c>
      <c r="G9" s="78">
        <v>38768.694499999998</v>
      </c>
      <c r="H9" s="78">
        <v>-1729.2902999999999</v>
      </c>
      <c r="I9" s="1">
        <f t="shared" si="0"/>
        <v>-4.2700650625954108E-2</v>
      </c>
    </row>
    <row r="10" spans="1:9">
      <c r="A10" s="77" t="s">
        <v>250</v>
      </c>
      <c r="B10" s="76" t="s">
        <v>251</v>
      </c>
      <c r="C10" s="78">
        <v>10130.061</v>
      </c>
      <c r="D10" s="76">
        <v>53.426000000000002</v>
      </c>
      <c r="E10" s="76">
        <v>37.112099999999998</v>
      </c>
      <c r="F10" s="78">
        <v>375947.43959999998</v>
      </c>
      <c r="G10" s="78">
        <v>541208.63899999997</v>
      </c>
      <c r="H10" s="78">
        <v>165261.19940000001</v>
      </c>
      <c r="I10" s="1">
        <f t="shared" si="0"/>
        <v>0.43958591545625203</v>
      </c>
    </row>
    <row r="11" spans="1:9">
      <c r="A11" s="77" t="s">
        <v>274</v>
      </c>
      <c r="B11" s="76" t="s">
        <v>233</v>
      </c>
      <c r="C11" s="78">
        <v>5399.8710000000001</v>
      </c>
      <c r="D11" s="76">
        <v>41.1</v>
      </c>
      <c r="E11" s="76">
        <v>37.036200000000001</v>
      </c>
      <c r="F11" s="78">
        <v>199990.82519999999</v>
      </c>
      <c r="G11" s="78">
        <v>221934.69810000001</v>
      </c>
      <c r="H11" s="78">
        <v>21943.872899999998</v>
      </c>
      <c r="I11" s="1">
        <f t="shared" si="0"/>
        <v>0.10972439799703371</v>
      </c>
    </row>
    <row r="12" spans="1:9">
      <c r="A12" s="77" t="s">
        <v>455</v>
      </c>
      <c r="B12" s="76" t="s">
        <v>241</v>
      </c>
      <c r="C12" s="76">
        <v>197.84399999999999</v>
      </c>
      <c r="D12" s="76">
        <v>148.19919999999999</v>
      </c>
      <c r="E12" s="76">
        <v>126.3557</v>
      </c>
      <c r="F12" s="78">
        <v>24998.7091</v>
      </c>
      <c r="G12" s="78">
        <v>29320.322499999998</v>
      </c>
      <c r="H12" s="78">
        <v>4321.6134000000002</v>
      </c>
      <c r="I12" s="1">
        <f t="shared" si="0"/>
        <v>0.17287346249410934</v>
      </c>
    </row>
    <row r="13" spans="1:9">
      <c r="A13" s="77" t="s">
        <v>255</v>
      </c>
      <c r="B13" s="76" t="s">
        <v>241</v>
      </c>
      <c r="C13" s="78">
        <v>18996.168000000001</v>
      </c>
      <c r="D13" s="76">
        <v>15.3474</v>
      </c>
      <c r="E13" s="76">
        <v>9.4700000000000006</v>
      </c>
      <c r="F13" s="78">
        <v>179893.71100000001</v>
      </c>
      <c r="G13" s="78">
        <v>291541.78879999998</v>
      </c>
      <c r="H13" s="78">
        <v>111648.0778</v>
      </c>
      <c r="I13" s="1">
        <f t="shared" si="0"/>
        <v>0.62063357956966037</v>
      </c>
    </row>
    <row r="14" spans="1:9" ht="15.75" thickBot="1">
      <c r="A14" s="74" t="s">
        <v>11</v>
      </c>
      <c r="B14" s="75"/>
      <c r="C14" s="75">
        <f>SUM(C2:C13)</f>
        <v>69228.231</v>
      </c>
      <c r="D14" s="75"/>
      <c r="E14" s="75"/>
      <c r="F14" s="75">
        <f t="shared" ref="F14:H14" si="1">SUM(F2:F13)</f>
        <v>2992093.2247000006</v>
      </c>
      <c r="G14" s="75">
        <f t="shared" si="1"/>
        <v>4373332.8051000005</v>
      </c>
      <c r="H14" s="75">
        <f t="shared" si="1"/>
        <v>1381239.5805000002</v>
      </c>
      <c r="I14" s="53">
        <f t="shared" si="0"/>
        <v>0.46162986136185274</v>
      </c>
    </row>
    <row r="15" spans="1:9" ht="15.75" thickTop="1"/>
  </sheetData>
  <hyperlinks>
    <hyperlink ref="A2" r:id="rId1" location="/mf/1831632/15690/NULL" display="https://etportfolio.indiatimes.com/pw_companyinfo.cms - /mf/1831632/15690/NULL" xr:uid="{D7B347E1-F40B-4AA5-84F6-FD2E01D02A53}"/>
    <hyperlink ref="A3" r:id="rId2" location="/mf/1831632/22335/NULL" display="https://etportfolio.indiatimes.com/pw_companyinfo.cms - /mf/1831632/22335/NULL" xr:uid="{E15A849E-CDA1-4059-945F-B49E6847D352}"/>
    <hyperlink ref="A4" r:id="rId3" location="/mf/1831632/16848/NULL" display="https://etportfolio.indiatimes.com/pw_companyinfo.cms - /mf/1831632/16848/NULL" xr:uid="{70AE2287-8713-4D54-BE7B-3DF7E8C0AA08}"/>
    <hyperlink ref="A5" r:id="rId4" location="/mf/1831632/16071/NULL" display="https://etportfolio.indiatimes.com/pw_companyinfo.cms - /mf/1831632/16071/NULL" xr:uid="{8BE839F0-9AF2-4EAF-9360-22C49685567A}"/>
    <hyperlink ref="A6" r:id="rId5" location="/mf/1831632/16617/NULL" display="https://etportfolio.indiatimes.com/pw_companyinfo.cms - /mf/1831632/16617/NULL" xr:uid="{172A9A05-95D4-4273-8418-A94A2B088525}"/>
    <hyperlink ref="A7" r:id="rId6" location="/mf/1831632/17134/NULL" display="https://etportfolio.indiatimes.com/pw_companyinfo.cms - /mf/1831632/17134/NULL" xr:uid="{4B6F38A0-1EAE-4481-8380-3C13D6F6D601}"/>
    <hyperlink ref="A8" r:id="rId7" location="/mf/1831632/38228/NULL" display="https://etportfolio.indiatimes.com/pw_companyinfo.cms - /mf/1831632/38228/NULL" xr:uid="{231C2D8F-244B-41FC-BD41-E4F2B76A61A4}"/>
    <hyperlink ref="A9" r:id="rId8" location="/mf/1831632/41574/NULL" display="https://etportfolio.indiatimes.com/pw_companyinfo.cms - /mf/1831632/41574/NULL" xr:uid="{800FD999-D829-4F8F-AADE-3E0C8E37863D}"/>
    <hyperlink ref="A10" r:id="rId9" location="/mf/1831632/19701/NULL" display="https://etportfolio.indiatimes.com/pw_companyinfo.cms - /mf/1831632/19701/NULL" xr:uid="{D270CC46-89C1-46FE-A4EE-B7AC93150113}"/>
    <hyperlink ref="A11" r:id="rId10" location="/mf/1831632/17348/NULL" display="https://etportfolio.indiatimes.com/pw_companyinfo.cms - /mf/1831632/17348/NULL" xr:uid="{16697E96-6BBA-4A83-8F81-A9CC8E107CA8}"/>
    <hyperlink ref="A12" r:id="rId11" location="/mf/1831632/16955/NULL" display="https://etportfolio.indiatimes.com/pw_companyinfo.cms - /mf/1831632/16955/NULL" xr:uid="{FAE090F7-E0B1-42FF-8001-CD68A7FA87FC}"/>
    <hyperlink ref="A13" r:id="rId12" location="/mf/1831632/36491/NULL" display="https://etportfolio.indiatimes.com/pw_companyinfo.cms - /mf/1831632/36491/NULL" xr:uid="{D07FC9C3-7C19-4D34-8706-76B0CAC450F8}"/>
  </hyperlinks>
  <pageMargins left="0.7" right="0.7" top="0.75" bottom="0.75" header="0.3" footer="0.3"/>
  <pageSetup paperSize="9" orientation="portrait" r:id="rId1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59B6-0EB3-43B8-AF68-C1E1877BBBF0}">
  <dimension ref="A1:H86"/>
  <sheetViews>
    <sheetView topLeftCell="B62" workbookViewId="0">
      <selection activeCell="A85" sqref="A85:H85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 ht="15.75" thickBot="1">
      <c r="A2" s="55" t="s">
        <v>352</v>
      </c>
      <c r="B2" s="56">
        <v>25</v>
      </c>
      <c r="C2" s="67">
        <v>2125.75</v>
      </c>
      <c r="D2" s="67">
        <v>1753.0652</v>
      </c>
      <c r="E2" s="67">
        <v>43826.63</v>
      </c>
      <c r="F2" s="67">
        <v>53143.75</v>
      </c>
      <c r="G2" s="67">
        <v>9317.1200000000008</v>
      </c>
      <c r="H2" s="63">
        <f>G2/E2</f>
        <v>0.21259038169259195</v>
      </c>
    </row>
    <row r="3" spans="1:8" ht="15.75" thickBot="1">
      <c r="A3" s="55" t="s">
        <v>458</v>
      </c>
      <c r="B3" s="56">
        <v>224</v>
      </c>
      <c r="C3" s="67">
        <v>103.95</v>
      </c>
      <c r="D3" s="67">
        <v>109.11539999999999</v>
      </c>
      <c r="E3" s="67">
        <v>24441.84</v>
      </c>
      <c r="F3" s="67">
        <v>23284.799999999999</v>
      </c>
      <c r="G3" s="67">
        <v>-1157.04</v>
      </c>
      <c r="H3" s="63">
        <f t="shared" ref="H3:H66" si="0">G3/E3</f>
        <v>-4.7338498247267796E-2</v>
      </c>
    </row>
    <row r="4" spans="1:8" ht="15.75" thickBot="1">
      <c r="A4" s="55" t="s">
        <v>353</v>
      </c>
      <c r="B4" s="56">
        <v>13</v>
      </c>
      <c r="C4" s="67">
        <v>3608.45</v>
      </c>
      <c r="D4" s="67">
        <v>2592.5562</v>
      </c>
      <c r="E4" s="67">
        <v>33703.230000000003</v>
      </c>
      <c r="F4" s="67">
        <v>46909.85</v>
      </c>
      <c r="G4" s="67">
        <v>13206.62</v>
      </c>
      <c r="H4" s="63">
        <f t="shared" si="0"/>
        <v>0.39185027666487748</v>
      </c>
    </row>
    <row r="5" spans="1:8" ht="15.75" thickBot="1">
      <c r="A5" s="55" t="s">
        <v>354</v>
      </c>
      <c r="B5" s="56">
        <v>250</v>
      </c>
      <c r="C5" s="67">
        <v>212.75</v>
      </c>
      <c r="D5" s="67">
        <v>183.58799999999999</v>
      </c>
      <c r="E5" s="67">
        <v>45897</v>
      </c>
      <c r="F5" s="67">
        <v>53187.5</v>
      </c>
      <c r="G5" s="67">
        <v>7290.5</v>
      </c>
      <c r="H5" s="63">
        <f t="shared" si="0"/>
        <v>0.15884480467132928</v>
      </c>
    </row>
    <row r="6" spans="1:8" ht="15.75" thickBot="1">
      <c r="A6" s="55" t="s">
        <v>355</v>
      </c>
      <c r="B6" s="56">
        <v>10</v>
      </c>
      <c r="C6" s="67">
        <v>3100.1</v>
      </c>
      <c r="D6" s="67">
        <v>2188.4</v>
      </c>
      <c r="E6" s="67">
        <v>21884</v>
      </c>
      <c r="F6" s="67">
        <v>31001</v>
      </c>
      <c r="G6" s="67">
        <v>9117</v>
      </c>
      <c r="H6" s="63">
        <f t="shared" si="0"/>
        <v>0.41660573935295192</v>
      </c>
    </row>
    <row r="7" spans="1:8" ht="15.75" thickBot="1">
      <c r="A7" s="55" t="s">
        <v>357</v>
      </c>
      <c r="B7" s="56">
        <v>9</v>
      </c>
      <c r="C7" s="67">
        <v>4632.05</v>
      </c>
      <c r="D7" s="67">
        <v>2894.4322000000002</v>
      </c>
      <c r="E7" s="67">
        <v>26049.89</v>
      </c>
      <c r="F7" s="67">
        <v>41688.449999999997</v>
      </c>
      <c r="G7" s="67">
        <v>15638.56</v>
      </c>
      <c r="H7" s="63">
        <f t="shared" si="0"/>
        <v>0.60033113383588188</v>
      </c>
    </row>
    <row r="8" spans="1:8" ht="15.75" thickBot="1">
      <c r="A8" s="55" t="s">
        <v>358</v>
      </c>
      <c r="B8" s="56">
        <v>65</v>
      </c>
      <c r="C8" s="67">
        <v>742.05</v>
      </c>
      <c r="D8" s="67">
        <v>592.82150000000001</v>
      </c>
      <c r="E8" s="67">
        <v>38533.4</v>
      </c>
      <c r="F8" s="67">
        <v>48233.25</v>
      </c>
      <c r="G8" s="67">
        <v>9699.85</v>
      </c>
      <c r="H8" s="63">
        <f t="shared" si="0"/>
        <v>0.25172577556094194</v>
      </c>
    </row>
    <row r="9" spans="1:8" ht="15.75" thickBot="1">
      <c r="A9" s="55" t="s">
        <v>359</v>
      </c>
      <c r="B9" s="56">
        <v>21</v>
      </c>
      <c r="C9" s="67">
        <v>3710.2</v>
      </c>
      <c r="D9" s="67">
        <v>2533.5286000000001</v>
      </c>
      <c r="E9" s="67">
        <v>53204.1</v>
      </c>
      <c r="F9" s="67">
        <v>77914.2</v>
      </c>
      <c r="G9" s="67">
        <v>24710.1</v>
      </c>
      <c r="H9" s="63">
        <f t="shared" si="0"/>
        <v>0.46443977061918157</v>
      </c>
    </row>
    <row r="10" spans="1:8" ht="15.75" thickBot="1">
      <c r="A10" s="55" t="s">
        <v>459</v>
      </c>
      <c r="B10" s="56">
        <v>75</v>
      </c>
      <c r="C10" s="67">
        <v>231.75</v>
      </c>
      <c r="D10" s="67">
        <v>249.15309999999999</v>
      </c>
      <c r="E10" s="67">
        <v>18686.48</v>
      </c>
      <c r="F10" s="67">
        <v>17381.25</v>
      </c>
      <c r="G10" s="67">
        <v>-1305.23</v>
      </c>
      <c r="H10" s="63">
        <f t="shared" si="0"/>
        <v>-6.9848896100282137E-2</v>
      </c>
    </row>
    <row r="11" spans="1:8" ht="15.75" thickBot="1">
      <c r="A11" s="55" t="s">
        <v>361</v>
      </c>
      <c r="B11" s="56">
        <v>7</v>
      </c>
      <c r="C11" s="67">
        <v>2459.85</v>
      </c>
      <c r="D11" s="67">
        <v>1764.3286000000001</v>
      </c>
      <c r="E11" s="67">
        <v>12350.3</v>
      </c>
      <c r="F11" s="67">
        <v>17218.95</v>
      </c>
      <c r="G11" s="67">
        <v>4868.6499999999996</v>
      </c>
      <c r="H11" s="63">
        <f t="shared" si="0"/>
        <v>0.39421309603815291</v>
      </c>
    </row>
    <row r="12" spans="1:8" ht="15.75" thickBot="1">
      <c r="A12" s="55" t="s">
        <v>362</v>
      </c>
      <c r="B12" s="56">
        <v>180</v>
      </c>
      <c r="C12" s="67">
        <v>686.25</v>
      </c>
      <c r="D12" s="67">
        <v>322.88889999999998</v>
      </c>
      <c r="E12" s="67">
        <v>58120</v>
      </c>
      <c r="F12" s="67">
        <v>123525</v>
      </c>
      <c r="G12" s="67">
        <v>65405</v>
      </c>
      <c r="H12" s="63">
        <f t="shared" si="0"/>
        <v>1.1253441156228492</v>
      </c>
    </row>
    <row r="13" spans="1:8" ht="15.75" thickBot="1">
      <c r="A13" s="55" t="s">
        <v>363</v>
      </c>
      <c r="B13" s="56">
        <v>61</v>
      </c>
      <c r="C13" s="67">
        <v>467.4</v>
      </c>
      <c r="D13" s="67">
        <v>399.06150000000002</v>
      </c>
      <c r="E13" s="67">
        <v>24342.75</v>
      </c>
      <c r="F13" s="67">
        <v>28511.4</v>
      </c>
      <c r="G13" s="67">
        <v>4168.6499999999996</v>
      </c>
      <c r="H13" s="63">
        <f t="shared" si="0"/>
        <v>0.1712481128878208</v>
      </c>
    </row>
    <row r="14" spans="1:8" ht="15.75" thickBot="1">
      <c r="A14" s="55" t="s">
        <v>364</v>
      </c>
      <c r="B14" s="56">
        <v>9</v>
      </c>
      <c r="C14" s="67">
        <v>3670</v>
      </c>
      <c r="D14" s="67">
        <v>3545.8110999999999</v>
      </c>
      <c r="E14" s="67">
        <v>31912.3</v>
      </c>
      <c r="F14" s="67">
        <v>33030</v>
      </c>
      <c r="G14" s="67">
        <v>1117.7</v>
      </c>
      <c r="H14" s="63">
        <f t="shared" si="0"/>
        <v>3.5024112959579849E-2</v>
      </c>
    </row>
    <row r="15" spans="1:8" ht="15.75" thickBot="1">
      <c r="A15" s="55" t="s">
        <v>365</v>
      </c>
      <c r="B15" s="56">
        <v>180</v>
      </c>
      <c r="C15" s="67">
        <v>138.05000000000001</v>
      </c>
      <c r="D15" s="67">
        <v>155.25</v>
      </c>
      <c r="E15" s="67">
        <v>27945</v>
      </c>
      <c r="F15" s="67">
        <v>24849</v>
      </c>
      <c r="G15" s="67">
        <v>-3096</v>
      </c>
      <c r="H15" s="63">
        <f t="shared" si="0"/>
        <v>-0.1107890499194847</v>
      </c>
    </row>
    <row r="16" spans="1:8" ht="15.75" thickBot="1">
      <c r="A16" s="55" t="s">
        <v>366</v>
      </c>
      <c r="B16" s="56">
        <v>43</v>
      </c>
      <c r="C16" s="67">
        <v>906.5</v>
      </c>
      <c r="D16" s="67">
        <v>701.07399999999996</v>
      </c>
      <c r="E16" s="67">
        <v>30146.18</v>
      </c>
      <c r="F16" s="67">
        <v>38979.5</v>
      </c>
      <c r="G16" s="67">
        <v>8833.32</v>
      </c>
      <c r="H16" s="63">
        <f t="shared" si="0"/>
        <v>0.29301622958530732</v>
      </c>
    </row>
    <row r="17" spans="1:8" ht="15.75" thickBot="1">
      <c r="A17" s="55" t="s">
        <v>460</v>
      </c>
      <c r="B17" s="56">
        <v>386</v>
      </c>
      <c r="C17" s="67">
        <v>168.35</v>
      </c>
      <c r="D17" s="67">
        <v>155.21129999999999</v>
      </c>
      <c r="E17" s="67">
        <v>59911.57</v>
      </c>
      <c r="F17" s="67">
        <v>64983.1</v>
      </c>
      <c r="G17" s="67">
        <v>5071.53</v>
      </c>
      <c r="H17" s="63">
        <f t="shared" si="0"/>
        <v>8.4650260375416633E-2</v>
      </c>
    </row>
    <row r="18" spans="1:8" ht="15.75" thickBot="1">
      <c r="A18" s="55" t="s">
        <v>367</v>
      </c>
      <c r="B18" s="56">
        <v>250</v>
      </c>
      <c r="C18" s="67">
        <v>164.45</v>
      </c>
      <c r="D18" s="67">
        <v>163.66999999999999</v>
      </c>
      <c r="E18" s="67">
        <v>40917.5</v>
      </c>
      <c r="F18" s="67">
        <v>41112.5</v>
      </c>
      <c r="G18" s="67">
        <v>195</v>
      </c>
      <c r="H18" s="63">
        <f t="shared" si="0"/>
        <v>4.7656870532168391E-3</v>
      </c>
    </row>
    <row r="19" spans="1:8" ht="15.75" thickBot="1">
      <c r="A19" s="55" t="s">
        <v>368</v>
      </c>
      <c r="B19" s="56">
        <v>2</v>
      </c>
      <c r="C19" s="67">
        <v>4888.3500000000004</v>
      </c>
      <c r="D19" s="67">
        <v>4417.8500000000004</v>
      </c>
      <c r="E19" s="67">
        <v>8835.7000000000007</v>
      </c>
      <c r="F19" s="67">
        <v>9776.7000000000007</v>
      </c>
      <c r="G19" s="67">
        <v>941</v>
      </c>
      <c r="H19" s="63">
        <f t="shared" si="0"/>
        <v>0.10649976798669035</v>
      </c>
    </row>
    <row r="20" spans="1:8" ht="15.75" thickBot="1">
      <c r="A20" s="55" t="s">
        <v>369</v>
      </c>
      <c r="B20" s="56">
        <v>16</v>
      </c>
      <c r="C20" s="67">
        <v>1542.45</v>
      </c>
      <c r="D20" s="67">
        <v>1618.4375</v>
      </c>
      <c r="E20" s="67">
        <v>25895</v>
      </c>
      <c r="F20" s="67">
        <v>24679.200000000001</v>
      </c>
      <c r="G20" s="67">
        <v>-1215.8</v>
      </c>
      <c r="H20" s="63">
        <f t="shared" si="0"/>
        <v>-4.695114887043831E-2</v>
      </c>
    </row>
    <row r="21" spans="1:8" ht="15.75" thickBot="1">
      <c r="A21" s="55" t="s">
        <v>370</v>
      </c>
      <c r="B21" s="56">
        <v>36</v>
      </c>
      <c r="C21" s="67">
        <v>586.29999999999995</v>
      </c>
      <c r="D21" s="67">
        <v>560.21169999999995</v>
      </c>
      <c r="E21" s="67">
        <v>20167.62</v>
      </c>
      <c r="F21" s="67">
        <v>21106.799999999999</v>
      </c>
      <c r="G21" s="67">
        <v>939.18</v>
      </c>
      <c r="H21" s="63">
        <f t="shared" si="0"/>
        <v>4.6568707661092383E-2</v>
      </c>
    </row>
    <row r="22" spans="1:8" ht="15.75" thickBot="1">
      <c r="A22" s="55" t="s">
        <v>371</v>
      </c>
      <c r="B22" s="56">
        <v>11</v>
      </c>
      <c r="C22" s="67">
        <v>5153.55</v>
      </c>
      <c r="D22" s="67">
        <v>2298.1581999999999</v>
      </c>
      <c r="E22" s="67">
        <v>25279.74</v>
      </c>
      <c r="F22" s="67">
        <v>56689.05</v>
      </c>
      <c r="G22" s="67">
        <v>31409.31</v>
      </c>
      <c r="H22" s="63">
        <f t="shared" si="0"/>
        <v>1.2424696614759487</v>
      </c>
    </row>
    <row r="23" spans="1:8" ht="15.75" thickBot="1">
      <c r="A23" s="55" t="s">
        <v>372</v>
      </c>
      <c r="B23" s="56">
        <v>52</v>
      </c>
      <c r="C23" s="67">
        <v>398.6</v>
      </c>
      <c r="D23" s="67">
        <v>284.88310000000001</v>
      </c>
      <c r="E23" s="67">
        <v>14813.92</v>
      </c>
      <c r="F23" s="67">
        <v>20727.2</v>
      </c>
      <c r="G23" s="67">
        <v>5913.28</v>
      </c>
      <c r="H23" s="63">
        <f t="shared" si="0"/>
        <v>0.39917050989879788</v>
      </c>
    </row>
    <row r="24" spans="1:8" ht="15.75" thickBot="1">
      <c r="A24" s="55" t="s">
        <v>374</v>
      </c>
      <c r="B24" s="56">
        <v>8</v>
      </c>
      <c r="C24" s="67">
        <v>2485.1</v>
      </c>
      <c r="D24" s="67">
        <v>2477.4425000000001</v>
      </c>
      <c r="E24" s="67">
        <v>19819.54</v>
      </c>
      <c r="F24" s="67">
        <v>19880.8</v>
      </c>
      <c r="G24" s="67">
        <v>61.26</v>
      </c>
      <c r="H24" s="63">
        <f t="shared" si="0"/>
        <v>3.0908890922796391E-3</v>
      </c>
    </row>
    <row r="25" spans="1:8" ht="15.75" thickBot="1">
      <c r="A25" s="55" t="s">
        <v>376</v>
      </c>
      <c r="B25" s="56">
        <v>11</v>
      </c>
      <c r="C25" s="67">
        <v>1816.3</v>
      </c>
      <c r="D25" s="67">
        <v>1317.6255000000001</v>
      </c>
      <c r="E25" s="67">
        <v>14493.88</v>
      </c>
      <c r="F25" s="67">
        <v>19979.3</v>
      </c>
      <c r="G25" s="67">
        <v>5485.42</v>
      </c>
      <c r="H25" s="63">
        <f t="shared" si="0"/>
        <v>0.37846456573395121</v>
      </c>
    </row>
    <row r="26" spans="1:8" ht="15.75" thickBot="1">
      <c r="A26" s="55" t="s">
        <v>377</v>
      </c>
      <c r="B26" s="56">
        <v>86</v>
      </c>
      <c r="C26" s="67">
        <v>817.3</v>
      </c>
      <c r="D26" s="67">
        <v>714.27210000000002</v>
      </c>
      <c r="E26" s="67">
        <v>61427.4</v>
      </c>
      <c r="F26" s="67">
        <v>70287.8</v>
      </c>
      <c r="G26" s="67">
        <v>8860.4</v>
      </c>
      <c r="H26" s="63">
        <f t="shared" si="0"/>
        <v>0.14424182042541275</v>
      </c>
    </row>
    <row r="27" spans="1:8" ht="15.75" thickBot="1">
      <c r="A27" s="55" t="s">
        <v>378</v>
      </c>
      <c r="B27" s="56">
        <v>253</v>
      </c>
      <c r="C27" s="67">
        <v>172.95</v>
      </c>
      <c r="D27" s="67">
        <v>195.40600000000001</v>
      </c>
      <c r="E27" s="67">
        <v>49437.71</v>
      </c>
      <c r="F27" s="67">
        <v>43756.35</v>
      </c>
      <c r="G27" s="67">
        <v>-5681.36</v>
      </c>
      <c r="H27" s="63">
        <f t="shared" si="0"/>
        <v>-0.11491956241500667</v>
      </c>
    </row>
    <row r="28" spans="1:8" ht="15.75" thickBot="1">
      <c r="A28" s="55" t="s">
        <v>379</v>
      </c>
      <c r="B28" s="56">
        <v>507</v>
      </c>
      <c r="C28" s="67">
        <v>97.4</v>
      </c>
      <c r="D28" s="67">
        <v>66.787400000000005</v>
      </c>
      <c r="E28" s="67">
        <v>33861.199999999997</v>
      </c>
      <c r="F28" s="67">
        <v>49381.8</v>
      </c>
      <c r="G28" s="67">
        <v>15520.6</v>
      </c>
      <c r="H28" s="63">
        <f t="shared" si="0"/>
        <v>0.45835942022137438</v>
      </c>
    </row>
    <row r="29" spans="1:8" ht="15.75" thickBot="1">
      <c r="A29" s="55" t="s">
        <v>380</v>
      </c>
      <c r="B29" s="56">
        <v>71</v>
      </c>
      <c r="C29" s="67">
        <v>133.44999999999999</v>
      </c>
      <c r="D29" s="67">
        <v>156.0035</v>
      </c>
      <c r="E29" s="67">
        <v>11076.25</v>
      </c>
      <c r="F29" s="67">
        <v>9474.9500000000007</v>
      </c>
      <c r="G29" s="67">
        <v>-1601.3</v>
      </c>
      <c r="H29" s="63">
        <f t="shared" si="0"/>
        <v>-0.14457059022683669</v>
      </c>
    </row>
    <row r="30" spans="1:8" ht="15.75" thickBot="1">
      <c r="A30" s="55" t="s">
        <v>382</v>
      </c>
      <c r="B30" s="56">
        <v>11</v>
      </c>
      <c r="C30" s="67">
        <v>3693.5</v>
      </c>
      <c r="D30" s="67">
        <v>3984.3</v>
      </c>
      <c r="E30" s="67">
        <v>43827.3</v>
      </c>
      <c r="F30" s="67">
        <v>40628.5</v>
      </c>
      <c r="G30" s="67">
        <v>-3198.8</v>
      </c>
      <c r="H30" s="63">
        <f t="shared" si="0"/>
        <v>-7.2986471902216202E-2</v>
      </c>
    </row>
    <row r="31" spans="1:8" ht="15.75" thickBot="1">
      <c r="A31" s="55" t="s">
        <v>383</v>
      </c>
      <c r="B31" s="56">
        <v>12</v>
      </c>
      <c r="C31" s="67">
        <v>2248.75</v>
      </c>
      <c r="D31" s="67">
        <v>1444.4625000000001</v>
      </c>
      <c r="E31" s="67">
        <v>17333.55</v>
      </c>
      <c r="F31" s="67">
        <v>26985</v>
      </c>
      <c r="G31" s="67">
        <v>9651.4500000000007</v>
      </c>
      <c r="H31" s="63">
        <f t="shared" si="0"/>
        <v>0.55680746298363581</v>
      </c>
    </row>
    <row r="32" spans="1:8" ht="15.75" thickBot="1">
      <c r="A32" s="55" t="s">
        <v>461</v>
      </c>
      <c r="B32" s="56">
        <v>76</v>
      </c>
      <c r="C32" s="67">
        <v>461.25</v>
      </c>
      <c r="D32" s="67">
        <v>233.3013</v>
      </c>
      <c r="E32" s="67">
        <v>17730.900000000001</v>
      </c>
      <c r="F32" s="67">
        <v>35055</v>
      </c>
      <c r="G32" s="67">
        <v>17324.099999999999</v>
      </c>
      <c r="H32" s="63">
        <f t="shared" si="0"/>
        <v>0.97705700218263014</v>
      </c>
    </row>
    <row r="33" spans="1:8" ht="15.75" thickBot="1">
      <c r="A33" s="55" t="s">
        <v>384</v>
      </c>
      <c r="B33" s="56">
        <v>15</v>
      </c>
      <c r="C33" s="67">
        <v>1144.3499999999999</v>
      </c>
      <c r="D33" s="67">
        <v>1076.9873</v>
      </c>
      <c r="E33" s="67">
        <v>16154.81</v>
      </c>
      <c r="F33" s="67">
        <v>17165.25</v>
      </c>
      <c r="G33" s="67">
        <v>1010.44</v>
      </c>
      <c r="H33" s="63">
        <f t="shared" si="0"/>
        <v>6.2547315629215075E-2</v>
      </c>
    </row>
    <row r="34" spans="1:8" ht="15.75" thickBot="1">
      <c r="A34" s="55" t="s">
        <v>385</v>
      </c>
      <c r="B34" s="56">
        <v>44</v>
      </c>
      <c r="C34" s="67">
        <v>1582.35</v>
      </c>
      <c r="D34" s="67">
        <v>1352.6898000000001</v>
      </c>
      <c r="E34" s="67">
        <v>59518.35</v>
      </c>
      <c r="F34" s="67">
        <v>69623.399999999994</v>
      </c>
      <c r="G34" s="67">
        <v>10105.049999999999</v>
      </c>
      <c r="H34" s="63">
        <f t="shared" si="0"/>
        <v>0.16978041225941243</v>
      </c>
    </row>
    <row r="35" spans="1:8" ht="15.75" thickBot="1">
      <c r="A35" s="55" t="s">
        <v>386</v>
      </c>
      <c r="B35" s="56">
        <v>45</v>
      </c>
      <c r="C35" s="67">
        <v>680.4</v>
      </c>
      <c r="D35" s="67">
        <v>669.77760000000001</v>
      </c>
      <c r="E35" s="67">
        <v>30139.99</v>
      </c>
      <c r="F35" s="67">
        <v>30618</v>
      </c>
      <c r="G35" s="67">
        <v>478.01</v>
      </c>
      <c r="H35" s="63">
        <f t="shared" si="0"/>
        <v>1.5859660205593963E-2</v>
      </c>
    </row>
    <row r="36" spans="1:8" ht="15.75" thickBot="1">
      <c r="A36" s="55" t="s">
        <v>387</v>
      </c>
      <c r="B36" s="56">
        <v>11</v>
      </c>
      <c r="C36" s="67">
        <v>2659.75</v>
      </c>
      <c r="D36" s="67">
        <v>2969.5636</v>
      </c>
      <c r="E36" s="67">
        <v>32665.200000000001</v>
      </c>
      <c r="F36" s="67">
        <v>29257.25</v>
      </c>
      <c r="G36" s="67">
        <v>-3407.95</v>
      </c>
      <c r="H36" s="63">
        <f t="shared" si="0"/>
        <v>-0.10432968418990239</v>
      </c>
    </row>
    <row r="37" spans="1:8" ht="15.75" thickBot="1">
      <c r="A37" s="55" t="s">
        <v>390</v>
      </c>
      <c r="B37" s="56">
        <v>10</v>
      </c>
      <c r="C37" s="67">
        <v>2393.9499999999998</v>
      </c>
      <c r="D37" s="67">
        <v>2356.7399999999998</v>
      </c>
      <c r="E37" s="67">
        <v>23567.4</v>
      </c>
      <c r="F37" s="67">
        <v>23939.5</v>
      </c>
      <c r="G37" s="67">
        <v>372.1</v>
      </c>
      <c r="H37" s="63">
        <f t="shared" si="0"/>
        <v>1.578875904851617E-2</v>
      </c>
    </row>
    <row r="38" spans="1:8" ht="15.75" thickBot="1">
      <c r="A38" s="55" t="s">
        <v>391</v>
      </c>
      <c r="B38" s="56">
        <v>60</v>
      </c>
      <c r="C38" s="67">
        <v>802.3</v>
      </c>
      <c r="D38" s="67">
        <v>472.53870000000001</v>
      </c>
      <c r="E38" s="67">
        <v>28352.32</v>
      </c>
      <c r="F38" s="67">
        <v>48138</v>
      </c>
      <c r="G38" s="67">
        <v>19785.68</v>
      </c>
      <c r="H38" s="63">
        <f t="shared" si="0"/>
        <v>0.69785047572826497</v>
      </c>
    </row>
    <row r="39" spans="1:8" ht="15.75" thickBot="1">
      <c r="A39" s="55" t="s">
        <v>392</v>
      </c>
      <c r="B39" s="56">
        <v>23</v>
      </c>
      <c r="C39" s="67">
        <v>1480.65</v>
      </c>
      <c r="D39" s="67">
        <v>1448.5235</v>
      </c>
      <c r="E39" s="67">
        <v>33316.04</v>
      </c>
      <c r="F39" s="67">
        <v>34054.949999999997</v>
      </c>
      <c r="G39" s="67">
        <v>738.91</v>
      </c>
      <c r="H39" s="63">
        <f t="shared" si="0"/>
        <v>2.2178806364742027E-2</v>
      </c>
    </row>
    <row r="40" spans="1:8" ht="15.75" thickBot="1">
      <c r="A40" s="55" t="s">
        <v>393</v>
      </c>
      <c r="B40" s="56">
        <v>48</v>
      </c>
      <c r="C40" s="67">
        <v>618.04999999999995</v>
      </c>
      <c r="D40" s="67">
        <v>513.33960000000002</v>
      </c>
      <c r="E40" s="67">
        <v>24640.3</v>
      </c>
      <c r="F40" s="67">
        <v>29666.400000000001</v>
      </c>
      <c r="G40" s="67">
        <v>5026.1000000000004</v>
      </c>
      <c r="H40" s="63">
        <f t="shared" si="0"/>
        <v>0.20397884766013402</v>
      </c>
    </row>
    <row r="41" spans="1:8" ht="15.75" thickBot="1">
      <c r="A41" s="55" t="s">
        <v>394</v>
      </c>
      <c r="B41" s="56">
        <v>33</v>
      </c>
      <c r="C41" s="67">
        <v>1140.05</v>
      </c>
      <c r="D41" s="67">
        <v>1121.5985000000001</v>
      </c>
      <c r="E41" s="67">
        <v>37012.75</v>
      </c>
      <c r="F41" s="67">
        <v>37621.65</v>
      </c>
      <c r="G41" s="67">
        <v>608.9</v>
      </c>
      <c r="H41" s="63">
        <f t="shared" si="0"/>
        <v>1.6451087800825392E-2</v>
      </c>
    </row>
    <row r="42" spans="1:8" ht="15.75" thickBot="1">
      <c r="A42" s="55" t="s">
        <v>395</v>
      </c>
      <c r="B42" s="56">
        <v>12</v>
      </c>
      <c r="C42" s="67">
        <v>1668.6</v>
      </c>
      <c r="D42" s="67">
        <v>1603.6083000000001</v>
      </c>
      <c r="E42" s="67">
        <v>19243.3</v>
      </c>
      <c r="F42" s="67">
        <v>20023.2</v>
      </c>
      <c r="G42" s="67">
        <v>779.9</v>
      </c>
      <c r="H42" s="63">
        <f t="shared" si="0"/>
        <v>4.0528391699968302E-2</v>
      </c>
    </row>
    <row r="43" spans="1:8" ht="15.75" thickBot="1">
      <c r="A43" s="55" t="s">
        <v>445</v>
      </c>
      <c r="B43" s="56">
        <v>20</v>
      </c>
      <c r="C43" s="67">
        <v>2145.6999999999998</v>
      </c>
      <c r="D43" s="67">
        <v>1993.9414999999999</v>
      </c>
      <c r="E43" s="67">
        <v>39878.83</v>
      </c>
      <c r="F43" s="67">
        <v>42914</v>
      </c>
      <c r="G43" s="67">
        <v>3035.17</v>
      </c>
      <c r="H43" s="63">
        <f t="shared" si="0"/>
        <v>7.6109805628700747E-2</v>
      </c>
    </row>
    <row r="44" spans="1:8" ht="15.75" thickBot="1">
      <c r="A44" s="55" t="s">
        <v>396</v>
      </c>
      <c r="B44" s="56">
        <v>705</v>
      </c>
      <c r="C44" s="67">
        <v>223.3</v>
      </c>
      <c r="D44" s="67">
        <v>224.7774</v>
      </c>
      <c r="E44" s="67">
        <v>158468.1</v>
      </c>
      <c r="F44" s="67">
        <v>157426.5</v>
      </c>
      <c r="G44" s="67">
        <v>-1041.5999999999999</v>
      </c>
      <c r="H44" s="63">
        <f t="shared" si="0"/>
        <v>-6.5729317130703265E-3</v>
      </c>
    </row>
    <row r="45" spans="1:8" ht="15.75" thickBot="1">
      <c r="A45" s="55" t="s">
        <v>397</v>
      </c>
      <c r="B45" s="56">
        <v>21</v>
      </c>
      <c r="C45" s="67">
        <v>1676.7</v>
      </c>
      <c r="D45" s="67">
        <v>815.2681</v>
      </c>
      <c r="E45" s="67">
        <v>17120.63</v>
      </c>
      <c r="F45" s="67">
        <v>35210.699999999997</v>
      </c>
      <c r="G45" s="67">
        <v>18090.07</v>
      </c>
      <c r="H45" s="63">
        <f t="shared" si="0"/>
        <v>1.0566240845109087</v>
      </c>
    </row>
    <row r="46" spans="1:8" ht="15.75" thickBot="1">
      <c r="A46" s="55" t="s">
        <v>446</v>
      </c>
      <c r="B46" s="56">
        <v>127</v>
      </c>
      <c r="C46" s="67">
        <v>156.44999999999999</v>
      </c>
      <c r="D46" s="67">
        <v>155.64439999999999</v>
      </c>
      <c r="E46" s="67">
        <v>19766.84</v>
      </c>
      <c r="F46" s="67">
        <v>19869.150000000001</v>
      </c>
      <c r="G46" s="67">
        <v>102.31</v>
      </c>
      <c r="H46" s="63">
        <f t="shared" si="0"/>
        <v>5.1758399420443529E-3</v>
      </c>
    </row>
    <row r="47" spans="1:8" ht="15.75" thickBot="1">
      <c r="A47" s="55" t="s">
        <v>398</v>
      </c>
      <c r="B47" s="56">
        <v>34</v>
      </c>
      <c r="C47" s="67">
        <v>2032.25</v>
      </c>
      <c r="D47" s="67">
        <v>1617.4309000000001</v>
      </c>
      <c r="E47" s="67">
        <v>54992.65</v>
      </c>
      <c r="F47" s="67">
        <v>69096.5</v>
      </c>
      <c r="G47" s="67">
        <v>14103.85</v>
      </c>
      <c r="H47" s="63">
        <f t="shared" si="0"/>
        <v>0.25646790980249179</v>
      </c>
    </row>
    <row r="48" spans="1:8" ht="15.75" thickBot="1">
      <c r="A48" s="55" t="s">
        <v>400</v>
      </c>
      <c r="B48" s="56">
        <v>3</v>
      </c>
      <c r="C48" s="67">
        <v>6679.35</v>
      </c>
      <c r="D48" s="67">
        <v>4623.8167000000003</v>
      </c>
      <c r="E48" s="67">
        <v>13871.45</v>
      </c>
      <c r="F48" s="67">
        <v>20038.05</v>
      </c>
      <c r="G48" s="67">
        <v>6166.6</v>
      </c>
      <c r="H48" s="63">
        <f t="shared" si="0"/>
        <v>0.44455338122546673</v>
      </c>
    </row>
    <row r="49" spans="1:8" ht="15.75" thickBot="1">
      <c r="A49" s="55" t="s">
        <v>401</v>
      </c>
      <c r="B49" s="56">
        <v>62</v>
      </c>
      <c r="C49" s="67">
        <v>1766.8</v>
      </c>
      <c r="D49" s="67">
        <v>1053.2161000000001</v>
      </c>
      <c r="E49" s="67">
        <v>65299.4</v>
      </c>
      <c r="F49" s="67">
        <v>109541.6</v>
      </c>
      <c r="G49" s="67">
        <v>44242.2</v>
      </c>
      <c r="H49" s="63">
        <f t="shared" si="0"/>
        <v>0.67752843058282308</v>
      </c>
    </row>
    <row r="50" spans="1:8" ht="15.75" thickBot="1">
      <c r="A50" s="55" t="s">
        <v>462</v>
      </c>
      <c r="B50" s="56">
        <v>383</v>
      </c>
      <c r="C50" s="67">
        <v>69.5</v>
      </c>
      <c r="D50" s="67">
        <v>61.524700000000003</v>
      </c>
      <c r="E50" s="67">
        <v>23563.95</v>
      </c>
      <c r="F50" s="67">
        <v>26618.5</v>
      </c>
      <c r="G50" s="67">
        <v>3054.55</v>
      </c>
      <c r="H50" s="63">
        <f t="shared" si="0"/>
        <v>0.12962809715688584</v>
      </c>
    </row>
    <row r="51" spans="1:8" ht="15.75" thickBot="1">
      <c r="A51" s="55" t="s">
        <v>463</v>
      </c>
      <c r="B51" s="56">
        <v>79</v>
      </c>
      <c r="C51" s="67">
        <v>492.75</v>
      </c>
      <c r="D51" s="67">
        <v>326.61</v>
      </c>
      <c r="E51" s="67">
        <v>25802.19</v>
      </c>
      <c r="F51" s="67">
        <v>38927.25</v>
      </c>
      <c r="G51" s="67">
        <v>13125.06</v>
      </c>
      <c r="H51" s="63">
        <f t="shared" si="0"/>
        <v>0.50868007715624142</v>
      </c>
    </row>
    <row r="52" spans="1:8" ht="15.75" thickBot="1">
      <c r="A52" s="55" t="s">
        <v>402</v>
      </c>
      <c r="B52" s="56">
        <v>18</v>
      </c>
      <c r="C52" s="67">
        <v>883.8</v>
      </c>
      <c r="D52" s="67">
        <v>744.52779999999996</v>
      </c>
      <c r="E52" s="67">
        <v>13401.5</v>
      </c>
      <c r="F52" s="67">
        <v>15908.4</v>
      </c>
      <c r="G52" s="67">
        <v>2506.9</v>
      </c>
      <c r="H52" s="63">
        <f t="shared" si="0"/>
        <v>0.18706114987128308</v>
      </c>
    </row>
    <row r="53" spans="1:8" ht="15.75" thickBot="1">
      <c r="A53" s="55" t="s">
        <v>403</v>
      </c>
      <c r="B53" s="56">
        <v>66</v>
      </c>
      <c r="C53" s="67">
        <v>266.39999999999998</v>
      </c>
      <c r="D53" s="67">
        <v>174.00120000000001</v>
      </c>
      <c r="E53" s="67">
        <v>11484.08</v>
      </c>
      <c r="F53" s="67">
        <v>17582.400000000001</v>
      </c>
      <c r="G53" s="67">
        <v>6098.32</v>
      </c>
      <c r="H53" s="63">
        <f t="shared" si="0"/>
        <v>0.53102381731928028</v>
      </c>
    </row>
    <row r="54" spans="1:8" ht="15.75" thickBot="1">
      <c r="A54" s="55" t="s">
        <v>404</v>
      </c>
      <c r="B54" s="56">
        <v>47</v>
      </c>
      <c r="C54" s="67">
        <v>568.79999999999995</v>
      </c>
      <c r="D54" s="67">
        <v>447.3415</v>
      </c>
      <c r="E54" s="67">
        <v>21025.05</v>
      </c>
      <c r="F54" s="67">
        <v>26733.599999999999</v>
      </c>
      <c r="G54" s="67">
        <v>5708.55</v>
      </c>
      <c r="H54" s="63">
        <f t="shared" si="0"/>
        <v>0.2715118394486577</v>
      </c>
    </row>
    <row r="55" spans="1:8" ht="15.75" thickBot="1">
      <c r="A55" s="55" t="s">
        <v>405</v>
      </c>
      <c r="B55" s="56">
        <v>20</v>
      </c>
      <c r="C55" s="67">
        <v>779.35</v>
      </c>
      <c r="D55" s="67">
        <v>489.62150000000003</v>
      </c>
      <c r="E55" s="67">
        <v>9792.43</v>
      </c>
      <c r="F55" s="67">
        <v>15587</v>
      </c>
      <c r="G55" s="67">
        <v>5794.57</v>
      </c>
      <c r="H55" s="63">
        <f t="shared" si="0"/>
        <v>0.59173974182097799</v>
      </c>
    </row>
    <row r="56" spans="1:8" ht="15.75" thickBot="1">
      <c r="A56" s="55" t="s">
        <v>448</v>
      </c>
      <c r="B56" s="56">
        <v>53</v>
      </c>
      <c r="C56" s="67">
        <v>223.5</v>
      </c>
      <c r="D56" s="67">
        <v>177.1764</v>
      </c>
      <c r="E56" s="67">
        <v>9390.35</v>
      </c>
      <c r="F56" s="67">
        <v>11845.5</v>
      </c>
      <c r="G56" s="67">
        <v>2455.15</v>
      </c>
      <c r="H56" s="63">
        <f t="shared" si="0"/>
        <v>0.2614545783703483</v>
      </c>
    </row>
    <row r="57" spans="1:8" ht="15.75" thickBot="1">
      <c r="A57" s="55" t="s">
        <v>408</v>
      </c>
      <c r="B57" s="56">
        <v>5</v>
      </c>
      <c r="C57" s="67">
        <v>3235.3</v>
      </c>
      <c r="D57" s="67">
        <v>2360.5100000000002</v>
      </c>
      <c r="E57" s="67">
        <v>11802.55</v>
      </c>
      <c r="F57" s="67">
        <v>16176.5</v>
      </c>
      <c r="G57" s="67">
        <v>4373.95</v>
      </c>
      <c r="H57" s="63">
        <f t="shared" si="0"/>
        <v>0.37059364289920399</v>
      </c>
    </row>
    <row r="58" spans="1:8" ht="15.75" thickBot="1">
      <c r="A58" s="55" t="s">
        <v>409</v>
      </c>
      <c r="B58" s="56">
        <v>267</v>
      </c>
      <c r="C58" s="67">
        <v>96.95</v>
      </c>
      <c r="D58" s="67">
        <v>96.45</v>
      </c>
      <c r="E58" s="67">
        <v>25752.15</v>
      </c>
      <c r="F58" s="67">
        <v>25885.65</v>
      </c>
      <c r="G58" s="67">
        <v>133.5</v>
      </c>
      <c r="H58" s="63">
        <f t="shared" si="0"/>
        <v>5.184033177812338E-3</v>
      </c>
    </row>
    <row r="59" spans="1:8" ht="15.75" thickBot="1">
      <c r="A59" s="55" t="s">
        <v>464</v>
      </c>
      <c r="B59" s="56">
        <v>171</v>
      </c>
      <c r="C59" s="67">
        <v>143.05000000000001</v>
      </c>
      <c r="D59" s="67">
        <v>150.5</v>
      </c>
      <c r="E59" s="67">
        <v>25735.5</v>
      </c>
      <c r="F59" s="67">
        <v>24461.55</v>
      </c>
      <c r="G59" s="67">
        <v>-1273.95</v>
      </c>
      <c r="H59" s="63">
        <f t="shared" si="0"/>
        <v>-4.9501661129568109E-2</v>
      </c>
    </row>
    <row r="60" spans="1:8" ht="15.75" thickBot="1">
      <c r="A60" s="55" t="s">
        <v>410</v>
      </c>
      <c r="B60" s="56">
        <v>80</v>
      </c>
      <c r="C60" s="67">
        <v>905.55</v>
      </c>
      <c r="D60" s="67">
        <v>378.7287</v>
      </c>
      <c r="E60" s="67">
        <v>30298.3</v>
      </c>
      <c r="F60" s="67">
        <v>72444</v>
      </c>
      <c r="G60" s="67">
        <v>42145.7</v>
      </c>
      <c r="H60" s="63">
        <f t="shared" si="0"/>
        <v>1.3910252390398141</v>
      </c>
    </row>
    <row r="61" spans="1:8" ht="15.75" thickBot="1">
      <c r="A61" s="55" t="s">
        <v>411</v>
      </c>
      <c r="B61" s="56">
        <v>300</v>
      </c>
      <c r="C61" s="67">
        <v>148.94999999999999</v>
      </c>
      <c r="D61" s="67">
        <v>82.333299999999994</v>
      </c>
      <c r="E61" s="67">
        <v>24700</v>
      </c>
      <c r="F61" s="67">
        <v>44685</v>
      </c>
      <c r="G61" s="67">
        <v>19985</v>
      </c>
      <c r="H61" s="63">
        <f t="shared" si="0"/>
        <v>0.80910931174089074</v>
      </c>
    </row>
    <row r="62" spans="1:8" ht="15.75" thickBot="1">
      <c r="A62" s="55" t="s">
        <v>413</v>
      </c>
      <c r="B62" s="56">
        <v>7</v>
      </c>
      <c r="C62" s="67">
        <v>4425.2</v>
      </c>
      <c r="D62" s="67">
        <v>4154.5142999999998</v>
      </c>
      <c r="E62" s="67">
        <v>29081.599999999999</v>
      </c>
      <c r="F62" s="67">
        <v>30976.400000000001</v>
      </c>
      <c r="G62" s="67">
        <v>1894.8</v>
      </c>
      <c r="H62" s="63">
        <f t="shared" si="0"/>
        <v>6.5154599471830985E-2</v>
      </c>
    </row>
    <row r="63" spans="1:8" ht="15.75" thickBot="1">
      <c r="A63" s="55" t="s">
        <v>414</v>
      </c>
      <c r="B63" s="56">
        <v>4</v>
      </c>
      <c r="C63" s="67">
        <v>3933.65</v>
      </c>
      <c r="D63" s="67">
        <v>2774.5124999999998</v>
      </c>
      <c r="E63" s="67">
        <v>11098.05</v>
      </c>
      <c r="F63" s="67">
        <v>15734.6</v>
      </c>
      <c r="G63" s="67">
        <v>4636.55</v>
      </c>
      <c r="H63" s="63">
        <f t="shared" si="0"/>
        <v>0.4177806010965891</v>
      </c>
    </row>
    <row r="64" spans="1:8" ht="15.75" thickBot="1">
      <c r="A64" s="55" t="s">
        <v>415</v>
      </c>
      <c r="B64" s="56">
        <v>31</v>
      </c>
      <c r="C64" s="67">
        <v>962.7</v>
      </c>
      <c r="D64" s="67">
        <v>834.73680000000002</v>
      </c>
      <c r="E64" s="67">
        <v>25876.84</v>
      </c>
      <c r="F64" s="67">
        <v>29843.7</v>
      </c>
      <c r="G64" s="67">
        <v>3966.86</v>
      </c>
      <c r="H64" s="63">
        <f t="shared" si="0"/>
        <v>0.15329769786419054</v>
      </c>
    </row>
    <row r="65" spans="1:8" ht="15.75" thickBot="1">
      <c r="A65" s="55" t="s">
        <v>450</v>
      </c>
      <c r="B65" s="56">
        <v>16</v>
      </c>
      <c r="C65" s="67">
        <v>1687.2</v>
      </c>
      <c r="D65" s="67">
        <v>528.10630000000003</v>
      </c>
      <c r="E65" s="67">
        <v>8449.7000000000007</v>
      </c>
      <c r="F65" s="67">
        <v>26995.200000000001</v>
      </c>
      <c r="G65" s="67">
        <v>18545.5</v>
      </c>
      <c r="H65" s="63">
        <f t="shared" si="0"/>
        <v>2.1948116501177553</v>
      </c>
    </row>
    <row r="66" spans="1:8" ht="15.75" thickBot="1">
      <c r="A66" s="55" t="s">
        <v>420</v>
      </c>
      <c r="B66" s="56">
        <v>33</v>
      </c>
      <c r="C66" s="67">
        <v>1145.7</v>
      </c>
      <c r="D66" s="67">
        <v>915.71669999999995</v>
      </c>
      <c r="E66" s="67">
        <v>30218.65</v>
      </c>
      <c r="F66" s="67">
        <v>37808.1</v>
      </c>
      <c r="G66" s="67">
        <v>7589.45</v>
      </c>
      <c r="H66" s="63">
        <f t="shared" si="0"/>
        <v>0.25115119305462025</v>
      </c>
    </row>
    <row r="67" spans="1:8" ht="15.75" thickBot="1">
      <c r="A67" s="55" t="s">
        <v>421</v>
      </c>
      <c r="B67" s="56">
        <v>35</v>
      </c>
      <c r="C67" s="67">
        <v>2184.4</v>
      </c>
      <c r="D67" s="67">
        <v>984.23</v>
      </c>
      <c r="E67" s="67">
        <v>34448.050000000003</v>
      </c>
      <c r="F67" s="67">
        <v>76454</v>
      </c>
      <c r="G67" s="67">
        <v>42005.95</v>
      </c>
      <c r="H67" s="63">
        <f t="shared" ref="H67:H85" si="1">G67/E67</f>
        <v>1.2193999370065938</v>
      </c>
    </row>
    <row r="68" spans="1:8" ht="15.75" thickBot="1">
      <c r="A68" s="55" t="s">
        <v>423</v>
      </c>
      <c r="B68" s="56">
        <v>23</v>
      </c>
      <c r="C68" s="67">
        <v>768.7</v>
      </c>
      <c r="D68" s="67">
        <v>535.65650000000005</v>
      </c>
      <c r="E68" s="67">
        <v>12320.1</v>
      </c>
      <c r="F68" s="67">
        <v>17680.099999999999</v>
      </c>
      <c r="G68" s="67">
        <v>5360</v>
      </c>
      <c r="H68" s="63">
        <f t="shared" si="1"/>
        <v>0.4350614037223724</v>
      </c>
    </row>
    <row r="69" spans="1:8" ht="15.75" thickBot="1">
      <c r="A69" s="55" t="s">
        <v>425</v>
      </c>
      <c r="B69" s="56">
        <v>96</v>
      </c>
      <c r="C69" s="67">
        <v>502.4</v>
      </c>
      <c r="D69" s="67">
        <v>255.35470000000001</v>
      </c>
      <c r="E69" s="67">
        <v>24514.05</v>
      </c>
      <c r="F69" s="67">
        <v>48230.400000000001</v>
      </c>
      <c r="G69" s="67">
        <v>23716.35</v>
      </c>
      <c r="H69" s="63">
        <f t="shared" si="1"/>
        <v>0.96745947732014903</v>
      </c>
    </row>
    <row r="70" spans="1:8" ht="15.75" thickBot="1">
      <c r="A70" s="55" t="s">
        <v>426</v>
      </c>
      <c r="B70" s="56">
        <v>139</v>
      </c>
      <c r="C70" s="67">
        <v>794.4</v>
      </c>
      <c r="D70" s="67">
        <v>476.89420000000001</v>
      </c>
      <c r="E70" s="67">
        <v>66288.3</v>
      </c>
      <c r="F70" s="67">
        <v>110421.6</v>
      </c>
      <c r="G70" s="67">
        <v>44133.3</v>
      </c>
      <c r="H70" s="63">
        <f t="shared" si="1"/>
        <v>0.66577812374129375</v>
      </c>
    </row>
    <row r="71" spans="1:8" ht="15.75" thickBot="1">
      <c r="A71" s="55" t="s">
        <v>427</v>
      </c>
      <c r="B71" s="56">
        <v>23</v>
      </c>
      <c r="C71" s="67">
        <v>832.85</v>
      </c>
      <c r="D71" s="67">
        <v>632.7165</v>
      </c>
      <c r="E71" s="67">
        <v>14552.48</v>
      </c>
      <c r="F71" s="67">
        <v>19155.55</v>
      </c>
      <c r="G71" s="67">
        <v>4603.07</v>
      </c>
      <c r="H71" s="63">
        <f t="shared" si="1"/>
        <v>0.31630828559805613</v>
      </c>
    </row>
    <row r="72" spans="1:8" ht="15.75" thickBot="1">
      <c r="A72" s="55" t="s">
        <v>428</v>
      </c>
      <c r="B72" s="56">
        <v>51</v>
      </c>
      <c r="C72" s="67">
        <v>460.45</v>
      </c>
      <c r="D72" s="67">
        <v>345.87490000000003</v>
      </c>
      <c r="E72" s="67">
        <v>17639.62</v>
      </c>
      <c r="F72" s="67">
        <v>23482.95</v>
      </c>
      <c r="G72" s="67">
        <v>5843.33</v>
      </c>
      <c r="H72" s="63">
        <f t="shared" si="1"/>
        <v>0.33126167116978711</v>
      </c>
    </row>
    <row r="73" spans="1:8" ht="15.75" thickBot="1">
      <c r="A73" s="55" t="s">
        <v>429</v>
      </c>
      <c r="B73" s="56">
        <v>58</v>
      </c>
      <c r="C73" s="67">
        <v>344.75</v>
      </c>
      <c r="D73" s="67">
        <v>236.09950000000001</v>
      </c>
      <c r="E73" s="67">
        <v>13693.77</v>
      </c>
      <c r="F73" s="67">
        <v>19995.5</v>
      </c>
      <c r="G73" s="67">
        <v>6301.73</v>
      </c>
      <c r="H73" s="63">
        <f t="shared" si="1"/>
        <v>0.46018956065422445</v>
      </c>
    </row>
    <row r="74" spans="1:8" ht="15.75" thickBot="1">
      <c r="A74" s="55" t="s">
        <v>430</v>
      </c>
      <c r="B74" s="56">
        <v>57</v>
      </c>
      <c r="C74" s="67">
        <v>540.75</v>
      </c>
      <c r="D74" s="67">
        <v>468.04349999999999</v>
      </c>
      <c r="E74" s="67">
        <v>26678.48</v>
      </c>
      <c r="F74" s="67">
        <v>30822.75</v>
      </c>
      <c r="G74" s="67">
        <v>4144.2700000000004</v>
      </c>
      <c r="H74" s="63">
        <f t="shared" si="1"/>
        <v>0.15534130880020153</v>
      </c>
    </row>
    <row r="75" spans="1:8" ht="15.75" thickBot="1">
      <c r="A75" s="55" t="s">
        <v>431</v>
      </c>
      <c r="B75" s="56">
        <v>7</v>
      </c>
      <c r="C75" s="67">
        <v>3398.8</v>
      </c>
      <c r="D75" s="67">
        <v>3411.2642999999998</v>
      </c>
      <c r="E75" s="67">
        <v>23878.85</v>
      </c>
      <c r="F75" s="67">
        <v>23791.599999999999</v>
      </c>
      <c r="G75" s="67">
        <v>-87.25</v>
      </c>
      <c r="H75" s="63">
        <f t="shared" si="1"/>
        <v>-3.6538610527726422E-3</v>
      </c>
    </row>
    <row r="76" spans="1:8" ht="15.75" thickBot="1">
      <c r="A76" s="55" t="s">
        <v>432</v>
      </c>
      <c r="B76" s="56">
        <v>21</v>
      </c>
      <c r="C76" s="67">
        <v>809.15</v>
      </c>
      <c r="D76" s="67">
        <v>651.79520000000002</v>
      </c>
      <c r="E76" s="67">
        <v>13687.7</v>
      </c>
      <c r="F76" s="67">
        <v>16992.150000000001</v>
      </c>
      <c r="G76" s="67">
        <v>3304.45</v>
      </c>
      <c r="H76" s="63">
        <f t="shared" si="1"/>
        <v>0.24141747700490218</v>
      </c>
    </row>
    <row r="77" spans="1:8" ht="15.75" thickBot="1">
      <c r="A77" s="55" t="s">
        <v>433</v>
      </c>
      <c r="B77" s="56">
        <v>775</v>
      </c>
      <c r="C77" s="67">
        <v>246</v>
      </c>
      <c r="D77" s="67">
        <v>99.291600000000003</v>
      </c>
      <c r="E77" s="67">
        <v>76951</v>
      </c>
      <c r="F77" s="67">
        <v>190650</v>
      </c>
      <c r="G77" s="67">
        <v>113699</v>
      </c>
      <c r="H77" s="63">
        <f t="shared" si="1"/>
        <v>1.4775506491143715</v>
      </c>
    </row>
    <row r="78" spans="1:8" ht="15.75" thickBot="1">
      <c r="A78" s="55" t="s">
        <v>434</v>
      </c>
      <c r="B78" s="56">
        <v>105</v>
      </c>
      <c r="C78" s="67">
        <v>1316.65</v>
      </c>
      <c r="D78" s="67">
        <v>404.76429999999999</v>
      </c>
      <c r="E78" s="67">
        <v>42500.25</v>
      </c>
      <c r="F78" s="67">
        <v>138248.25</v>
      </c>
      <c r="G78" s="67">
        <v>95748</v>
      </c>
      <c r="H78" s="63">
        <f t="shared" si="1"/>
        <v>2.2528808654066741</v>
      </c>
    </row>
    <row r="79" spans="1:8" ht="15.75" thickBot="1">
      <c r="A79" s="55" t="s">
        <v>435</v>
      </c>
      <c r="B79" s="56">
        <v>14</v>
      </c>
      <c r="C79" s="67">
        <v>1478.75</v>
      </c>
      <c r="D79" s="67">
        <v>1209.1143</v>
      </c>
      <c r="E79" s="67">
        <v>16927.599999999999</v>
      </c>
      <c r="F79" s="67">
        <v>20702.5</v>
      </c>
      <c r="G79" s="67">
        <v>3774.9</v>
      </c>
      <c r="H79" s="63">
        <f t="shared" si="1"/>
        <v>0.22300267019542053</v>
      </c>
    </row>
    <row r="80" spans="1:8" ht="15.75" thickBot="1">
      <c r="A80" s="55" t="s">
        <v>438</v>
      </c>
      <c r="B80" s="56">
        <v>29</v>
      </c>
      <c r="C80" s="67">
        <v>850.85</v>
      </c>
      <c r="D80" s="67">
        <v>712.35659999999996</v>
      </c>
      <c r="E80" s="67">
        <v>20658.34</v>
      </c>
      <c r="F80" s="67">
        <v>24674.65</v>
      </c>
      <c r="G80" s="67">
        <v>4016.31</v>
      </c>
      <c r="H80" s="63">
        <f t="shared" si="1"/>
        <v>0.19441591144302978</v>
      </c>
    </row>
    <row r="81" spans="1:8" ht="15.75" thickBot="1">
      <c r="A81" s="55" t="s">
        <v>465</v>
      </c>
      <c r="B81" s="56">
        <v>209</v>
      </c>
      <c r="C81" s="67">
        <v>133.5</v>
      </c>
      <c r="D81" s="67">
        <v>123.35</v>
      </c>
      <c r="E81" s="67">
        <v>25780.15</v>
      </c>
      <c r="F81" s="67">
        <v>27901.5</v>
      </c>
      <c r="G81" s="67">
        <v>2121.35</v>
      </c>
      <c r="H81" s="63">
        <f t="shared" si="1"/>
        <v>8.2286177543575187E-2</v>
      </c>
    </row>
    <row r="82" spans="1:8" ht="15.75" thickBot="1">
      <c r="A82" s="55" t="s">
        <v>453</v>
      </c>
      <c r="B82" s="56">
        <v>24</v>
      </c>
      <c r="C82" s="67">
        <v>646.45000000000005</v>
      </c>
      <c r="D82" s="67">
        <v>594.85</v>
      </c>
      <c r="E82" s="67">
        <v>14276.4</v>
      </c>
      <c r="F82" s="67">
        <v>15514.8</v>
      </c>
      <c r="G82" s="67">
        <v>1238.4000000000001</v>
      </c>
      <c r="H82" s="63">
        <f t="shared" si="1"/>
        <v>8.6744557451458357E-2</v>
      </c>
    </row>
    <row r="83" spans="1:8" ht="15.75" thickBot="1">
      <c r="A83" s="55" t="s">
        <v>439</v>
      </c>
      <c r="B83" s="56">
        <v>525</v>
      </c>
      <c r="C83" s="67">
        <v>12.8</v>
      </c>
      <c r="D83" s="67">
        <v>38.966700000000003</v>
      </c>
      <c r="E83" s="67">
        <v>20457.5</v>
      </c>
      <c r="F83" s="67">
        <v>6720</v>
      </c>
      <c r="G83" s="67">
        <v>-13737.5</v>
      </c>
      <c r="H83" s="63">
        <f t="shared" si="1"/>
        <v>-0.67151411462788713</v>
      </c>
    </row>
    <row r="84" spans="1:8" ht="15.75" thickBot="1">
      <c r="A84" s="55" t="s">
        <v>440</v>
      </c>
      <c r="B84" s="56">
        <v>14</v>
      </c>
      <c r="C84" s="67">
        <v>2057.6999999999998</v>
      </c>
      <c r="D84" s="67">
        <v>2041.4242999999999</v>
      </c>
      <c r="E84" s="67">
        <v>28579.94</v>
      </c>
      <c r="F84" s="67">
        <v>28807.8</v>
      </c>
      <c r="G84" s="67">
        <v>227.86</v>
      </c>
      <c r="H84" s="63">
        <f t="shared" si="1"/>
        <v>7.9727249252447702E-3</v>
      </c>
    </row>
    <row r="85" spans="1:8" ht="18.75" thickBot="1">
      <c r="A85" s="44" t="s">
        <v>11</v>
      </c>
      <c r="B85" s="44">
        <f>SUM(B2:B84)</f>
        <v>8018</v>
      </c>
      <c r="C85" s="44"/>
      <c r="D85" s="44"/>
      <c r="E85" s="45">
        <f>SUM(E2:E84)</f>
        <v>2461185.7100000004</v>
      </c>
      <c r="F85" s="45">
        <f>SUM(F2:F84)</f>
        <v>3326025.4999999995</v>
      </c>
      <c r="G85" s="45">
        <f>SUM(G2:G84)</f>
        <v>864839.79</v>
      </c>
      <c r="H85" s="64">
        <f t="shared" si="1"/>
        <v>0.35139152095922088</v>
      </c>
    </row>
    <row r="86" spans="1:8" ht="15.75" thickTop="1"/>
  </sheetData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63E3-D196-41AA-BF18-0CDD24B4F7F6}">
  <dimension ref="A1:I15"/>
  <sheetViews>
    <sheetView workbookViewId="0">
      <selection activeCell="A15" sqref="A15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 ht="15.75" thickBot="1">
      <c r="A2" s="55" t="s">
        <v>234</v>
      </c>
      <c r="B2" s="57" t="s">
        <v>235</v>
      </c>
      <c r="C2" s="67">
        <v>2725.3719999999998</v>
      </c>
      <c r="D2" s="67">
        <v>77.86</v>
      </c>
      <c r="E2" s="67">
        <v>66.0428</v>
      </c>
      <c r="F2" s="67">
        <v>179991.1251</v>
      </c>
      <c r="G2" s="67">
        <v>212197.4639</v>
      </c>
      <c r="H2" s="67">
        <v>32206.338899999999</v>
      </c>
      <c r="I2" s="1">
        <f>H2/F2</f>
        <v>0.17893292728797991</v>
      </c>
    </row>
    <row r="3" spans="1:9" ht="15.75" thickBot="1">
      <c r="A3" s="55" t="s">
        <v>236</v>
      </c>
      <c r="B3" s="57" t="s">
        <v>237</v>
      </c>
      <c r="C3" s="67">
        <v>10424.175999999999</v>
      </c>
      <c r="D3" s="67">
        <v>64.7</v>
      </c>
      <c r="E3" s="67">
        <v>40.289000000000001</v>
      </c>
      <c r="F3" s="67">
        <v>419979.94429999997</v>
      </c>
      <c r="G3" s="67">
        <v>674444.18720000004</v>
      </c>
      <c r="H3" s="67">
        <v>254464.24290000001</v>
      </c>
      <c r="I3" s="1">
        <f t="shared" ref="I3:I14" si="0">H3/F3</f>
        <v>0.60589617755230518</v>
      </c>
    </row>
    <row r="4" spans="1:9" ht="15.75" thickBot="1">
      <c r="A4" s="55" t="s">
        <v>454</v>
      </c>
      <c r="B4" s="57" t="s">
        <v>269</v>
      </c>
      <c r="C4" s="67">
        <v>106.358</v>
      </c>
      <c r="D4" s="67">
        <v>3150.6201000000001</v>
      </c>
      <c r="E4" s="67">
        <v>3134.3620999999998</v>
      </c>
      <c r="F4" s="67">
        <v>333364.48509999999</v>
      </c>
      <c r="G4" s="67">
        <v>335093.65259999997</v>
      </c>
      <c r="H4" s="67">
        <v>1729.1675</v>
      </c>
      <c r="I4" s="1">
        <f t="shared" si="0"/>
        <v>5.1870177457004705E-3</v>
      </c>
    </row>
    <row r="5" spans="1:9" ht="15.75" thickBot="1">
      <c r="A5" s="55" t="s">
        <v>441</v>
      </c>
      <c r="B5" s="57" t="s">
        <v>241</v>
      </c>
      <c r="C5" s="67">
        <v>1857.5519999999999</v>
      </c>
      <c r="D5" s="67">
        <v>541.88310000000001</v>
      </c>
      <c r="E5" s="67">
        <v>366.02140000000003</v>
      </c>
      <c r="F5" s="67">
        <v>679903.69869999995</v>
      </c>
      <c r="G5" s="67">
        <v>1006576.0362</v>
      </c>
      <c r="H5" s="67">
        <v>326672.33750000002</v>
      </c>
      <c r="I5" s="1">
        <f t="shared" si="0"/>
        <v>0.48046854006620227</v>
      </c>
    </row>
    <row r="6" spans="1:9" ht="15.75" thickBot="1">
      <c r="A6" s="55" t="s">
        <v>242</v>
      </c>
      <c r="B6" s="57" t="s">
        <v>237</v>
      </c>
      <c r="C6" s="67">
        <v>5856.576</v>
      </c>
      <c r="D6" s="67">
        <v>80.397999999999996</v>
      </c>
      <c r="E6" s="67">
        <v>44.3917</v>
      </c>
      <c r="F6" s="67">
        <v>259983.36480000001</v>
      </c>
      <c r="G6" s="67">
        <v>470856.99719999998</v>
      </c>
      <c r="H6" s="67">
        <v>210873.6324</v>
      </c>
      <c r="I6" s="1">
        <f t="shared" si="0"/>
        <v>0.81110432801045118</v>
      </c>
    </row>
    <row r="7" spans="1:9" ht="15.75" thickBot="1">
      <c r="A7" s="55" t="s">
        <v>272</v>
      </c>
      <c r="B7" s="57" t="s">
        <v>235</v>
      </c>
      <c r="C7" s="67">
        <v>6641.4979999999996</v>
      </c>
      <c r="D7" s="67">
        <v>78.900000000000006</v>
      </c>
      <c r="E7" s="67">
        <v>41.7624</v>
      </c>
      <c r="F7" s="67">
        <v>277364.96380000003</v>
      </c>
      <c r="G7" s="67">
        <v>524014.19219999999</v>
      </c>
      <c r="H7" s="67">
        <v>246649.22839999999</v>
      </c>
      <c r="I7" s="1">
        <f t="shared" si="0"/>
        <v>0.88925877667033582</v>
      </c>
    </row>
    <row r="8" spans="1:9" ht="15.75" thickBot="1">
      <c r="A8" s="55" t="s">
        <v>244</v>
      </c>
      <c r="B8" s="57" t="s">
        <v>233</v>
      </c>
      <c r="C8" s="67">
        <v>1697.7670000000001</v>
      </c>
      <c r="D8" s="67">
        <v>24.7197</v>
      </c>
      <c r="E8" s="67">
        <v>23.559200000000001</v>
      </c>
      <c r="F8" s="67">
        <v>39997.993900000001</v>
      </c>
      <c r="G8" s="67">
        <v>41968.2909</v>
      </c>
      <c r="H8" s="67">
        <v>1970.2971</v>
      </c>
      <c r="I8" s="1">
        <f t="shared" si="0"/>
        <v>4.9259898007034793E-2</v>
      </c>
    </row>
    <row r="9" spans="1:9" ht="15.75" thickBot="1">
      <c r="A9" s="55" t="s">
        <v>246</v>
      </c>
      <c r="B9" s="57" t="s">
        <v>241</v>
      </c>
      <c r="C9" s="67">
        <v>1816.866</v>
      </c>
      <c r="D9" s="67">
        <v>11.1243</v>
      </c>
      <c r="E9" s="67">
        <v>11.2826</v>
      </c>
      <c r="F9" s="67">
        <v>20498.984799999998</v>
      </c>
      <c r="G9" s="67">
        <v>20211.362400000002</v>
      </c>
      <c r="H9" s="67">
        <v>-287.6223</v>
      </c>
      <c r="I9" s="1">
        <f t="shared" si="0"/>
        <v>-1.4031050942581313E-2</v>
      </c>
    </row>
    <row r="10" spans="1:9" ht="15.75" thickBot="1">
      <c r="A10" s="55" t="s">
        <v>250</v>
      </c>
      <c r="B10" s="57" t="s">
        <v>251</v>
      </c>
      <c r="C10" s="67">
        <v>9759.9590000000007</v>
      </c>
      <c r="D10" s="67">
        <v>53.143799999999999</v>
      </c>
      <c r="E10" s="67">
        <v>36.470300000000002</v>
      </c>
      <c r="F10" s="67">
        <v>355948.45990000002</v>
      </c>
      <c r="G10" s="67">
        <v>518681.30910000001</v>
      </c>
      <c r="H10" s="67">
        <v>162732.8492</v>
      </c>
      <c r="I10" s="1">
        <f t="shared" si="0"/>
        <v>0.45718093357032108</v>
      </c>
    </row>
    <row r="11" spans="1:9" ht="15.75" thickBot="1">
      <c r="A11" s="55" t="s">
        <v>274</v>
      </c>
      <c r="B11" s="57" t="s">
        <v>233</v>
      </c>
      <c r="C11" s="67">
        <v>5399.8710000000001</v>
      </c>
      <c r="D11" s="67">
        <v>43.8</v>
      </c>
      <c r="E11" s="67">
        <v>37.036200000000001</v>
      </c>
      <c r="F11" s="67">
        <v>199990.82519999999</v>
      </c>
      <c r="G11" s="67">
        <v>236514.3498</v>
      </c>
      <c r="H11" s="67">
        <v>36523.524599999997</v>
      </c>
      <c r="I11" s="1">
        <f t="shared" si="0"/>
        <v>0.18262600078516</v>
      </c>
    </row>
    <row r="12" spans="1:9" ht="15.75" thickBot="1">
      <c r="A12" s="55" t="s">
        <v>455</v>
      </c>
      <c r="B12" s="57" t="s">
        <v>241</v>
      </c>
      <c r="C12" s="67">
        <v>197.84399999999999</v>
      </c>
      <c r="D12" s="67">
        <v>152.34280000000001</v>
      </c>
      <c r="E12" s="67">
        <v>126.3557</v>
      </c>
      <c r="F12" s="67">
        <v>24998.7091</v>
      </c>
      <c r="G12" s="67">
        <v>30140.108899999999</v>
      </c>
      <c r="H12" s="67">
        <v>5141.3998000000001</v>
      </c>
      <c r="I12" s="1">
        <f t="shared" si="0"/>
        <v>0.20566661180116697</v>
      </c>
    </row>
    <row r="13" spans="1:9">
      <c r="A13" s="55" t="s">
        <v>255</v>
      </c>
      <c r="B13" s="57" t="s">
        <v>241</v>
      </c>
      <c r="C13" s="67">
        <v>18996.168000000001</v>
      </c>
      <c r="D13" s="67">
        <v>15.2395</v>
      </c>
      <c r="E13" s="67">
        <v>9.4700000000000006</v>
      </c>
      <c r="F13" s="67">
        <v>179893.71100000001</v>
      </c>
      <c r="G13" s="67">
        <v>289492.10220000002</v>
      </c>
      <c r="H13" s="67">
        <v>109598.3913</v>
      </c>
      <c r="I13" s="1">
        <f t="shared" si="0"/>
        <v>0.60923970432740693</v>
      </c>
    </row>
    <row r="14" spans="1:9" ht="15.75" thickBot="1">
      <c r="A14" s="74" t="s">
        <v>11</v>
      </c>
      <c r="B14" s="75"/>
      <c r="C14" s="75">
        <f>SUM(C2:C13)</f>
        <v>65480.006999999998</v>
      </c>
      <c r="D14" s="75"/>
      <c r="E14" s="75"/>
      <c r="F14" s="75">
        <f t="shared" ref="F14:H14" si="1">SUM(F2:F13)</f>
        <v>2971916.2657000003</v>
      </c>
      <c r="G14" s="75">
        <f t="shared" si="1"/>
        <v>4360190.0526000001</v>
      </c>
      <c r="H14" s="75">
        <f t="shared" si="1"/>
        <v>1388273.7873</v>
      </c>
      <c r="I14" s="53">
        <f t="shared" si="0"/>
        <v>0.4671308553752298</v>
      </c>
    </row>
    <row r="15" spans="1:9" ht="15.75" thickTop="1"/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3C82-067B-4CEF-9974-99F122B9C710}">
  <dimension ref="A1:H86"/>
  <sheetViews>
    <sheetView topLeftCell="A60" workbookViewId="0">
      <selection activeCell="G85" sqref="G85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 ht="15.75" thickBot="1">
      <c r="A2" s="55" t="s">
        <v>352</v>
      </c>
      <c r="B2" s="56">
        <v>25</v>
      </c>
      <c r="C2" s="67">
        <v>2263.6</v>
      </c>
      <c r="D2" s="67">
        <v>1753.0652</v>
      </c>
      <c r="E2" s="67">
        <v>43826.63</v>
      </c>
      <c r="F2" s="67">
        <v>56590</v>
      </c>
      <c r="G2" s="67">
        <v>12763.37</v>
      </c>
      <c r="H2" s="63">
        <f>G2/E2</f>
        <v>0.29122407997146943</v>
      </c>
    </row>
    <row r="3" spans="1:8" ht="15.75" thickBot="1">
      <c r="A3" s="55" t="s">
        <v>458</v>
      </c>
      <c r="B3" s="56">
        <v>224</v>
      </c>
      <c r="C3" s="67">
        <v>115.3</v>
      </c>
      <c r="D3" s="67">
        <v>109.11539999999999</v>
      </c>
      <c r="E3" s="67">
        <v>24441.84</v>
      </c>
      <c r="F3" s="67">
        <v>25827.200000000001</v>
      </c>
      <c r="G3" s="67">
        <v>1385.36</v>
      </c>
      <c r="H3" s="63">
        <f t="shared" ref="H3:H66" si="0">G3/E3</f>
        <v>5.6679857162963178E-2</v>
      </c>
    </row>
    <row r="4" spans="1:8" ht="15.75" thickBot="1">
      <c r="A4" s="55" t="s">
        <v>353</v>
      </c>
      <c r="B4" s="56">
        <v>13</v>
      </c>
      <c r="C4" s="67">
        <v>3990.25</v>
      </c>
      <c r="D4" s="67">
        <v>2592.5562</v>
      </c>
      <c r="E4" s="67">
        <v>33703.230000000003</v>
      </c>
      <c r="F4" s="67">
        <v>51873.25</v>
      </c>
      <c r="G4" s="67">
        <v>18170.02</v>
      </c>
      <c r="H4" s="63">
        <f t="shared" si="0"/>
        <v>0.53911806079120606</v>
      </c>
    </row>
    <row r="5" spans="1:8" ht="15.75" thickBot="1">
      <c r="A5" s="55" t="s">
        <v>354</v>
      </c>
      <c r="B5" s="56">
        <v>250</v>
      </c>
      <c r="C5" s="67">
        <v>224.3</v>
      </c>
      <c r="D5" s="67">
        <v>183.58799999999999</v>
      </c>
      <c r="E5" s="67">
        <v>45897</v>
      </c>
      <c r="F5" s="67">
        <v>56075</v>
      </c>
      <c r="G5" s="67">
        <v>10178</v>
      </c>
      <c r="H5" s="63">
        <f t="shared" si="0"/>
        <v>0.22175741333856244</v>
      </c>
    </row>
    <row r="6" spans="1:8" ht="15.75" thickBot="1">
      <c r="A6" s="55" t="s">
        <v>355</v>
      </c>
      <c r="B6" s="56">
        <v>10</v>
      </c>
      <c r="C6" s="67">
        <v>3178.8</v>
      </c>
      <c r="D6" s="67">
        <v>2188.4</v>
      </c>
      <c r="E6" s="67">
        <v>21884</v>
      </c>
      <c r="F6" s="67">
        <v>31788</v>
      </c>
      <c r="G6" s="67">
        <v>9904</v>
      </c>
      <c r="H6" s="63">
        <f t="shared" si="0"/>
        <v>0.45256808627307621</v>
      </c>
    </row>
    <row r="7" spans="1:8" ht="15.75" thickBot="1">
      <c r="A7" s="55" t="s">
        <v>357</v>
      </c>
      <c r="B7" s="56">
        <v>9</v>
      </c>
      <c r="C7" s="67">
        <v>4239.25</v>
      </c>
      <c r="D7" s="67">
        <v>2894.4322000000002</v>
      </c>
      <c r="E7" s="67">
        <v>26049.89</v>
      </c>
      <c r="F7" s="67">
        <v>38153.25</v>
      </c>
      <c r="G7" s="67">
        <v>12103.36</v>
      </c>
      <c r="H7" s="63">
        <f t="shared" si="0"/>
        <v>0.46462230742625021</v>
      </c>
    </row>
    <row r="8" spans="1:8" ht="15.75" thickBot="1">
      <c r="A8" s="55" t="s">
        <v>358</v>
      </c>
      <c r="B8" s="56">
        <v>57</v>
      </c>
      <c r="C8" s="67">
        <v>768.5</v>
      </c>
      <c r="D8" s="67">
        <v>567.03510000000006</v>
      </c>
      <c r="E8" s="67">
        <v>32321</v>
      </c>
      <c r="F8" s="67">
        <v>43804.5</v>
      </c>
      <c r="G8" s="67">
        <v>11483.5</v>
      </c>
      <c r="H8" s="63">
        <f t="shared" si="0"/>
        <v>0.3552953188329569</v>
      </c>
    </row>
    <row r="9" spans="1:8" ht="15.75" thickBot="1">
      <c r="A9" s="55" t="s">
        <v>359</v>
      </c>
      <c r="B9" s="56">
        <v>21</v>
      </c>
      <c r="C9" s="67">
        <v>3855.1</v>
      </c>
      <c r="D9" s="67">
        <v>2533.5286000000001</v>
      </c>
      <c r="E9" s="67">
        <v>53204.1</v>
      </c>
      <c r="F9" s="67">
        <v>80957.100000000006</v>
      </c>
      <c r="G9" s="67">
        <v>27753</v>
      </c>
      <c r="H9" s="63">
        <f t="shared" si="0"/>
        <v>0.52163273131206056</v>
      </c>
    </row>
    <row r="10" spans="1:8" ht="15.75" thickBot="1">
      <c r="A10" s="55" t="s">
        <v>459</v>
      </c>
      <c r="B10" s="56">
        <v>69</v>
      </c>
      <c r="C10" s="67">
        <v>253.45</v>
      </c>
      <c r="D10" s="67">
        <v>248.6507</v>
      </c>
      <c r="E10" s="67">
        <v>17156.900000000001</v>
      </c>
      <c r="F10" s="67">
        <v>17488.05</v>
      </c>
      <c r="G10" s="67">
        <v>331.15</v>
      </c>
      <c r="H10" s="63">
        <f t="shared" si="0"/>
        <v>1.9301272374379983E-2</v>
      </c>
    </row>
    <row r="11" spans="1:8" ht="15.75" thickBot="1">
      <c r="A11" s="55" t="s">
        <v>361</v>
      </c>
      <c r="B11" s="56">
        <v>6</v>
      </c>
      <c r="C11" s="67">
        <v>2542.35</v>
      </c>
      <c r="D11" s="67">
        <v>1647.3</v>
      </c>
      <c r="E11" s="67">
        <v>9883.7999999999993</v>
      </c>
      <c r="F11" s="67">
        <v>15254.1</v>
      </c>
      <c r="G11" s="67">
        <v>5370.3</v>
      </c>
      <c r="H11" s="63">
        <f t="shared" si="0"/>
        <v>0.54334365325077405</v>
      </c>
    </row>
    <row r="12" spans="1:8" ht="15.75" thickBot="1">
      <c r="A12" s="55" t="s">
        <v>362</v>
      </c>
      <c r="B12" s="56">
        <v>180</v>
      </c>
      <c r="C12" s="67">
        <v>672.9</v>
      </c>
      <c r="D12" s="67">
        <v>322.88889999999998</v>
      </c>
      <c r="E12" s="67">
        <v>58120</v>
      </c>
      <c r="F12" s="67">
        <v>121122</v>
      </c>
      <c r="G12" s="67">
        <v>63002</v>
      </c>
      <c r="H12" s="63">
        <f t="shared" si="0"/>
        <v>1.0839986235375085</v>
      </c>
    </row>
    <row r="13" spans="1:8" ht="15.75" thickBot="1">
      <c r="A13" s="55" t="s">
        <v>363</v>
      </c>
      <c r="B13" s="56">
        <v>56</v>
      </c>
      <c r="C13" s="67">
        <v>411.6</v>
      </c>
      <c r="D13" s="67">
        <v>393</v>
      </c>
      <c r="E13" s="67">
        <v>22008</v>
      </c>
      <c r="F13" s="67">
        <v>23049.599999999999</v>
      </c>
      <c r="G13" s="67">
        <v>1041.5999999999999</v>
      </c>
      <c r="H13" s="63">
        <f t="shared" si="0"/>
        <v>4.7328244274809153E-2</v>
      </c>
    </row>
    <row r="14" spans="1:8" ht="15.75" thickBot="1">
      <c r="A14" s="55" t="s">
        <v>364</v>
      </c>
      <c r="B14" s="56">
        <v>9</v>
      </c>
      <c r="C14" s="67">
        <v>3920.2</v>
      </c>
      <c r="D14" s="67">
        <v>3545.8110999999999</v>
      </c>
      <c r="E14" s="67">
        <v>31912.3</v>
      </c>
      <c r="F14" s="67">
        <v>35281.800000000003</v>
      </c>
      <c r="G14" s="67">
        <v>3369.5</v>
      </c>
      <c r="H14" s="63">
        <f t="shared" si="0"/>
        <v>0.10558624730903132</v>
      </c>
    </row>
    <row r="15" spans="1:8" ht="15.75" thickBot="1">
      <c r="A15" s="55" t="s">
        <v>365</v>
      </c>
      <c r="B15" s="56">
        <v>180</v>
      </c>
      <c r="C15" s="67">
        <v>140.35</v>
      </c>
      <c r="D15" s="67">
        <v>155.25</v>
      </c>
      <c r="E15" s="67">
        <v>27945</v>
      </c>
      <c r="F15" s="67">
        <v>25263</v>
      </c>
      <c r="G15" s="67">
        <v>-2682</v>
      </c>
      <c r="H15" s="63">
        <f t="shared" si="0"/>
        <v>-9.5974235104669889E-2</v>
      </c>
    </row>
    <row r="16" spans="1:8" ht="15.75" thickBot="1">
      <c r="A16" s="55" t="s">
        <v>366</v>
      </c>
      <c r="B16" s="56">
        <v>43</v>
      </c>
      <c r="C16" s="67">
        <v>986.8</v>
      </c>
      <c r="D16" s="67">
        <v>701.07399999999996</v>
      </c>
      <c r="E16" s="67">
        <v>30146.18</v>
      </c>
      <c r="F16" s="67">
        <v>42432.4</v>
      </c>
      <c r="G16" s="67">
        <v>12286.22</v>
      </c>
      <c r="H16" s="63">
        <f t="shared" si="0"/>
        <v>0.40755478803616241</v>
      </c>
    </row>
    <row r="17" spans="1:8" ht="15.75" thickBot="1">
      <c r="A17" s="55" t="s">
        <v>460</v>
      </c>
      <c r="B17" s="56">
        <v>386</v>
      </c>
      <c r="C17" s="67">
        <v>158.55000000000001</v>
      </c>
      <c r="D17" s="67">
        <v>155.21129999999999</v>
      </c>
      <c r="E17" s="67">
        <v>59911.57</v>
      </c>
      <c r="F17" s="67">
        <v>61200.3</v>
      </c>
      <c r="G17" s="67">
        <v>1288.73</v>
      </c>
      <c r="H17" s="63">
        <f t="shared" si="0"/>
        <v>2.1510536278718784E-2</v>
      </c>
    </row>
    <row r="18" spans="1:8" ht="15.75" thickBot="1">
      <c r="A18" s="55" t="s">
        <v>367</v>
      </c>
      <c r="B18" s="56">
        <v>250</v>
      </c>
      <c r="C18" s="67">
        <v>188.6</v>
      </c>
      <c r="D18" s="67">
        <v>163.66999999999999</v>
      </c>
      <c r="E18" s="67">
        <v>40917.5</v>
      </c>
      <c r="F18" s="67">
        <v>47150</v>
      </c>
      <c r="G18" s="67">
        <v>6232.5</v>
      </c>
      <c r="H18" s="63">
        <f t="shared" si="0"/>
        <v>0.15231869004704587</v>
      </c>
    </row>
    <row r="19" spans="1:8" ht="15.75" thickBot="1">
      <c r="A19" s="55" t="s">
        <v>368</v>
      </c>
      <c r="B19" s="56">
        <v>2</v>
      </c>
      <c r="C19" s="67">
        <v>5277.85</v>
      </c>
      <c r="D19" s="67">
        <v>4417.8500000000004</v>
      </c>
      <c r="E19" s="67">
        <v>8835.7000000000007</v>
      </c>
      <c r="F19" s="67">
        <v>10555.7</v>
      </c>
      <c r="G19" s="67">
        <v>1720</v>
      </c>
      <c r="H19" s="63">
        <f t="shared" si="0"/>
        <v>0.19466482565048607</v>
      </c>
    </row>
    <row r="20" spans="1:8" ht="15.75" thickBot="1">
      <c r="A20" s="55" t="s">
        <v>369</v>
      </c>
      <c r="B20" s="56">
        <v>14</v>
      </c>
      <c r="C20" s="67">
        <v>1688.1</v>
      </c>
      <c r="D20" s="67">
        <v>1609.0571</v>
      </c>
      <c r="E20" s="67">
        <v>22526.799999999999</v>
      </c>
      <c r="F20" s="67">
        <v>23633.4</v>
      </c>
      <c r="G20" s="67">
        <v>1106.5999999999999</v>
      </c>
      <c r="H20" s="63">
        <f t="shared" si="0"/>
        <v>4.9123710424916096E-2</v>
      </c>
    </row>
    <row r="21" spans="1:8" ht="15.75" thickBot="1">
      <c r="A21" s="55" t="s">
        <v>370</v>
      </c>
      <c r="B21" s="56">
        <v>33</v>
      </c>
      <c r="C21" s="67">
        <v>617.85</v>
      </c>
      <c r="D21" s="67">
        <v>552.79</v>
      </c>
      <c r="E21" s="67">
        <v>18242.07</v>
      </c>
      <c r="F21" s="67">
        <v>20389.05</v>
      </c>
      <c r="G21" s="67">
        <v>2146.98</v>
      </c>
      <c r="H21" s="63">
        <f t="shared" si="0"/>
        <v>0.11769388013531359</v>
      </c>
    </row>
    <row r="22" spans="1:8" ht="15.75" thickBot="1">
      <c r="A22" s="55" t="s">
        <v>371</v>
      </c>
      <c r="B22" s="56">
        <v>11</v>
      </c>
      <c r="C22" s="67">
        <v>4830.75</v>
      </c>
      <c r="D22" s="67">
        <v>2298.1581999999999</v>
      </c>
      <c r="E22" s="67">
        <v>25279.74</v>
      </c>
      <c r="F22" s="67">
        <v>53138.25</v>
      </c>
      <c r="G22" s="67">
        <v>27858.51</v>
      </c>
      <c r="H22" s="63">
        <f t="shared" si="0"/>
        <v>1.102009356108884</v>
      </c>
    </row>
    <row r="23" spans="1:8" ht="15.75" thickBot="1">
      <c r="A23" s="55" t="s">
        <v>372</v>
      </c>
      <c r="B23" s="56">
        <v>52</v>
      </c>
      <c r="C23" s="67">
        <v>417.2</v>
      </c>
      <c r="D23" s="67">
        <v>284.88310000000001</v>
      </c>
      <c r="E23" s="67">
        <v>14813.92</v>
      </c>
      <c r="F23" s="67">
        <v>21694.400000000001</v>
      </c>
      <c r="G23" s="67">
        <v>6880.48</v>
      </c>
      <c r="H23" s="63">
        <f t="shared" si="0"/>
        <v>0.46446045341138603</v>
      </c>
    </row>
    <row r="24" spans="1:8" ht="15.75" thickBot="1">
      <c r="A24" s="55" t="s">
        <v>374</v>
      </c>
      <c r="B24" s="56">
        <v>6</v>
      </c>
      <c r="C24" s="67">
        <v>2773.25</v>
      </c>
      <c r="D24" s="67">
        <v>2439.5066999999999</v>
      </c>
      <c r="E24" s="67">
        <v>14637.04</v>
      </c>
      <c r="F24" s="67">
        <v>16639.5</v>
      </c>
      <c r="G24" s="67">
        <v>2002.46</v>
      </c>
      <c r="H24" s="63">
        <f t="shared" si="0"/>
        <v>0.13680771522111027</v>
      </c>
    </row>
    <row r="25" spans="1:8" ht="15.75" thickBot="1">
      <c r="A25" s="55" t="s">
        <v>376</v>
      </c>
      <c r="B25" s="56">
        <v>11</v>
      </c>
      <c r="C25" s="67">
        <v>1564.95</v>
      </c>
      <c r="D25" s="67">
        <v>1317.6255000000001</v>
      </c>
      <c r="E25" s="67">
        <v>14493.88</v>
      </c>
      <c r="F25" s="67">
        <v>17214.45</v>
      </c>
      <c r="G25" s="67">
        <v>2720.57</v>
      </c>
      <c r="H25" s="63">
        <f t="shared" si="0"/>
        <v>0.18770474158748385</v>
      </c>
    </row>
    <row r="26" spans="1:8" ht="15.75" thickBot="1">
      <c r="A26" s="55" t="s">
        <v>377</v>
      </c>
      <c r="B26" s="56">
        <v>86</v>
      </c>
      <c r="C26" s="67">
        <v>766.75</v>
      </c>
      <c r="D26" s="67">
        <v>714.27210000000002</v>
      </c>
      <c r="E26" s="67">
        <v>61427.4</v>
      </c>
      <c r="F26" s="67">
        <v>65940.5</v>
      </c>
      <c r="G26" s="67">
        <v>4513.1000000000004</v>
      </c>
      <c r="H26" s="63">
        <f t="shared" si="0"/>
        <v>7.3470470832234486E-2</v>
      </c>
    </row>
    <row r="27" spans="1:8" ht="15.75" thickBot="1">
      <c r="A27" s="55" t="s">
        <v>378</v>
      </c>
      <c r="B27" s="56">
        <v>242</v>
      </c>
      <c r="C27" s="67">
        <v>178.9</v>
      </c>
      <c r="D27" s="67">
        <v>196.23349999999999</v>
      </c>
      <c r="E27" s="67">
        <v>47488.51</v>
      </c>
      <c r="F27" s="67">
        <v>43293.8</v>
      </c>
      <c r="G27" s="67">
        <v>-4194.71</v>
      </c>
      <c r="H27" s="63">
        <f t="shared" si="0"/>
        <v>-8.8331051026869445E-2</v>
      </c>
    </row>
    <row r="28" spans="1:8" ht="15.75" thickBot="1">
      <c r="A28" s="55" t="s">
        <v>379</v>
      </c>
      <c r="B28" s="56">
        <v>507</v>
      </c>
      <c r="C28" s="67">
        <v>83.15</v>
      </c>
      <c r="D28" s="67">
        <v>66.787400000000005</v>
      </c>
      <c r="E28" s="67">
        <v>33861.199999999997</v>
      </c>
      <c r="F28" s="67">
        <v>42157.05</v>
      </c>
      <c r="G28" s="67">
        <v>8295.85</v>
      </c>
      <c r="H28" s="63">
        <f t="shared" si="0"/>
        <v>0.24499574734504392</v>
      </c>
    </row>
    <row r="29" spans="1:8" ht="15.75" thickBot="1">
      <c r="A29" s="55" t="s">
        <v>380</v>
      </c>
      <c r="B29" s="56">
        <v>66</v>
      </c>
      <c r="C29" s="67">
        <v>144.25</v>
      </c>
      <c r="D29" s="67">
        <v>156.83330000000001</v>
      </c>
      <c r="E29" s="67">
        <v>10351</v>
      </c>
      <c r="F29" s="67">
        <v>9520.5</v>
      </c>
      <c r="G29" s="67">
        <v>-830.5</v>
      </c>
      <c r="H29" s="63">
        <f t="shared" si="0"/>
        <v>-8.0233793836344311E-2</v>
      </c>
    </row>
    <row r="30" spans="1:8" ht="15.75" thickBot="1">
      <c r="A30" s="55" t="s">
        <v>382</v>
      </c>
      <c r="B30" s="56">
        <v>11</v>
      </c>
      <c r="C30" s="67">
        <v>3725.45</v>
      </c>
      <c r="D30" s="67">
        <v>3984.3</v>
      </c>
      <c r="E30" s="67">
        <v>43827.3</v>
      </c>
      <c r="F30" s="67">
        <v>40979.949999999997</v>
      </c>
      <c r="G30" s="67">
        <v>-2847.35</v>
      </c>
      <c r="H30" s="63">
        <f t="shared" si="0"/>
        <v>-6.4967497427402543E-2</v>
      </c>
    </row>
    <row r="31" spans="1:8" ht="15.75" thickBot="1">
      <c r="A31" s="55" t="s">
        <v>383</v>
      </c>
      <c r="B31" s="56">
        <v>12</v>
      </c>
      <c r="C31" s="67">
        <v>2233.6</v>
      </c>
      <c r="D31" s="67">
        <v>1444.4625000000001</v>
      </c>
      <c r="E31" s="67">
        <v>17333.55</v>
      </c>
      <c r="F31" s="67">
        <v>26803.200000000001</v>
      </c>
      <c r="G31" s="67">
        <v>9469.65</v>
      </c>
      <c r="H31" s="63">
        <f t="shared" si="0"/>
        <v>0.54631913254930464</v>
      </c>
    </row>
    <row r="32" spans="1:8" ht="15.75" thickBot="1">
      <c r="A32" s="55" t="s">
        <v>461</v>
      </c>
      <c r="B32" s="56">
        <v>76</v>
      </c>
      <c r="C32" s="67">
        <v>424.95</v>
      </c>
      <c r="D32" s="67">
        <v>233.3013</v>
      </c>
      <c r="E32" s="67">
        <v>17730.900000000001</v>
      </c>
      <c r="F32" s="67">
        <v>32296.2</v>
      </c>
      <c r="G32" s="67">
        <v>14565.3</v>
      </c>
      <c r="H32" s="63">
        <f t="shared" si="0"/>
        <v>0.82146422347427361</v>
      </c>
    </row>
    <row r="33" spans="1:8" ht="15.75" thickBot="1">
      <c r="A33" s="55" t="s">
        <v>384</v>
      </c>
      <c r="B33" s="56">
        <v>12</v>
      </c>
      <c r="C33" s="67">
        <v>1273.4000000000001</v>
      </c>
      <c r="D33" s="67">
        <v>1036.4842000000001</v>
      </c>
      <c r="E33" s="67">
        <v>12437.81</v>
      </c>
      <c r="F33" s="67">
        <v>15280.8</v>
      </c>
      <c r="G33" s="67">
        <v>2842.99</v>
      </c>
      <c r="H33" s="63">
        <f t="shared" si="0"/>
        <v>0.2285764133718074</v>
      </c>
    </row>
    <row r="34" spans="1:8" ht="15.75" thickBot="1">
      <c r="A34" s="55" t="s">
        <v>385</v>
      </c>
      <c r="B34" s="56">
        <v>39</v>
      </c>
      <c r="C34" s="67">
        <v>1582.55</v>
      </c>
      <c r="D34" s="67">
        <v>1315.0731000000001</v>
      </c>
      <c r="E34" s="67">
        <v>51287.85</v>
      </c>
      <c r="F34" s="67">
        <v>61719.45</v>
      </c>
      <c r="G34" s="67">
        <v>10431.6</v>
      </c>
      <c r="H34" s="63">
        <f t="shared" si="0"/>
        <v>0.20339320131376146</v>
      </c>
    </row>
    <row r="35" spans="1:8" ht="15.75" thickBot="1">
      <c r="A35" s="55" t="s">
        <v>386</v>
      </c>
      <c r="B35" s="56">
        <v>42</v>
      </c>
      <c r="C35" s="67">
        <v>729.4</v>
      </c>
      <c r="D35" s="67">
        <v>665.57240000000002</v>
      </c>
      <c r="E35" s="67">
        <v>27954.04</v>
      </c>
      <c r="F35" s="67">
        <v>30634.799999999999</v>
      </c>
      <c r="G35" s="67">
        <v>2680.76</v>
      </c>
      <c r="H35" s="63">
        <f t="shared" si="0"/>
        <v>9.5898839666824554E-2</v>
      </c>
    </row>
    <row r="36" spans="1:8" ht="15.75" thickBot="1">
      <c r="A36" s="55" t="s">
        <v>387</v>
      </c>
      <c r="B36" s="56">
        <v>10</v>
      </c>
      <c r="C36" s="67">
        <v>2847.35</v>
      </c>
      <c r="D36" s="67">
        <v>2993.47</v>
      </c>
      <c r="E36" s="67">
        <v>29934.7</v>
      </c>
      <c r="F36" s="67">
        <v>28473.5</v>
      </c>
      <c r="G36" s="67">
        <v>-1461.2</v>
      </c>
      <c r="H36" s="63">
        <f t="shared" si="0"/>
        <v>-4.881291611407497E-2</v>
      </c>
    </row>
    <row r="37" spans="1:8" ht="15.75" thickBot="1">
      <c r="A37" s="55" t="s">
        <v>390</v>
      </c>
      <c r="B37" s="56">
        <v>9</v>
      </c>
      <c r="C37" s="67">
        <v>2702.5</v>
      </c>
      <c r="D37" s="67">
        <v>2319.5221999999999</v>
      </c>
      <c r="E37" s="67">
        <v>20875.7</v>
      </c>
      <c r="F37" s="67">
        <v>24322.5</v>
      </c>
      <c r="G37" s="67">
        <v>3446.8</v>
      </c>
      <c r="H37" s="63">
        <f t="shared" si="0"/>
        <v>0.16511063102075618</v>
      </c>
    </row>
    <row r="38" spans="1:8" ht="15.75" thickBot="1">
      <c r="A38" s="55" t="s">
        <v>391</v>
      </c>
      <c r="B38" s="56">
        <v>60</v>
      </c>
      <c r="C38" s="67">
        <v>692.2</v>
      </c>
      <c r="D38" s="67">
        <v>472.53870000000001</v>
      </c>
      <c r="E38" s="67">
        <v>28352.32</v>
      </c>
      <c r="F38" s="67">
        <v>41532</v>
      </c>
      <c r="G38" s="67">
        <v>13179.68</v>
      </c>
      <c r="H38" s="63">
        <f t="shared" si="0"/>
        <v>0.46485366982313969</v>
      </c>
    </row>
    <row r="39" spans="1:8" ht="15.75" thickBot="1">
      <c r="A39" s="55" t="s">
        <v>392</v>
      </c>
      <c r="B39" s="56">
        <v>21</v>
      </c>
      <c r="C39" s="67">
        <v>1584.1</v>
      </c>
      <c r="D39" s="67">
        <v>1435.5876000000001</v>
      </c>
      <c r="E39" s="67">
        <v>30147.34</v>
      </c>
      <c r="F39" s="67">
        <v>33266.1</v>
      </c>
      <c r="G39" s="67">
        <v>3118.76</v>
      </c>
      <c r="H39" s="63">
        <f t="shared" si="0"/>
        <v>0.10345058635355557</v>
      </c>
    </row>
    <row r="40" spans="1:8" ht="15.75" thickBot="1">
      <c r="A40" s="55" t="s">
        <v>393</v>
      </c>
      <c r="B40" s="56">
        <v>44</v>
      </c>
      <c r="C40" s="67">
        <v>668.4</v>
      </c>
      <c r="D40" s="67">
        <v>504.81139999999999</v>
      </c>
      <c r="E40" s="67">
        <v>22211.7</v>
      </c>
      <c r="F40" s="67">
        <v>29409.599999999999</v>
      </c>
      <c r="G40" s="67">
        <v>7197.9</v>
      </c>
      <c r="H40" s="63">
        <f t="shared" si="0"/>
        <v>0.32405894190899387</v>
      </c>
    </row>
    <row r="41" spans="1:8" ht="15.75" thickBot="1">
      <c r="A41" s="55" t="s">
        <v>394</v>
      </c>
      <c r="B41" s="56">
        <v>32</v>
      </c>
      <c r="C41" s="67">
        <v>1103</v>
      </c>
      <c r="D41" s="67">
        <v>1118.6484</v>
      </c>
      <c r="E41" s="67">
        <v>35796.75</v>
      </c>
      <c r="F41" s="67">
        <v>35296</v>
      </c>
      <c r="G41" s="67">
        <v>-500.75</v>
      </c>
      <c r="H41" s="63">
        <f t="shared" si="0"/>
        <v>-1.3988700091488752E-2</v>
      </c>
    </row>
    <row r="42" spans="1:8" ht="15.75" thickBot="1">
      <c r="A42" s="55" t="s">
        <v>395</v>
      </c>
      <c r="B42" s="56">
        <v>10</v>
      </c>
      <c r="C42" s="67">
        <v>1664.95</v>
      </c>
      <c r="D42" s="67">
        <v>1573.34</v>
      </c>
      <c r="E42" s="67">
        <v>15733.4</v>
      </c>
      <c r="F42" s="67">
        <v>16649.5</v>
      </c>
      <c r="G42" s="67">
        <v>916.1</v>
      </c>
      <c r="H42" s="63">
        <f t="shared" si="0"/>
        <v>5.8226448193016131E-2</v>
      </c>
    </row>
    <row r="43" spans="1:8" ht="15.75" thickBot="1">
      <c r="A43" s="55" t="s">
        <v>445</v>
      </c>
      <c r="B43" s="56">
        <v>20</v>
      </c>
      <c r="C43" s="67">
        <v>2422.35</v>
      </c>
      <c r="D43" s="67">
        <v>1993.9414999999999</v>
      </c>
      <c r="E43" s="67">
        <v>39878.83</v>
      </c>
      <c r="F43" s="67">
        <v>48447</v>
      </c>
      <c r="G43" s="67">
        <v>8568.17</v>
      </c>
      <c r="H43" s="63">
        <f t="shared" si="0"/>
        <v>0.21485509981110276</v>
      </c>
    </row>
    <row r="44" spans="1:8" ht="15.75" thickBot="1">
      <c r="A44" s="55" t="s">
        <v>396</v>
      </c>
      <c r="B44" s="56">
        <v>700</v>
      </c>
      <c r="C44" s="67">
        <v>235.6</v>
      </c>
      <c r="D44" s="67">
        <v>224.71690000000001</v>
      </c>
      <c r="E44" s="67">
        <v>157301.85</v>
      </c>
      <c r="F44" s="67">
        <v>164920</v>
      </c>
      <c r="G44" s="67">
        <v>7618.15</v>
      </c>
      <c r="H44" s="63">
        <f t="shared" si="0"/>
        <v>4.8430136072779816E-2</v>
      </c>
    </row>
    <row r="45" spans="1:8" ht="15.75" thickBot="1">
      <c r="A45" s="55" t="s">
        <v>397</v>
      </c>
      <c r="B45" s="56">
        <v>21</v>
      </c>
      <c r="C45" s="67">
        <v>1883.35</v>
      </c>
      <c r="D45" s="67">
        <v>815.2681</v>
      </c>
      <c r="E45" s="67">
        <v>17120.63</v>
      </c>
      <c r="F45" s="67">
        <v>39550.35</v>
      </c>
      <c r="G45" s="67">
        <v>22429.72</v>
      </c>
      <c r="H45" s="63">
        <f t="shared" si="0"/>
        <v>1.3100989858433947</v>
      </c>
    </row>
    <row r="46" spans="1:8" ht="15.75" thickBot="1">
      <c r="A46" s="55" t="s">
        <v>446</v>
      </c>
      <c r="B46" s="56">
        <v>112</v>
      </c>
      <c r="C46" s="67">
        <v>167.35</v>
      </c>
      <c r="D46" s="67">
        <v>153.97630000000001</v>
      </c>
      <c r="E46" s="67">
        <v>17245.34</v>
      </c>
      <c r="F46" s="67">
        <v>18743.2</v>
      </c>
      <c r="G46" s="67">
        <v>1497.86</v>
      </c>
      <c r="H46" s="63">
        <f t="shared" si="0"/>
        <v>8.6855927456344725E-2</v>
      </c>
    </row>
    <row r="47" spans="1:8" ht="15.75" thickBot="1">
      <c r="A47" s="55" t="s">
        <v>398</v>
      </c>
      <c r="B47" s="56">
        <v>33</v>
      </c>
      <c r="C47" s="67">
        <v>1994.75</v>
      </c>
      <c r="D47" s="67">
        <v>1600.3833</v>
      </c>
      <c r="E47" s="67">
        <v>52812.65</v>
      </c>
      <c r="F47" s="67">
        <v>65826.75</v>
      </c>
      <c r="G47" s="67">
        <v>13014.1</v>
      </c>
      <c r="H47" s="63">
        <f t="shared" si="0"/>
        <v>0.24642012851087761</v>
      </c>
    </row>
    <row r="48" spans="1:8" ht="15.75" thickBot="1">
      <c r="A48" s="55" t="s">
        <v>400</v>
      </c>
      <c r="B48" s="56">
        <v>3</v>
      </c>
      <c r="C48" s="67">
        <v>5750.65</v>
      </c>
      <c r="D48" s="67">
        <v>4623.8167000000003</v>
      </c>
      <c r="E48" s="67">
        <v>13871.45</v>
      </c>
      <c r="F48" s="67">
        <v>17251.95</v>
      </c>
      <c r="G48" s="67">
        <v>3380.5</v>
      </c>
      <c r="H48" s="63">
        <f t="shared" si="0"/>
        <v>0.24370199222143321</v>
      </c>
    </row>
    <row r="49" spans="1:8" ht="15.75" thickBot="1">
      <c r="A49" s="55" t="s">
        <v>401</v>
      </c>
      <c r="B49" s="56">
        <v>62</v>
      </c>
      <c r="C49" s="67">
        <v>1696.5</v>
      </c>
      <c r="D49" s="67">
        <v>1053.2161000000001</v>
      </c>
      <c r="E49" s="67">
        <v>65299.4</v>
      </c>
      <c r="F49" s="67">
        <v>105183</v>
      </c>
      <c r="G49" s="67">
        <v>39883.599999999999</v>
      </c>
      <c r="H49" s="63">
        <f t="shared" si="0"/>
        <v>0.61078049721743233</v>
      </c>
    </row>
    <row r="50" spans="1:8" ht="15.75" thickBot="1">
      <c r="A50" s="55" t="s">
        <v>462</v>
      </c>
      <c r="B50" s="56">
        <v>383</v>
      </c>
      <c r="C50" s="67">
        <v>71.849999999999994</v>
      </c>
      <c r="D50" s="67">
        <v>61.524700000000003</v>
      </c>
      <c r="E50" s="67">
        <v>23563.95</v>
      </c>
      <c r="F50" s="67">
        <v>27518.55</v>
      </c>
      <c r="G50" s="67">
        <v>3954.6</v>
      </c>
      <c r="H50" s="63">
        <f t="shared" si="0"/>
        <v>0.1678241551183057</v>
      </c>
    </row>
    <row r="51" spans="1:8" ht="15.75" thickBot="1">
      <c r="A51" s="55" t="s">
        <v>463</v>
      </c>
      <c r="B51" s="56">
        <v>79</v>
      </c>
      <c r="C51" s="67">
        <v>321.95</v>
      </c>
      <c r="D51" s="67">
        <v>326.61</v>
      </c>
      <c r="E51" s="67">
        <v>25802.19</v>
      </c>
      <c r="F51" s="67">
        <v>25434.05</v>
      </c>
      <c r="G51" s="67">
        <v>-368.14</v>
      </c>
      <c r="H51" s="63">
        <f t="shared" si="0"/>
        <v>-1.426778114570895E-2</v>
      </c>
    </row>
    <row r="52" spans="1:8" ht="15.75" thickBot="1">
      <c r="A52" s="55" t="s">
        <v>402</v>
      </c>
      <c r="B52" s="56">
        <v>18</v>
      </c>
      <c r="C52" s="67">
        <v>827.45</v>
      </c>
      <c r="D52" s="67">
        <v>744.52779999999996</v>
      </c>
      <c r="E52" s="67">
        <v>13401.5</v>
      </c>
      <c r="F52" s="67">
        <v>14894.1</v>
      </c>
      <c r="G52" s="67">
        <v>1492.6</v>
      </c>
      <c r="H52" s="63">
        <f t="shared" si="0"/>
        <v>0.11137559228444577</v>
      </c>
    </row>
    <row r="53" spans="1:8" ht="15.75" thickBot="1">
      <c r="A53" s="55" t="s">
        <v>403</v>
      </c>
      <c r="B53" s="56">
        <v>66</v>
      </c>
      <c r="C53" s="67">
        <v>239.75</v>
      </c>
      <c r="D53" s="67">
        <v>174.00120000000001</v>
      </c>
      <c r="E53" s="67">
        <v>11484.08</v>
      </c>
      <c r="F53" s="67">
        <v>15823.5</v>
      </c>
      <c r="G53" s="67">
        <v>4339.42</v>
      </c>
      <c r="H53" s="63">
        <f t="shared" si="0"/>
        <v>0.37786396472333877</v>
      </c>
    </row>
    <row r="54" spans="1:8" ht="15.75" thickBot="1">
      <c r="A54" s="55" t="s">
        <v>404</v>
      </c>
      <c r="B54" s="56">
        <v>44</v>
      </c>
      <c r="C54" s="67">
        <v>549.5</v>
      </c>
      <c r="D54" s="67">
        <v>439.25799999999998</v>
      </c>
      <c r="E54" s="67">
        <v>19327.349999999999</v>
      </c>
      <c r="F54" s="67">
        <v>24178</v>
      </c>
      <c r="G54" s="67">
        <v>4850.6499999999996</v>
      </c>
      <c r="H54" s="63">
        <f t="shared" si="0"/>
        <v>0.25097336158345557</v>
      </c>
    </row>
    <row r="55" spans="1:8" ht="15.75" thickBot="1">
      <c r="A55" s="55" t="s">
        <v>405</v>
      </c>
      <c r="B55" s="56">
        <v>19</v>
      </c>
      <c r="C55" s="67">
        <v>722.7</v>
      </c>
      <c r="D55" s="67">
        <v>475.10160000000002</v>
      </c>
      <c r="E55" s="67">
        <v>9026.93</v>
      </c>
      <c r="F55" s="67">
        <v>13731.3</v>
      </c>
      <c r="G55" s="67">
        <v>4704.37</v>
      </c>
      <c r="H55" s="63">
        <f t="shared" si="0"/>
        <v>0.5211483859961249</v>
      </c>
    </row>
    <row r="56" spans="1:8" ht="15.75" thickBot="1">
      <c r="A56" s="55" t="s">
        <v>448</v>
      </c>
      <c r="B56" s="56">
        <v>48</v>
      </c>
      <c r="C56" s="67">
        <v>224.9</v>
      </c>
      <c r="D56" s="67">
        <v>171.99170000000001</v>
      </c>
      <c r="E56" s="67">
        <v>8255.6</v>
      </c>
      <c r="F56" s="67">
        <v>10795.2</v>
      </c>
      <c r="G56" s="67">
        <v>2539.6</v>
      </c>
      <c r="H56" s="63">
        <f t="shared" si="0"/>
        <v>0.30762149328940352</v>
      </c>
    </row>
    <row r="57" spans="1:8" ht="15.75" thickBot="1">
      <c r="A57" s="55" t="s">
        <v>408</v>
      </c>
      <c r="B57" s="56">
        <v>5</v>
      </c>
      <c r="C57" s="67">
        <v>3025.65</v>
      </c>
      <c r="D57" s="67">
        <v>2360.5100000000002</v>
      </c>
      <c r="E57" s="67">
        <v>11802.55</v>
      </c>
      <c r="F57" s="67">
        <v>15128.25</v>
      </c>
      <c r="G57" s="67">
        <v>3325.7</v>
      </c>
      <c r="H57" s="63">
        <f t="shared" si="0"/>
        <v>0.2817780903279376</v>
      </c>
    </row>
    <row r="58" spans="1:8" ht="15.75" thickBot="1">
      <c r="A58" s="55" t="s">
        <v>409</v>
      </c>
      <c r="B58" s="56">
        <v>267</v>
      </c>
      <c r="C58" s="67">
        <v>95.45</v>
      </c>
      <c r="D58" s="67">
        <v>96.45</v>
      </c>
      <c r="E58" s="67">
        <v>25752.15</v>
      </c>
      <c r="F58" s="67">
        <v>25485.15</v>
      </c>
      <c r="G58" s="67">
        <v>-267</v>
      </c>
      <c r="H58" s="63">
        <f t="shared" si="0"/>
        <v>-1.0368066355624676E-2</v>
      </c>
    </row>
    <row r="59" spans="1:8" ht="15.75" thickBot="1">
      <c r="A59" s="55" t="s">
        <v>464</v>
      </c>
      <c r="B59" s="56">
        <v>171</v>
      </c>
      <c r="C59" s="67">
        <v>143.75</v>
      </c>
      <c r="D59" s="67">
        <v>150.5</v>
      </c>
      <c r="E59" s="67">
        <v>25735.5</v>
      </c>
      <c r="F59" s="67">
        <v>24581.25</v>
      </c>
      <c r="G59" s="67">
        <v>-1154.25</v>
      </c>
      <c r="H59" s="63">
        <f t="shared" si="0"/>
        <v>-4.4850498338870434E-2</v>
      </c>
    </row>
    <row r="60" spans="1:8" ht="15.75" thickBot="1">
      <c r="A60" s="55" t="s">
        <v>410</v>
      </c>
      <c r="B60" s="56">
        <v>79</v>
      </c>
      <c r="C60" s="67">
        <v>915.4</v>
      </c>
      <c r="D60" s="67">
        <v>371.14179999999999</v>
      </c>
      <c r="E60" s="67">
        <v>29320.2</v>
      </c>
      <c r="F60" s="67">
        <v>72316.600000000006</v>
      </c>
      <c r="G60" s="67">
        <v>42996.4</v>
      </c>
      <c r="H60" s="63">
        <f t="shared" si="0"/>
        <v>1.466442930130081</v>
      </c>
    </row>
    <row r="61" spans="1:8" ht="15.75" thickBot="1">
      <c r="A61" s="55" t="s">
        <v>411</v>
      </c>
      <c r="B61" s="56">
        <v>300</v>
      </c>
      <c r="C61" s="67">
        <v>146.15</v>
      </c>
      <c r="D61" s="67">
        <v>82.333299999999994</v>
      </c>
      <c r="E61" s="67">
        <v>24700</v>
      </c>
      <c r="F61" s="67">
        <v>43845</v>
      </c>
      <c r="G61" s="67">
        <v>19145</v>
      </c>
      <c r="H61" s="63">
        <f t="shared" si="0"/>
        <v>0.77510121457489878</v>
      </c>
    </row>
    <row r="62" spans="1:8" ht="15.75" thickBot="1">
      <c r="A62" s="55" t="s">
        <v>413</v>
      </c>
      <c r="B62" s="56">
        <v>6</v>
      </c>
      <c r="C62" s="67">
        <v>4516.6000000000004</v>
      </c>
      <c r="D62" s="67">
        <v>4046.5167000000001</v>
      </c>
      <c r="E62" s="67">
        <v>24279.1</v>
      </c>
      <c r="F62" s="67">
        <v>27099.599999999999</v>
      </c>
      <c r="G62" s="67">
        <v>2820.5</v>
      </c>
      <c r="H62" s="63">
        <f t="shared" si="0"/>
        <v>0.11616987450111413</v>
      </c>
    </row>
    <row r="63" spans="1:8" ht="15.75" thickBot="1">
      <c r="A63" s="55" t="s">
        <v>414</v>
      </c>
      <c r="B63" s="56">
        <v>4</v>
      </c>
      <c r="C63" s="67">
        <v>3647.05</v>
      </c>
      <c r="D63" s="67">
        <v>2774.5124999999998</v>
      </c>
      <c r="E63" s="67">
        <v>11098.05</v>
      </c>
      <c r="F63" s="67">
        <v>14588.2</v>
      </c>
      <c r="G63" s="67">
        <v>3490.15</v>
      </c>
      <c r="H63" s="63">
        <f t="shared" si="0"/>
        <v>0.31448317497217981</v>
      </c>
    </row>
    <row r="64" spans="1:8" ht="15.75" thickBot="1">
      <c r="A64" s="55" t="s">
        <v>415</v>
      </c>
      <c r="B64" s="56">
        <v>27</v>
      </c>
      <c r="C64" s="67">
        <v>961.15</v>
      </c>
      <c r="D64" s="67">
        <v>813.06809999999996</v>
      </c>
      <c r="E64" s="67">
        <v>21952.84</v>
      </c>
      <c r="F64" s="67">
        <v>25951.05</v>
      </c>
      <c r="G64" s="67">
        <v>3998.21</v>
      </c>
      <c r="H64" s="63">
        <f t="shared" si="0"/>
        <v>0.18212723274072967</v>
      </c>
    </row>
    <row r="65" spans="1:8" ht="15.75" thickBot="1">
      <c r="A65" s="55" t="s">
        <v>450</v>
      </c>
      <c r="B65" s="56">
        <v>16</v>
      </c>
      <c r="C65" s="67">
        <v>1769.55</v>
      </c>
      <c r="D65" s="67">
        <v>528.10630000000003</v>
      </c>
      <c r="E65" s="67">
        <v>8449.7000000000007</v>
      </c>
      <c r="F65" s="67">
        <v>28312.799999999999</v>
      </c>
      <c r="G65" s="67">
        <v>19863.099999999999</v>
      </c>
      <c r="H65" s="63">
        <f t="shared" si="0"/>
        <v>2.3507461803377629</v>
      </c>
    </row>
    <row r="66" spans="1:8" ht="15.75" thickBot="1">
      <c r="A66" s="55" t="s">
        <v>420</v>
      </c>
      <c r="B66" s="56">
        <v>31</v>
      </c>
      <c r="C66" s="67">
        <v>1209.6500000000001</v>
      </c>
      <c r="D66" s="67">
        <v>896.49839999999995</v>
      </c>
      <c r="E66" s="67">
        <v>27791.45</v>
      </c>
      <c r="F66" s="67">
        <v>37499.15</v>
      </c>
      <c r="G66" s="67">
        <v>9707.7000000000007</v>
      </c>
      <c r="H66" s="63">
        <f t="shared" si="0"/>
        <v>0.3493052719451486</v>
      </c>
    </row>
    <row r="67" spans="1:8" ht="15.75" thickBot="1">
      <c r="A67" s="55" t="s">
        <v>421</v>
      </c>
      <c r="B67" s="56">
        <v>35</v>
      </c>
      <c r="C67" s="67">
        <v>2147.25</v>
      </c>
      <c r="D67" s="67">
        <v>984.23</v>
      </c>
      <c r="E67" s="67">
        <v>34448.050000000003</v>
      </c>
      <c r="F67" s="67">
        <v>75153.75</v>
      </c>
      <c r="G67" s="67">
        <v>40705.699999999997</v>
      </c>
      <c r="H67" s="63">
        <f t="shared" ref="H67:H85" si="1">G67/E67</f>
        <v>1.1816546945327817</v>
      </c>
    </row>
    <row r="68" spans="1:8" ht="15.75" thickBot="1">
      <c r="A68" s="55" t="s">
        <v>423</v>
      </c>
      <c r="B68" s="56">
        <v>20</v>
      </c>
      <c r="C68" s="67">
        <v>777.6</v>
      </c>
      <c r="D68" s="67">
        <v>488.05500000000001</v>
      </c>
      <c r="E68" s="67">
        <v>9761.1</v>
      </c>
      <c r="F68" s="67">
        <v>15552</v>
      </c>
      <c r="G68" s="67">
        <v>5790.9</v>
      </c>
      <c r="H68" s="63">
        <f t="shared" si="1"/>
        <v>0.59326305436887228</v>
      </c>
    </row>
    <row r="69" spans="1:8" ht="15.75" thickBot="1">
      <c r="A69" s="55" t="s">
        <v>425</v>
      </c>
      <c r="B69" s="56">
        <v>96</v>
      </c>
      <c r="C69" s="67">
        <v>451.75</v>
      </c>
      <c r="D69" s="67">
        <v>255.35470000000001</v>
      </c>
      <c r="E69" s="67">
        <v>24514.05</v>
      </c>
      <c r="F69" s="67">
        <v>43368</v>
      </c>
      <c r="G69" s="67">
        <v>18853.95</v>
      </c>
      <c r="H69" s="63">
        <f t="shared" si="1"/>
        <v>0.76910791974398363</v>
      </c>
    </row>
    <row r="70" spans="1:8" ht="15.75" thickBot="1">
      <c r="A70" s="55" t="s">
        <v>426</v>
      </c>
      <c r="B70" s="56">
        <v>139</v>
      </c>
      <c r="C70" s="67">
        <v>826.35</v>
      </c>
      <c r="D70" s="67">
        <v>476.89420000000001</v>
      </c>
      <c r="E70" s="67">
        <v>66288.3</v>
      </c>
      <c r="F70" s="67">
        <v>114862.65</v>
      </c>
      <c r="G70" s="67">
        <v>48574.35</v>
      </c>
      <c r="H70" s="63">
        <f t="shared" si="1"/>
        <v>0.73277410945823018</v>
      </c>
    </row>
    <row r="71" spans="1:8" ht="15.75" thickBot="1">
      <c r="A71" s="55" t="s">
        <v>427</v>
      </c>
      <c r="B71" s="56">
        <v>19</v>
      </c>
      <c r="C71" s="67">
        <v>928.3</v>
      </c>
      <c r="D71" s="67">
        <v>591.43579999999997</v>
      </c>
      <c r="E71" s="67">
        <v>11237.28</v>
      </c>
      <c r="F71" s="67">
        <v>17637.7</v>
      </c>
      <c r="G71" s="67">
        <v>6400.42</v>
      </c>
      <c r="H71" s="63">
        <f t="shared" si="1"/>
        <v>0.56957021628009619</v>
      </c>
    </row>
    <row r="72" spans="1:8" ht="15.75" thickBot="1">
      <c r="A72" s="55" t="s">
        <v>428</v>
      </c>
      <c r="B72" s="56">
        <v>47</v>
      </c>
      <c r="C72" s="67">
        <v>484.5</v>
      </c>
      <c r="D72" s="67">
        <v>332.12380000000002</v>
      </c>
      <c r="E72" s="67">
        <v>15609.82</v>
      </c>
      <c r="F72" s="67">
        <v>22771.5</v>
      </c>
      <c r="G72" s="67">
        <v>7161.68</v>
      </c>
      <c r="H72" s="63">
        <f t="shared" si="1"/>
        <v>0.45879324681514588</v>
      </c>
    </row>
    <row r="73" spans="1:8" ht="15.75" thickBot="1">
      <c r="A73" s="55" t="s">
        <v>429</v>
      </c>
      <c r="B73" s="56">
        <v>57</v>
      </c>
      <c r="C73" s="67">
        <v>323.10000000000002</v>
      </c>
      <c r="D73" s="67">
        <v>234.2433</v>
      </c>
      <c r="E73" s="67">
        <v>13351.87</v>
      </c>
      <c r="F73" s="67">
        <v>18416.7</v>
      </c>
      <c r="G73" s="67">
        <v>5064.83</v>
      </c>
      <c r="H73" s="63">
        <f t="shared" si="1"/>
        <v>0.37933487968351998</v>
      </c>
    </row>
    <row r="74" spans="1:8" ht="15.75" thickBot="1">
      <c r="A74" s="55" t="s">
        <v>430</v>
      </c>
      <c r="B74" s="56">
        <v>57</v>
      </c>
      <c r="C74" s="67">
        <v>615.54999999999995</v>
      </c>
      <c r="D74" s="67">
        <v>468.04349999999999</v>
      </c>
      <c r="E74" s="67">
        <v>26678.48</v>
      </c>
      <c r="F74" s="67">
        <v>35086.35</v>
      </c>
      <c r="G74" s="67">
        <v>8407.8700000000008</v>
      </c>
      <c r="H74" s="63">
        <f t="shared" si="1"/>
        <v>0.31515551110857892</v>
      </c>
    </row>
    <row r="75" spans="1:8" ht="15.75" thickBot="1">
      <c r="A75" s="55" t="s">
        <v>431</v>
      </c>
      <c r="B75" s="56">
        <v>5</v>
      </c>
      <c r="C75" s="67">
        <v>3729.3</v>
      </c>
      <c r="D75" s="67">
        <v>3324.47</v>
      </c>
      <c r="E75" s="67">
        <v>16622.349999999999</v>
      </c>
      <c r="F75" s="67">
        <v>18646.5</v>
      </c>
      <c r="G75" s="67">
        <v>2024.15</v>
      </c>
      <c r="H75" s="63">
        <f t="shared" si="1"/>
        <v>0.12177279385887076</v>
      </c>
    </row>
    <row r="76" spans="1:8" ht="15.75" thickBot="1">
      <c r="A76" s="55" t="s">
        <v>432</v>
      </c>
      <c r="B76" s="56">
        <v>19</v>
      </c>
      <c r="C76" s="67">
        <v>801.3</v>
      </c>
      <c r="D76" s="67">
        <v>633.48950000000002</v>
      </c>
      <c r="E76" s="67">
        <v>12036.3</v>
      </c>
      <c r="F76" s="67">
        <v>15224.7</v>
      </c>
      <c r="G76" s="67">
        <v>3188.4</v>
      </c>
      <c r="H76" s="63">
        <f t="shared" si="1"/>
        <v>0.26489868148849732</v>
      </c>
    </row>
    <row r="77" spans="1:8" ht="15.75" thickBot="1">
      <c r="A77" s="55" t="s">
        <v>433</v>
      </c>
      <c r="B77" s="56">
        <v>775</v>
      </c>
      <c r="C77" s="67">
        <v>186.45</v>
      </c>
      <c r="D77" s="67">
        <v>99.291600000000003</v>
      </c>
      <c r="E77" s="67">
        <v>76951</v>
      </c>
      <c r="F77" s="67">
        <v>144498.75</v>
      </c>
      <c r="G77" s="67">
        <v>67547.75</v>
      </c>
      <c r="H77" s="63">
        <f t="shared" si="1"/>
        <v>0.8778021078348559</v>
      </c>
    </row>
    <row r="78" spans="1:8" ht="15.75" thickBot="1">
      <c r="A78" s="55" t="s">
        <v>434</v>
      </c>
      <c r="B78" s="56">
        <v>105</v>
      </c>
      <c r="C78" s="67">
        <v>1298.45</v>
      </c>
      <c r="D78" s="67">
        <v>404.76429999999999</v>
      </c>
      <c r="E78" s="67">
        <v>42500.25</v>
      </c>
      <c r="F78" s="67">
        <v>136337.25</v>
      </c>
      <c r="G78" s="67">
        <v>93837</v>
      </c>
      <c r="H78" s="63">
        <f t="shared" si="1"/>
        <v>2.2079164240210352</v>
      </c>
    </row>
    <row r="79" spans="1:8" ht="15.75" thickBot="1">
      <c r="A79" s="55" t="s">
        <v>435</v>
      </c>
      <c r="B79" s="56">
        <v>12</v>
      </c>
      <c r="C79" s="67">
        <v>1371.6</v>
      </c>
      <c r="D79" s="67">
        <v>1171.5250000000001</v>
      </c>
      <c r="E79" s="67">
        <v>14058.3</v>
      </c>
      <c r="F79" s="67">
        <v>16459.2</v>
      </c>
      <c r="G79" s="67">
        <v>2400.9</v>
      </c>
      <c r="H79" s="63">
        <f t="shared" si="1"/>
        <v>0.17078167345980669</v>
      </c>
    </row>
    <row r="80" spans="1:8" ht="15.75" thickBot="1">
      <c r="A80" s="55" t="s">
        <v>438</v>
      </c>
      <c r="B80" s="56">
        <v>27</v>
      </c>
      <c r="C80" s="67">
        <v>908.4</v>
      </c>
      <c r="D80" s="67">
        <v>698.62220000000002</v>
      </c>
      <c r="E80" s="67">
        <v>18862.8</v>
      </c>
      <c r="F80" s="67">
        <v>24526.799999999999</v>
      </c>
      <c r="G80" s="67">
        <v>5664</v>
      </c>
      <c r="H80" s="63">
        <f t="shared" si="1"/>
        <v>0.30027355429734714</v>
      </c>
    </row>
    <row r="81" spans="1:8" ht="15.75" thickBot="1">
      <c r="A81" s="55" t="s">
        <v>465</v>
      </c>
      <c r="B81" s="56">
        <v>209</v>
      </c>
      <c r="C81" s="67">
        <v>142.94999999999999</v>
      </c>
      <c r="D81" s="67">
        <v>123.35</v>
      </c>
      <c r="E81" s="67">
        <v>25780.15</v>
      </c>
      <c r="F81" s="67">
        <v>29876.55</v>
      </c>
      <c r="G81" s="67">
        <v>4096.3999999999996</v>
      </c>
      <c r="H81" s="63">
        <f t="shared" si="1"/>
        <v>0.15889744629104172</v>
      </c>
    </row>
    <row r="82" spans="1:8" ht="15.75" thickBot="1">
      <c r="A82" s="55" t="s">
        <v>453</v>
      </c>
      <c r="B82" s="56">
        <v>22</v>
      </c>
      <c r="C82" s="67">
        <v>636.15</v>
      </c>
      <c r="D82" s="67">
        <v>584.20000000000005</v>
      </c>
      <c r="E82" s="67">
        <v>12852.4</v>
      </c>
      <c r="F82" s="67">
        <v>13995.3</v>
      </c>
      <c r="G82" s="67">
        <v>1142.9000000000001</v>
      </c>
      <c r="H82" s="63">
        <f t="shared" si="1"/>
        <v>8.8925025676138317E-2</v>
      </c>
    </row>
    <row r="83" spans="1:8" ht="15.75" thickBot="1">
      <c r="A83" s="55" t="s">
        <v>439</v>
      </c>
      <c r="B83" s="56">
        <v>525</v>
      </c>
      <c r="C83" s="67">
        <v>12.86</v>
      </c>
      <c r="D83" s="67">
        <v>38.966700000000003</v>
      </c>
      <c r="E83" s="67">
        <v>20457.5</v>
      </c>
      <c r="F83" s="67">
        <v>6751.5</v>
      </c>
      <c r="G83" s="67">
        <v>-13706</v>
      </c>
      <c r="H83" s="63">
        <f t="shared" si="1"/>
        <v>-0.66997433704020526</v>
      </c>
    </row>
    <row r="84" spans="1:8" ht="15.75" thickBot="1">
      <c r="A84" s="55" t="s">
        <v>440</v>
      </c>
      <c r="B84" s="56">
        <v>13</v>
      </c>
      <c r="C84" s="67">
        <v>2317.65</v>
      </c>
      <c r="D84" s="67">
        <v>2019.6069</v>
      </c>
      <c r="E84" s="67">
        <v>26254.89</v>
      </c>
      <c r="F84" s="67">
        <v>30129.45</v>
      </c>
      <c r="G84" s="67">
        <v>3874.56</v>
      </c>
      <c r="H84" s="63">
        <f t="shared" si="1"/>
        <v>0.14757479463825596</v>
      </c>
    </row>
    <row r="85" spans="1:8" ht="18.75" thickBot="1">
      <c r="A85" s="44" t="s">
        <v>11</v>
      </c>
      <c r="B85" s="44">
        <f>SUM(B2:B84)</f>
        <v>7892</v>
      </c>
      <c r="C85" s="44"/>
      <c r="D85" s="44"/>
      <c r="E85" s="45">
        <f>SUM(E2:E84)</f>
        <v>2358447.7399999998</v>
      </c>
      <c r="F85" s="45">
        <f>SUM(F2:F84)</f>
        <v>3200548.4000000008</v>
      </c>
      <c r="G85" s="45">
        <f>SUM(G2:G84)</f>
        <v>842100.66</v>
      </c>
      <c r="H85" s="64">
        <f t="shared" si="1"/>
        <v>0.35705716336966625</v>
      </c>
    </row>
    <row r="86" spans="1:8" ht="15.75" thickTop="1"/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923F-317E-4F4D-82D3-801FF6131254}">
  <dimension ref="A1:I14"/>
  <sheetViews>
    <sheetView workbookViewId="0">
      <selection activeCell="A13" sqref="A13:I13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 ht="15.75" thickBot="1">
      <c r="A2" s="55" t="s">
        <v>234</v>
      </c>
      <c r="B2" s="57" t="s">
        <v>235</v>
      </c>
      <c r="C2" s="67">
        <v>2473.7170000000001</v>
      </c>
      <c r="D2" s="67">
        <v>76.400000000000006</v>
      </c>
      <c r="E2" s="67">
        <v>64.6768</v>
      </c>
      <c r="F2" s="67">
        <v>159992.10219999999</v>
      </c>
      <c r="G2" s="67">
        <v>188991.97880000001</v>
      </c>
      <c r="H2" s="67">
        <v>28999.8766</v>
      </c>
      <c r="I2" s="1">
        <f>H2/F2</f>
        <v>0.18125817588013418</v>
      </c>
    </row>
    <row r="3" spans="1:9" ht="15.75" thickBot="1">
      <c r="A3" s="55" t="s">
        <v>236</v>
      </c>
      <c r="B3" s="57" t="s">
        <v>237</v>
      </c>
      <c r="C3" s="67">
        <v>10114.929</v>
      </c>
      <c r="D3" s="67">
        <v>64.67</v>
      </c>
      <c r="E3" s="67">
        <v>39.543599999999998</v>
      </c>
      <c r="F3" s="67">
        <v>399980.94079999998</v>
      </c>
      <c r="G3" s="67">
        <v>654132.4584</v>
      </c>
      <c r="H3" s="67">
        <v>254151.51759999999</v>
      </c>
      <c r="I3" s="1">
        <f t="shared" ref="I3:I13" si="0">H3/F3</f>
        <v>0.63540906997136604</v>
      </c>
    </row>
    <row r="4" spans="1:9" ht="15.75" thickBot="1">
      <c r="A4" s="55" t="s">
        <v>454</v>
      </c>
      <c r="B4" s="57" t="s">
        <v>269</v>
      </c>
      <c r="C4" s="67">
        <v>138.358</v>
      </c>
      <c r="D4" s="67">
        <v>3143.1412999999998</v>
      </c>
      <c r="E4" s="67">
        <v>3126.5999000000002</v>
      </c>
      <c r="F4" s="67">
        <v>432590.10820000002</v>
      </c>
      <c r="G4" s="67">
        <v>434878.74400000001</v>
      </c>
      <c r="H4" s="67">
        <v>2288.6356999999998</v>
      </c>
      <c r="I4" s="1">
        <f t="shared" si="0"/>
        <v>5.2905409916166914E-3</v>
      </c>
    </row>
    <row r="5" spans="1:9" ht="15.75" thickBot="1">
      <c r="A5" s="55" t="s">
        <v>441</v>
      </c>
      <c r="B5" s="57" t="s">
        <v>241</v>
      </c>
      <c r="C5" s="67">
        <v>1857.5519999999999</v>
      </c>
      <c r="D5" s="67">
        <v>536.21159999999998</v>
      </c>
      <c r="E5" s="67">
        <v>366.02140000000003</v>
      </c>
      <c r="F5" s="67">
        <v>679903.69869999995</v>
      </c>
      <c r="G5" s="67">
        <v>996040.93</v>
      </c>
      <c r="H5" s="67">
        <v>316137.23129999998</v>
      </c>
      <c r="I5" s="1">
        <f t="shared" si="0"/>
        <v>0.46497354243617972</v>
      </c>
    </row>
    <row r="6" spans="1:9" ht="15.75" thickBot="1">
      <c r="A6" s="55" t="s">
        <v>242</v>
      </c>
      <c r="B6" s="57" t="s">
        <v>237</v>
      </c>
      <c r="C6" s="67">
        <v>5856.576</v>
      </c>
      <c r="D6" s="67">
        <v>80.974000000000004</v>
      </c>
      <c r="E6" s="67">
        <v>44.3917</v>
      </c>
      <c r="F6" s="67">
        <v>259983.36480000001</v>
      </c>
      <c r="G6" s="67">
        <v>474230.38500000001</v>
      </c>
      <c r="H6" s="67">
        <v>214247.0202</v>
      </c>
      <c r="I6" s="1">
        <f t="shared" si="0"/>
        <v>0.82407972665795726</v>
      </c>
    </row>
    <row r="7" spans="1:9" ht="15.75" thickBot="1">
      <c r="A7" s="55" t="s">
        <v>272</v>
      </c>
      <c r="B7" s="57" t="s">
        <v>235</v>
      </c>
      <c r="C7" s="67">
        <v>6641.4979999999996</v>
      </c>
      <c r="D7" s="67">
        <v>78.213999999999999</v>
      </c>
      <c r="E7" s="67">
        <v>41.7624</v>
      </c>
      <c r="F7" s="67">
        <v>277364.96380000003</v>
      </c>
      <c r="G7" s="67">
        <v>519458.12459999998</v>
      </c>
      <c r="H7" s="67">
        <v>242093.16080000001</v>
      </c>
      <c r="I7" s="1">
        <f t="shared" si="0"/>
        <v>0.87283252175486192</v>
      </c>
    </row>
    <row r="8" spans="1:9" ht="15.75" thickBot="1">
      <c r="A8" s="55" t="s">
        <v>244</v>
      </c>
      <c r="B8" s="57" t="s">
        <v>233</v>
      </c>
      <c r="C8" s="67">
        <v>824.55100000000004</v>
      </c>
      <c r="D8" s="67">
        <v>23.004000000000001</v>
      </c>
      <c r="E8" s="67">
        <v>24.2544</v>
      </c>
      <c r="F8" s="67">
        <v>19998.989799999999</v>
      </c>
      <c r="G8" s="67">
        <v>18967.9712</v>
      </c>
      <c r="H8" s="67">
        <v>-1031.0186000000001</v>
      </c>
      <c r="I8" s="1">
        <f t="shared" si="0"/>
        <v>-5.1553533969000781E-2</v>
      </c>
    </row>
    <row r="9" spans="1:9" ht="15.75" thickBot="1">
      <c r="A9" s="55" t="s">
        <v>250</v>
      </c>
      <c r="B9" s="57" t="s">
        <v>251</v>
      </c>
      <c r="C9" s="67">
        <v>9384.3259999999991</v>
      </c>
      <c r="D9" s="67">
        <v>51.9893</v>
      </c>
      <c r="E9" s="67">
        <v>35.798999999999999</v>
      </c>
      <c r="F9" s="67">
        <v>335949.4584</v>
      </c>
      <c r="G9" s="67">
        <v>487884.53970000002</v>
      </c>
      <c r="H9" s="67">
        <v>151935.08129999999</v>
      </c>
      <c r="I9" s="1">
        <f t="shared" si="0"/>
        <v>0.45225577092342767</v>
      </c>
    </row>
    <row r="10" spans="1:9" ht="15.75" thickBot="1">
      <c r="A10" s="55" t="s">
        <v>274</v>
      </c>
      <c r="B10" s="57" t="s">
        <v>233</v>
      </c>
      <c r="C10" s="67">
        <v>5399.8710000000001</v>
      </c>
      <c r="D10" s="67">
        <v>40.11</v>
      </c>
      <c r="E10" s="67">
        <v>37.036200000000001</v>
      </c>
      <c r="F10" s="67">
        <v>199990.82519999999</v>
      </c>
      <c r="G10" s="67">
        <v>216588.82579999999</v>
      </c>
      <c r="H10" s="67">
        <v>16598.000599999999</v>
      </c>
      <c r="I10" s="1">
        <f t="shared" si="0"/>
        <v>8.2993810258051776E-2</v>
      </c>
    </row>
    <row r="11" spans="1:9" ht="15.75" thickBot="1">
      <c r="A11" s="55" t="s">
        <v>455</v>
      </c>
      <c r="B11" s="57" t="s">
        <v>241</v>
      </c>
      <c r="C11" s="67">
        <v>197.84399999999999</v>
      </c>
      <c r="D11" s="67">
        <v>150.7972</v>
      </c>
      <c r="E11" s="67">
        <v>126.3557</v>
      </c>
      <c r="F11" s="67">
        <v>24998.7091</v>
      </c>
      <c r="G11" s="67">
        <v>29834.321199999998</v>
      </c>
      <c r="H11" s="67">
        <v>4835.6121000000003</v>
      </c>
      <c r="I11" s="1">
        <f t="shared" si="0"/>
        <v>0.19343447218240561</v>
      </c>
    </row>
    <row r="12" spans="1:9" ht="15.75" thickBot="1">
      <c r="A12" s="58" t="s">
        <v>255</v>
      </c>
      <c r="B12" s="57" t="s">
        <v>241</v>
      </c>
      <c r="C12" s="67">
        <v>18996.168000000001</v>
      </c>
      <c r="D12" s="67">
        <v>15.3977</v>
      </c>
      <c r="E12" s="67">
        <v>9.4700000000000006</v>
      </c>
      <c r="F12" s="67">
        <v>179893.71100000001</v>
      </c>
      <c r="G12" s="67">
        <v>292497.29599999997</v>
      </c>
      <c r="H12" s="67">
        <v>112603.5851</v>
      </c>
      <c r="I12" s="1">
        <f t="shared" si="0"/>
        <v>0.62594508987587671</v>
      </c>
    </row>
    <row r="13" spans="1:9" ht="15.75" thickBot="1">
      <c r="A13" s="51" t="s">
        <v>11</v>
      </c>
      <c r="B13" s="52"/>
      <c r="C13" s="52">
        <f>SUM(C2:C12)</f>
        <v>61885.39</v>
      </c>
      <c r="D13" s="52"/>
      <c r="E13" s="52"/>
      <c r="F13" s="52">
        <f t="shared" ref="F13:H13" si="1">SUM(F2:F12)</f>
        <v>2970646.872</v>
      </c>
      <c r="G13" s="52">
        <f t="shared" si="1"/>
        <v>4313505.5746999998</v>
      </c>
      <c r="H13" s="52">
        <f t="shared" si="1"/>
        <v>1342858.7026999998</v>
      </c>
      <c r="I13" s="53">
        <f t="shared" si="0"/>
        <v>0.45204252156565305</v>
      </c>
    </row>
    <row r="14" spans="1:9" ht="15.75" thickTop="1"/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C5D6-121A-4625-869D-14A185B66DEE}">
  <dimension ref="A1:H83"/>
  <sheetViews>
    <sheetView topLeftCell="B63" workbookViewId="0">
      <selection activeCell="A82" sqref="A82:H82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 ht="15.75" thickBot="1">
      <c r="A2" s="55" t="s">
        <v>352</v>
      </c>
      <c r="B2" s="56">
        <v>24</v>
      </c>
      <c r="C2" s="67">
        <v>2177.8000000000002</v>
      </c>
      <c r="D2" s="67">
        <v>1733.6763000000001</v>
      </c>
      <c r="E2" s="67">
        <v>41608.230000000003</v>
      </c>
      <c r="F2" s="67">
        <v>52267.199999999997</v>
      </c>
      <c r="G2" s="67">
        <v>10658.97</v>
      </c>
      <c r="H2" s="63">
        <f>G2/E2</f>
        <v>0.25617455969648306</v>
      </c>
    </row>
    <row r="3" spans="1:8" ht="15.75" thickBot="1">
      <c r="A3" s="55" t="s">
        <v>458</v>
      </c>
      <c r="B3" s="56">
        <v>262</v>
      </c>
      <c r="C3" s="67">
        <v>110.4</v>
      </c>
      <c r="D3" s="67">
        <v>110.35899999999999</v>
      </c>
      <c r="E3" s="67">
        <v>28914.06</v>
      </c>
      <c r="F3" s="67">
        <v>28924.799999999999</v>
      </c>
      <c r="G3" s="67">
        <v>10.74</v>
      </c>
      <c r="H3" s="63">
        <f t="shared" ref="H3:H66" si="0">G3/E3</f>
        <v>3.7144558737168008E-4</v>
      </c>
    </row>
    <row r="4" spans="1:8" ht="15.75" thickBot="1">
      <c r="A4" s="55" t="s">
        <v>353</v>
      </c>
      <c r="B4" s="56">
        <v>17</v>
      </c>
      <c r="C4" s="67">
        <v>3788.85</v>
      </c>
      <c r="D4" s="67">
        <v>2499.8224</v>
      </c>
      <c r="E4" s="67">
        <v>42496.98</v>
      </c>
      <c r="F4" s="67">
        <v>64410.45</v>
      </c>
      <c r="G4" s="67">
        <v>21913.47</v>
      </c>
      <c r="H4" s="63">
        <f t="shared" si="0"/>
        <v>0.5156477001424572</v>
      </c>
    </row>
    <row r="5" spans="1:8" ht="15.75" thickBot="1">
      <c r="A5" s="55" t="s">
        <v>354</v>
      </c>
      <c r="B5" s="56">
        <v>250</v>
      </c>
      <c r="C5" s="67">
        <v>218.45</v>
      </c>
      <c r="D5" s="67">
        <v>183.58799999999999</v>
      </c>
      <c r="E5" s="67">
        <v>45897</v>
      </c>
      <c r="F5" s="67">
        <v>54612.5</v>
      </c>
      <c r="G5" s="67">
        <v>8715.5</v>
      </c>
      <c r="H5" s="63">
        <f t="shared" si="0"/>
        <v>0.18989258557204175</v>
      </c>
    </row>
    <row r="6" spans="1:8" ht="15.75" thickBot="1">
      <c r="A6" s="55" t="s">
        <v>355</v>
      </c>
      <c r="B6" s="56">
        <v>10</v>
      </c>
      <c r="C6" s="67">
        <v>3335</v>
      </c>
      <c r="D6" s="67">
        <v>2188.4</v>
      </c>
      <c r="E6" s="67">
        <v>21884</v>
      </c>
      <c r="F6" s="67">
        <v>33350</v>
      </c>
      <c r="G6" s="67">
        <v>11466</v>
      </c>
      <c r="H6" s="63">
        <f t="shared" si="0"/>
        <v>0.52394443428989212</v>
      </c>
    </row>
    <row r="7" spans="1:8" ht="15.75" thickBot="1">
      <c r="A7" s="55" t="s">
        <v>356</v>
      </c>
      <c r="B7" s="56">
        <v>34</v>
      </c>
      <c r="C7" s="67">
        <v>1163.5</v>
      </c>
      <c r="D7" s="67">
        <v>943.40740000000005</v>
      </c>
      <c r="E7" s="67">
        <v>32075.85</v>
      </c>
      <c r="F7" s="67">
        <v>39559</v>
      </c>
      <c r="G7" s="67">
        <v>7483.15</v>
      </c>
      <c r="H7" s="63">
        <f t="shared" si="0"/>
        <v>0.23329545436831758</v>
      </c>
    </row>
    <row r="8" spans="1:8" ht="15.75" thickBot="1">
      <c r="A8" s="55" t="s">
        <v>466</v>
      </c>
      <c r="B8" s="56">
        <v>32</v>
      </c>
      <c r="C8" s="67">
        <v>746.6</v>
      </c>
      <c r="D8" s="67">
        <v>856.625</v>
      </c>
      <c r="E8" s="67">
        <v>27412</v>
      </c>
      <c r="F8" s="67">
        <v>23891.200000000001</v>
      </c>
      <c r="G8" s="67">
        <v>-3520.8</v>
      </c>
      <c r="H8" s="63">
        <f t="shared" si="0"/>
        <v>-0.12844009922661609</v>
      </c>
    </row>
    <row r="9" spans="1:8" ht="15.75" thickBot="1">
      <c r="A9" s="55" t="s">
        <v>357</v>
      </c>
      <c r="B9" s="56">
        <v>9</v>
      </c>
      <c r="C9" s="67">
        <v>3936.6</v>
      </c>
      <c r="D9" s="67">
        <v>2894.4322000000002</v>
      </c>
      <c r="E9" s="67">
        <v>26049.89</v>
      </c>
      <c r="F9" s="67">
        <v>35429.4</v>
      </c>
      <c r="G9" s="67">
        <v>9379.51</v>
      </c>
      <c r="H9" s="63">
        <f t="shared" si="0"/>
        <v>0.36005948585579439</v>
      </c>
    </row>
    <row r="10" spans="1:8" ht="15.75" thickBot="1">
      <c r="A10" s="55" t="s">
        <v>358</v>
      </c>
      <c r="B10" s="56">
        <v>53</v>
      </c>
      <c r="C10" s="67">
        <v>787.7</v>
      </c>
      <c r="D10" s="67">
        <v>549.49810000000002</v>
      </c>
      <c r="E10" s="67">
        <v>29123.4</v>
      </c>
      <c r="F10" s="67">
        <v>41748.1</v>
      </c>
      <c r="G10" s="67">
        <v>12624.7</v>
      </c>
      <c r="H10" s="63">
        <f t="shared" si="0"/>
        <v>0.43348990845849045</v>
      </c>
    </row>
    <row r="11" spans="1:8" ht="15.75" thickBot="1">
      <c r="A11" s="55" t="s">
        <v>359</v>
      </c>
      <c r="B11" s="56">
        <v>20</v>
      </c>
      <c r="C11" s="67">
        <v>3770.8</v>
      </c>
      <c r="D11" s="67">
        <v>2471.605</v>
      </c>
      <c r="E11" s="67">
        <v>49432.1</v>
      </c>
      <c r="F11" s="67">
        <v>75416</v>
      </c>
      <c r="G11" s="67">
        <v>25983.9</v>
      </c>
      <c r="H11" s="63">
        <f t="shared" si="0"/>
        <v>0.52564831354524699</v>
      </c>
    </row>
    <row r="12" spans="1:8" ht="15.75" thickBot="1">
      <c r="A12" s="55" t="s">
        <v>459</v>
      </c>
      <c r="B12" s="56">
        <v>68</v>
      </c>
      <c r="C12" s="67">
        <v>254.9</v>
      </c>
      <c r="D12" s="67">
        <v>248.50960000000001</v>
      </c>
      <c r="E12" s="67">
        <v>16898.650000000001</v>
      </c>
      <c r="F12" s="67">
        <v>17333.2</v>
      </c>
      <c r="G12" s="67">
        <v>434.55</v>
      </c>
      <c r="H12" s="63">
        <f t="shared" si="0"/>
        <v>2.5715071914028633E-2</v>
      </c>
    </row>
    <row r="13" spans="1:8" ht="15.75" thickBot="1">
      <c r="A13" s="55" t="s">
        <v>361</v>
      </c>
      <c r="B13" s="56">
        <v>6</v>
      </c>
      <c r="C13" s="67">
        <v>2474.1</v>
      </c>
      <c r="D13" s="67">
        <v>1647.3</v>
      </c>
      <c r="E13" s="67">
        <v>9883.7999999999993</v>
      </c>
      <c r="F13" s="67">
        <v>14844.6</v>
      </c>
      <c r="G13" s="67">
        <v>4960.8</v>
      </c>
      <c r="H13" s="63">
        <f t="shared" si="0"/>
        <v>0.50191221999635771</v>
      </c>
    </row>
    <row r="14" spans="1:8" ht="15.75" thickBot="1">
      <c r="A14" s="55" t="s">
        <v>362</v>
      </c>
      <c r="B14" s="56">
        <v>180</v>
      </c>
      <c r="C14" s="67">
        <v>670.7</v>
      </c>
      <c r="D14" s="67">
        <v>322.88889999999998</v>
      </c>
      <c r="E14" s="67">
        <v>58120</v>
      </c>
      <c r="F14" s="67">
        <v>120726</v>
      </c>
      <c r="G14" s="67">
        <v>62606</v>
      </c>
      <c r="H14" s="63">
        <f t="shared" si="0"/>
        <v>1.0771851342050929</v>
      </c>
    </row>
    <row r="15" spans="1:8" ht="15.75" thickBot="1">
      <c r="A15" s="55" t="s">
        <v>364</v>
      </c>
      <c r="B15" s="56">
        <v>9</v>
      </c>
      <c r="C15" s="67">
        <v>4094.4</v>
      </c>
      <c r="D15" s="67">
        <v>3545.8110999999999</v>
      </c>
      <c r="E15" s="67">
        <v>31912.3</v>
      </c>
      <c r="F15" s="67">
        <v>36849.599999999999</v>
      </c>
      <c r="G15" s="67">
        <v>4937.3</v>
      </c>
      <c r="H15" s="63">
        <f t="shared" si="0"/>
        <v>0.15471463980972855</v>
      </c>
    </row>
    <row r="16" spans="1:8" ht="15.75" thickBot="1">
      <c r="A16" s="55" t="s">
        <v>365</v>
      </c>
      <c r="B16" s="56">
        <v>180</v>
      </c>
      <c r="C16" s="67">
        <v>134.94999999999999</v>
      </c>
      <c r="D16" s="67">
        <v>155.25</v>
      </c>
      <c r="E16" s="67">
        <v>27945</v>
      </c>
      <c r="F16" s="67">
        <v>24291</v>
      </c>
      <c r="G16" s="67">
        <v>-3654</v>
      </c>
      <c r="H16" s="63">
        <f t="shared" si="0"/>
        <v>-0.13075684380032207</v>
      </c>
    </row>
    <row r="17" spans="1:8" ht="15.75" thickBot="1">
      <c r="A17" s="55" t="s">
        <v>366</v>
      </c>
      <c r="B17" s="56">
        <v>34</v>
      </c>
      <c r="C17" s="67">
        <v>950.5</v>
      </c>
      <c r="D17" s="67">
        <v>631.68759999999997</v>
      </c>
      <c r="E17" s="67">
        <v>21477.38</v>
      </c>
      <c r="F17" s="67">
        <v>32317</v>
      </c>
      <c r="G17" s="67">
        <v>10839.62</v>
      </c>
      <c r="H17" s="63">
        <f t="shared" si="0"/>
        <v>0.50469936277143679</v>
      </c>
    </row>
    <row r="18" spans="1:8" ht="15.75" thickBot="1">
      <c r="A18" s="55" t="s">
        <v>460</v>
      </c>
      <c r="B18" s="56">
        <v>350</v>
      </c>
      <c r="C18" s="67">
        <v>154.25</v>
      </c>
      <c r="D18" s="67">
        <v>155.49019999999999</v>
      </c>
      <c r="E18" s="67">
        <v>54421.57</v>
      </c>
      <c r="F18" s="67">
        <v>53987.5</v>
      </c>
      <c r="G18" s="67">
        <v>-434.07</v>
      </c>
      <c r="H18" s="63">
        <f t="shared" si="0"/>
        <v>-7.9760653726086914E-3</v>
      </c>
    </row>
    <row r="19" spans="1:8" ht="15.75" thickBot="1">
      <c r="A19" s="55" t="s">
        <v>367</v>
      </c>
      <c r="B19" s="56">
        <v>250</v>
      </c>
      <c r="C19" s="67">
        <v>147.19999999999999</v>
      </c>
      <c r="D19" s="67">
        <v>163.66999999999999</v>
      </c>
      <c r="E19" s="67">
        <v>40917.5</v>
      </c>
      <c r="F19" s="67">
        <v>36800</v>
      </c>
      <c r="G19" s="67">
        <v>-4117.5</v>
      </c>
      <c r="H19" s="63">
        <f t="shared" si="0"/>
        <v>-0.10062931508523248</v>
      </c>
    </row>
    <row r="20" spans="1:8" ht="15.75" thickBot="1">
      <c r="A20" s="55" t="s">
        <v>368</v>
      </c>
      <c r="B20" s="56">
        <v>2</v>
      </c>
      <c r="C20" s="67">
        <v>5177.3500000000004</v>
      </c>
      <c r="D20" s="67">
        <v>4417.8500000000004</v>
      </c>
      <c r="E20" s="67">
        <v>8835.7000000000007</v>
      </c>
      <c r="F20" s="67">
        <v>10354.700000000001</v>
      </c>
      <c r="G20" s="67">
        <v>1519</v>
      </c>
      <c r="H20" s="63">
        <f t="shared" si="0"/>
        <v>0.1719162035831909</v>
      </c>
    </row>
    <row r="21" spans="1:8" ht="15.75" thickBot="1">
      <c r="A21" s="55" t="s">
        <v>369</v>
      </c>
      <c r="B21" s="56">
        <v>14</v>
      </c>
      <c r="C21" s="67">
        <v>1729.3</v>
      </c>
      <c r="D21" s="67">
        <v>1609.0571</v>
      </c>
      <c r="E21" s="67">
        <v>22526.799999999999</v>
      </c>
      <c r="F21" s="67">
        <v>24210.2</v>
      </c>
      <c r="G21" s="67">
        <v>1683.4</v>
      </c>
      <c r="H21" s="63">
        <f t="shared" si="0"/>
        <v>7.4728767512474037E-2</v>
      </c>
    </row>
    <row r="22" spans="1:8" ht="15.75" thickBot="1">
      <c r="A22" s="55" t="s">
        <v>370</v>
      </c>
      <c r="B22" s="56">
        <v>31</v>
      </c>
      <c r="C22" s="67">
        <v>637.54999999999995</v>
      </c>
      <c r="D22" s="67">
        <v>547.05060000000003</v>
      </c>
      <c r="E22" s="67">
        <v>16958.57</v>
      </c>
      <c r="F22" s="67">
        <v>19764.05</v>
      </c>
      <c r="G22" s="67">
        <v>2805.48</v>
      </c>
      <c r="H22" s="63">
        <f t="shared" si="0"/>
        <v>0.16543140135046763</v>
      </c>
    </row>
    <row r="23" spans="1:8" ht="15.75" thickBot="1">
      <c r="A23" s="55" t="s">
        <v>371</v>
      </c>
      <c r="B23" s="56">
        <v>11</v>
      </c>
      <c r="C23" s="67">
        <v>5208.8500000000004</v>
      </c>
      <c r="D23" s="67">
        <v>2298.1581999999999</v>
      </c>
      <c r="E23" s="67">
        <v>25279.74</v>
      </c>
      <c r="F23" s="67">
        <v>57297.35</v>
      </c>
      <c r="G23" s="67">
        <v>32017.61</v>
      </c>
      <c r="H23" s="63">
        <f t="shared" si="0"/>
        <v>1.2665324089567376</v>
      </c>
    </row>
    <row r="24" spans="1:8" ht="15.75" thickBot="1">
      <c r="A24" s="55" t="s">
        <v>372</v>
      </c>
      <c r="B24" s="56">
        <v>53</v>
      </c>
      <c r="C24" s="67">
        <v>336</v>
      </c>
      <c r="D24" s="67">
        <v>263.07299999999998</v>
      </c>
      <c r="E24" s="67">
        <v>13942.87</v>
      </c>
      <c r="F24" s="67">
        <v>17808</v>
      </c>
      <c r="G24" s="67">
        <v>3865.13</v>
      </c>
      <c r="H24" s="63">
        <f t="shared" si="0"/>
        <v>0.27721193699718921</v>
      </c>
    </row>
    <row r="25" spans="1:8" ht="15.75" thickBot="1">
      <c r="A25" s="55" t="s">
        <v>374</v>
      </c>
      <c r="B25" s="56">
        <v>6</v>
      </c>
      <c r="C25" s="67">
        <v>2822.9</v>
      </c>
      <c r="D25" s="67">
        <v>2439.5066999999999</v>
      </c>
      <c r="E25" s="67">
        <v>14637.04</v>
      </c>
      <c r="F25" s="67">
        <v>16937.400000000001</v>
      </c>
      <c r="G25" s="67">
        <v>2300.36</v>
      </c>
      <c r="H25" s="63">
        <f t="shared" si="0"/>
        <v>0.15716019085826097</v>
      </c>
    </row>
    <row r="26" spans="1:8" ht="15.75" thickBot="1">
      <c r="A26" s="55" t="s">
        <v>376</v>
      </c>
      <c r="B26" s="56">
        <v>9</v>
      </c>
      <c r="C26" s="67">
        <v>1597.05</v>
      </c>
      <c r="D26" s="67">
        <v>1253.8133</v>
      </c>
      <c r="E26" s="67">
        <v>11284.32</v>
      </c>
      <c r="F26" s="67">
        <v>14373.45</v>
      </c>
      <c r="G26" s="67">
        <v>3089.13</v>
      </c>
      <c r="H26" s="63">
        <f t="shared" si="0"/>
        <v>0.27375420051895022</v>
      </c>
    </row>
    <row r="27" spans="1:8" ht="15.75" thickBot="1">
      <c r="A27" s="55" t="s">
        <v>377</v>
      </c>
      <c r="B27" s="56">
        <v>76</v>
      </c>
      <c r="C27" s="67">
        <v>774</v>
      </c>
      <c r="D27" s="67">
        <v>708.95</v>
      </c>
      <c r="E27" s="67">
        <v>53880.2</v>
      </c>
      <c r="F27" s="67">
        <v>58824</v>
      </c>
      <c r="G27" s="67">
        <v>4943.8</v>
      </c>
      <c r="H27" s="63">
        <f t="shared" si="0"/>
        <v>9.1755412934621638E-2</v>
      </c>
    </row>
    <row r="28" spans="1:8" ht="15.75" thickBot="1">
      <c r="A28" s="55" t="s">
        <v>378</v>
      </c>
      <c r="B28" s="56">
        <v>242</v>
      </c>
      <c r="C28" s="67">
        <v>185.85</v>
      </c>
      <c r="D28" s="67">
        <v>196.23349999999999</v>
      </c>
      <c r="E28" s="67">
        <v>47488.51</v>
      </c>
      <c r="F28" s="67">
        <v>44975.7</v>
      </c>
      <c r="G28" s="67">
        <v>-2512.81</v>
      </c>
      <c r="H28" s="63">
        <f t="shared" si="0"/>
        <v>-5.2914062791188855E-2</v>
      </c>
    </row>
    <row r="29" spans="1:8" ht="15.75" thickBot="1">
      <c r="A29" s="55" t="s">
        <v>379</v>
      </c>
      <c r="B29" s="56">
        <v>461</v>
      </c>
      <c r="C29" s="67">
        <v>81.55</v>
      </c>
      <c r="D29" s="67">
        <v>65.281599999999997</v>
      </c>
      <c r="E29" s="67">
        <v>30094.799999999999</v>
      </c>
      <c r="F29" s="67">
        <v>37594.550000000003</v>
      </c>
      <c r="G29" s="67">
        <v>7499.75</v>
      </c>
      <c r="H29" s="63">
        <f t="shared" si="0"/>
        <v>0.24920418145327433</v>
      </c>
    </row>
    <row r="30" spans="1:8" ht="15.75" thickBot="1">
      <c r="A30" s="55" t="s">
        <v>380</v>
      </c>
      <c r="B30" s="56">
        <v>66</v>
      </c>
      <c r="C30" s="67">
        <v>146.94999999999999</v>
      </c>
      <c r="D30" s="67">
        <v>156.83330000000001</v>
      </c>
      <c r="E30" s="67">
        <v>10351</v>
      </c>
      <c r="F30" s="67">
        <v>9698.7000000000007</v>
      </c>
      <c r="G30" s="67">
        <v>-652.29999999999995</v>
      </c>
      <c r="H30" s="63">
        <f t="shared" si="0"/>
        <v>-6.3018065887353869E-2</v>
      </c>
    </row>
    <row r="31" spans="1:8" ht="15.75" thickBot="1">
      <c r="A31" s="55" t="s">
        <v>383</v>
      </c>
      <c r="B31" s="56">
        <v>11</v>
      </c>
      <c r="C31" s="67">
        <v>1577.25</v>
      </c>
      <c r="D31" s="67">
        <v>1384.9864</v>
      </c>
      <c r="E31" s="67">
        <v>15234.85</v>
      </c>
      <c r="F31" s="67">
        <v>17349.75</v>
      </c>
      <c r="G31" s="67">
        <v>2114.9</v>
      </c>
      <c r="H31" s="63">
        <f t="shared" si="0"/>
        <v>0.13881987679563632</v>
      </c>
    </row>
    <row r="32" spans="1:8" ht="15.75" thickBot="1">
      <c r="A32" s="55" t="s">
        <v>461</v>
      </c>
      <c r="B32" s="56">
        <v>98</v>
      </c>
      <c r="C32" s="67">
        <v>338.05</v>
      </c>
      <c r="D32" s="67">
        <v>227.5429</v>
      </c>
      <c r="E32" s="67">
        <v>22299.200000000001</v>
      </c>
      <c r="F32" s="67">
        <v>33128.9</v>
      </c>
      <c r="G32" s="67">
        <v>10829.7</v>
      </c>
      <c r="H32" s="63">
        <f t="shared" si="0"/>
        <v>0.48565419387242592</v>
      </c>
    </row>
    <row r="33" spans="1:8" ht="15.75" thickBot="1">
      <c r="A33" s="55" t="s">
        <v>384</v>
      </c>
      <c r="B33" s="56">
        <v>11</v>
      </c>
      <c r="C33" s="67">
        <v>1182.4000000000001</v>
      </c>
      <c r="D33" s="67">
        <v>1015.6691</v>
      </c>
      <c r="E33" s="67">
        <v>11172.36</v>
      </c>
      <c r="F33" s="67">
        <v>13006.4</v>
      </c>
      <c r="G33" s="67">
        <v>1834.04</v>
      </c>
      <c r="H33" s="63">
        <f t="shared" si="0"/>
        <v>0.16415869162826832</v>
      </c>
    </row>
    <row r="34" spans="1:8" ht="15.75" thickBot="1">
      <c r="A34" s="55" t="s">
        <v>385</v>
      </c>
      <c r="B34" s="56">
        <v>37</v>
      </c>
      <c r="C34" s="67">
        <v>1569.15</v>
      </c>
      <c r="D34" s="67">
        <v>1302.7257</v>
      </c>
      <c r="E34" s="67">
        <v>48200.85</v>
      </c>
      <c r="F34" s="67">
        <v>58058.55</v>
      </c>
      <c r="G34" s="67">
        <v>9857.7000000000007</v>
      </c>
      <c r="H34" s="63">
        <f t="shared" si="0"/>
        <v>0.20451299095347905</v>
      </c>
    </row>
    <row r="35" spans="1:8" ht="15.75" thickBot="1">
      <c r="A35" s="55" t="s">
        <v>386</v>
      </c>
      <c r="B35" s="56">
        <v>42</v>
      </c>
      <c r="C35" s="67">
        <v>734.3</v>
      </c>
      <c r="D35" s="67">
        <v>665.57240000000002</v>
      </c>
      <c r="E35" s="67">
        <v>27954.04</v>
      </c>
      <c r="F35" s="67">
        <v>30840.6</v>
      </c>
      <c r="G35" s="67">
        <v>2886.56</v>
      </c>
      <c r="H35" s="63">
        <f t="shared" si="0"/>
        <v>0.10326092400239821</v>
      </c>
    </row>
    <row r="36" spans="1:8" ht="15.75" thickBot="1">
      <c r="A36" s="55" t="s">
        <v>387</v>
      </c>
      <c r="B36" s="56">
        <v>9</v>
      </c>
      <c r="C36" s="67">
        <v>2797.7</v>
      </c>
      <c r="D36" s="67">
        <v>3008.1278000000002</v>
      </c>
      <c r="E36" s="67">
        <v>27073.15</v>
      </c>
      <c r="F36" s="67">
        <v>25179.3</v>
      </c>
      <c r="G36" s="67">
        <v>-1893.85</v>
      </c>
      <c r="H36" s="63">
        <f t="shared" si="0"/>
        <v>-6.9953071585685436E-2</v>
      </c>
    </row>
    <row r="37" spans="1:8" ht="15.75" thickBot="1">
      <c r="A37" s="55" t="s">
        <v>390</v>
      </c>
      <c r="B37" s="56">
        <v>9</v>
      </c>
      <c r="C37" s="67">
        <v>2775.8</v>
      </c>
      <c r="D37" s="67">
        <v>2319.5221999999999</v>
      </c>
      <c r="E37" s="67">
        <v>20875.7</v>
      </c>
      <c r="F37" s="67">
        <v>24982.2</v>
      </c>
      <c r="G37" s="67">
        <v>4106.5</v>
      </c>
      <c r="H37" s="63">
        <f t="shared" si="0"/>
        <v>0.19671196654483442</v>
      </c>
    </row>
    <row r="38" spans="1:8" ht="15.75" thickBot="1">
      <c r="A38" s="55" t="s">
        <v>391</v>
      </c>
      <c r="B38" s="56">
        <v>56</v>
      </c>
      <c r="C38" s="67">
        <v>716.55</v>
      </c>
      <c r="D38" s="67">
        <v>454.36290000000002</v>
      </c>
      <c r="E38" s="67">
        <v>25444.32</v>
      </c>
      <c r="F38" s="67">
        <v>40126.800000000003</v>
      </c>
      <c r="G38" s="67">
        <v>14682.48</v>
      </c>
      <c r="H38" s="63">
        <f t="shared" si="0"/>
        <v>0.57704352091154332</v>
      </c>
    </row>
    <row r="39" spans="1:8" ht="15.75" thickBot="1">
      <c r="A39" s="55" t="s">
        <v>392</v>
      </c>
      <c r="B39" s="56">
        <v>21</v>
      </c>
      <c r="C39" s="67">
        <v>1589.75</v>
      </c>
      <c r="D39" s="67">
        <v>1435.5876000000001</v>
      </c>
      <c r="E39" s="67">
        <v>30147.34</v>
      </c>
      <c r="F39" s="67">
        <v>33384.75</v>
      </c>
      <c r="G39" s="67">
        <v>3237.41</v>
      </c>
      <c r="H39" s="63">
        <f t="shared" si="0"/>
        <v>0.1073862569633009</v>
      </c>
    </row>
    <row r="40" spans="1:8" ht="15.75" thickBot="1">
      <c r="A40" s="55" t="s">
        <v>393</v>
      </c>
      <c r="B40" s="56">
        <v>44</v>
      </c>
      <c r="C40" s="67">
        <v>702.3</v>
      </c>
      <c r="D40" s="67">
        <v>504.81139999999999</v>
      </c>
      <c r="E40" s="67">
        <v>22211.7</v>
      </c>
      <c r="F40" s="67">
        <v>30901.200000000001</v>
      </c>
      <c r="G40" s="67">
        <v>8689.5</v>
      </c>
      <c r="H40" s="63">
        <f t="shared" si="0"/>
        <v>0.39121273923202637</v>
      </c>
    </row>
    <row r="41" spans="1:8" ht="15.75" thickBot="1">
      <c r="A41" s="55" t="s">
        <v>395</v>
      </c>
      <c r="B41" s="56">
        <v>8</v>
      </c>
      <c r="C41" s="67">
        <v>1706.5</v>
      </c>
      <c r="D41" s="67">
        <v>1539.4625000000001</v>
      </c>
      <c r="E41" s="67">
        <v>12315.7</v>
      </c>
      <c r="F41" s="67">
        <v>13652</v>
      </c>
      <c r="G41" s="67">
        <v>1336.3</v>
      </c>
      <c r="H41" s="63">
        <f t="shared" si="0"/>
        <v>0.10850377972831425</v>
      </c>
    </row>
    <row r="42" spans="1:8" ht="15.75" thickBot="1">
      <c r="A42" s="55" t="s">
        <v>445</v>
      </c>
      <c r="B42" s="56">
        <v>17</v>
      </c>
      <c r="C42" s="67">
        <v>2500</v>
      </c>
      <c r="D42" s="67">
        <v>1888.0576000000001</v>
      </c>
      <c r="E42" s="67">
        <v>32096.98</v>
      </c>
      <c r="F42" s="67">
        <v>42500</v>
      </c>
      <c r="G42" s="67">
        <v>10403.02</v>
      </c>
      <c r="H42" s="63">
        <f t="shared" si="0"/>
        <v>0.3241121127283626</v>
      </c>
    </row>
    <row r="43" spans="1:8" ht="15.75" thickBot="1">
      <c r="A43" s="55" t="s">
        <v>396</v>
      </c>
      <c r="B43" s="56">
        <v>703</v>
      </c>
      <c r="C43" s="67">
        <v>211.75</v>
      </c>
      <c r="D43" s="67">
        <v>225.02969999999999</v>
      </c>
      <c r="E43" s="67">
        <v>158195.85</v>
      </c>
      <c r="F43" s="67">
        <v>148860.25</v>
      </c>
      <c r="G43" s="67">
        <v>-9335.6</v>
      </c>
      <c r="H43" s="63">
        <f t="shared" si="0"/>
        <v>-5.901292606601248E-2</v>
      </c>
    </row>
    <row r="44" spans="1:8" ht="15.75" thickBot="1">
      <c r="A44" s="55" t="s">
        <v>397</v>
      </c>
      <c r="B44" s="56">
        <v>27</v>
      </c>
      <c r="C44" s="67">
        <v>1779.75</v>
      </c>
      <c r="D44" s="67">
        <v>750.64</v>
      </c>
      <c r="E44" s="67">
        <v>20267.28</v>
      </c>
      <c r="F44" s="67">
        <v>48053.25</v>
      </c>
      <c r="G44" s="67">
        <v>27785.97</v>
      </c>
      <c r="H44" s="63">
        <f t="shared" si="0"/>
        <v>1.3709767664925931</v>
      </c>
    </row>
    <row r="45" spans="1:8" ht="15.75" thickBot="1">
      <c r="A45" s="55" t="s">
        <v>446</v>
      </c>
      <c r="B45" s="56">
        <v>105</v>
      </c>
      <c r="C45" s="67">
        <v>175.95</v>
      </c>
      <c r="D45" s="67">
        <v>152.32130000000001</v>
      </c>
      <c r="E45" s="67">
        <v>15993.74</v>
      </c>
      <c r="F45" s="67">
        <v>18474.75</v>
      </c>
      <c r="G45" s="67">
        <v>2481.0100000000002</v>
      </c>
      <c r="H45" s="63">
        <f t="shared" si="0"/>
        <v>0.15512381719347695</v>
      </c>
    </row>
    <row r="46" spans="1:8" ht="15.75" thickBot="1">
      <c r="A46" s="55" t="s">
        <v>467</v>
      </c>
      <c r="B46" s="56">
        <v>95</v>
      </c>
      <c r="C46" s="67">
        <v>388.7</v>
      </c>
      <c r="D46" s="67">
        <v>383</v>
      </c>
      <c r="E46" s="67">
        <v>36385</v>
      </c>
      <c r="F46" s="67">
        <v>36926.5</v>
      </c>
      <c r="G46" s="67">
        <v>541.5</v>
      </c>
      <c r="H46" s="63">
        <f t="shared" si="0"/>
        <v>1.4882506527415143E-2</v>
      </c>
    </row>
    <row r="47" spans="1:8" ht="15.75" thickBot="1">
      <c r="A47" s="55" t="s">
        <v>398</v>
      </c>
      <c r="B47" s="56">
        <v>32</v>
      </c>
      <c r="C47" s="67">
        <v>1765.9</v>
      </c>
      <c r="D47" s="67">
        <v>1591.6266000000001</v>
      </c>
      <c r="E47" s="67">
        <v>50932.05</v>
      </c>
      <c r="F47" s="67">
        <v>56508.800000000003</v>
      </c>
      <c r="G47" s="67">
        <v>5576.75</v>
      </c>
      <c r="H47" s="63">
        <f t="shared" si="0"/>
        <v>0.10949392376705826</v>
      </c>
    </row>
    <row r="48" spans="1:8" ht="15.75" thickBot="1">
      <c r="A48" s="55" t="s">
        <v>400</v>
      </c>
      <c r="B48" s="56">
        <v>2</v>
      </c>
      <c r="C48" s="67">
        <v>5402.25</v>
      </c>
      <c r="D48" s="67">
        <v>4075.35</v>
      </c>
      <c r="E48" s="67">
        <v>8150.7</v>
      </c>
      <c r="F48" s="67">
        <v>10804.5</v>
      </c>
      <c r="G48" s="67">
        <v>2653.8</v>
      </c>
      <c r="H48" s="63">
        <f t="shared" si="0"/>
        <v>0.32559166697338882</v>
      </c>
    </row>
    <row r="49" spans="1:8" ht="15.75" thickBot="1">
      <c r="A49" s="55" t="s">
        <v>401</v>
      </c>
      <c r="B49" s="56">
        <v>62</v>
      </c>
      <c r="C49" s="67">
        <v>1680.35</v>
      </c>
      <c r="D49" s="67">
        <v>1053.2161000000001</v>
      </c>
      <c r="E49" s="67">
        <v>65299.4</v>
      </c>
      <c r="F49" s="67">
        <v>104181.7</v>
      </c>
      <c r="G49" s="67">
        <v>38882.300000000003</v>
      </c>
      <c r="H49" s="63">
        <f t="shared" si="0"/>
        <v>0.59544651252538316</v>
      </c>
    </row>
    <row r="50" spans="1:8" ht="15.75" thickBot="1">
      <c r="A50" s="55" t="s">
        <v>462</v>
      </c>
      <c r="B50" s="56">
        <v>476</v>
      </c>
      <c r="C50" s="67">
        <v>66.599999999999994</v>
      </c>
      <c r="D50" s="67">
        <v>61.412399999999998</v>
      </c>
      <c r="E50" s="67">
        <v>29232.3</v>
      </c>
      <c r="F50" s="67">
        <v>31701.599999999999</v>
      </c>
      <c r="G50" s="67">
        <v>2469.3000000000002</v>
      </c>
      <c r="H50" s="63">
        <f t="shared" si="0"/>
        <v>8.4471628985745228E-2</v>
      </c>
    </row>
    <row r="51" spans="1:8" ht="15.75" thickBot="1">
      <c r="A51" s="55" t="s">
        <v>402</v>
      </c>
      <c r="B51" s="56">
        <v>15</v>
      </c>
      <c r="C51" s="67">
        <v>753.1</v>
      </c>
      <c r="D51" s="67">
        <v>741.89329999999995</v>
      </c>
      <c r="E51" s="67">
        <v>11128.4</v>
      </c>
      <c r="F51" s="67">
        <v>11296.5</v>
      </c>
      <c r="G51" s="67">
        <v>168.1</v>
      </c>
      <c r="H51" s="63">
        <f t="shared" si="0"/>
        <v>1.5105495848459797E-2</v>
      </c>
    </row>
    <row r="52" spans="1:8" ht="15.75" thickBot="1">
      <c r="A52" s="55" t="s">
        <v>403</v>
      </c>
      <c r="B52" s="56">
        <v>59</v>
      </c>
      <c r="C52" s="67">
        <v>224.1</v>
      </c>
      <c r="D52" s="67">
        <v>167.28139999999999</v>
      </c>
      <c r="E52" s="67">
        <v>9869.6</v>
      </c>
      <c r="F52" s="67">
        <v>13221.9</v>
      </c>
      <c r="G52" s="67">
        <v>3352.3</v>
      </c>
      <c r="H52" s="63">
        <f t="shared" si="0"/>
        <v>0.33965915538623653</v>
      </c>
    </row>
    <row r="53" spans="1:8" ht="15.75" thickBot="1">
      <c r="A53" s="55" t="s">
        <v>404</v>
      </c>
      <c r="B53" s="56">
        <v>42</v>
      </c>
      <c r="C53" s="67">
        <v>556.6</v>
      </c>
      <c r="D53" s="67">
        <v>433.10359999999997</v>
      </c>
      <c r="E53" s="67">
        <v>18190.349999999999</v>
      </c>
      <c r="F53" s="67">
        <v>23377.200000000001</v>
      </c>
      <c r="G53" s="67">
        <v>5186.8500000000004</v>
      </c>
      <c r="H53" s="63">
        <f t="shared" si="0"/>
        <v>0.28514294667227408</v>
      </c>
    </row>
    <row r="54" spans="1:8" ht="15.75" thickBot="1">
      <c r="A54" s="55" t="s">
        <v>405</v>
      </c>
      <c r="B54" s="56">
        <v>17</v>
      </c>
      <c r="C54" s="67">
        <v>699.55</v>
      </c>
      <c r="D54" s="67">
        <v>443.9547</v>
      </c>
      <c r="E54" s="67">
        <v>7547.23</v>
      </c>
      <c r="F54" s="67">
        <v>11892.35</v>
      </c>
      <c r="G54" s="67">
        <v>4345.12</v>
      </c>
      <c r="H54" s="63">
        <f t="shared" si="0"/>
        <v>0.5757238086026264</v>
      </c>
    </row>
    <row r="55" spans="1:8" ht="15.75" thickBot="1">
      <c r="A55" s="55" t="s">
        <v>448</v>
      </c>
      <c r="B55" s="56">
        <v>47</v>
      </c>
      <c r="C55" s="67">
        <v>211.85</v>
      </c>
      <c r="D55" s="67">
        <v>170.83189999999999</v>
      </c>
      <c r="E55" s="67">
        <v>8029.1</v>
      </c>
      <c r="F55" s="67">
        <v>9956.9500000000007</v>
      </c>
      <c r="G55" s="67">
        <v>1927.85</v>
      </c>
      <c r="H55" s="63">
        <f t="shared" si="0"/>
        <v>0.2401078576677336</v>
      </c>
    </row>
    <row r="56" spans="1:8" ht="15.75" thickBot="1">
      <c r="A56" s="55" t="s">
        <v>408</v>
      </c>
      <c r="B56" s="56">
        <v>4</v>
      </c>
      <c r="C56" s="67">
        <v>2976.05</v>
      </c>
      <c r="D56" s="67">
        <v>2153.5500000000002</v>
      </c>
      <c r="E56" s="67">
        <v>8614.2000000000007</v>
      </c>
      <c r="F56" s="67">
        <v>11904.2</v>
      </c>
      <c r="G56" s="67">
        <v>3290</v>
      </c>
      <c r="H56" s="63">
        <f t="shared" si="0"/>
        <v>0.38192751503331707</v>
      </c>
    </row>
    <row r="57" spans="1:8" ht="15.75" thickBot="1">
      <c r="A57" s="55" t="s">
        <v>410</v>
      </c>
      <c r="B57" s="56">
        <v>83</v>
      </c>
      <c r="C57" s="67">
        <v>790.9</v>
      </c>
      <c r="D57" s="67">
        <v>355.42410000000001</v>
      </c>
      <c r="E57" s="67">
        <v>29500.2</v>
      </c>
      <c r="F57" s="67">
        <v>65644.7</v>
      </c>
      <c r="G57" s="67">
        <v>36144.5</v>
      </c>
      <c r="H57" s="63">
        <f t="shared" si="0"/>
        <v>1.2252289814984305</v>
      </c>
    </row>
    <row r="58" spans="1:8" ht="15.75" thickBot="1">
      <c r="A58" s="55" t="s">
        <v>411</v>
      </c>
      <c r="B58" s="56">
        <v>300</v>
      </c>
      <c r="C58" s="67">
        <v>119.95</v>
      </c>
      <c r="D58" s="67">
        <v>82.333299999999994</v>
      </c>
      <c r="E58" s="67">
        <v>24700</v>
      </c>
      <c r="F58" s="67">
        <v>35985</v>
      </c>
      <c r="G58" s="67">
        <v>11285</v>
      </c>
      <c r="H58" s="63">
        <f t="shared" si="0"/>
        <v>0.45688259109311741</v>
      </c>
    </row>
    <row r="59" spans="1:8" ht="15.75" thickBot="1">
      <c r="A59" s="55" t="s">
        <v>413</v>
      </c>
      <c r="B59" s="56">
        <v>5</v>
      </c>
      <c r="C59" s="67">
        <v>4742.7</v>
      </c>
      <c r="D59" s="67">
        <v>3895.82</v>
      </c>
      <c r="E59" s="67">
        <v>19479.099999999999</v>
      </c>
      <c r="F59" s="67">
        <v>23713.5</v>
      </c>
      <c r="G59" s="67">
        <v>4234.3999999999996</v>
      </c>
      <c r="H59" s="63">
        <f t="shared" si="0"/>
        <v>0.21738170654701705</v>
      </c>
    </row>
    <row r="60" spans="1:8" ht="15.75" thickBot="1">
      <c r="A60" s="55" t="s">
        <v>414</v>
      </c>
      <c r="B60" s="56">
        <v>4</v>
      </c>
      <c r="C60" s="67">
        <v>3512.95</v>
      </c>
      <c r="D60" s="67">
        <v>2774.5124999999998</v>
      </c>
      <c r="E60" s="67">
        <v>11098.05</v>
      </c>
      <c r="F60" s="67">
        <v>14051.8</v>
      </c>
      <c r="G60" s="67">
        <v>2953.75</v>
      </c>
      <c r="H60" s="63">
        <f t="shared" si="0"/>
        <v>0.26615035974788365</v>
      </c>
    </row>
    <row r="61" spans="1:8" ht="15.75" thickBot="1">
      <c r="A61" s="55" t="s">
        <v>415</v>
      </c>
      <c r="B61" s="56">
        <v>26</v>
      </c>
      <c r="C61" s="67">
        <v>869.9</v>
      </c>
      <c r="D61" s="67">
        <v>799.82650000000001</v>
      </c>
      <c r="E61" s="67">
        <v>20795.490000000002</v>
      </c>
      <c r="F61" s="67">
        <v>22617.4</v>
      </c>
      <c r="G61" s="67">
        <v>1821.91</v>
      </c>
      <c r="H61" s="63">
        <f t="shared" si="0"/>
        <v>8.7610823308323094E-2</v>
      </c>
    </row>
    <row r="62" spans="1:8" ht="15.75" thickBot="1">
      <c r="A62" s="55" t="s">
        <v>450</v>
      </c>
      <c r="B62" s="56">
        <v>26</v>
      </c>
      <c r="C62" s="67">
        <v>1541.4</v>
      </c>
      <c r="D62" s="67">
        <v>488.05</v>
      </c>
      <c r="E62" s="67">
        <v>12689.3</v>
      </c>
      <c r="F62" s="67">
        <v>40076.400000000001</v>
      </c>
      <c r="G62" s="67">
        <v>27387.1</v>
      </c>
      <c r="H62" s="63">
        <f t="shared" si="0"/>
        <v>2.1582829628111875</v>
      </c>
    </row>
    <row r="63" spans="1:8" ht="15.75" thickBot="1">
      <c r="A63" s="55" t="s">
        <v>420</v>
      </c>
      <c r="B63" s="56">
        <v>31</v>
      </c>
      <c r="C63" s="67">
        <v>1240.2</v>
      </c>
      <c r="D63" s="67">
        <v>896.49839999999995</v>
      </c>
      <c r="E63" s="67">
        <v>27791.45</v>
      </c>
      <c r="F63" s="67">
        <v>38446.199999999997</v>
      </c>
      <c r="G63" s="67">
        <v>10654.75</v>
      </c>
      <c r="H63" s="63">
        <f t="shared" si="0"/>
        <v>0.38338229923231787</v>
      </c>
    </row>
    <row r="64" spans="1:8" ht="15.75" thickBot="1">
      <c r="A64" s="55" t="s">
        <v>421</v>
      </c>
      <c r="B64" s="56">
        <v>35</v>
      </c>
      <c r="C64" s="67">
        <v>2202.1</v>
      </c>
      <c r="D64" s="67">
        <v>984.23</v>
      </c>
      <c r="E64" s="67">
        <v>34448.050000000003</v>
      </c>
      <c r="F64" s="67">
        <v>77073.5</v>
      </c>
      <c r="G64" s="67">
        <v>42625.45</v>
      </c>
      <c r="H64" s="63">
        <f t="shared" si="0"/>
        <v>1.2373835384005769</v>
      </c>
    </row>
    <row r="65" spans="1:8" ht="15.75" thickBot="1">
      <c r="A65" s="55" t="s">
        <v>423</v>
      </c>
      <c r="B65" s="56">
        <v>32</v>
      </c>
      <c r="C65" s="67">
        <v>769.7</v>
      </c>
      <c r="D65" s="67">
        <v>474.89060000000001</v>
      </c>
      <c r="E65" s="67">
        <v>15196.5</v>
      </c>
      <c r="F65" s="67">
        <v>24630.400000000001</v>
      </c>
      <c r="G65" s="67">
        <v>9433.9</v>
      </c>
      <c r="H65" s="63">
        <f t="shared" si="0"/>
        <v>0.62079426183660713</v>
      </c>
    </row>
    <row r="66" spans="1:8" ht="15.75" thickBot="1">
      <c r="A66" s="55" t="s">
        <v>425</v>
      </c>
      <c r="B66" s="56">
        <v>95</v>
      </c>
      <c r="C66" s="67">
        <v>428.95</v>
      </c>
      <c r="D66" s="67">
        <v>244.6705</v>
      </c>
      <c r="E66" s="67">
        <v>23243.7</v>
      </c>
      <c r="F66" s="67">
        <v>40750.25</v>
      </c>
      <c r="G66" s="67">
        <v>17506.55</v>
      </c>
      <c r="H66" s="63">
        <f t="shared" si="0"/>
        <v>0.75317397832530963</v>
      </c>
    </row>
    <row r="67" spans="1:8" ht="15.75" thickBot="1">
      <c r="A67" s="55" t="s">
        <v>426</v>
      </c>
      <c r="B67" s="56">
        <v>152</v>
      </c>
      <c r="C67" s="67">
        <v>769.65</v>
      </c>
      <c r="D67" s="67">
        <v>477.58749999999998</v>
      </c>
      <c r="E67" s="67">
        <v>72593.3</v>
      </c>
      <c r="F67" s="67">
        <v>116986.8</v>
      </c>
      <c r="G67" s="67">
        <v>44393.5</v>
      </c>
      <c r="H67" s="63">
        <f t="shared" ref="H67:H82" si="1">G67/E67</f>
        <v>0.61153715287774491</v>
      </c>
    </row>
    <row r="68" spans="1:8" ht="15.75" thickBot="1">
      <c r="A68" s="55" t="s">
        <v>427</v>
      </c>
      <c r="B68" s="56">
        <v>19</v>
      </c>
      <c r="C68" s="67">
        <v>875</v>
      </c>
      <c r="D68" s="67">
        <v>591.43579999999997</v>
      </c>
      <c r="E68" s="67">
        <v>11237.28</v>
      </c>
      <c r="F68" s="67">
        <v>16625</v>
      </c>
      <c r="G68" s="67">
        <v>5387.72</v>
      </c>
      <c r="H68" s="63">
        <f t="shared" si="1"/>
        <v>0.4794505431919468</v>
      </c>
    </row>
    <row r="69" spans="1:8" ht="15.75" thickBot="1">
      <c r="A69" s="55" t="s">
        <v>428</v>
      </c>
      <c r="B69" s="56">
        <v>48</v>
      </c>
      <c r="C69" s="67">
        <v>381.7</v>
      </c>
      <c r="D69" s="67">
        <v>326.6379</v>
      </c>
      <c r="E69" s="67">
        <v>15678.62</v>
      </c>
      <c r="F69" s="67">
        <v>18321.599999999999</v>
      </c>
      <c r="G69" s="67">
        <v>2642.98</v>
      </c>
      <c r="H69" s="63">
        <f t="shared" si="1"/>
        <v>0.16857223403590366</v>
      </c>
    </row>
    <row r="70" spans="1:8" ht="15.75" thickBot="1">
      <c r="A70" s="55" t="s">
        <v>429</v>
      </c>
      <c r="B70" s="56">
        <v>49</v>
      </c>
      <c r="C70" s="67">
        <v>316.55</v>
      </c>
      <c r="D70" s="67">
        <v>220.67490000000001</v>
      </c>
      <c r="E70" s="67">
        <v>10813.07</v>
      </c>
      <c r="F70" s="67">
        <v>15510.95</v>
      </c>
      <c r="G70" s="67">
        <v>4697.88</v>
      </c>
      <c r="H70" s="63">
        <f t="shared" si="1"/>
        <v>0.43446310807199068</v>
      </c>
    </row>
    <row r="71" spans="1:8" ht="15.75" thickBot="1">
      <c r="A71" s="55" t="s">
        <v>430</v>
      </c>
      <c r="B71" s="56">
        <v>70</v>
      </c>
      <c r="C71" s="67">
        <v>620.70000000000005</v>
      </c>
      <c r="D71" s="67">
        <v>433.82100000000003</v>
      </c>
      <c r="E71" s="67">
        <v>30367.47</v>
      </c>
      <c r="F71" s="67">
        <v>43449</v>
      </c>
      <c r="G71" s="67">
        <v>13081.53</v>
      </c>
      <c r="H71" s="63">
        <f t="shared" si="1"/>
        <v>0.43077444383743524</v>
      </c>
    </row>
    <row r="72" spans="1:8" ht="15.75" thickBot="1">
      <c r="A72" s="55" t="s">
        <v>431</v>
      </c>
      <c r="B72" s="56">
        <v>5</v>
      </c>
      <c r="C72" s="67">
        <v>3814.75</v>
      </c>
      <c r="D72" s="67">
        <v>3324.47</v>
      </c>
      <c r="E72" s="67">
        <v>16622.349999999999</v>
      </c>
      <c r="F72" s="67">
        <v>19073.75</v>
      </c>
      <c r="G72" s="67">
        <v>2451.4</v>
      </c>
      <c r="H72" s="63">
        <f t="shared" si="1"/>
        <v>0.14747613905374393</v>
      </c>
    </row>
    <row r="73" spans="1:8" ht="15.75" thickBot="1">
      <c r="A73" s="55" t="s">
        <v>432</v>
      </c>
      <c r="B73" s="56">
        <v>17</v>
      </c>
      <c r="C73" s="67">
        <v>867.55</v>
      </c>
      <c r="D73" s="67">
        <v>604.97059999999999</v>
      </c>
      <c r="E73" s="67">
        <v>10284.5</v>
      </c>
      <c r="F73" s="67">
        <v>14748.35</v>
      </c>
      <c r="G73" s="67">
        <v>4463.8500000000004</v>
      </c>
      <c r="H73" s="63">
        <f t="shared" si="1"/>
        <v>0.43403665710535277</v>
      </c>
    </row>
    <row r="74" spans="1:8" ht="15.75" thickBot="1">
      <c r="A74" s="55" t="s">
        <v>433</v>
      </c>
      <c r="B74" s="56">
        <v>775</v>
      </c>
      <c r="C74" s="67">
        <v>138.69999999999999</v>
      </c>
      <c r="D74" s="67">
        <v>99.291600000000003</v>
      </c>
      <c r="E74" s="67">
        <v>76951</v>
      </c>
      <c r="F74" s="67">
        <v>107492.5</v>
      </c>
      <c r="G74" s="67">
        <v>30541.5</v>
      </c>
      <c r="H74" s="63">
        <f t="shared" si="1"/>
        <v>0.39689542696001351</v>
      </c>
    </row>
    <row r="75" spans="1:8" ht="15.75" thickBot="1">
      <c r="A75" s="55" t="s">
        <v>434</v>
      </c>
      <c r="B75" s="56">
        <v>105</v>
      </c>
      <c r="C75" s="67">
        <v>1427.8</v>
      </c>
      <c r="D75" s="67">
        <v>404.76429999999999</v>
      </c>
      <c r="E75" s="67">
        <v>42500.25</v>
      </c>
      <c r="F75" s="67">
        <v>149919</v>
      </c>
      <c r="G75" s="67">
        <v>107418.75</v>
      </c>
      <c r="H75" s="63">
        <f t="shared" si="1"/>
        <v>2.5274851324403973</v>
      </c>
    </row>
    <row r="76" spans="1:8" ht="15.75" thickBot="1">
      <c r="A76" s="55" t="s">
        <v>435</v>
      </c>
      <c r="B76" s="56">
        <v>10</v>
      </c>
      <c r="C76" s="67">
        <v>1435.55</v>
      </c>
      <c r="D76" s="67">
        <v>1115.6099999999999</v>
      </c>
      <c r="E76" s="67">
        <v>11156.1</v>
      </c>
      <c r="F76" s="67">
        <v>14355.5</v>
      </c>
      <c r="G76" s="67">
        <v>3199.4</v>
      </c>
      <c r="H76" s="63">
        <f t="shared" si="1"/>
        <v>0.28678480831114816</v>
      </c>
    </row>
    <row r="77" spans="1:8" ht="15.75" thickBot="1">
      <c r="A77" s="55" t="s">
        <v>468</v>
      </c>
      <c r="B77" s="56">
        <v>427</v>
      </c>
      <c r="C77" s="67">
        <v>72.150000000000006</v>
      </c>
      <c r="D77" s="67">
        <v>84.97</v>
      </c>
      <c r="E77" s="67">
        <v>36282.19</v>
      </c>
      <c r="F77" s="67">
        <v>30808.05</v>
      </c>
      <c r="G77" s="67">
        <v>-5474.14</v>
      </c>
      <c r="H77" s="63">
        <f t="shared" si="1"/>
        <v>-0.15087678004001412</v>
      </c>
    </row>
    <row r="78" spans="1:8" ht="15.75" thickBot="1">
      <c r="A78" s="55" t="s">
        <v>438</v>
      </c>
      <c r="B78" s="56">
        <v>27</v>
      </c>
      <c r="C78" s="67">
        <v>925.9</v>
      </c>
      <c r="D78" s="67">
        <v>698.62220000000002</v>
      </c>
      <c r="E78" s="67">
        <v>18862.8</v>
      </c>
      <c r="F78" s="67">
        <v>24999.3</v>
      </c>
      <c r="G78" s="67">
        <v>6136.5</v>
      </c>
      <c r="H78" s="63">
        <f t="shared" si="1"/>
        <v>0.32532285768814811</v>
      </c>
    </row>
    <row r="79" spans="1:8" ht="15.75" thickBot="1">
      <c r="A79" s="55" t="s">
        <v>453</v>
      </c>
      <c r="B79" s="56">
        <v>19</v>
      </c>
      <c r="C79" s="67">
        <v>674.2</v>
      </c>
      <c r="D79" s="67">
        <v>570.54999999999995</v>
      </c>
      <c r="E79" s="67">
        <v>10840.45</v>
      </c>
      <c r="F79" s="67">
        <v>12809.8</v>
      </c>
      <c r="G79" s="67">
        <v>1969.35</v>
      </c>
      <c r="H79" s="63">
        <f t="shared" si="1"/>
        <v>0.181666812724564</v>
      </c>
    </row>
    <row r="80" spans="1:8" ht="15.75" thickBot="1">
      <c r="A80" s="55" t="s">
        <v>439</v>
      </c>
      <c r="B80" s="56">
        <v>525</v>
      </c>
      <c r="C80" s="67">
        <v>10.93</v>
      </c>
      <c r="D80" s="67">
        <v>38.966700000000003</v>
      </c>
      <c r="E80" s="67">
        <v>20457.5</v>
      </c>
      <c r="F80" s="67">
        <v>5738.25</v>
      </c>
      <c r="G80" s="67">
        <v>-14719.25</v>
      </c>
      <c r="H80" s="63">
        <f t="shared" si="1"/>
        <v>-0.71950384944396917</v>
      </c>
    </row>
    <row r="81" spans="1:8" ht="15.75" thickBot="1">
      <c r="A81" s="58" t="s">
        <v>440</v>
      </c>
      <c r="B81" s="59">
        <v>13</v>
      </c>
      <c r="C81" s="68">
        <v>2333.3000000000002</v>
      </c>
      <c r="D81" s="68">
        <v>2019.6069</v>
      </c>
      <c r="E81" s="68">
        <v>26254.89</v>
      </c>
      <c r="F81" s="68">
        <v>30332.9</v>
      </c>
      <c r="G81" s="68">
        <v>4078.01</v>
      </c>
      <c r="H81" s="61">
        <f t="shared" si="1"/>
        <v>0.15532382729464875</v>
      </c>
    </row>
    <row r="82" spans="1:8" ht="18.75" thickBot="1">
      <c r="A82" s="44" t="s">
        <v>11</v>
      </c>
      <c r="B82" s="44">
        <f>SUM(B2:B81)</f>
        <v>7706</v>
      </c>
      <c r="C82" s="44"/>
      <c r="D82" s="44"/>
      <c r="E82" s="45">
        <f t="shared" ref="E82:G82" si="2">SUM(E2:E81)</f>
        <v>2234454.2600000002</v>
      </c>
      <c r="F82" s="45">
        <f t="shared" si="2"/>
        <v>3003026.4499999993</v>
      </c>
      <c r="G82" s="45">
        <f t="shared" si="2"/>
        <v>768572.19</v>
      </c>
      <c r="H82" s="64">
        <f t="shared" si="1"/>
        <v>0.34396416331207419</v>
      </c>
    </row>
    <row r="83" spans="1:8" ht="15.75" thickTop="1"/>
  </sheetData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4061-A22D-4D4A-BF97-729CF172D801}">
  <dimension ref="A1:I14"/>
  <sheetViews>
    <sheetView workbookViewId="0">
      <selection activeCell="I1" sqref="I1:I13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 ht="15.75" thickBot="1">
      <c r="A2" s="55" t="s">
        <v>234</v>
      </c>
      <c r="B2" s="57" t="s">
        <v>235</v>
      </c>
      <c r="C2" s="67">
        <v>2212.326</v>
      </c>
      <c r="D2" s="67">
        <v>76.27</v>
      </c>
      <c r="E2" s="67">
        <v>63.278700000000001</v>
      </c>
      <c r="F2" s="67">
        <v>139993.07680000001</v>
      </c>
      <c r="G2" s="67">
        <v>168734.10399999999</v>
      </c>
      <c r="H2" s="67">
        <v>28741.0272</v>
      </c>
      <c r="I2" s="1">
        <f>H2/F2</f>
        <v>0.2053032039652978</v>
      </c>
    </row>
    <row r="3" spans="1:9" ht="15.75" thickBot="1">
      <c r="A3" s="55" t="s">
        <v>236</v>
      </c>
      <c r="B3" s="57" t="s">
        <v>237</v>
      </c>
      <c r="C3" s="67">
        <v>10114.929</v>
      </c>
      <c r="D3" s="67">
        <v>63.61</v>
      </c>
      <c r="E3" s="67">
        <v>39.543599999999998</v>
      </c>
      <c r="F3" s="67">
        <v>399980.94079999998</v>
      </c>
      <c r="G3" s="67">
        <v>643410.63370000001</v>
      </c>
      <c r="H3" s="67">
        <v>243429.69289999999</v>
      </c>
      <c r="I3" s="1">
        <f t="shared" ref="I3:I13" si="0">H3/F3</f>
        <v>0.60860323097674962</v>
      </c>
    </row>
    <row r="4" spans="1:9" ht="15.75" thickBot="1">
      <c r="A4" s="55" t="s">
        <v>454</v>
      </c>
      <c r="B4" s="57" t="s">
        <v>269</v>
      </c>
      <c r="C4" s="67">
        <v>65.209999999999994</v>
      </c>
      <c r="D4" s="67">
        <v>3136.68</v>
      </c>
      <c r="E4" s="67">
        <v>3100.8</v>
      </c>
      <c r="F4" s="67">
        <v>202209.65</v>
      </c>
      <c r="G4" s="67">
        <v>204548.96</v>
      </c>
      <c r="H4" s="67">
        <v>2339.31</v>
      </c>
      <c r="I4" s="1">
        <f t="shared" si="0"/>
        <v>1.1568735715629793E-2</v>
      </c>
    </row>
    <row r="5" spans="1:9" ht="15.75" thickBot="1">
      <c r="A5" s="55" t="s">
        <v>441</v>
      </c>
      <c r="B5" s="57" t="s">
        <v>241</v>
      </c>
      <c r="C5" s="67">
        <v>1819.8920000000001</v>
      </c>
      <c r="D5" s="67">
        <v>531.91240000000005</v>
      </c>
      <c r="E5" s="67">
        <v>362.60719999999998</v>
      </c>
      <c r="F5" s="67">
        <v>659905.89969999995</v>
      </c>
      <c r="G5" s="67">
        <v>968023.12150000001</v>
      </c>
      <c r="H5" s="67">
        <v>308117.22169999999</v>
      </c>
      <c r="I5" s="1">
        <f t="shared" si="0"/>
        <v>0.46691084568280611</v>
      </c>
    </row>
    <row r="6" spans="1:9" ht="15.75" thickBot="1">
      <c r="A6" s="55" t="s">
        <v>242</v>
      </c>
      <c r="B6" s="57" t="s">
        <v>237</v>
      </c>
      <c r="C6" s="67">
        <v>5856.576</v>
      </c>
      <c r="D6" s="67">
        <v>78.12</v>
      </c>
      <c r="E6" s="67">
        <v>44.3917</v>
      </c>
      <c r="F6" s="67">
        <v>259983.36480000001</v>
      </c>
      <c r="G6" s="67">
        <v>457515.71710000001</v>
      </c>
      <c r="H6" s="67">
        <v>197532.3523</v>
      </c>
      <c r="I6" s="1">
        <f t="shared" si="0"/>
        <v>0.75978842897105237</v>
      </c>
    </row>
    <row r="7" spans="1:9" ht="15.75" thickBot="1">
      <c r="A7" s="55" t="s">
        <v>272</v>
      </c>
      <c r="B7" s="57" t="s">
        <v>235</v>
      </c>
      <c r="C7" s="67">
        <v>6641.4979999999996</v>
      </c>
      <c r="D7" s="67">
        <v>78.012</v>
      </c>
      <c r="E7" s="67">
        <v>41.7624</v>
      </c>
      <c r="F7" s="67">
        <v>277364.96380000003</v>
      </c>
      <c r="G7" s="67">
        <v>518116.54200000002</v>
      </c>
      <c r="H7" s="67">
        <v>240751.57819999999</v>
      </c>
      <c r="I7" s="1">
        <f t="shared" si="0"/>
        <v>0.86799563615251385</v>
      </c>
    </row>
    <row r="8" spans="1:9" ht="15.75" thickBot="1">
      <c r="A8" s="55" t="s">
        <v>244</v>
      </c>
      <c r="B8" s="57" t="s">
        <v>233</v>
      </c>
      <c r="C8" s="67">
        <v>824.55100000000004</v>
      </c>
      <c r="D8" s="67">
        <v>24.2544</v>
      </c>
      <c r="E8" s="67">
        <v>24.2544</v>
      </c>
      <c r="F8" s="67">
        <v>19998.989799999999</v>
      </c>
      <c r="G8" s="67">
        <v>19998.989799999999</v>
      </c>
      <c r="H8" s="67">
        <v>0</v>
      </c>
      <c r="I8" s="1">
        <f t="shared" si="0"/>
        <v>0</v>
      </c>
    </row>
    <row r="9" spans="1:9" ht="15.75" thickBot="1">
      <c r="A9" s="55" t="s">
        <v>250</v>
      </c>
      <c r="B9" s="57" t="s">
        <v>251</v>
      </c>
      <c r="C9" s="67">
        <v>9008.2350000000006</v>
      </c>
      <c r="D9" s="67">
        <v>51.182499999999997</v>
      </c>
      <c r="E9" s="67">
        <v>35.073500000000003</v>
      </c>
      <c r="F9" s="67">
        <v>315950.48100000003</v>
      </c>
      <c r="G9" s="67">
        <v>461063.98790000001</v>
      </c>
      <c r="H9" s="67">
        <v>145113.50690000001</v>
      </c>
      <c r="I9" s="1">
        <f t="shared" si="0"/>
        <v>0.45929193220630038</v>
      </c>
    </row>
    <row r="10" spans="1:9" ht="15.75" thickBot="1">
      <c r="A10" s="55" t="s">
        <v>274</v>
      </c>
      <c r="B10" s="57" t="s">
        <v>233</v>
      </c>
      <c r="C10" s="67">
        <v>5399.8710000000001</v>
      </c>
      <c r="D10" s="67">
        <v>42.22</v>
      </c>
      <c r="E10" s="67">
        <v>37.036200000000001</v>
      </c>
      <c r="F10" s="67">
        <v>199990.82519999999</v>
      </c>
      <c r="G10" s="67">
        <v>227982.55360000001</v>
      </c>
      <c r="H10" s="67">
        <v>27991.7284</v>
      </c>
      <c r="I10" s="1">
        <f t="shared" si="0"/>
        <v>0.13996506275728893</v>
      </c>
    </row>
    <row r="11" spans="1:9" ht="15.75" thickBot="1">
      <c r="A11" s="55" t="s">
        <v>455</v>
      </c>
      <c r="B11" s="57" t="s">
        <v>241</v>
      </c>
      <c r="C11" s="67">
        <v>197.84399999999999</v>
      </c>
      <c r="D11" s="67">
        <v>149.62020000000001</v>
      </c>
      <c r="E11" s="67">
        <v>126.3557</v>
      </c>
      <c r="F11" s="67">
        <v>24998.7091</v>
      </c>
      <c r="G11" s="67">
        <v>29601.4588</v>
      </c>
      <c r="H11" s="67">
        <v>4602.7497000000003</v>
      </c>
      <c r="I11" s="1">
        <f t="shared" si="0"/>
        <v>0.18411949519425386</v>
      </c>
    </row>
    <row r="12" spans="1:9" ht="15.75" thickBot="1">
      <c r="A12" s="58" t="s">
        <v>255</v>
      </c>
      <c r="B12" s="57" t="s">
        <v>241</v>
      </c>
      <c r="C12" s="67">
        <v>18996.168000000001</v>
      </c>
      <c r="D12" s="67">
        <v>15.3949</v>
      </c>
      <c r="E12" s="67">
        <v>9.4700000000000006</v>
      </c>
      <c r="F12" s="67">
        <v>179893.71100000001</v>
      </c>
      <c r="G12" s="67">
        <v>292444.1067</v>
      </c>
      <c r="H12" s="67">
        <v>112550.3958</v>
      </c>
      <c r="I12" s="1">
        <f t="shared" si="0"/>
        <v>0.6256494191728581</v>
      </c>
    </row>
    <row r="13" spans="1:9" ht="15.75" thickBot="1">
      <c r="A13" s="51" t="s">
        <v>11</v>
      </c>
      <c r="B13" s="51"/>
      <c r="C13" s="52">
        <f>SUM(C2:C12)</f>
        <v>61137.100000000006</v>
      </c>
      <c r="D13" s="52"/>
      <c r="E13" s="52"/>
      <c r="F13" s="52">
        <f t="shared" ref="F13:H13" si="1">SUM(F2:F12)</f>
        <v>2680270.6120000002</v>
      </c>
      <c r="G13" s="52">
        <f t="shared" si="1"/>
        <v>3991440.1751000001</v>
      </c>
      <c r="H13" s="52">
        <f t="shared" si="1"/>
        <v>1311169.5630999999</v>
      </c>
      <c r="I13" s="53">
        <f t="shared" si="0"/>
        <v>0.48919297821260438</v>
      </c>
    </row>
    <row r="14" spans="1:9" ht="15.75" thickTop="1"/>
  </sheetData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6BFA-44BD-4343-AE41-FD498751A0A2}">
  <dimension ref="A1:H83"/>
  <sheetViews>
    <sheetView workbookViewId="0"/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 ht="15.75" thickBot="1">
      <c r="A2" s="55" t="s">
        <v>352</v>
      </c>
      <c r="B2" s="56">
        <v>24</v>
      </c>
      <c r="C2" s="67">
        <v>2289.1</v>
      </c>
      <c r="D2" s="67">
        <v>1733.6763000000001</v>
      </c>
      <c r="E2" s="67">
        <v>41608.230000000003</v>
      </c>
      <c r="F2" s="67">
        <v>54938.400000000001</v>
      </c>
      <c r="G2" s="67">
        <v>13330.17</v>
      </c>
      <c r="H2" s="63">
        <f>G2/E2</f>
        <v>0.32037339728222036</v>
      </c>
    </row>
    <row r="3" spans="1:8" ht="15.75" thickBot="1">
      <c r="A3" s="55" t="s">
        <v>458</v>
      </c>
      <c r="B3" s="56">
        <v>262</v>
      </c>
      <c r="C3" s="67">
        <v>120.65</v>
      </c>
      <c r="D3" s="67">
        <v>110.35899999999999</v>
      </c>
      <c r="E3" s="67">
        <v>28914.06</v>
      </c>
      <c r="F3" s="67">
        <v>31610.3</v>
      </c>
      <c r="G3" s="67">
        <v>2696.24</v>
      </c>
      <c r="H3" s="63">
        <f t="shared" ref="H3:H66" si="0">G3/E3</f>
        <v>9.3250135055402097E-2</v>
      </c>
    </row>
    <row r="4" spans="1:8" ht="15.75" thickBot="1">
      <c r="A4" s="55" t="s">
        <v>353</v>
      </c>
      <c r="B4" s="56">
        <v>17</v>
      </c>
      <c r="C4" s="67">
        <v>3454.55</v>
      </c>
      <c r="D4" s="67">
        <v>2499.8224</v>
      </c>
      <c r="E4" s="67">
        <v>42496.98</v>
      </c>
      <c r="F4" s="67">
        <v>58727.35</v>
      </c>
      <c r="G4" s="67">
        <v>16230.37</v>
      </c>
      <c r="H4" s="63">
        <f t="shared" si="0"/>
        <v>0.38191819748132688</v>
      </c>
    </row>
    <row r="5" spans="1:8" ht="15.75" thickBot="1">
      <c r="A5" s="55" t="s">
        <v>354</v>
      </c>
      <c r="B5" s="56">
        <v>250</v>
      </c>
      <c r="C5" s="67">
        <v>223.55</v>
      </c>
      <c r="D5" s="67">
        <v>183.58799999999999</v>
      </c>
      <c r="E5" s="67">
        <v>45897</v>
      </c>
      <c r="F5" s="67">
        <v>55887.5</v>
      </c>
      <c r="G5" s="67">
        <v>9990.5</v>
      </c>
      <c r="H5" s="63">
        <f t="shared" si="0"/>
        <v>0.21767217900952132</v>
      </c>
    </row>
    <row r="6" spans="1:8" ht="15.75" thickBot="1">
      <c r="A6" s="55" t="s">
        <v>355</v>
      </c>
      <c r="B6" s="56">
        <v>10</v>
      </c>
      <c r="C6" s="67">
        <v>2958.55</v>
      </c>
      <c r="D6" s="67">
        <v>2188.4</v>
      </c>
      <c r="E6" s="67">
        <v>21884</v>
      </c>
      <c r="F6" s="67">
        <v>29585.5</v>
      </c>
      <c r="G6" s="67">
        <v>7701.5</v>
      </c>
      <c r="H6" s="63">
        <f t="shared" si="0"/>
        <v>0.35192377993054286</v>
      </c>
    </row>
    <row r="7" spans="1:8" ht="15.75" thickBot="1">
      <c r="A7" s="55" t="s">
        <v>356</v>
      </c>
      <c r="B7" s="56">
        <v>34</v>
      </c>
      <c r="C7" s="67">
        <v>1219.9000000000001</v>
      </c>
      <c r="D7" s="67">
        <v>943.40740000000005</v>
      </c>
      <c r="E7" s="67">
        <v>32075.85</v>
      </c>
      <c r="F7" s="67">
        <v>41476.6</v>
      </c>
      <c r="G7" s="67">
        <v>9400.75</v>
      </c>
      <c r="H7" s="63">
        <f t="shared" si="0"/>
        <v>0.29307874927710414</v>
      </c>
    </row>
    <row r="8" spans="1:8" ht="15.75" thickBot="1">
      <c r="A8" s="55" t="s">
        <v>466</v>
      </c>
      <c r="B8" s="56">
        <v>32</v>
      </c>
      <c r="C8" s="67">
        <v>916.85</v>
      </c>
      <c r="D8" s="67">
        <v>856.625</v>
      </c>
      <c r="E8" s="67">
        <v>27412</v>
      </c>
      <c r="F8" s="67">
        <v>29339.200000000001</v>
      </c>
      <c r="G8" s="67">
        <v>1927.2</v>
      </c>
      <c r="H8" s="63">
        <f t="shared" si="0"/>
        <v>7.0304975922953455E-2</v>
      </c>
    </row>
    <row r="9" spans="1:8" ht="15.75" thickBot="1">
      <c r="A9" s="55" t="s">
        <v>357</v>
      </c>
      <c r="B9" s="56">
        <v>8</v>
      </c>
      <c r="C9" s="67">
        <v>3500.55</v>
      </c>
      <c r="D9" s="67">
        <v>2766.2674999999999</v>
      </c>
      <c r="E9" s="67">
        <v>22130.14</v>
      </c>
      <c r="F9" s="67">
        <v>28004.400000000001</v>
      </c>
      <c r="G9" s="67">
        <v>5874.26</v>
      </c>
      <c r="H9" s="63">
        <f t="shared" si="0"/>
        <v>0.26544161040101871</v>
      </c>
    </row>
    <row r="10" spans="1:8" ht="15.75" thickBot="1">
      <c r="A10" s="55" t="s">
        <v>358</v>
      </c>
      <c r="B10" s="56">
        <v>51</v>
      </c>
      <c r="C10" s="67">
        <v>709</v>
      </c>
      <c r="D10" s="67">
        <v>541.3922</v>
      </c>
      <c r="E10" s="67">
        <v>27611</v>
      </c>
      <c r="F10" s="67">
        <v>36159</v>
      </c>
      <c r="G10" s="67">
        <v>8548</v>
      </c>
      <c r="H10" s="63">
        <f t="shared" si="0"/>
        <v>0.30958675890043824</v>
      </c>
    </row>
    <row r="11" spans="1:8" ht="15.75" thickBot="1">
      <c r="A11" s="55" t="s">
        <v>359</v>
      </c>
      <c r="B11" s="56">
        <v>19</v>
      </c>
      <c r="C11" s="67">
        <v>3831.05</v>
      </c>
      <c r="D11" s="67">
        <v>2405.2474000000002</v>
      </c>
      <c r="E11" s="67">
        <v>45699.7</v>
      </c>
      <c r="F11" s="67">
        <v>72789.95</v>
      </c>
      <c r="G11" s="67">
        <v>27090.25</v>
      </c>
      <c r="H11" s="63">
        <f t="shared" si="0"/>
        <v>0.59278835528460805</v>
      </c>
    </row>
    <row r="12" spans="1:8" ht="15.75" thickBot="1">
      <c r="A12" s="55" t="s">
        <v>459</v>
      </c>
      <c r="B12" s="56">
        <v>46</v>
      </c>
      <c r="C12" s="67">
        <v>285</v>
      </c>
      <c r="D12" s="67">
        <v>244.52500000000001</v>
      </c>
      <c r="E12" s="67">
        <v>11248.15</v>
      </c>
      <c r="F12" s="67">
        <v>13110</v>
      </c>
      <c r="G12" s="67">
        <v>1861.85</v>
      </c>
      <c r="H12" s="63">
        <f t="shared" si="0"/>
        <v>0.16552499744402413</v>
      </c>
    </row>
    <row r="13" spans="1:8" ht="15.75" thickBot="1">
      <c r="A13" s="55" t="s">
        <v>361</v>
      </c>
      <c r="B13" s="56">
        <v>6</v>
      </c>
      <c r="C13" s="67">
        <v>2372.9</v>
      </c>
      <c r="D13" s="67">
        <v>1647.3</v>
      </c>
      <c r="E13" s="67">
        <v>9883.7999999999993</v>
      </c>
      <c r="F13" s="67">
        <v>14237.4</v>
      </c>
      <c r="G13" s="67">
        <v>4353.6000000000004</v>
      </c>
      <c r="H13" s="63">
        <f t="shared" si="0"/>
        <v>0.44047835852607303</v>
      </c>
    </row>
    <row r="14" spans="1:8" ht="15.75" thickBot="1">
      <c r="A14" s="55" t="s">
        <v>362</v>
      </c>
      <c r="B14" s="56">
        <v>180</v>
      </c>
      <c r="C14" s="67">
        <v>561.9</v>
      </c>
      <c r="D14" s="67">
        <v>322.88889999999998</v>
      </c>
      <c r="E14" s="67">
        <v>58120</v>
      </c>
      <c r="F14" s="67">
        <v>101142</v>
      </c>
      <c r="G14" s="67">
        <v>43022</v>
      </c>
      <c r="H14" s="63">
        <f t="shared" si="0"/>
        <v>0.74022711631108051</v>
      </c>
    </row>
    <row r="15" spans="1:8" ht="15.75" thickBot="1">
      <c r="A15" s="55" t="s">
        <v>364</v>
      </c>
      <c r="B15" s="56">
        <v>8</v>
      </c>
      <c r="C15" s="67">
        <v>3420.05</v>
      </c>
      <c r="D15" s="67">
        <v>3534.875</v>
      </c>
      <c r="E15" s="67">
        <v>28279</v>
      </c>
      <c r="F15" s="67">
        <v>27360.400000000001</v>
      </c>
      <c r="G15" s="67">
        <v>-918.6</v>
      </c>
      <c r="H15" s="63">
        <f t="shared" si="0"/>
        <v>-3.2483468298030338E-2</v>
      </c>
    </row>
    <row r="16" spans="1:8" ht="15.75" thickBot="1">
      <c r="A16" s="55" t="s">
        <v>365</v>
      </c>
      <c r="B16" s="56">
        <v>180</v>
      </c>
      <c r="C16" s="67">
        <v>138.30000000000001</v>
      </c>
      <c r="D16" s="67">
        <v>155.25</v>
      </c>
      <c r="E16" s="67">
        <v>27945</v>
      </c>
      <c r="F16" s="67">
        <v>24894</v>
      </c>
      <c r="G16" s="67">
        <v>-3051</v>
      </c>
      <c r="H16" s="63">
        <f t="shared" si="0"/>
        <v>-0.10917874396135266</v>
      </c>
    </row>
    <row r="17" spans="1:8" ht="15.75" thickBot="1">
      <c r="A17" s="55" t="s">
        <v>366</v>
      </c>
      <c r="B17" s="56">
        <v>34</v>
      </c>
      <c r="C17" s="67">
        <v>920.3</v>
      </c>
      <c r="D17" s="67">
        <v>631.68759999999997</v>
      </c>
      <c r="E17" s="67">
        <v>21477.38</v>
      </c>
      <c r="F17" s="67">
        <v>31290.2</v>
      </c>
      <c r="G17" s="67">
        <v>9812.82</v>
      </c>
      <c r="H17" s="63">
        <f t="shared" si="0"/>
        <v>0.45689092431199707</v>
      </c>
    </row>
    <row r="18" spans="1:8" ht="15.75" thickBot="1">
      <c r="A18" s="55" t="s">
        <v>460</v>
      </c>
      <c r="B18" s="56">
        <v>322</v>
      </c>
      <c r="C18" s="67">
        <v>150.4</v>
      </c>
      <c r="D18" s="67">
        <v>155.9502</v>
      </c>
      <c r="E18" s="67">
        <v>50215.97</v>
      </c>
      <c r="F18" s="67">
        <v>48428.800000000003</v>
      </c>
      <c r="G18" s="67">
        <v>-1787.17</v>
      </c>
      <c r="H18" s="63">
        <f t="shared" si="0"/>
        <v>-3.5589673962287294E-2</v>
      </c>
    </row>
    <row r="19" spans="1:8" ht="15.75" thickBot="1">
      <c r="A19" s="55" t="s">
        <v>367</v>
      </c>
      <c r="B19" s="56">
        <v>250</v>
      </c>
      <c r="C19" s="67">
        <v>143.25</v>
      </c>
      <c r="D19" s="67">
        <v>163.66999999999999</v>
      </c>
      <c r="E19" s="67">
        <v>40917.5</v>
      </c>
      <c r="F19" s="67">
        <v>35812.5</v>
      </c>
      <c r="G19" s="67">
        <v>-5105</v>
      </c>
      <c r="H19" s="63">
        <f t="shared" si="0"/>
        <v>-0.12476324311113826</v>
      </c>
    </row>
    <row r="20" spans="1:8" ht="15.75" thickBot="1">
      <c r="A20" s="55" t="s">
        <v>368</v>
      </c>
      <c r="B20" s="56">
        <v>1</v>
      </c>
      <c r="C20" s="67">
        <v>5087.3</v>
      </c>
      <c r="D20" s="67">
        <v>3968.6</v>
      </c>
      <c r="E20" s="67">
        <v>3968.6</v>
      </c>
      <c r="F20" s="67">
        <v>5087.3</v>
      </c>
      <c r="G20" s="67">
        <v>1118.7</v>
      </c>
      <c r="H20" s="63">
        <f t="shared" si="0"/>
        <v>0.28188781938214991</v>
      </c>
    </row>
    <row r="21" spans="1:8" ht="15.75" thickBot="1">
      <c r="A21" s="55" t="s">
        <v>369</v>
      </c>
      <c r="B21" s="56">
        <v>11</v>
      </c>
      <c r="C21" s="67">
        <v>1704.25</v>
      </c>
      <c r="D21" s="67">
        <v>1585.9455</v>
      </c>
      <c r="E21" s="67">
        <v>17445.400000000001</v>
      </c>
      <c r="F21" s="67">
        <v>18746.75</v>
      </c>
      <c r="G21" s="67">
        <v>1301.3499999999999</v>
      </c>
      <c r="H21" s="63">
        <f t="shared" si="0"/>
        <v>7.4595595400506712E-2</v>
      </c>
    </row>
    <row r="22" spans="1:8" ht="15.75" thickBot="1">
      <c r="A22" s="55" t="s">
        <v>370</v>
      </c>
      <c r="B22" s="56">
        <v>26</v>
      </c>
      <c r="C22" s="67">
        <v>600.5</v>
      </c>
      <c r="D22" s="67">
        <v>534.49689999999998</v>
      </c>
      <c r="E22" s="67">
        <v>13896.92</v>
      </c>
      <c r="F22" s="67">
        <v>15613</v>
      </c>
      <c r="G22" s="67">
        <v>1716.08</v>
      </c>
      <c r="H22" s="63">
        <f t="shared" si="0"/>
        <v>0.12348635524994027</v>
      </c>
    </row>
    <row r="23" spans="1:8" ht="15.75" thickBot="1">
      <c r="A23" s="55" t="s">
        <v>371</v>
      </c>
      <c r="B23" s="56">
        <v>11</v>
      </c>
      <c r="C23" s="67">
        <v>4904.6499999999996</v>
      </c>
      <c r="D23" s="67">
        <v>2298.1581999999999</v>
      </c>
      <c r="E23" s="67">
        <v>25279.74</v>
      </c>
      <c r="F23" s="67">
        <v>53951.15</v>
      </c>
      <c r="G23" s="67">
        <v>28671.41</v>
      </c>
      <c r="H23" s="63">
        <f t="shared" si="0"/>
        <v>1.1341655412595224</v>
      </c>
    </row>
    <row r="24" spans="1:8" ht="15.75" thickBot="1">
      <c r="A24" s="55" t="s">
        <v>372</v>
      </c>
      <c r="B24" s="56">
        <v>51</v>
      </c>
      <c r="C24" s="67">
        <v>337.75</v>
      </c>
      <c r="D24" s="67">
        <v>260.27980000000002</v>
      </c>
      <c r="E24" s="67">
        <v>13274.27</v>
      </c>
      <c r="F24" s="67">
        <v>17225.25</v>
      </c>
      <c r="G24" s="67">
        <v>3950.98</v>
      </c>
      <c r="H24" s="63">
        <f t="shared" si="0"/>
        <v>0.29764197955895128</v>
      </c>
    </row>
    <row r="25" spans="1:8" ht="15.75" thickBot="1">
      <c r="A25" s="55" t="s">
        <v>374</v>
      </c>
      <c r="B25" s="56">
        <v>6</v>
      </c>
      <c r="C25" s="67">
        <v>2531.5</v>
      </c>
      <c r="D25" s="67">
        <v>2439.5066999999999</v>
      </c>
      <c r="E25" s="67">
        <v>14637.04</v>
      </c>
      <c r="F25" s="67">
        <v>15189</v>
      </c>
      <c r="G25" s="67">
        <v>551.96</v>
      </c>
      <c r="H25" s="63">
        <f t="shared" si="0"/>
        <v>3.7709810180200372E-2</v>
      </c>
    </row>
    <row r="26" spans="1:8" ht="15.75" thickBot="1">
      <c r="A26" s="55" t="s">
        <v>376</v>
      </c>
      <c r="B26" s="56">
        <v>9</v>
      </c>
      <c r="C26" s="67">
        <v>1730.05</v>
      </c>
      <c r="D26" s="67">
        <v>1253.8133</v>
      </c>
      <c r="E26" s="67">
        <v>11284.32</v>
      </c>
      <c r="F26" s="67">
        <v>15570.45</v>
      </c>
      <c r="G26" s="67">
        <v>4286.13</v>
      </c>
      <c r="H26" s="63">
        <f t="shared" si="0"/>
        <v>0.37983059679271769</v>
      </c>
    </row>
    <row r="27" spans="1:8" ht="15.75" thickBot="1">
      <c r="A27" s="55" t="s">
        <v>377</v>
      </c>
      <c r="B27" s="56">
        <v>76</v>
      </c>
      <c r="C27" s="67">
        <v>792.1</v>
      </c>
      <c r="D27" s="67">
        <v>708.95</v>
      </c>
      <c r="E27" s="67">
        <v>53880.2</v>
      </c>
      <c r="F27" s="67">
        <v>60199.6</v>
      </c>
      <c r="G27" s="67">
        <v>6319.4</v>
      </c>
      <c r="H27" s="63">
        <f t="shared" si="0"/>
        <v>0.11728612737146484</v>
      </c>
    </row>
    <row r="28" spans="1:8" ht="15.75" thickBot="1">
      <c r="A28" s="55" t="s">
        <v>378</v>
      </c>
      <c r="B28" s="56">
        <v>227</v>
      </c>
      <c r="C28" s="67">
        <v>178.55</v>
      </c>
      <c r="D28" s="67">
        <v>198.7533</v>
      </c>
      <c r="E28" s="67">
        <v>45117.01</v>
      </c>
      <c r="F28" s="67">
        <v>40530.85</v>
      </c>
      <c r="G28" s="67">
        <v>-4586.16</v>
      </c>
      <c r="H28" s="63">
        <f t="shared" si="0"/>
        <v>-0.10165035315948463</v>
      </c>
    </row>
    <row r="29" spans="1:8" ht="15.75" thickBot="1">
      <c r="A29" s="55" t="s">
        <v>379</v>
      </c>
      <c r="B29" s="56">
        <v>393</v>
      </c>
      <c r="C29" s="67">
        <v>87.4</v>
      </c>
      <c r="D29" s="67">
        <v>62.951099999999997</v>
      </c>
      <c r="E29" s="67">
        <v>24739.8</v>
      </c>
      <c r="F29" s="67">
        <v>34348.199999999997</v>
      </c>
      <c r="G29" s="67">
        <v>9608.4</v>
      </c>
      <c r="H29" s="63">
        <f t="shared" si="0"/>
        <v>0.38837824072951277</v>
      </c>
    </row>
    <row r="30" spans="1:8" ht="15.75" thickBot="1">
      <c r="A30" s="55" t="s">
        <v>380</v>
      </c>
      <c r="B30" s="56">
        <v>39</v>
      </c>
      <c r="C30" s="67">
        <v>180.6</v>
      </c>
      <c r="D30" s="67">
        <v>155.309</v>
      </c>
      <c r="E30" s="67">
        <v>6057.05</v>
      </c>
      <c r="F30" s="67">
        <v>7043.4</v>
      </c>
      <c r="G30" s="67">
        <v>986.35</v>
      </c>
      <c r="H30" s="63">
        <f t="shared" si="0"/>
        <v>0.16284329830528063</v>
      </c>
    </row>
    <row r="31" spans="1:8" ht="15.75" thickBot="1">
      <c r="A31" s="55" t="s">
        <v>383</v>
      </c>
      <c r="B31" s="56">
        <v>10</v>
      </c>
      <c r="C31" s="67">
        <v>1602.2</v>
      </c>
      <c r="D31" s="67">
        <v>1366.88</v>
      </c>
      <c r="E31" s="67">
        <v>13668.8</v>
      </c>
      <c r="F31" s="67">
        <v>16022</v>
      </c>
      <c r="G31" s="67">
        <v>2353.1999999999998</v>
      </c>
      <c r="H31" s="63">
        <f t="shared" si="0"/>
        <v>0.17215849233290412</v>
      </c>
    </row>
    <row r="32" spans="1:8" ht="15.75" thickBot="1">
      <c r="A32" s="55" t="s">
        <v>461</v>
      </c>
      <c r="B32" s="56">
        <v>98</v>
      </c>
      <c r="C32" s="67">
        <v>384.6</v>
      </c>
      <c r="D32" s="67">
        <v>227.5429</v>
      </c>
      <c r="E32" s="67">
        <v>22299.200000000001</v>
      </c>
      <c r="F32" s="67">
        <v>37690.800000000003</v>
      </c>
      <c r="G32" s="67">
        <v>15391.6</v>
      </c>
      <c r="H32" s="63">
        <f t="shared" si="0"/>
        <v>0.69023103967855348</v>
      </c>
    </row>
    <row r="33" spans="1:8" ht="15.75" thickBot="1">
      <c r="A33" s="55" t="s">
        <v>384</v>
      </c>
      <c r="B33" s="56">
        <v>9</v>
      </c>
      <c r="C33" s="67">
        <v>1025.45</v>
      </c>
      <c r="D33" s="67">
        <v>992.41110000000003</v>
      </c>
      <c r="E33" s="67">
        <v>8931.7000000000007</v>
      </c>
      <c r="F33" s="67">
        <v>9229.0499999999993</v>
      </c>
      <c r="G33" s="67">
        <v>297.35000000000002</v>
      </c>
      <c r="H33" s="63">
        <f t="shared" si="0"/>
        <v>3.3291534646259953E-2</v>
      </c>
    </row>
    <row r="34" spans="1:8" ht="15.75" thickBot="1">
      <c r="A34" s="55" t="s">
        <v>385</v>
      </c>
      <c r="B34" s="56">
        <v>37</v>
      </c>
      <c r="C34" s="67">
        <v>1425.8</v>
      </c>
      <c r="D34" s="67">
        <v>1302.7257</v>
      </c>
      <c r="E34" s="67">
        <v>48200.85</v>
      </c>
      <c r="F34" s="67">
        <v>52754.6</v>
      </c>
      <c r="G34" s="67">
        <v>4553.75</v>
      </c>
      <c r="H34" s="63">
        <f t="shared" si="0"/>
        <v>9.4474475035191297E-2</v>
      </c>
    </row>
    <row r="35" spans="1:8" ht="15.75" thickBot="1">
      <c r="A35" s="55" t="s">
        <v>386</v>
      </c>
      <c r="B35" s="56">
        <v>36</v>
      </c>
      <c r="C35" s="67">
        <v>664.1</v>
      </c>
      <c r="D35" s="67">
        <v>660.87059999999997</v>
      </c>
      <c r="E35" s="67">
        <v>23791.34</v>
      </c>
      <c r="F35" s="67">
        <v>23907.599999999999</v>
      </c>
      <c r="G35" s="67">
        <v>116.26</v>
      </c>
      <c r="H35" s="63">
        <f t="shared" si="0"/>
        <v>4.8866520338913238E-3</v>
      </c>
    </row>
    <row r="36" spans="1:8" ht="15.75" thickBot="1">
      <c r="A36" s="55" t="s">
        <v>387</v>
      </c>
      <c r="B36" s="56">
        <v>8</v>
      </c>
      <c r="C36" s="67">
        <v>2764.1</v>
      </c>
      <c r="D36" s="67">
        <v>3049.5187999999998</v>
      </c>
      <c r="E36" s="67">
        <v>24396.15</v>
      </c>
      <c r="F36" s="67">
        <v>22112.799999999999</v>
      </c>
      <c r="G36" s="67">
        <v>-2283.35</v>
      </c>
      <c r="H36" s="63">
        <f t="shared" si="0"/>
        <v>-9.3594686046773762E-2</v>
      </c>
    </row>
    <row r="37" spans="1:8" ht="15.75" thickBot="1">
      <c r="A37" s="55" t="s">
        <v>390</v>
      </c>
      <c r="B37" s="56">
        <v>8</v>
      </c>
      <c r="C37" s="67">
        <v>2334.0500000000002</v>
      </c>
      <c r="D37" s="67">
        <v>2310.4063000000001</v>
      </c>
      <c r="E37" s="67">
        <v>18483.25</v>
      </c>
      <c r="F37" s="67">
        <v>18672.400000000001</v>
      </c>
      <c r="G37" s="67">
        <v>189.15</v>
      </c>
      <c r="H37" s="63">
        <f t="shared" si="0"/>
        <v>1.0233589871911055E-2</v>
      </c>
    </row>
    <row r="38" spans="1:8" ht="15.75" thickBot="1">
      <c r="A38" s="55" t="s">
        <v>391</v>
      </c>
      <c r="B38" s="56">
        <v>55</v>
      </c>
      <c r="C38" s="67">
        <v>682.7</v>
      </c>
      <c r="D38" s="67">
        <v>449.83760000000001</v>
      </c>
      <c r="E38" s="67">
        <v>24741.07</v>
      </c>
      <c r="F38" s="67">
        <v>37548.5</v>
      </c>
      <c r="G38" s="67">
        <v>12807.43</v>
      </c>
      <c r="H38" s="63">
        <f t="shared" si="0"/>
        <v>0.51765869463204306</v>
      </c>
    </row>
    <row r="39" spans="1:8" ht="15.75" thickBot="1">
      <c r="A39" s="55" t="s">
        <v>392</v>
      </c>
      <c r="B39" s="56">
        <v>17</v>
      </c>
      <c r="C39" s="67">
        <v>1475.6</v>
      </c>
      <c r="D39" s="67">
        <v>1420.5346999999999</v>
      </c>
      <c r="E39" s="67">
        <v>24149.09</v>
      </c>
      <c r="F39" s="67">
        <v>25085.200000000001</v>
      </c>
      <c r="G39" s="67">
        <v>936.11</v>
      </c>
      <c r="H39" s="63">
        <f t="shared" si="0"/>
        <v>3.876377950473496E-2</v>
      </c>
    </row>
    <row r="40" spans="1:8" ht="15.75" thickBot="1">
      <c r="A40" s="55" t="s">
        <v>393</v>
      </c>
      <c r="B40" s="56">
        <v>38</v>
      </c>
      <c r="C40" s="67">
        <v>633.5</v>
      </c>
      <c r="D40" s="67">
        <v>478.77629999999999</v>
      </c>
      <c r="E40" s="67">
        <v>18193.5</v>
      </c>
      <c r="F40" s="67">
        <v>24073</v>
      </c>
      <c r="G40" s="67">
        <v>5879.5</v>
      </c>
      <c r="H40" s="63">
        <f t="shared" si="0"/>
        <v>0.32316486657322668</v>
      </c>
    </row>
    <row r="41" spans="1:8" ht="15.75" thickBot="1">
      <c r="A41" s="55" t="s">
        <v>395</v>
      </c>
      <c r="B41" s="56">
        <v>7</v>
      </c>
      <c r="C41" s="67">
        <v>1610.25</v>
      </c>
      <c r="D41" s="67">
        <v>1515.5286000000001</v>
      </c>
      <c r="E41" s="67">
        <v>10608.7</v>
      </c>
      <c r="F41" s="67">
        <v>11271.75</v>
      </c>
      <c r="G41" s="67">
        <v>663.05</v>
      </c>
      <c r="H41" s="63">
        <f t="shared" si="0"/>
        <v>6.2500589139102808E-2</v>
      </c>
    </row>
    <row r="42" spans="1:8" ht="15.75" thickBot="1">
      <c r="A42" s="55" t="s">
        <v>445</v>
      </c>
      <c r="B42" s="56">
        <v>17</v>
      </c>
      <c r="C42" s="67">
        <v>2101.85</v>
      </c>
      <c r="D42" s="67">
        <v>1888.0576000000001</v>
      </c>
      <c r="E42" s="67">
        <v>32096.98</v>
      </c>
      <c r="F42" s="67">
        <v>35731.449999999997</v>
      </c>
      <c r="G42" s="67">
        <v>3634.47</v>
      </c>
      <c r="H42" s="63">
        <f t="shared" si="0"/>
        <v>0.11323401765524357</v>
      </c>
    </row>
    <row r="43" spans="1:8" ht="15.75" thickBot="1">
      <c r="A43" s="55" t="s">
        <v>396</v>
      </c>
      <c r="B43" s="56">
        <v>685</v>
      </c>
      <c r="C43" s="67">
        <v>205</v>
      </c>
      <c r="D43" s="67">
        <v>225.36879999999999</v>
      </c>
      <c r="E43" s="67">
        <v>154377.60000000001</v>
      </c>
      <c r="F43" s="67">
        <v>140425</v>
      </c>
      <c r="G43" s="67">
        <v>-13952.6</v>
      </c>
      <c r="H43" s="63">
        <f t="shared" si="0"/>
        <v>-9.0379692390605892E-2</v>
      </c>
    </row>
    <row r="44" spans="1:8" ht="15.75" thickBot="1">
      <c r="A44" s="55" t="s">
        <v>397</v>
      </c>
      <c r="B44" s="56">
        <v>27</v>
      </c>
      <c r="C44" s="67">
        <v>1812.1</v>
      </c>
      <c r="D44" s="67">
        <v>750.64</v>
      </c>
      <c r="E44" s="67">
        <v>20267.28</v>
      </c>
      <c r="F44" s="67">
        <v>48926.7</v>
      </c>
      <c r="G44" s="67">
        <v>28659.42</v>
      </c>
      <c r="H44" s="63">
        <f t="shared" si="0"/>
        <v>1.4140733240967707</v>
      </c>
    </row>
    <row r="45" spans="1:8" ht="15.75" thickBot="1">
      <c r="A45" s="55" t="s">
        <v>446</v>
      </c>
      <c r="B45" s="56">
        <v>83</v>
      </c>
      <c r="C45" s="67">
        <v>170.15</v>
      </c>
      <c r="D45" s="67">
        <v>146.16249999999999</v>
      </c>
      <c r="E45" s="67">
        <v>12131.49</v>
      </c>
      <c r="F45" s="67">
        <v>14122.45</v>
      </c>
      <c r="G45" s="67">
        <v>1990.96</v>
      </c>
      <c r="H45" s="63">
        <f t="shared" si="0"/>
        <v>0.16411504275237421</v>
      </c>
    </row>
    <row r="46" spans="1:8" ht="15.75" thickBot="1">
      <c r="A46" s="55" t="s">
        <v>467</v>
      </c>
      <c r="B46" s="56">
        <v>95</v>
      </c>
      <c r="C46" s="67">
        <v>446.7</v>
      </c>
      <c r="D46" s="67">
        <v>383</v>
      </c>
      <c r="E46" s="67">
        <v>36385</v>
      </c>
      <c r="F46" s="67">
        <v>42436.5</v>
      </c>
      <c r="G46" s="67">
        <v>6051.5</v>
      </c>
      <c r="H46" s="63">
        <f t="shared" si="0"/>
        <v>0.16631853785900783</v>
      </c>
    </row>
    <row r="47" spans="1:8" ht="15.75" thickBot="1">
      <c r="A47" s="55" t="s">
        <v>398</v>
      </c>
      <c r="B47" s="56">
        <v>31</v>
      </c>
      <c r="C47" s="67">
        <v>1654.95</v>
      </c>
      <c r="D47" s="67">
        <v>1587.3565000000001</v>
      </c>
      <c r="E47" s="67">
        <v>49208.05</v>
      </c>
      <c r="F47" s="67">
        <v>51303.45</v>
      </c>
      <c r="G47" s="67">
        <v>2095.4</v>
      </c>
      <c r="H47" s="63">
        <f t="shared" si="0"/>
        <v>4.2582463641619613E-2</v>
      </c>
    </row>
    <row r="48" spans="1:8" ht="15.75" thickBot="1">
      <c r="A48" s="55" t="s">
        <v>400</v>
      </c>
      <c r="B48" s="56">
        <v>2</v>
      </c>
      <c r="C48" s="67">
        <v>4684.8</v>
      </c>
      <c r="D48" s="67">
        <v>4075.35</v>
      </c>
      <c r="E48" s="67">
        <v>8150.7</v>
      </c>
      <c r="F48" s="67">
        <v>9369.6</v>
      </c>
      <c r="G48" s="67">
        <v>1218.9000000000001</v>
      </c>
      <c r="H48" s="63">
        <f t="shared" si="0"/>
        <v>0.149545437815157</v>
      </c>
    </row>
    <row r="49" spans="1:8" ht="15.75" thickBot="1">
      <c r="A49" s="55" t="s">
        <v>401</v>
      </c>
      <c r="B49" s="56">
        <v>62</v>
      </c>
      <c r="C49" s="67">
        <v>1601.4</v>
      </c>
      <c r="D49" s="67">
        <v>1053.2161000000001</v>
      </c>
      <c r="E49" s="67">
        <v>65299.4</v>
      </c>
      <c r="F49" s="67">
        <v>99286.8</v>
      </c>
      <c r="G49" s="67">
        <v>33987.4</v>
      </c>
      <c r="H49" s="63">
        <f t="shared" si="0"/>
        <v>0.52048563999056652</v>
      </c>
    </row>
    <row r="50" spans="1:8" ht="15.75" thickBot="1">
      <c r="A50" s="55" t="s">
        <v>462</v>
      </c>
      <c r="B50" s="56">
        <v>476</v>
      </c>
      <c r="C50" s="67">
        <v>76</v>
      </c>
      <c r="D50" s="67">
        <v>61.412399999999998</v>
      </c>
      <c r="E50" s="67">
        <v>29232.3</v>
      </c>
      <c r="F50" s="67">
        <v>36176</v>
      </c>
      <c r="G50" s="67">
        <v>6943.7</v>
      </c>
      <c r="H50" s="63">
        <f t="shared" si="0"/>
        <v>0.23753519223598554</v>
      </c>
    </row>
    <row r="51" spans="1:8" ht="15.75" thickBot="1">
      <c r="A51" s="55" t="s">
        <v>402</v>
      </c>
      <c r="B51" s="56">
        <v>14</v>
      </c>
      <c r="C51" s="67">
        <v>743.2</v>
      </c>
      <c r="D51" s="67">
        <v>739.09289999999999</v>
      </c>
      <c r="E51" s="67">
        <v>10347.299999999999</v>
      </c>
      <c r="F51" s="67">
        <v>10404.799999999999</v>
      </c>
      <c r="G51" s="67">
        <v>57.5</v>
      </c>
      <c r="H51" s="63">
        <f t="shared" si="0"/>
        <v>5.5570052090883615E-3</v>
      </c>
    </row>
    <row r="52" spans="1:8" ht="15.75" thickBot="1">
      <c r="A52" s="55" t="s">
        <v>403</v>
      </c>
      <c r="B52" s="56">
        <v>52</v>
      </c>
      <c r="C52" s="67">
        <v>269.25</v>
      </c>
      <c r="D52" s="67">
        <v>159.7337</v>
      </c>
      <c r="E52" s="67">
        <v>8306.15</v>
      </c>
      <c r="F52" s="67">
        <v>14001</v>
      </c>
      <c r="G52" s="67">
        <v>5694.85</v>
      </c>
      <c r="H52" s="63">
        <f t="shared" si="0"/>
        <v>0.68561848750624543</v>
      </c>
    </row>
    <row r="53" spans="1:8" ht="15.75" thickBot="1">
      <c r="A53" s="55" t="s">
        <v>404</v>
      </c>
      <c r="B53" s="56">
        <v>35</v>
      </c>
      <c r="C53" s="67">
        <v>546.35</v>
      </c>
      <c r="D53" s="67">
        <v>409.54140000000001</v>
      </c>
      <c r="E53" s="67">
        <v>14333.95</v>
      </c>
      <c r="F53" s="67">
        <v>19122.25</v>
      </c>
      <c r="G53" s="67">
        <v>4788.3</v>
      </c>
      <c r="H53" s="63">
        <f t="shared" si="0"/>
        <v>0.33405306980978727</v>
      </c>
    </row>
    <row r="54" spans="1:8" ht="15.75" thickBot="1">
      <c r="A54" s="55" t="s">
        <v>405</v>
      </c>
      <c r="B54" s="56">
        <v>16</v>
      </c>
      <c r="C54" s="67">
        <v>737.75</v>
      </c>
      <c r="D54" s="67">
        <v>426.5831</v>
      </c>
      <c r="E54" s="67">
        <v>6825.33</v>
      </c>
      <c r="F54" s="67">
        <v>11804</v>
      </c>
      <c r="G54" s="67">
        <v>4978.67</v>
      </c>
      <c r="H54" s="63">
        <f t="shared" si="0"/>
        <v>0.72944018823998258</v>
      </c>
    </row>
    <row r="55" spans="1:8" ht="15.75" thickBot="1">
      <c r="A55" s="55" t="s">
        <v>448</v>
      </c>
      <c r="B55" s="56">
        <v>39</v>
      </c>
      <c r="C55" s="67">
        <v>234.3</v>
      </c>
      <c r="D55" s="67">
        <v>164.42619999999999</v>
      </c>
      <c r="E55" s="67">
        <v>6412.62</v>
      </c>
      <c r="F55" s="67">
        <v>9137.7000000000007</v>
      </c>
      <c r="G55" s="67">
        <v>2725.08</v>
      </c>
      <c r="H55" s="63">
        <f t="shared" si="0"/>
        <v>0.42495579030100022</v>
      </c>
    </row>
    <row r="56" spans="1:8" ht="15.75" thickBot="1">
      <c r="A56" s="55" t="s">
        <v>408</v>
      </c>
      <c r="B56" s="56">
        <v>4</v>
      </c>
      <c r="C56" s="67">
        <v>2597.6</v>
      </c>
      <c r="D56" s="67">
        <v>2153.5500000000002</v>
      </c>
      <c r="E56" s="67">
        <v>8614.2000000000007</v>
      </c>
      <c r="F56" s="67">
        <v>10390.4</v>
      </c>
      <c r="G56" s="67">
        <v>1776.2</v>
      </c>
      <c r="H56" s="63">
        <f t="shared" si="0"/>
        <v>0.20619442316175615</v>
      </c>
    </row>
    <row r="57" spans="1:8" ht="15.75" thickBot="1">
      <c r="A57" s="55" t="s">
        <v>410</v>
      </c>
      <c r="B57" s="56">
        <v>79</v>
      </c>
      <c r="C57" s="67">
        <v>672.6</v>
      </c>
      <c r="D57" s="67">
        <v>338.1823</v>
      </c>
      <c r="E57" s="67">
        <v>26716.400000000001</v>
      </c>
      <c r="F57" s="67">
        <v>53135.4</v>
      </c>
      <c r="G57" s="67">
        <v>26419</v>
      </c>
      <c r="H57" s="63">
        <f t="shared" si="0"/>
        <v>0.98886826069380596</v>
      </c>
    </row>
    <row r="58" spans="1:8" ht="15.75" thickBot="1">
      <c r="A58" s="55" t="s">
        <v>411</v>
      </c>
      <c r="B58" s="56">
        <v>300</v>
      </c>
      <c r="C58" s="67">
        <v>115.25</v>
      </c>
      <c r="D58" s="67">
        <v>82.333299999999994</v>
      </c>
      <c r="E58" s="67">
        <v>24700</v>
      </c>
      <c r="F58" s="67">
        <v>34575</v>
      </c>
      <c r="G58" s="67">
        <v>9875</v>
      </c>
      <c r="H58" s="63">
        <f t="shared" si="0"/>
        <v>0.39979757085020245</v>
      </c>
    </row>
    <row r="59" spans="1:8" ht="15.75" thickBot="1">
      <c r="A59" s="55" t="s">
        <v>413</v>
      </c>
      <c r="B59" s="56">
        <v>4</v>
      </c>
      <c r="C59" s="67">
        <v>4315.75</v>
      </c>
      <c r="D59" s="67">
        <v>3721.0625</v>
      </c>
      <c r="E59" s="67">
        <v>14884.25</v>
      </c>
      <c r="F59" s="67">
        <v>17263</v>
      </c>
      <c r="G59" s="67">
        <v>2378.75</v>
      </c>
      <c r="H59" s="63">
        <f t="shared" si="0"/>
        <v>0.15981658464484269</v>
      </c>
    </row>
    <row r="60" spans="1:8" ht="15.75" thickBot="1">
      <c r="A60" s="55" t="s">
        <v>414</v>
      </c>
      <c r="B60" s="56">
        <v>3</v>
      </c>
      <c r="C60" s="67">
        <v>3145.35</v>
      </c>
      <c r="D60" s="67">
        <v>2652.7</v>
      </c>
      <c r="E60" s="67">
        <v>7958.1</v>
      </c>
      <c r="F60" s="67">
        <v>9436.0499999999993</v>
      </c>
      <c r="G60" s="67">
        <v>1477.95</v>
      </c>
      <c r="H60" s="63">
        <f t="shared" si="0"/>
        <v>0.18571643985373393</v>
      </c>
    </row>
    <row r="61" spans="1:8" ht="15.75" thickBot="1">
      <c r="A61" s="55" t="s">
        <v>415</v>
      </c>
      <c r="B61" s="56">
        <v>24</v>
      </c>
      <c r="C61" s="67">
        <v>862.95</v>
      </c>
      <c r="D61" s="67">
        <v>793.74789999999996</v>
      </c>
      <c r="E61" s="67">
        <v>19049.95</v>
      </c>
      <c r="F61" s="67">
        <v>20710.8</v>
      </c>
      <c r="G61" s="67">
        <v>1660.85</v>
      </c>
      <c r="H61" s="63">
        <f t="shared" si="0"/>
        <v>8.7183955863401205E-2</v>
      </c>
    </row>
    <row r="62" spans="1:8" ht="15.75" thickBot="1">
      <c r="A62" s="55" t="s">
        <v>450</v>
      </c>
      <c r="B62" s="56">
        <v>26</v>
      </c>
      <c r="C62" s="67">
        <v>1506.85</v>
      </c>
      <c r="D62" s="67">
        <v>488.05</v>
      </c>
      <c r="E62" s="67">
        <v>12689.3</v>
      </c>
      <c r="F62" s="67">
        <v>39178.1</v>
      </c>
      <c r="G62" s="67">
        <v>26488.799999999999</v>
      </c>
      <c r="H62" s="63">
        <f t="shared" si="0"/>
        <v>2.0874910357545335</v>
      </c>
    </row>
    <row r="63" spans="1:8" ht="15.75" thickBot="1">
      <c r="A63" s="55" t="s">
        <v>420</v>
      </c>
      <c r="B63" s="56">
        <v>30</v>
      </c>
      <c r="C63" s="67">
        <v>1099.7</v>
      </c>
      <c r="D63" s="67">
        <v>884.70169999999996</v>
      </c>
      <c r="E63" s="67">
        <v>26541.05</v>
      </c>
      <c r="F63" s="67">
        <v>32991</v>
      </c>
      <c r="G63" s="67">
        <v>6449.95</v>
      </c>
      <c r="H63" s="63">
        <f t="shared" si="0"/>
        <v>0.24301789115351502</v>
      </c>
    </row>
    <row r="64" spans="1:8" ht="15.75" thickBot="1">
      <c r="A64" s="55" t="s">
        <v>421</v>
      </c>
      <c r="B64" s="56">
        <v>35</v>
      </c>
      <c r="C64" s="67">
        <v>1953.95</v>
      </c>
      <c r="D64" s="67">
        <v>984.23</v>
      </c>
      <c r="E64" s="67">
        <v>34448.050000000003</v>
      </c>
      <c r="F64" s="67">
        <v>68388.25</v>
      </c>
      <c r="G64" s="67">
        <v>33940.199999999997</v>
      </c>
      <c r="H64" s="63">
        <f t="shared" si="0"/>
        <v>0.98525751094764413</v>
      </c>
    </row>
    <row r="65" spans="1:8" ht="15.75" thickBot="1">
      <c r="A65" s="55" t="s">
        <v>423</v>
      </c>
      <c r="B65" s="56">
        <v>30</v>
      </c>
      <c r="C65" s="67">
        <v>596.54999999999995</v>
      </c>
      <c r="D65" s="67">
        <v>465.79329999999999</v>
      </c>
      <c r="E65" s="67">
        <v>13973.8</v>
      </c>
      <c r="F65" s="67">
        <v>17896.5</v>
      </c>
      <c r="G65" s="67">
        <v>3922.7</v>
      </c>
      <c r="H65" s="63">
        <f t="shared" si="0"/>
        <v>0.28071820120511243</v>
      </c>
    </row>
    <row r="66" spans="1:8" ht="15.75" thickBot="1">
      <c r="A66" s="55" t="s">
        <v>425</v>
      </c>
      <c r="B66" s="56">
        <v>85</v>
      </c>
      <c r="C66" s="67">
        <v>431.7</v>
      </c>
      <c r="D66" s="67">
        <v>224.64940000000001</v>
      </c>
      <c r="E66" s="67">
        <v>19095.2</v>
      </c>
      <c r="F66" s="67">
        <v>36694.5</v>
      </c>
      <c r="G66" s="67">
        <v>17599.3</v>
      </c>
      <c r="H66" s="63">
        <f t="shared" si="0"/>
        <v>0.92166094096945816</v>
      </c>
    </row>
    <row r="67" spans="1:8" ht="15.75" thickBot="1">
      <c r="A67" s="55" t="s">
        <v>426</v>
      </c>
      <c r="B67" s="56">
        <v>152</v>
      </c>
      <c r="C67" s="67">
        <v>774</v>
      </c>
      <c r="D67" s="67">
        <v>477.58749999999998</v>
      </c>
      <c r="E67" s="67">
        <v>72593.3</v>
      </c>
      <c r="F67" s="67">
        <v>117648</v>
      </c>
      <c r="G67" s="67">
        <v>45054.7</v>
      </c>
      <c r="H67" s="63">
        <f t="shared" ref="H67:H82" si="1">G67/E67</f>
        <v>0.62064543146543816</v>
      </c>
    </row>
    <row r="68" spans="1:8" ht="15.75" thickBot="1">
      <c r="A68" s="55" t="s">
        <v>427</v>
      </c>
      <c r="B68" s="56">
        <v>18</v>
      </c>
      <c r="C68" s="67">
        <v>763.6</v>
      </c>
      <c r="D68" s="67">
        <v>581.90440000000001</v>
      </c>
      <c r="E68" s="67">
        <v>10474.280000000001</v>
      </c>
      <c r="F68" s="67">
        <v>13744.8</v>
      </c>
      <c r="G68" s="67">
        <v>3270.52</v>
      </c>
      <c r="H68" s="63">
        <f t="shared" si="1"/>
        <v>0.31224294175828787</v>
      </c>
    </row>
    <row r="69" spans="1:8" ht="15.75" thickBot="1">
      <c r="A69" s="55" t="s">
        <v>428</v>
      </c>
      <c r="B69" s="56">
        <v>45</v>
      </c>
      <c r="C69" s="67">
        <v>381.35</v>
      </c>
      <c r="D69" s="67">
        <v>323.21379999999999</v>
      </c>
      <c r="E69" s="67">
        <v>14544.62</v>
      </c>
      <c r="F69" s="67">
        <v>17160.75</v>
      </c>
      <c r="G69" s="67">
        <v>2616.13</v>
      </c>
      <c r="H69" s="63">
        <f t="shared" si="1"/>
        <v>0.17986925749864899</v>
      </c>
    </row>
    <row r="70" spans="1:8" ht="15.75" thickBot="1">
      <c r="A70" s="55" t="s">
        <v>429</v>
      </c>
      <c r="B70" s="56">
        <v>48</v>
      </c>
      <c r="C70" s="67">
        <v>337.25</v>
      </c>
      <c r="D70" s="67">
        <v>218.5848</v>
      </c>
      <c r="E70" s="67">
        <v>10492.07</v>
      </c>
      <c r="F70" s="67">
        <v>16188</v>
      </c>
      <c r="G70" s="67">
        <v>5695.93</v>
      </c>
      <c r="H70" s="63">
        <f t="shared" si="1"/>
        <v>0.54287952710952181</v>
      </c>
    </row>
    <row r="71" spans="1:8" ht="15.75" thickBot="1">
      <c r="A71" s="55" t="s">
        <v>430</v>
      </c>
      <c r="B71" s="56">
        <v>70</v>
      </c>
      <c r="C71" s="67">
        <v>639.35</v>
      </c>
      <c r="D71" s="67">
        <v>433.82100000000003</v>
      </c>
      <c r="E71" s="67">
        <v>30367.47</v>
      </c>
      <c r="F71" s="67">
        <v>44754.5</v>
      </c>
      <c r="G71" s="67">
        <v>14387.03</v>
      </c>
      <c r="H71" s="63">
        <f t="shared" si="1"/>
        <v>0.47376452499994237</v>
      </c>
    </row>
    <row r="72" spans="1:8" ht="15.75" thickBot="1">
      <c r="A72" s="55" t="s">
        <v>431</v>
      </c>
      <c r="B72" s="56">
        <v>4</v>
      </c>
      <c r="C72" s="67">
        <v>3167.5</v>
      </c>
      <c r="D72" s="67">
        <v>3283.3375000000001</v>
      </c>
      <c r="E72" s="67">
        <v>13133.35</v>
      </c>
      <c r="F72" s="67">
        <v>12670</v>
      </c>
      <c r="G72" s="67">
        <v>-463.35</v>
      </c>
      <c r="H72" s="63">
        <f t="shared" si="1"/>
        <v>-3.5280412080695329E-2</v>
      </c>
    </row>
    <row r="73" spans="1:8" ht="15.75" thickBot="1">
      <c r="A73" s="55" t="s">
        <v>432</v>
      </c>
      <c r="B73" s="56">
        <v>16</v>
      </c>
      <c r="C73" s="67">
        <v>756.1</v>
      </c>
      <c r="D73" s="67">
        <v>593.90629999999999</v>
      </c>
      <c r="E73" s="67">
        <v>9502.5</v>
      </c>
      <c r="F73" s="67">
        <v>12097.6</v>
      </c>
      <c r="G73" s="67">
        <v>2595.1</v>
      </c>
      <c r="H73" s="63">
        <f t="shared" si="1"/>
        <v>0.27309655353854245</v>
      </c>
    </row>
    <row r="74" spans="1:8" ht="15.75" thickBot="1">
      <c r="A74" s="55" t="s">
        <v>433</v>
      </c>
      <c r="B74" s="56">
        <v>775</v>
      </c>
      <c r="C74" s="67">
        <v>139.69999999999999</v>
      </c>
      <c r="D74" s="67">
        <v>99.291600000000003</v>
      </c>
      <c r="E74" s="67">
        <v>76951</v>
      </c>
      <c r="F74" s="67">
        <v>108267.5</v>
      </c>
      <c r="G74" s="67">
        <v>31316.5</v>
      </c>
      <c r="H74" s="63">
        <f t="shared" si="1"/>
        <v>0.40696677106210444</v>
      </c>
    </row>
    <row r="75" spans="1:8" ht="15.75" thickBot="1">
      <c r="A75" s="55" t="s">
        <v>434</v>
      </c>
      <c r="B75" s="56">
        <v>105</v>
      </c>
      <c r="C75" s="67">
        <v>1433.75</v>
      </c>
      <c r="D75" s="67">
        <v>404.76429999999999</v>
      </c>
      <c r="E75" s="67">
        <v>42500.25</v>
      </c>
      <c r="F75" s="67">
        <v>150543.75</v>
      </c>
      <c r="G75" s="67">
        <v>108043.5</v>
      </c>
      <c r="H75" s="63">
        <f t="shared" si="1"/>
        <v>2.5421850459703177</v>
      </c>
    </row>
    <row r="76" spans="1:8" ht="15.75" thickBot="1">
      <c r="A76" s="55" t="s">
        <v>435</v>
      </c>
      <c r="B76" s="56">
        <v>9</v>
      </c>
      <c r="C76" s="67">
        <v>1209.45</v>
      </c>
      <c r="D76" s="67">
        <v>1084.0667000000001</v>
      </c>
      <c r="E76" s="67">
        <v>9756.6</v>
      </c>
      <c r="F76" s="67">
        <v>10885.05</v>
      </c>
      <c r="G76" s="67">
        <v>1128.45</v>
      </c>
      <c r="H76" s="63">
        <f t="shared" si="1"/>
        <v>0.11566016850132219</v>
      </c>
    </row>
    <row r="77" spans="1:8" ht="15.75" thickBot="1">
      <c r="A77" s="55" t="s">
        <v>468</v>
      </c>
      <c r="B77" s="56">
        <v>427</v>
      </c>
      <c r="C77" s="67">
        <v>82.35</v>
      </c>
      <c r="D77" s="67">
        <v>84.97</v>
      </c>
      <c r="E77" s="67">
        <v>36282.19</v>
      </c>
      <c r="F77" s="67">
        <v>35163.449999999997</v>
      </c>
      <c r="G77" s="67">
        <v>-1118.74</v>
      </c>
      <c r="H77" s="63">
        <f t="shared" si="1"/>
        <v>-3.0834412145463102E-2</v>
      </c>
    </row>
    <row r="78" spans="1:8" ht="15.75" thickBot="1">
      <c r="A78" s="55" t="s">
        <v>438</v>
      </c>
      <c r="B78" s="56">
        <v>19</v>
      </c>
      <c r="C78" s="67">
        <v>761.55</v>
      </c>
      <c r="D78" s="67">
        <v>952.36580000000004</v>
      </c>
      <c r="E78" s="67">
        <v>18094.95</v>
      </c>
      <c r="F78" s="67">
        <v>14469.45</v>
      </c>
      <c r="G78" s="67">
        <v>-3625.5</v>
      </c>
      <c r="H78" s="63">
        <f t="shared" si="1"/>
        <v>-0.2003597688857941</v>
      </c>
    </row>
    <row r="79" spans="1:8" ht="15.75" thickBot="1">
      <c r="A79" s="55" t="s">
        <v>453</v>
      </c>
      <c r="B79" s="56">
        <v>15</v>
      </c>
      <c r="C79" s="67">
        <v>586.6</v>
      </c>
      <c r="D79" s="67">
        <v>558.35</v>
      </c>
      <c r="E79" s="67">
        <v>8375.25</v>
      </c>
      <c r="F79" s="67">
        <v>8799</v>
      </c>
      <c r="G79" s="67">
        <v>423.75</v>
      </c>
      <c r="H79" s="63">
        <f t="shared" si="1"/>
        <v>5.0595504611802636E-2</v>
      </c>
    </row>
    <row r="80" spans="1:8" ht="15.75" thickBot="1">
      <c r="A80" s="55" t="s">
        <v>439</v>
      </c>
      <c r="B80" s="56">
        <v>525</v>
      </c>
      <c r="C80" s="67">
        <v>12.75</v>
      </c>
      <c r="D80" s="67">
        <v>38.966700000000003</v>
      </c>
      <c r="E80" s="67">
        <v>20457.5</v>
      </c>
      <c r="F80" s="67">
        <v>6693.75</v>
      </c>
      <c r="G80" s="67">
        <v>-13763.75</v>
      </c>
      <c r="H80" s="63">
        <f t="shared" si="1"/>
        <v>-0.67279726261762185</v>
      </c>
    </row>
    <row r="81" spans="1:8" ht="15.75" thickBot="1">
      <c r="A81" s="58" t="s">
        <v>440</v>
      </c>
      <c r="B81" s="59">
        <v>11</v>
      </c>
      <c r="C81" s="68">
        <v>2127.5</v>
      </c>
      <c r="D81" s="68">
        <v>1972.3172999999999</v>
      </c>
      <c r="E81" s="68">
        <v>21695.49</v>
      </c>
      <c r="F81" s="68">
        <v>23402.5</v>
      </c>
      <c r="G81" s="68">
        <v>1707.01</v>
      </c>
      <c r="H81" s="61">
        <f t="shared" si="1"/>
        <v>7.8680407771384742E-2</v>
      </c>
    </row>
    <row r="82" spans="1:8" ht="18.75" thickBot="1">
      <c r="A82" s="44" t="s">
        <v>11</v>
      </c>
      <c r="B82" s="44">
        <f>SUM(B2:B81)</f>
        <v>7399</v>
      </c>
      <c r="C82" s="44"/>
      <c r="D82" s="44"/>
      <c r="E82" s="45">
        <f t="shared" ref="E82:G82" si="2">SUM(E2:E81)</f>
        <v>2108125.0300000007</v>
      </c>
      <c r="F82" s="45">
        <f t="shared" si="2"/>
        <v>2772060.95</v>
      </c>
      <c r="G82" s="45">
        <f t="shared" si="2"/>
        <v>663935.92000000004</v>
      </c>
      <c r="H82" s="64">
        <f t="shared" si="1"/>
        <v>0.31494143400024038</v>
      </c>
    </row>
    <row r="83" spans="1:8" ht="15.75" thickTop="1"/>
  </sheetData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773D-1893-438D-AB79-2EBDF7D186B8}">
  <dimension ref="A1:I13"/>
  <sheetViews>
    <sheetView topLeftCell="B1" workbookViewId="0">
      <selection activeCell="H4" sqref="H4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 ht="15.75" thickBot="1">
      <c r="A2" s="55" t="s">
        <v>234</v>
      </c>
      <c r="B2" s="57" t="s">
        <v>235</v>
      </c>
      <c r="C2" s="67">
        <v>1933.3219999999999</v>
      </c>
      <c r="D2" s="67">
        <v>70.75</v>
      </c>
      <c r="E2" s="67">
        <v>62.066299999999998</v>
      </c>
      <c r="F2" s="67">
        <v>119994.0701</v>
      </c>
      <c r="G2" s="67">
        <v>136782.53150000001</v>
      </c>
      <c r="H2" s="67">
        <v>16788.4614</v>
      </c>
      <c r="I2" s="1">
        <f>H2/F2</f>
        <v>0.13991075880673873</v>
      </c>
    </row>
    <row r="3" spans="1:9" ht="15.75" thickBot="1">
      <c r="A3" s="55" t="s">
        <v>236</v>
      </c>
      <c r="B3" s="57" t="s">
        <v>237</v>
      </c>
      <c r="C3" s="67">
        <v>9468.9670000000006</v>
      </c>
      <c r="D3" s="67">
        <v>61.09</v>
      </c>
      <c r="E3" s="67">
        <v>38.017099999999999</v>
      </c>
      <c r="F3" s="67">
        <v>359982.95740000001</v>
      </c>
      <c r="G3" s="67">
        <v>578459.19400000002</v>
      </c>
      <c r="H3" s="67">
        <v>218476.2366</v>
      </c>
      <c r="I3" s="1">
        <f t="shared" ref="I3:I12" si="0">H3/F3</f>
        <v>0.60690716632242436</v>
      </c>
    </row>
    <row r="4" spans="1:9" ht="15.75" thickBot="1">
      <c r="A4" s="55" t="s">
        <v>454</v>
      </c>
      <c r="B4" s="57" t="s">
        <v>269</v>
      </c>
      <c r="C4" s="67">
        <v>81.212000000000003</v>
      </c>
      <c r="D4" s="67">
        <v>3125.6329000000001</v>
      </c>
      <c r="E4" s="67">
        <v>3100.4877999999999</v>
      </c>
      <c r="F4" s="67">
        <v>251796.81460000001</v>
      </c>
      <c r="G4" s="67">
        <v>253838.89910000001</v>
      </c>
      <c r="H4" s="67">
        <v>2042.0844</v>
      </c>
      <c r="I4" s="1">
        <f t="shared" si="0"/>
        <v>8.1100485851817432E-3</v>
      </c>
    </row>
    <row r="5" spans="1:9" ht="15.75" thickBot="1">
      <c r="A5" s="55" t="s">
        <v>441</v>
      </c>
      <c r="B5" s="57" t="s">
        <v>241</v>
      </c>
      <c r="C5" s="67">
        <v>1779.7180000000001</v>
      </c>
      <c r="D5" s="67">
        <v>479.8261</v>
      </c>
      <c r="E5" s="67">
        <v>359.55520000000001</v>
      </c>
      <c r="F5" s="67">
        <v>639906.94510000001</v>
      </c>
      <c r="G5" s="67">
        <v>853955.147</v>
      </c>
      <c r="H5" s="67">
        <v>214048.20199999999</v>
      </c>
      <c r="I5" s="1">
        <f t="shared" si="0"/>
        <v>0.33449895119758405</v>
      </c>
    </row>
    <row r="6" spans="1:9" ht="15.75" thickBot="1">
      <c r="A6" s="55" t="s">
        <v>242</v>
      </c>
      <c r="B6" s="57" t="s">
        <v>237</v>
      </c>
      <c r="C6" s="67">
        <v>5856.576</v>
      </c>
      <c r="D6" s="67">
        <v>77.314999999999998</v>
      </c>
      <c r="E6" s="67">
        <v>44.3917</v>
      </c>
      <c r="F6" s="67">
        <v>259983.36480000001</v>
      </c>
      <c r="G6" s="67">
        <v>452801.17340000003</v>
      </c>
      <c r="H6" s="67">
        <v>192817.80859999999</v>
      </c>
      <c r="I6" s="1">
        <f t="shared" si="0"/>
        <v>0.74165440834389873</v>
      </c>
    </row>
    <row r="7" spans="1:9" ht="15.75" thickBot="1">
      <c r="A7" s="55" t="s">
        <v>272</v>
      </c>
      <c r="B7" s="57" t="s">
        <v>235</v>
      </c>
      <c r="C7" s="67">
        <v>6641.4979999999996</v>
      </c>
      <c r="D7" s="67">
        <v>74.823999999999998</v>
      </c>
      <c r="E7" s="67">
        <v>41.7624</v>
      </c>
      <c r="F7" s="67">
        <v>277364.96380000003</v>
      </c>
      <c r="G7" s="67">
        <v>496943.44640000002</v>
      </c>
      <c r="H7" s="67">
        <v>219578.48259999999</v>
      </c>
      <c r="I7" s="1">
        <f t="shared" si="0"/>
        <v>0.79165904587117131</v>
      </c>
    </row>
    <row r="8" spans="1:9" ht="15.75" thickBot="1">
      <c r="A8" s="55" t="s">
        <v>250</v>
      </c>
      <c r="B8" s="57" t="s">
        <v>251</v>
      </c>
      <c r="C8" s="67">
        <v>8600.0689999999995</v>
      </c>
      <c r="D8" s="67">
        <v>48.444600000000001</v>
      </c>
      <c r="E8" s="67">
        <v>34.412700000000001</v>
      </c>
      <c r="F8" s="67">
        <v>295951.48989999999</v>
      </c>
      <c r="G8" s="67">
        <v>416626.90269999998</v>
      </c>
      <c r="H8" s="67">
        <v>120675.41280000001</v>
      </c>
      <c r="I8" s="1">
        <f t="shared" si="0"/>
        <v>0.40775403036752889</v>
      </c>
    </row>
    <row r="9" spans="1:9" ht="15.75" thickBot="1">
      <c r="A9" s="55" t="s">
        <v>274</v>
      </c>
      <c r="B9" s="57" t="s">
        <v>233</v>
      </c>
      <c r="C9" s="67">
        <v>4921.7690000000002</v>
      </c>
      <c r="D9" s="67">
        <v>41.1</v>
      </c>
      <c r="E9" s="67">
        <v>36.570599999999999</v>
      </c>
      <c r="F9" s="67">
        <v>179991.8186</v>
      </c>
      <c r="G9" s="67">
        <v>202284.7059</v>
      </c>
      <c r="H9" s="67">
        <v>22292.887299999999</v>
      </c>
      <c r="I9" s="1">
        <f t="shared" si="0"/>
        <v>0.12385500337402557</v>
      </c>
    </row>
    <row r="10" spans="1:9" ht="15.75" thickBot="1">
      <c r="A10" s="55" t="s">
        <v>455</v>
      </c>
      <c r="B10" s="57" t="s">
        <v>241</v>
      </c>
      <c r="C10" s="67">
        <v>197.84399999999999</v>
      </c>
      <c r="D10" s="67">
        <v>135.11600000000001</v>
      </c>
      <c r="E10" s="67">
        <v>126.3557</v>
      </c>
      <c r="F10" s="67">
        <v>24998.7091</v>
      </c>
      <c r="G10" s="67">
        <v>26731.889899999998</v>
      </c>
      <c r="H10" s="67">
        <v>1733.1808000000001</v>
      </c>
      <c r="I10" s="1">
        <f t="shared" si="0"/>
        <v>6.9330811965806677E-2</v>
      </c>
    </row>
    <row r="11" spans="1:9" ht="15.75" thickBot="1">
      <c r="A11" s="58" t="s">
        <v>255</v>
      </c>
      <c r="B11" s="57" t="s">
        <v>241</v>
      </c>
      <c r="C11" s="67">
        <v>18996.168000000001</v>
      </c>
      <c r="D11" s="67">
        <v>14.2575</v>
      </c>
      <c r="E11" s="67">
        <v>9.4700000000000006</v>
      </c>
      <c r="F11" s="67">
        <v>179893.71100000001</v>
      </c>
      <c r="G11" s="67">
        <v>270837.8653</v>
      </c>
      <c r="H11" s="67">
        <v>90944.154299999995</v>
      </c>
      <c r="I11" s="1">
        <f t="shared" si="0"/>
        <v>0.50554382248526741</v>
      </c>
    </row>
    <row r="12" spans="1:9" ht="15.75" thickBot="1">
      <c r="A12" s="51" t="s">
        <v>11</v>
      </c>
      <c r="B12" s="51"/>
      <c r="C12" s="52">
        <f>SUM(C2:C11)</f>
        <v>58477.142999999996</v>
      </c>
      <c r="D12" s="52"/>
      <c r="E12" s="52"/>
      <c r="F12" s="52">
        <f t="shared" ref="F12:H12" si="1">SUM(F2:F11)</f>
        <v>2589864.8444000003</v>
      </c>
      <c r="G12" s="52">
        <f t="shared" si="1"/>
        <v>3689261.7552</v>
      </c>
      <c r="H12" s="52">
        <f t="shared" si="1"/>
        <v>1099396.9108</v>
      </c>
      <c r="I12" s="53">
        <f t="shared" si="0"/>
        <v>0.42449972367368832</v>
      </c>
    </row>
    <row r="13" spans="1:9" ht="15.75" thickTop="1"/>
  </sheetData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A48C-8C9B-4585-9DAE-F15A1693DE97}">
  <dimension ref="A1:H83"/>
  <sheetViews>
    <sheetView topLeftCell="A60" workbookViewId="0">
      <selection activeCell="G13" sqref="G13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3.85546875" style="65" bestFit="1" customWidth="1"/>
  </cols>
  <sheetData>
    <row r="1" spans="1:8" ht="15.75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62" t="s">
        <v>142</v>
      </c>
    </row>
    <row r="2" spans="1:8" ht="15.75" thickBot="1">
      <c r="A2" s="55" t="s">
        <v>352</v>
      </c>
      <c r="B2" s="56">
        <v>24</v>
      </c>
      <c r="C2" s="57">
        <v>2123.6</v>
      </c>
      <c r="D2" s="57">
        <v>1733.6763000000001</v>
      </c>
      <c r="E2" s="57">
        <v>41608.230000000003</v>
      </c>
      <c r="F2" s="57">
        <v>50966.400000000001</v>
      </c>
      <c r="G2" s="57">
        <v>9358.17</v>
      </c>
      <c r="H2" s="63">
        <f>G2/E2</f>
        <v>0.22491151390001449</v>
      </c>
    </row>
    <row r="3" spans="1:8" ht="15.75" thickBot="1">
      <c r="A3" s="55" t="s">
        <v>458</v>
      </c>
      <c r="B3" s="56">
        <v>262</v>
      </c>
      <c r="C3" s="56">
        <v>125.85</v>
      </c>
      <c r="D3" s="56">
        <v>110.35899999999999</v>
      </c>
      <c r="E3" s="57">
        <v>28914.06</v>
      </c>
      <c r="F3" s="57">
        <v>32972.699999999997</v>
      </c>
      <c r="G3" s="57">
        <v>4058.64</v>
      </c>
      <c r="H3" s="63">
        <f t="shared" ref="H3:H66" si="0">G3/E3</f>
        <v>0.14036907995625655</v>
      </c>
    </row>
    <row r="4" spans="1:8" ht="15.75" thickBot="1">
      <c r="A4" s="55" t="s">
        <v>353</v>
      </c>
      <c r="B4" s="56">
        <v>17</v>
      </c>
      <c r="C4" s="57">
        <v>3184.95</v>
      </c>
      <c r="D4" s="57">
        <v>2499.8224</v>
      </c>
      <c r="E4" s="57">
        <v>42496.98</v>
      </c>
      <c r="F4" s="57">
        <v>54144.15</v>
      </c>
      <c r="G4" s="57">
        <v>11647.17</v>
      </c>
      <c r="H4" s="63">
        <f t="shared" si="0"/>
        <v>0.27407053395323616</v>
      </c>
    </row>
    <row r="5" spans="1:8" ht="15.75" thickBot="1">
      <c r="A5" s="55" t="s">
        <v>354</v>
      </c>
      <c r="B5" s="56">
        <v>250</v>
      </c>
      <c r="C5" s="57">
        <v>227.4</v>
      </c>
      <c r="D5" s="57">
        <v>183.58799999999999</v>
      </c>
      <c r="E5" s="57">
        <v>45897</v>
      </c>
      <c r="F5" s="57">
        <v>56850</v>
      </c>
      <c r="G5" s="57">
        <v>10953</v>
      </c>
      <c r="H5" s="63">
        <f t="shared" si="0"/>
        <v>0.23864304856526569</v>
      </c>
    </row>
    <row r="6" spans="1:8" ht="15.75" thickBot="1">
      <c r="A6" s="55" t="s">
        <v>355</v>
      </c>
      <c r="B6" s="56">
        <v>10</v>
      </c>
      <c r="C6" s="57">
        <v>3004.45</v>
      </c>
      <c r="D6" s="57">
        <v>2188.4</v>
      </c>
      <c r="E6" s="57">
        <v>21884</v>
      </c>
      <c r="F6" s="57">
        <v>30044.5</v>
      </c>
      <c r="G6" s="57">
        <v>8160.5</v>
      </c>
      <c r="H6" s="63">
        <f t="shared" si="0"/>
        <v>0.3728980076768415</v>
      </c>
    </row>
    <row r="7" spans="1:8" ht="15.75" thickBot="1">
      <c r="A7" s="55" t="s">
        <v>356</v>
      </c>
      <c r="B7" s="56">
        <v>34</v>
      </c>
      <c r="C7" s="57">
        <v>1038.55</v>
      </c>
      <c r="D7" s="57">
        <v>943.40740000000005</v>
      </c>
      <c r="E7" s="57">
        <v>32075.85</v>
      </c>
      <c r="F7" s="57">
        <v>35310.699999999997</v>
      </c>
      <c r="G7" s="57">
        <v>3234.85</v>
      </c>
      <c r="H7" s="63">
        <f t="shared" si="0"/>
        <v>0.10085001644539428</v>
      </c>
    </row>
    <row r="8" spans="1:8" ht="15.75" thickBot="1">
      <c r="A8" s="55" t="s">
        <v>466</v>
      </c>
      <c r="B8" s="56">
        <v>32</v>
      </c>
      <c r="C8" s="57">
        <v>993.6</v>
      </c>
      <c r="D8" s="56">
        <v>856.625</v>
      </c>
      <c r="E8" s="57">
        <v>27412</v>
      </c>
      <c r="F8" s="57">
        <v>31795.200000000001</v>
      </c>
      <c r="G8" s="57">
        <v>4383.2</v>
      </c>
      <c r="H8" s="63">
        <f t="shared" si="0"/>
        <v>0.15990077338391945</v>
      </c>
    </row>
    <row r="9" spans="1:8" ht="15.75" thickBot="1">
      <c r="A9" s="55" t="s">
        <v>357</v>
      </c>
      <c r="B9" s="56">
        <v>8</v>
      </c>
      <c r="C9" s="57">
        <v>3313.3</v>
      </c>
      <c r="D9" s="57">
        <v>2766.2674999999999</v>
      </c>
      <c r="E9" s="57">
        <v>22130.14</v>
      </c>
      <c r="F9" s="57">
        <v>26506.400000000001</v>
      </c>
      <c r="G9" s="57">
        <v>4376.26</v>
      </c>
      <c r="H9" s="63">
        <f t="shared" si="0"/>
        <v>0.19775112132141959</v>
      </c>
    </row>
    <row r="10" spans="1:8" ht="15.75" thickBot="1">
      <c r="A10" s="55" t="s">
        <v>358</v>
      </c>
      <c r="B10" s="56">
        <v>47</v>
      </c>
      <c r="C10" s="57">
        <v>750.65</v>
      </c>
      <c r="D10" s="57">
        <v>525.85530000000006</v>
      </c>
      <c r="E10" s="57">
        <v>24715.200000000001</v>
      </c>
      <c r="F10" s="57">
        <v>35280.550000000003</v>
      </c>
      <c r="G10" s="57">
        <v>10565.35</v>
      </c>
      <c r="H10" s="63">
        <f t="shared" si="0"/>
        <v>0.42748389654949182</v>
      </c>
    </row>
    <row r="11" spans="1:8" ht="15.75" thickBot="1">
      <c r="A11" s="55" t="s">
        <v>359</v>
      </c>
      <c r="B11" s="56">
        <v>18</v>
      </c>
      <c r="C11" s="57">
        <v>4174.1000000000004</v>
      </c>
      <c r="D11" s="57">
        <v>2324.0500000000002</v>
      </c>
      <c r="E11" s="57">
        <v>41832.9</v>
      </c>
      <c r="F11" s="57">
        <v>75133.8</v>
      </c>
      <c r="G11" s="57">
        <v>33300.9</v>
      </c>
      <c r="H11" s="63">
        <f t="shared" si="0"/>
        <v>0.79604569609087583</v>
      </c>
    </row>
    <row r="12" spans="1:8" ht="15.75" thickBot="1">
      <c r="A12" s="55" t="s">
        <v>459</v>
      </c>
      <c r="B12" s="56">
        <v>40</v>
      </c>
      <c r="C12" s="57">
        <v>286</v>
      </c>
      <c r="D12" s="57">
        <v>237.46379999999999</v>
      </c>
      <c r="E12" s="57">
        <v>9498.5499999999993</v>
      </c>
      <c r="F12" s="57">
        <v>11440</v>
      </c>
      <c r="G12" s="57">
        <v>1941.45</v>
      </c>
      <c r="H12" s="63">
        <f t="shared" si="0"/>
        <v>0.20439435492785743</v>
      </c>
    </row>
    <row r="13" spans="1:8" ht="15.75" thickBot="1">
      <c r="A13" s="55" t="s">
        <v>361</v>
      </c>
      <c r="B13" s="56">
        <v>6</v>
      </c>
      <c r="C13" s="57">
        <v>2298.0500000000002</v>
      </c>
      <c r="D13" s="57">
        <v>1647.3</v>
      </c>
      <c r="E13" s="57">
        <v>9883.7999999999993</v>
      </c>
      <c r="F13" s="57">
        <v>13788.3</v>
      </c>
      <c r="G13" s="57">
        <v>3904.5</v>
      </c>
      <c r="H13" s="63">
        <f t="shared" si="0"/>
        <v>0.39504036908881202</v>
      </c>
    </row>
    <row r="14" spans="1:8" ht="15.75" thickBot="1">
      <c r="A14" s="55" t="s">
        <v>362</v>
      </c>
      <c r="B14" s="56">
        <v>180</v>
      </c>
      <c r="C14" s="57">
        <v>524.85</v>
      </c>
      <c r="D14" s="57">
        <v>322.88889999999998</v>
      </c>
      <c r="E14" s="57">
        <v>58120</v>
      </c>
      <c r="F14" s="57">
        <v>94473</v>
      </c>
      <c r="G14" s="57">
        <v>36353</v>
      </c>
      <c r="H14" s="63">
        <f t="shared" si="0"/>
        <v>0.62548176187198901</v>
      </c>
    </row>
    <row r="15" spans="1:8" ht="15.75" thickBot="1">
      <c r="A15" s="55" t="s">
        <v>364</v>
      </c>
      <c r="B15" s="56">
        <v>7</v>
      </c>
      <c r="C15" s="57">
        <v>3548.95</v>
      </c>
      <c r="D15" s="57">
        <v>3537.4857000000002</v>
      </c>
      <c r="E15" s="57">
        <v>24762.400000000001</v>
      </c>
      <c r="F15" s="57">
        <v>24842.65</v>
      </c>
      <c r="G15" s="57">
        <v>80.25</v>
      </c>
      <c r="H15" s="63">
        <f t="shared" si="0"/>
        <v>3.2408005686040122E-3</v>
      </c>
    </row>
    <row r="16" spans="1:8" ht="15.75" thickBot="1">
      <c r="A16" s="55" t="s">
        <v>365</v>
      </c>
      <c r="B16" s="56">
        <v>180</v>
      </c>
      <c r="C16" s="57">
        <v>142.9</v>
      </c>
      <c r="D16" s="57">
        <v>155.25</v>
      </c>
      <c r="E16" s="57">
        <v>27945</v>
      </c>
      <c r="F16" s="57">
        <v>25722</v>
      </c>
      <c r="G16" s="57">
        <v>-2223</v>
      </c>
      <c r="H16" s="63">
        <f t="shared" si="0"/>
        <v>-7.9549114331723028E-2</v>
      </c>
    </row>
    <row r="17" spans="1:8" ht="15.75" thickBot="1">
      <c r="A17" s="55" t="s">
        <v>366</v>
      </c>
      <c r="B17" s="56">
        <v>34</v>
      </c>
      <c r="C17" s="56">
        <v>979.1</v>
      </c>
      <c r="D17" s="56">
        <v>631.68759999999997</v>
      </c>
      <c r="E17" s="57">
        <v>21477.38</v>
      </c>
      <c r="F17" s="57">
        <v>33289.4</v>
      </c>
      <c r="G17" s="57">
        <v>11812.02</v>
      </c>
      <c r="H17" s="63">
        <f t="shared" si="0"/>
        <v>0.54997490382905179</v>
      </c>
    </row>
    <row r="18" spans="1:8" ht="15.75" thickBot="1">
      <c r="A18" s="55" t="s">
        <v>460</v>
      </c>
      <c r="B18" s="56">
        <v>277</v>
      </c>
      <c r="C18" s="56">
        <v>164.25</v>
      </c>
      <c r="D18" s="56">
        <v>156.76419999999999</v>
      </c>
      <c r="E18" s="57">
        <v>43423.67</v>
      </c>
      <c r="F18" s="57">
        <v>45497.25</v>
      </c>
      <c r="G18" s="57">
        <v>2073.58</v>
      </c>
      <c r="H18" s="63">
        <f t="shared" si="0"/>
        <v>4.7752297306975666E-2</v>
      </c>
    </row>
    <row r="19" spans="1:8" ht="15.75" thickBot="1">
      <c r="A19" s="55" t="s">
        <v>367</v>
      </c>
      <c r="B19" s="56">
        <v>250</v>
      </c>
      <c r="C19" s="56">
        <v>147.6</v>
      </c>
      <c r="D19" s="56">
        <v>163.66999999999999</v>
      </c>
      <c r="E19" s="57">
        <v>40917.5</v>
      </c>
      <c r="F19" s="57">
        <v>36900</v>
      </c>
      <c r="G19" s="57">
        <v>-4017.5</v>
      </c>
      <c r="H19" s="63">
        <f t="shared" si="0"/>
        <v>-9.8185373006659749E-2</v>
      </c>
    </row>
    <row r="20" spans="1:8" ht="15.75" thickBot="1">
      <c r="A20" s="55" t="s">
        <v>368</v>
      </c>
      <c r="B20" s="56">
        <v>1</v>
      </c>
      <c r="C20" s="57">
        <v>4198.25</v>
      </c>
      <c r="D20" s="57">
        <v>3968.6</v>
      </c>
      <c r="E20" s="57">
        <v>3968.6</v>
      </c>
      <c r="F20" s="57">
        <v>4198.25</v>
      </c>
      <c r="G20" s="57">
        <v>229.65</v>
      </c>
      <c r="H20" s="63">
        <f t="shared" si="0"/>
        <v>5.7866754019049539E-2</v>
      </c>
    </row>
    <row r="21" spans="1:8" ht="15.75" thickBot="1">
      <c r="A21" s="55" t="s">
        <v>369</v>
      </c>
      <c r="B21" s="56">
        <v>10</v>
      </c>
      <c r="C21" s="57">
        <v>1689.85</v>
      </c>
      <c r="D21" s="57">
        <v>1575.2850000000001</v>
      </c>
      <c r="E21" s="57">
        <v>15752.85</v>
      </c>
      <c r="F21" s="57">
        <v>16898.5</v>
      </c>
      <c r="G21" s="57">
        <v>1145.6500000000001</v>
      </c>
      <c r="H21" s="63">
        <f t="shared" si="0"/>
        <v>7.2726522502277374E-2</v>
      </c>
    </row>
    <row r="22" spans="1:8" ht="15.75" thickBot="1">
      <c r="A22" s="55" t="s">
        <v>370</v>
      </c>
      <c r="B22" s="56">
        <v>25</v>
      </c>
      <c r="C22" s="56">
        <v>590.20000000000005</v>
      </c>
      <c r="D22" s="56">
        <v>532.27679999999998</v>
      </c>
      <c r="E22" s="57">
        <v>13306.92</v>
      </c>
      <c r="F22" s="57">
        <v>14755</v>
      </c>
      <c r="G22" s="57">
        <v>1448.08</v>
      </c>
      <c r="H22" s="63">
        <f t="shared" si="0"/>
        <v>0.10882157554114701</v>
      </c>
    </row>
    <row r="23" spans="1:8" ht="15.75" thickBot="1">
      <c r="A23" s="55" t="s">
        <v>371</v>
      </c>
      <c r="B23" s="56">
        <v>11</v>
      </c>
      <c r="C23" s="57">
        <v>4521.3999999999996</v>
      </c>
      <c r="D23" s="57">
        <v>2298.1581999999999</v>
      </c>
      <c r="E23" s="57">
        <v>25279.74</v>
      </c>
      <c r="F23" s="57">
        <v>49735.4</v>
      </c>
      <c r="G23" s="57">
        <v>24455.66</v>
      </c>
      <c r="H23" s="63">
        <f t="shared" si="0"/>
        <v>0.96740156346544692</v>
      </c>
    </row>
    <row r="24" spans="1:8" ht="15.75" thickBot="1">
      <c r="A24" s="55" t="s">
        <v>372</v>
      </c>
      <c r="B24" s="56">
        <v>44</v>
      </c>
      <c r="C24" s="56">
        <v>283.85000000000002</v>
      </c>
      <c r="D24" s="56">
        <v>251.80500000000001</v>
      </c>
      <c r="E24" s="57">
        <v>11079.42</v>
      </c>
      <c r="F24" s="57">
        <v>12489.4</v>
      </c>
      <c r="G24" s="57">
        <v>1409.98</v>
      </c>
      <c r="H24" s="63">
        <f t="shared" si="0"/>
        <v>0.1272611743213995</v>
      </c>
    </row>
    <row r="25" spans="1:8" ht="15.75" thickBot="1">
      <c r="A25" s="55" t="s">
        <v>374</v>
      </c>
      <c r="B25" s="56">
        <v>5</v>
      </c>
      <c r="C25" s="57">
        <v>2661.3</v>
      </c>
      <c r="D25" s="57">
        <v>2414.5279999999998</v>
      </c>
      <c r="E25" s="57">
        <v>12072.64</v>
      </c>
      <c r="F25" s="57">
        <v>13306.5</v>
      </c>
      <c r="G25" s="57">
        <v>1233.8599999999999</v>
      </c>
      <c r="H25" s="63">
        <f t="shared" si="0"/>
        <v>0.10220299785299652</v>
      </c>
    </row>
    <row r="26" spans="1:8" ht="15.75" thickBot="1">
      <c r="A26" s="55" t="s">
        <v>376</v>
      </c>
      <c r="B26" s="56">
        <v>8</v>
      </c>
      <c r="C26" s="57">
        <v>1658.5</v>
      </c>
      <c r="D26" s="57">
        <v>1205.4837</v>
      </c>
      <c r="E26" s="57">
        <v>9643.8700000000008</v>
      </c>
      <c r="F26" s="57">
        <v>13268</v>
      </c>
      <c r="G26" s="57">
        <v>3624.13</v>
      </c>
      <c r="H26" s="63">
        <f t="shared" si="0"/>
        <v>0.37579623118105077</v>
      </c>
    </row>
    <row r="27" spans="1:8" ht="15.75" thickBot="1">
      <c r="A27" s="55" t="s">
        <v>377</v>
      </c>
      <c r="B27" s="56">
        <v>76</v>
      </c>
      <c r="C27" s="56">
        <v>758.65</v>
      </c>
      <c r="D27" s="56">
        <v>708.95</v>
      </c>
      <c r="E27" s="57">
        <v>53880.2</v>
      </c>
      <c r="F27" s="57">
        <v>57657.4</v>
      </c>
      <c r="G27" s="57">
        <v>3777.2</v>
      </c>
      <c r="H27" s="63">
        <f t="shared" si="0"/>
        <v>7.0103674448127512E-2</v>
      </c>
    </row>
    <row r="28" spans="1:8" ht="15.75" thickBot="1">
      <c r="A28" s="55" t="s">
        <v>378</v>
      </c>
      <c r="B28" s="56">
        <v>217</v>
      </c>
      <c r="C28" s="56">
        <v>182.35</v>
      </c>
      <c r="D28" s="56">
        <v>199.62909999999999</v>
      </c>
      <c r="E28" s="57">
        <v>43319.51</v>
      </c>
      <c r="F28" s="57">
        <v>39569.949999999997</v>
      </c>
      <c r="G28" s="57">
        <v>-3749.56</v>
      </c>
      <c r="H28" s="63">
        <f t="shared" si="0"/>
        <v>-8.6555919030478407E-2</v>
      </c>
    </row>
    <row r="29" spans="1:8" ht="15.75" thickBot="1">
      <c r="A29" s="55" t="s">
        <v>379</v>
      </c>
      <c r="B29" s="56">
        <v>376</v>
      </c>
      <c r="C29" s="56">
        <v>85.35</v>
      </c>
      <c r="D29" s="56">
        <v>61.920299999999997</v>
      </c>
      <c r="E29" s="57">
        <v>23282.05</v>
      </c>
      <c r="F29" s="57">
        <v>32091.599999999999</v>
      </c>
      <c r="G29" s="57">
        <v>8809.5499999999993</v>
      </c>
      <c r="H29" s="63">
        <f t="shared" si="0"/>
        <v>0.37838377634271897</v>
      </c>
    </row>
    <row r="30" spans="1:8" ht="15.75" thickBot="1">
      <c r="A30" s="55" t="s">
        <v>380</v>
      </c>
      <c r="B30" s="56">
        <v>34</v>
      </c>
      <c r="C30" s="57">
        <v>200.25</v>
      </c>
      <c r="D30" s="57">
        <v>148.32650000000001</v>
      </c>
      <c r="E30" s="57">
        <v>5043.1000000000004</v>
      </c>
      <c r="F30" s="57">
        <v>6808.5</v>
      </c>
      <c r="G30" s="57">
        <v>1765.4</v>
      </c>
      <c r="H30" s="63">
        <f t="shared" si="0"/>
        <v>0.35006246158117033</v>
      </c>
    </row>
    <row r="31" spans="1:8" ht="15.75" thickBot="1">
      <c r="A31" s="55" t="s">
        <v>383</v>
      </c>
      <c r="B31" s="56">
        <v>9</v>
      </c>
      <c r="C31" s="57">
        <v>1388.75</v>
      </c>
      <c r="D31" s="57">
        <v>1350.6611</v>
      </c>
      <c r="E31" s="57">
        <v>12155.95</v>
      </c>
      <c r="F31" s="57">
        <v>12498.75</v>
      </c>
      <c r="G31" s="57">
        <v>342.8</v>
      </c>
      <c r="H31" s="63">
        <f t="shared" si="0"/>
        <v>2.8200181803972539E-2</v>
      </c>
    </row>
    <row r="32" spans="1:8" ht="15.75" thickBot="1">
      <c r="A32" s="55" t="s">
        <v>461</v>
      </c>
      <c r="B32" s="56">
        <v>98</v>
      </c>
      <c r="C32" s="57">
        <v>370.05</v>
      </c>
      <c r="D32" s="57">
        <v>227.5429</v>
      </c>
      <c r="E32" s="57">
        <v>22299.200000000001</v>
      </c>
      <c r="F32" s="57">
        <v>36264.9</v>
      </c>
      <c r="G32" s="57">
        <v>13965.7</v>
      </c>
      <c r="H32" s="63">
        <f t="shared" si="0"/>
        <v>0.62628704168759419</v>
      </c>
    </row>
    <row r="33" spans="1:8" ht="15.75" thickBot="1">
      <c r="A33" s="55" t="s">
        <v>384</v>
      </c>
      <c r="B33" s="56">
        <v>7</v>
      </c>
      <c r="C33" s="56">
        <v>984.9</v>
      </c>
      <c r="D33" s="56">
        <v>987.1</v>
      </c>
      <c r="E33" s="57">
        <v>6909.7</v>
      </c>
      <c r="F33" s="57">
        <v>6894.3</v>
      </c>
      <c r="G33" s="56">
        <v>-15.4</v>
      </c>
      <c r="H33" s="63">
        <f t="shared" si="0"/>
        <v>-2.2287508864350116E-3</v>
      </c>
    </row>
    <row r="34" spans="1:8" ht="15.75" thickBot="1">
      <c r="A34" s="55" t="s">
        <v>385</v>
      </c>
      <c r="B34" s="56">
        <v>35</v>
      </c>
      <c r="C34" s="57">
        <v>1480.65</v>
      </c>
      <c r="D34" s="57">
        <v>1295.8214</v>
      </c>
      <c r="E34" s="57">
        <v>45353.75</v>
      </c>
      <c r="F34" s="57">
        <v>51822.75</v>
      </c>
      <c r="G34" s="57">
        <v>6469</v>
      </c>
      <c r="H34" s="63">
        <f t="shared" si="0"/>
        <v>0.14263429154149326</v>
      </c>
    </row>
    <row r="35" spans="1:8" ht="15.75" thickBot="1">
      <c r="A35" s="55" t="s">
        <v>386</v>
      </c>
      <c r="B35" s="56">
        <v>32</v>
      </c>
      <c r="C35" s="57">
        <v>687.05</v>
      </c>
      <c r="D35" s="57">
        <v>658.01059999999995</v>
      </c>
      <c r="E35" s="57">
        <v>21056.34</v>
      </c>
      <c r="F35" s="57">
        <v>21985.599999999999</v>
      </c>
      <c r="G35" s="56">
        <v>929.26</v>
      </c>
      <c r="H35" s="63">
        <f t="shared" si="0"/>
        <v>4.4132076134788853E-2</v>
      </c>
    </row>
    <row r="36" spans="1:8" ht="15.75" thickBot="1">
      <c r="A36" s="55" t="s">
        <v>387</v>
      </c>
      <c r="B36" s="56">
        <v>7</v>
      </c>
      <c r="C36" s="57">
        <v>2919.45</v>
      </c>
      <c r="D36" s="57">
        <v>3079.45</v>
      </c>
      <c r="E36" s="57">
        <v>21556.15</v>
      </c>
      <c r="F36" s="57">
        <v>20436.150000000001</v>
      </c>
      <c r="G36" s="57">
        <v>-1120</v>
      </c>
      <c r="H36" s="63">
        <f t="shared" si="0"/>
        <v>-5.1957330042702428E-2</v>
      </c>
    </row>
    <row r="37" spans="1:8" ht="15.75" thickBot="1">
      <c r="A37" s="55" t="s">
        <v>390</v>
      </c>
      <c r="B37" s="56">
        <v>7</v>
      </c>
      <c r="C37" s="57">
        <v>2488.5</v>
      </c>
      <c r="D37" s="57">
        <v>2290.3213999999998</v>
      </c>
      <c r="E37" s="57">
        <v>16032.25</v>
      </c>
      <c r="F37" s="57">
        <v>17419.5</v>
      </c>
      <c r="G37" s="57">
        <v>1387.25</v>
      </c>
      <c r="H37" s="63">
        <f t="shared" si="0"/>
        <v>8.6528715557704E-2</v>
      </c>
    </row>
    <row r="38" spans="1:8" ht="15.75" thickBot="1">
      <c r="A38" s="55" t="s">
        <v>391</v>
      </c>
      <c r="B38" s="56">
        <v>55</v>
      </c>
      <c r="C38" s="56">
        <v>640.29999999999995</v>
      </c>
      <c r="D38" s="56">
        <v>449.83760000000001</v>
      </c>
      <c r="E38" s="57">
        <v>24741.07</v>
      </c>
      <c r="F38" s="57">
        <v>35216.5</v>
      </c>
      <c r="G38" s="57">
        <v>10475.43</v>
      </c>
      <c r="H38" s="63">
        <f t="shared" si="0"/>
        <v>0.42340246400014231</v>
      </c>
    </row>
    <row r="39" spans="1:8" ht="15.75" thickBot="1">
      <c r="A39" s="55" t="s">
        <v>392</v>
      </c>
      <c r="B39" s="56">
        <v>16</v>
      </c>
      <c r="C39" s="57">
        <v>1552.75</v>
      </c>
      <c r="D39" s="57">
        <v>1410.1494</v>
      </c>
      <c r="E39" s="57">
        <v>22562.39</v>
      </c>
      <c r="F39" s="57">
        <v>24844</v>
      </c>
      <c r="G39" s="57">
        <v>2281.61</v>
      </c>
      <c r="H39" s="63">
        <f t="shared" si="0"/>
        <v>0.10112448193653244</v>
      </c>
    </row>
    <row r="40" spans="1:8" ht="15.75" thickBot="1">
      <c r="A40" s="55" t="s">
        <v>393</v>
      </c>
      <c r="B40" s="56">
        <v>36</v>
      </c>
      <c r="C40" s="56">
        <v>618.79999999999995</v>
      </c>
      <c r="D40" s="56">
        <v>470.7944</v>
      </c>
      <c r="E40" s="57">
        <v>16948.599999999999</v>
      </c>
      <c r="F40" s="57">
        <v>22276.799999999999</v>
      </c>
      <c r="G40" s="57">
        <v>5328.2</v>
      </c>
      <c r="H40" s="63">
        <f t="shared" si="0"/>
        <v>0.31437404859398416</v>
      </c>
    </row>
    <row r="41" spans="1:8" ht="15.75" thickBot="1">
      <c r="A41" s="55" t="s">
        <v>395</v>
      </c>
      <c r="B41" s="56">
        <v>5</v>
      </c>
      <c r="C41" s="57">
        <v>1567.4</v>
      </c>
      <c r="D41" s="57">
        <v>1502.1</v>
      </c>
      <c r="E41" s="57">
        <v>7510.5</v>
      </c>
      <c r="F41" s="57">
        <v>7837</v>
      </c>
      <c r="G41" s="57">
        <v>326.5</v>
      </c>
      <c r="H41" s="63">
        <f t="shared" si="0"/>
        <v>4.3472471872711541E-2</v>
      </c>
    </row>
    <row r="42" spans="1:8" ht="15.75" thickBot="1">
      <c r="A42" s="55" t="s">
        <v>445</v>
      </c>
      <c r="B42" s="56">
        <v>17</v>
      </c>
      <c r="C42" s="57">
        <v>2010.2</v>
      </c>
      <c r="D42" s="57">
        <v>1888.0576000000001</v>
      </c>
      <c r="E42" s="57">
        <v>32096.98</v>
      </c>
      <c r="F42" s="57">
        <v>34173.4</v>
      </c>
      <c r="G42" s="57">
        <v>2076.42</v>
      </c>
      <c r="H42" s="63">
        <f t="shared" si="0"/>
        <v>6.4692067602621806E-2</v>
      </c>
    </row>
    <row r="43" spans="1:8" ht="15.75" thickBot="1">
      <c r="A43" s="55" t="s">
        <v>396</v>
      </c>
      <c r="B43" s="56">
        <v>673</v>
      </c>
      <c r="C43" s="57">
        <v>202.4</v>
      </c>
      <c r="D43" s="57">
        <v>225.77209999999999</v>
      </c>
      <c r="E43" s="57">
        <v>151944.6</v>
      </c>
      <c r="F43" s="57">
        <v>136215.20000000001</v>
      </c>
      <c r="G43" s="57">
        <v>-15729.4</v>
      </c>
      <c r="H43" s="63">
        <f t="shared" si="0"/>
        <v>-0.10352062528052987</v>
      </c>
    </row>
    <row r="44" spans="1:8" ht="15.75" thickBot="1">
      <c r="A44" s="55" t="s">
        <v>397</v>
      </c>
      <c r="B44" s="56">
        <v>27</v>
      </c>
      <c r="C44" s="57">
        <v>1864.35</v>
      </c>
      <c r="D44" s="57">
        <v>750.64</v>
      </c>
      <c r="E44" s="57">
        <v>20267.28</v>
      </c>
      <c r="F44" s="57">
        <v>50337.45</v>
      </c>
      <c r="G44" s="57">
        <v>30070.17</v>
      </c>
      <c r="H44" s="63">
        <f t="shared" si="0"/>
        <v>1.4836805925610146</v>
      </c>
    </row>
    <row r="45" spans="1:8" ht="15.75" thickBot="1">
      <c r="A45" s="55" t="s">
        <v>446</v>
      </c>
      <c r="B45" s="56">
        <v>83</v>
      </c>
      <c r="C45" s="56">
        <v>167.9</v>
      </c>
      <c r="D45" s="56">
        <v>146.16249999999999</v>
      </c>
      <c r="E45" s="57">
        <v>12131.49</v>
      </c>
      <c r="F45" s="57">
        <v>13935.7</v>
      </c>
      <c r="G45" s="57">
        <v>1804.21</v>
      </c>
      <c r="H45" s="63">
        <f t="shared" si="0"/>
        <v>0.14872122055905745</v>
      </c>
    </row>
    <row r="46" spans="1:8" ht="15.75" thickBot="1">
      <c r="A46" s="55" t="s">
        <v>467</v>
      </c>
      <c r="B46" s="56">
        <v>95</v>
      </c>
      <c r="C46" s="56">
        <v>396.75</v>
      </c>
      <c r="D46" s="56">
        <v>383</v>
      </c>
      <c r="E46" s="57">
        <v>36385</v>
      </c>
      <c r="F46" s="57">
        <v>37691.25</v>
      </c>
      <c r="G46" s="57">
        <v>1306.25</v>
      </c>
      <c r="H46" s="63">
        <f t="shared" si="0"/>
        <v>3.5900783289817231E-2</v>
      </c>
    </row>
    <row r="47" spans="1:8" ht="15.75" thickBot="1">
      <c r="A47" s="55" t="s">
        <v>398</v>
      </c>
      <c r="B47" s="56">
        <v>29</v>
      </c>
      <c r="C47" s="57">
        <v>1716.3</v>
      </c>
      <c r="D47" s="57">
        <v>1583.0017</v>
      </c>
      <c r="E47" s="57">
        <v>45907.05</v>
      </c>
      <c r="F47" s="57">
        <v>49772.7</v>
      </c>
      <c r="G47" s="57">
        <v>3865.65</v>
      </c>
      <c r="H47" s="63">
        <f t="shared" si="0"/>
        <v>8.4206020643888033E-2</v>
      </c>
    </row>
    <row r="48" spans="1:8" ht="15.75" thickBot="1">
      <c r="A48" s="55" t="s">
        <v>400</v>
      </c>
      <c r="B48" s="56">
        <v>2</v>
      </c>
      <c r="C48" s="57">
        <v>4043.15</v>
      </c>
      <c r="D48" s="57">
        <v>4075.35</v>
      </c>
      <c r="E48" s="57">
        <v>8150.7</v>
      </c>
      <c r="F48" s="57">
        <v>8086.3</v>
      </c>
      <c r="G48" s="57">
        <v>-64.400000000000006</v>
      </c>
      <c r="H48" s="63">
        <f t="shared" si="0"/>
        <v>-7.9011618633982369E-3</v>
      </c>
    </row>
    <row r="49" spans="1:8" ht="15.75" thickBot="1">
      <c r="A49" s="55" t="s">
        <v>401</v>
      </c>
      <c r="B49" s="56">
        <v>62</v>
      </c>
      <c r="C49" s="57">
        <v>1485.9</v>
      </c>
      <c r="D49" s="57">
        <v>1053.2161000000001</v>
      </c>
      <c r="E49" s="57">
        <v>65299.4</v>
      </c>
      <c r="F49" s="57">
        <v>92125.8</v>
      </c>
      <c r="G49" s="57">
        <v>26826.400000000001</v>
      </c>
      <c r="H49" s="63">
        <f t="shared" si="0"/>
        <v>0.41082153894216489</v>
      </c>
    </row>
    <row r="50" spans="1:8" ht="15.75" thickBot="1">
      <c r="A50" s="55" t="s">
        <v>462</v>
      </c>
      <c r="B50" s="56">
        <v>476</v>
      </c>
      <c r="C50" s="56">
        <v>74.2</v>
      </c>
      <c r="D50" s="56">
        <v>61.412399999999998</v>
      </c>
      <c r="E50" s="57">
        <v>29232.3</v>
      </c>
      <c r="F50" s="57">
        <v>35319.199999999997</v>
      </c>
      <c r="G50" s="57">
        <v>6086.9</v>
      </c>
      <c r="H50" s="63">
        <f t="shared" si="0"/>
        <v>0.20822514820934376</v>
      </c>
    </row>
    <row r="51" spans="1:8" ht="15.75" thickBot="1">
      <c r="A51" s="55" t="s">
        <v>402</v>
      </c>
      <c r="B51" s="56">
        <v>13</v>
      </c>
      <c r="C51" s="56">
        <v>782.45</v>
      </c>
      <c r="D51" s="56">
        <v>737.30380000000002</v>
      </c>
      <c r="E51" s="57">
        <v>9584.9500000000007</v>
      </c>
      <c r="F51" s="57">
        <v>10171.85</v>
      </c>
      <c r="G51" s="57">
        <v>586.9</v>
      </c>
      <c r="H51" s="63">
        <f t="shared" si="0"/>
        <v>6.1231409657849019E-2</v>
      </c>
    </row>
    <row r="52" spans="1:8" ht="15.75" thickBot="1">
      <c r="A52" s="55" t="s">
        <v>403</v>
      </c>
      <c r="B52" s="56">
        <v>52</v>
      </c>
      <c r="C52" s="56">
        <v>234.45</v>
      </c>
      <c r="D52" s="56">
        <v>159.7337</v>
      </c>
      <c r="E52" s="57">
        <v>8306.15</v>
      </c>
      <c r="F52" s="57">
        <v>12191.4</v>
      </c>
      <c r="G52" s="57">
        <v>3885.25</v>
      </c>
      <c r="H52" s="63">
        <f t="shared" si="0"/>
        <v>0.46775581948315409</v>
      </c>
    </row>
    <row r="53" spans="1:8" ht="15.75" thickBot="1">
      <c r="A53" s="55" t="s">
        <v>404</v>
      </c>
      <c r="B53" s="56">
        <v>33</v>
      </c>
      <c r="C53" s="56">
        <v>519.5</v>
      </c>
      <c r="D53" s="56">
        <v>402.54390000000001</v>
      </c>
      <c r="E53" s="57">
        <v>13283.95</v>
      </c>
      <c r="F53" s="57">
        <v>17143.5</v>
      </c>
      <c r="G53" s="57">
        <v>3859.55</v>
      </c>
      <c r="H53" s="63">
        <f t="shared" si="0"/>
        <v>0.29054234621479302</v>
      </c>
    </row>
    <row r="54" spans="1:8" ht="15.75" thickBot="1">
      <c r="A54" s="55" t="s">
        <v>405</v>
      </c>
      <c r="B54" s="56">
        <v>16</v>
      </c>
      <c r="C54" s="57">
        <v>639.79999999999995</v>
      </c>
      <c r="D54" s="56">
        <v>426.5831</v>
      </c>
      <c r="E54" s="57">
        <v>6825.33</v>
      </c>
      <c r="F54" s="57">
        <v>10236.799999999999</v>
      </c>
      <c r="G54" s="57">
        <v>3411.47</v>
      </c>
      <c r="H54" s="63">
        <f t="shared" si="0"/>
        <v>0.49982491689046532</v>
      </c>
    </row>
    <row r="55" spans="1:8" ht="15.75" thickBot="1">
      <c r="A55" s="55" t="s">
        <v>448</v>
      </c>
      <c r="B55" s="56">
        <v>34</v>
      </c>
      <c r="C55" s="56">
        <v>245.4</v>
      </c>
      <c r="D55" s="56">
        <v>154.05500000000001</v>
      </c>
      <c r="E55" s="57">
        <v>5237.87</v>
      </c>
      <c r="F55" s="57">
        <v>8343.6</v>
      </c>
      <c r="G55" s="57">
        <v>3105.73</v>
      </c>
      <c r="H55" s="63">
        <f t="shared" si="0"/>
        <v>0.59293758722534162</v>
      </c>
    </row>
    <row r="56" spans="1:8" ht="15.75" thickBot="1">
      <c r="A56" s="55" t="s">
        <v>408</v>
      </c>
      <c r="B56" s="56">
        <v>3</v>
      </c>
      <c r="C56" s="57">
        <v>2155.0500000000002</v>
      </c>
      <c r="D56" s="57">
        <v>2074.4</v>
      </c>
      <c r="E56" s="57">
        <v>6223.2</v>
      </c>
      <c r="F56" s="57">
        <v>6465.15</v>
      </c>
      <c r="G56" s="57">
        <v>241.95</v>
      </c>
      <c r="H56" s="63">
        <f t="shared" si="0"/>
        <v>3.8878711916698803E-2</v>
      </c>
    </row>
    <row r="57" spans="1:8" ht="15.75" thickBot="1">
      <c r="A57" s="55" t="s">
        <v>410</v>
      </c>
      <c r="B57" s="56">
        <v>76</v>
      </c>
      <c r="C57" s="56">
        <v>647.54999999999995</v>
      </c>
      <c r="D57" s="56">
        <v>323.93950000000001</v>
      </c>
      <c r="E57" s="57">
        <v>24619.4</v>
      </c>
      <c r="F57" s="57">
        <v>49213.8</v>
      </c>
      <c r="G57" s="57">
        <v>24594.400000000001</v>
      </c>
      <c r="H57" s="63">
        <f t="shared" si="0"/>
        <v>0.99898454064680697</v>
      </c>
    </row>
    <row r="58" spans="1:8" ht="15.75" thickBot="1">
      <c r="A58" s="55" t="s">
        <v>411</v>
      </c>
      <c r="B58" s="56">
        <v>300</v>
      </c>
      <c r="C58" s="56">
        <v>118.4</v>
      </c>
      <c r="D58" s="56">
        <v>82.333299999999994</v>
      </c>
      <c r="E58" s="57">
        <v>24700</v>
      </c>
      <c r="F58" s="57">
        <v>35520</v>
      </c>
      <c r="G58" s="57">
        <v>10820</v>
      </c>
      <c r="H58" s="63">
        <f t="shared" si="0"/>
        <v>0.43805668016194332</v>
      </c>
    </row>
    <row r="59" spans="1:8" ht="15.75" thickBot="1">
      <c r="A59" s="55" t="s">
        <v>413</v>
      </c>
      <c r="B59" s="56">
        <v>3</v>
      </c>
      <c r="C59" s="57">
        <v>3622.6</v>
      </c>
      <c r="D59" s="57">
        <v>3600.85</v>
      </c>
      <c r="E59" s="57">
        <v>10802.55</v>
      </c>
      <c r="F59" s="57">
        <v>10867.8</v>
      </c>
      <c r="G59" s="57">
        <v>65.25</v>
      </c>
      <c r="H59" s="63">
        <f t="shared" si="0"/>
        <v>6.0402404987711239E-3</v>
      </c>
    </row>
    <row r="60" spans="1:8" ht="15.75" thickBot="1">
      <c r="A60" s="55" t="s">
        <v>414</v>
      </c>
      <c r="B60" s="56">
        <v>2</v>
      </c>
      <c r="C60" s="57">
        <v>2928.4</v>
      </c>
      <c r="D60" s="57">
        <v>2558.6999999999998</v>
      </c>
      <c r="E60" s="57">
        <v>5117.3999999999996</v>
      </c>
      <c r="F60" s="57">
        <v>5856.8</v>
      </c>
      <c r="G60" s="57">
        <v>739.4</v>
      </c>
      <c r="H60" s="63">
        <f t="shared" si="0"/>
        <v>0.14448743502559894</v>
      </c>
    </row>
    <row r="61" spans="1:8" ht="15.75" thickBot="1">
      <c r="A61" s="55" t="s">
        <v>415</v>
      </c>
      <c r="B61" s="56">
        <v>21</v>
      </c>
      <c r="C61" s="56">
        <v>826.45</v>
      </c>
      <c r="D61" s="56">
        <v>783.14049999999997</v>
      </c>
      <c r="E61" s="57">
        <v>16445.95</v>
      </c>
      <c r="F61" s="57">
        <v>17355.45</v>
      </c>
      <c r="G61" s="57">
        <v>909.5</v>
      </c>
      <c r="H61" s="63">
        <f t="shared" si="0"/>
        <v>5.5302369276326389E-2</v>
      </c>
    </row>
    <row r="62" spans="1:8" ht="15.75" thickBot="1">
      <c r="A62" s="55" t="s">
        <v>450</v>
      </c>
      <c r="B62" s="56">
        <v>26</v>
      </c>
      <c r="C62" s="57">
        <v>1385.55</v>
      </c>
      <c r="D62" s="56">
        <v>488.05</v>
      </c>
      <c r="E62" s="57">
        <v>12689.3</v>
      </c>
      <c r="F62" s="57">
        <v>36024.300000000003</v>
      </c>
      <c r="G62" s="57">
        <v>23335</v>
      </c>
      <c r="H62" s="63">
        <f t="shared" si="0"/>
        <v>1.8389509271591027</v>
      </c>
    </row>
    <row r="63" spans="1:8" ht="15.75" thickBot="1">
      <c r="A63" s="55" t="s">
        <v>420</v>
      </c>
      <c r="B63" s="56">
        <v>27</v>
      </c>
      <c r="C63" s="57">
        <v>1007.45</v>
      </c>
      <c r="D63" s="56">
        <v>870.82960000000003</v>
      </c>
      <c r="E63" s="57">
        <v>23512.400000000001</v>
      </c>
      <c r="F63" s="57">
        <v>27201.15</v>
      </c>
      <c r="G63" s="57">
        <v>3688.75</v>
      </c>
      <c r="H63" s="63">
        <f t="shared" si="0"/>
        <v>0.15688530307412257</v>
      </c>
    </row>
    <row r="64" spans="1:8" ht="15.75" thickBot="1">
      <c r="A64" s="55" t="s">
        <v>421</v>
      </c>
      <c r="B64" s="56">
        <v>35</v>
      </c>
      <c r="C64" s="57">
        <v>2020.4</v>
      </c>
      <c r="D64" s="56">
        <v>984.23</v>
      </c>
      <c r="E64" s="57">
        <v>34448.050000000003</v>
      </c>
      <c r="F64" s="57">
        <v>70714</v>
      </c>
      <c r="G64" s="57">
        <v>36265.949999999997</v>
      </c>
      <c r="H64" s="63">
        <f t="shared" si="0"/>
        <v>1.0527722178759029</v>
      </c>
    </row>
    <row r="65" spans="1:8" ht="15.75" thickBot="1">
      <c r="A65" s="55" t="s">
        <v>423</v>
      </c>
      <c r="B65" s="56">
        <v>29</v>
      </c>
      <c r="C65" s="56">
        <v>464.15</v>
      </c>
      <c r="D65" s="56">
        <v>461.85</v>
      </c>
      <c r="E65" s="57">
        <v>13393.65</v>
      </c>
      <c r="F65" s="57">
        <v>13460.35</v>
      </c>
      <c r="G65" s="57">
        <v>66.7</v>
      </c>
      <c r="H65" s="63">
        <f t="shared" si="0"/>
        <v>4.9799718523330086E-3</v>
      </c>
    </row>
    <row r="66" spans="1:8" ht="15.75" thickBot="1">
      <c r="A66" s="55" t="s">
        <v>425</v>
      </c>
      <c r="B66" s="56">
        <v>84</v>
      </c>
      <c r="C66" s="57">
        <v>424.55</v>
      </c>
      <c r="D66" s="56">
        <v>222.23869999999999</v>
      </c>
      <c r="E66" s="57">
        <v>18668.05</v>
      </c>
      <c r="F66" s="57">
        <v>35662.199999999997</v>
      </c>
      <c r="G66" s="57">
        <v>16994.150000000001</v>
      </c>
      <c r="H66" s="63">
        <f t="shared" si="0"/>
        <v>0.91033343064755035</v>
      </c>
    </row>
    <row r="67" spans="1:8" ht="15.75" thickBot="1">
      <c r="A67" s="55" t="s">
        <v>426</v>
      </c>
      <c r="B67" s="56">
        <v>152</v>
      </c>
      <c r="C67" s="57">
        <v>680.8</v>
      </c>
      <c r="D67" s="57">
        <v>477.58749999999998</v>
      </c>
      <c r="E67" s="57">
        <v>72593.3</v>
      </c>
      <c r="F67" s="57">
        <v>103481.60000000001</v>
      </c>
      <c r="G67" s="57">
        <v>30888.3</v>
      </c>
      <c r="H67" s="63">
        <f t="shared" ref="H67:H82" si="1">G67/E67</f>
        <v>0.42549794540267488</v>
      </c>
    </row>
    <row r="68" spans="1:8" ht="15.75" thickBot="1">
      <c r="A68" s="55" t="s">
        <v>427</v>
      </c>
      <c r="B68" s="56">
        <v>16</v>
      </c>
      <c r="C68" s="57">
        <v>823.85</v>
      </c>
      <c r="D68" s="57">
        <v>558.41750000000002</v>
      </c>
      <c r="E68" s="57">
        <v>8934.68</v>
      </c>
      <c r="F68" s="57">
        <v>13181.6</v>
      </c>
      <c r="G68" s="57">
        <v>4246.92</v>
      </c>
      <c r="H68" s="63">
        <f t="shared" si="1"/>
        <v>0.47532983833780279</v>
      </c>
    </row>
    <row r="69" spans="1:8" ht="15.75" thickBot="1">
      <c r="A69" s="55" t="s">
        <v>428</v>
      </c>
      <c r="B69" s="56">
        <v>44</v>
      </c>
      <c r="C69" s="56">
        <v>296.8</v>
      </c>
      <c r="D69" s="56">
        <v>322.44819999999999</v>
      </c>
      <c r="E69" s="57">
        <v>14187.72</v>
      </c>
      <c r="F69" s="57">
        <v>13059.2</v>
      </c>
      <c r="G69" s="57">
        <v>-1128.52</v>
      </c>
      <c r="H69" s="63">
        <f t="shared" si="1"/>
        <v>-7.9542026484875655E-2</v>
      </c>
    </row>
    <row r="70" spans="1:8" ht="15.75" thickBot="1">
      <c r="A70" s="55" t="s">
        <v>429</v>
      </c>
      <c r="B70" s="56">
        <v>47</v>
      </c>
      <c r="C70" s="56">
        <v>285.2</v>
      </c>
      <c r="D70" s="56">
        <v>216.5547</v>
      </c>
      <c r="E70" s="57">
        <v>10178.07</v>
      </c>
      <c r="F70" s="57">
        <v>13404.4</v>
      </c>
      <c r="G70" s="57">
        <v>3226.33</v>
      </c>
      <c r="H70" s="63">
        <f t="shared" si="1"/>
        <v>0.31698838777882249</v>
      </c>
    </row>
    <row r="71" spans="1:8" ht="15.75" thickBot="1">
      <c r="A71" s="55" t="s">
        <v>430</v>
      </c>
      <c r="B71" s="56">
        <v>70</v>
      </c>
      <c r="C71" s="56">
        <v>588.95000000000005</v>
      </c>
      <c r="D71" s="56">
        <v>433.82100000000003</v>
      </c>
      <c r="E71" s="57">
        <v>30367.47</v>
      </c>
      <c r="F71" s="57">
        <v>41226.5</v>
      </c>
      <c r="G71" s="57">
        <v>10859.03</v>
      </c>
      <c r="H71" s="63">
        <f t="shared" si="1"/>
        <v>0.35758757644281858</v>
      </c>
    </row>
    <row r="72" spans="1:8" ht="15.75" thickBot="1">
      <c r="A72" s="55" t="s">
        <v>431</v>
      </c>
      <c r="B72" s="56">
        <v>3</v>
      </c>
      <c r="C72" s="56">
        <v>3325.55</v>
      </c>
      <c r="D72" s="56">
        <v>3312.45</v>
      </c>
      <c r="E72" s="57">
        <v>9937.35</v>
      </c>
      <c r="F72" s="57">
        <v>9976.65</v>
      </c>
      <c r="G72" s="57">
        <v>39.299999999999997</v>
      </c>
      <c r="H72" s="63">
        <f t="shared" ref="H72:H81" si="2">G72/E72</f>
        <v>3.9547766758743523E-3</v>
      </c>
    </row>
    <row r="73" spans="1:8" ht="15.75" thickBot="1">
      <c r="A73" s="55" t="s">
        <v>432</v>
      </c>
      <c r="B73" s="56">
        <v>15</v>
      </c>
      <c r="C73" s="56">
        <v>764.35</v>
      </c>
      <c r="D73" s="56">
        <v>582.97</v>
      </c>
      <c r="E73" s="57">
        <v>8744.5499999999993</v>
      </c>
      <c r="F73" s="57">
        <v>11465.25</v>
      </c>
      <c r="G73" s="57">
        <v>2720.7</v>
      </c>
      <c r="H73" s="63">
        <f t="shared" si="2"/>
        <v>0.31113093298111394</v>
      </c>
    </row>
    <row r="74" spans="1:8" ht="15.75" thickBot="1">
      <c r="A74" s="55" t="s">
        <v>433</v>
      </c>
      <c r="B74" s="56">
        <v>775</v>
      </c>
      <c r="C74" s="56">
        <v>155.94999999999999</v>
      </c>
      <c r="D74" s="56">
        <v>99.291600000000003</v>
      </c>
      <c r="E74" s="57">
        <v>76951</v>
      </c>
      <c r="F74" s="57">
        <v>120861.25</v>
      </c>
      <c r="G74" s="57">
        <v>43910.25</v>
      </c>
      <c r="H74" s="63">
        <f t="shared" si="2"/>
        <v>0.57062611272108221</v>
      </c>
    </row>
    <row r="75" spans="1:8" ht="15.75" thickBot="1">
      <c r="A75" s="55" t="s">
        <v>434</v>
      </c>
      <c r="B75" s="56">
        <v>105</v>
      </c>
      <c r="C75" s="56">
        <v>1135.95</v>
      </c>
      <c r="D75" s="56">
        <v>404.76429999999999</v>
      </c>
      <c r="E75" s="57">
        <v>42500.25</v>
      </c>
      <c r="F75" s="57">
        <v>119274.75</v>
      </c>
      <c r="G75" s="57">
        <v>76774.5</v>
      </c>
      <c r="H75" s="63">
        <f t="shared" si="2"/>
        <v>1.8064481973635449</v>
      </c>
    </row>
    <row r="76" spans="1:8" ht="15.75" thickBot="1">
      <c r="A76" s="55" t="s">
        <v>435</v>
      </c>
      <c r="B76" s="56">
        <v>7</v>
      </c>
      <c r="C76" s="56">
        <v>1089.45</v>
      </c>
      <c r="D76" s="56">
        <v>1078</v>
      </c>
      <c r="E76" s="57">
        <v>7546</v>
      </c>
      <c r="F76" s="57">
        <v>7626.15</v>
      </c>
      <c r="G76" s="57">
        <v>80.150000000000006</v>
      </c>
      <c r="H76" s="63">
        <f t="shared" si="2"/>
        <v>1.0621521335807051E-2</v>
      </c>
    </row>
    <row r="77" spans="1:8" ht="15.75" thickBot="1">
      <c r="A77" s="55" t="s">
        <v>468</v>
      </c>
      <c r="B77" s="56">
        <v>427</v>
      </c>
      <c r="C77" s="56">
        <v>89.9</v>
      </c>
      <c r="D77" s="56">
        <v>84.97</v>
      </c>
      <c r="E77" s="57">
        <v>36282.19</v>
      </c>
      <c r="F77" s="57">
        <v>38387.300000000003</v>
      </c>
      <c r="G77" s="57">
        <v>2105.11</v>
      </c>
      <c r="H77" s="63">
        <f t="shared" si="2"/>
        <v>5.8020477815699661E-2</v>
      </c>
    </row>
    <row r="78" spans="1:8" ht="15.75" thickBot="1">
      <c r="A78" s="55" t="s">
        <v>438</v>
      </c>
      <c r="B78" s="56">
        <v>22</v>
      </c>
      <c r="C78" s="56">
        <v>719.45</v>
      </c>
      <c r="D78" s="56">
        <v>691.3</v>
      </c>
      <c r="E78" s="57">
        <v>15208.55</v>
      </c>
      <c r="F78" s="57">
        <f>B78*C78</f>
        <v>15827.900000000001</v>
      </c>
      <c r="G78" s="57">
        <f>F78-E78</f>
        <v>619.35000000000218</v>
      </c>
      <c r="H78" s="63">
        <f t="shared" si="2"/>
        <v>4.0723803386910798E-2</v>
      </c>
    </row>
    <row r="79" spans="1:8" ht="15.75" thickBot="1">
      <c r="A79" s="55" t="s">
        <v>453</v>
      </c>
      <c r="B79" s="56">
        <v>12</v>
      </c>
      <c r="C79" s="56">
        <v>538.75</v>
      </c>
      <c r="D79" s="56">
        <v>552.70000000000005</v>
      </c>
      <c r="E79" s="57">
        <v>6632.4</v>
      </c>
      <c r="F79" s="57">
        <v>6465</v>
      </c>
      <c r="G79" s="57">
        <v>-167.4</v>
      </c>
      <c r="H79" s="63">
        <f t="shared" si="2"/>
        <v>-2.5239732223629456E-2</v>
      </c>
    </row>
    <row r="80" spans="1:8" ht="15.75" thickBot="1">
      <c r="A80" s="55" t="s">
        <v>439</v>
      </c>
      <c r="B80" s="56">
        <v>525</v>
      </c>
      <c r="C80" s="56">
        <v>13.56</v>
      </c>
      <c r="D80" s="56">
        <v>38.966700000000003</v>
      </c>
      <c r="E80" s="57">
        <v>20457.5</v>
      </c>
      <c r="F80" s="57">
        <v>7119</v>
      </c>
      <c r="G80" s="57">
        <v>-13338.5</v>
      </c>
      <c r="H80" s="63">
        <f t="shared" ref="H80" si="3">G80/E80</f>
        <v>-0.65201026518391791</v>
      </c>
    </row>
    <row r="81" spans="1:8" ht="15.75" thickBot="1">
      <c r="A81" s="58" t="s">
        <v>440</v>
      </c>
      <c r="B81" s="59">
        <v>10</v>
      </c>
      <c r="C81" s="60">
        <v>2139.75</v>
      </c>
      <c r="D81" s="60">
        <v>1954.184</v>
      </c>
      <c r="E81" s="60">
        <v>19541.84</v>
      </c>
      <c r="F81" s="60">
        <v>21397.5</v>
      </c>
      <c r="G81" s="60">
        <v>1855.66</v>
      </c>
      <c r="H81" s="61">
        <f t="shared" si="2"/>
        <v>9.4958304847445274E-2</v>
      </c>
    </row>
    <row r="82" spans="1:8" ht="18.75" thickBot="1">
      <c r="A82" s="44" t="s">
        <v>11</v>
      </c>
      <c r="B82" s="44">
        <f>SUM(B2:B81)</f>
        <v>7238</v>
      </c>
      <c r="C82" s="44"/>
      <c r="D82" s="44"/>
      <c r="E82" s="45">
        <f t="shared" ref="E82:G82" si="4">SUM(E2:E81)</f>
        <v>2014085.3299999996</v>
      </c>
      <c r="F82" s="45">
        <f t="shared" si="4"/>
        <v>2600070.9499999997</v>
      </c>
      <c r="G82" s="45">
        <f t="shared" si="4"/>
        <v>585985.62</v>
      </c>
      <c r="H82" s="64">
        <f t="shared" si="1"/>
        <v>0.29094379035072965</v>
      </c>
    </row>
    <row r="83" spans="1:8" ht="15.75" thickTop="1"/>
  </sheetData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FC1E-E598-4DA1-B3BE-8EA185CA9F24}">
  <dimension ref="A1:I13"/>
  <sheetViews>
    <sheetView workbookViewId="0">
      <selection activeCell="C2" sqref="C2:H2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9" width="11.28515625" style="22" customWidth="1"/>
    <col min="10" max="16384" width="8.7109375" style="22"/>
  </cols>
  <sheetData>
    <row r="1" spans="1:9" ht="27.7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54" t="s">
        <v>231</v>
      </c>
    </row>
    <row r="2" spans="1:9" ht="15.75" thickBot="1">
      <c r="A2" s="55" t="s">
        <v>234</v>
      </c>
      <c r="B2" s="56" t="s">
        <v>235</v>
      </c>
      <c r="C2" s="57">
        <v>1643.5650000000001</v>
      </c>
      <c r="D2" s="56">
        <v>67.599999999999994</v>
      </c>
      <c r="E2" s="56">
        <v>60.840299999999999</v>
      </c>
      <c r="F2" s="57">
        <v>99995.041899999997</v>
      </c>
      <c r="G2" s="57">
        <v>111104.99400000001</v>
      </c>
      <c r="H2" s="57">
        <v>11109.9521</v>
      </c>
      <c r="I2" s="1">
        <f>H2/F2</f>
        <v>0.11110502969847749</v>
      </c>
    </row>
    <row r="3" spans="1:9" ht="15.75" thickBot="1">
      <c r="A3" s="55" t="s">
        <v>236</v>
      </c>
      <c r="B3" s="56" t="s">
        <v>237</v>
      </c>
      <c r="C3" s="57">
        <v>9468.9670000000006</v>
      </c>
      <c r="D3" s="56">
        <v>57.25</v>
      </c>
      <c r="E3" s="56">
        <v>38.017099999999999</v>
      </c>
      <c r="F3" s="57">
        <v>359982.95740000001</v>
      </c>
      <c r="G3" s="57">
        <v>542098.36080000002</v>
      </c>
      <c r="H3" s="57">
        <v>182115.40330000001</v>
      </c>
      <c r="I3" s="1">
        <f t="shared" ref="I3:I11" si="0">H3/F3</f>
        <v>0.50590006986814096</v>
      </c>
    </row>
    <row r="4" spans="1:9" ht="15.75" thickBot="1">
      <c r="A4" s="55" t="s">
        <v>454</v>
      </c>
      <c r="B4" s="56" t="s">
        <v>269</v>
      </c>
      <c r="C4" s="56">
        <v>113.212</v>
      </c>
      <c r="D4" s="57">
        <v>3117.2613000000001</v>
      </c>
      <c r="E4" s="57">
        <v>3097.5493999999999</v>
      </c>
      <c r="F4" s="57">
        <v>350679.76730000001</v>
      </c>
      <c r="G4" s="57">
        <v>352911.38630000001</v>
      </c>
      <c r="H4" s="57">
        <v>2231.6190000000001</v>
      </c>
      <c r="I4" s="1">
        <f t="shared" si="0"/>
        <v>6.3636947668295092E-3</v>
      </c>
    </row>
    <row r="5" spans="1:9" ht="15.75" thickBot="1">
      <c r="A5" s="55" t="s">
        <v>441</v>
      </c>
      <c r="B5" s="56" t="s">
        <v>241</v>
      </c>
      <c r="C5" s="57">
        <v>1737.825</v>
      </c>
      <c r="D5" s="56">
        <v>476.73140000000001</v>
      </c>
      <c r="E5" s="56">
        <v>356.71469999999999</v>
      </c>
      <c r="F5" s="57">
        <v>619907.71279999998</v>
      </c>
      <c r="G5" s="57">
        <v>828475.7452</v>
      </c>
      <c r="H5" s="57">
        <v>208568.0324</v>
      </c>
      <c r="I5" s="1">
        <f t="shared" si="0"/>
        <v>0.33645013296888926</v>
      </c>
    </row>
    <row r="6" spans="1:9" ht="15.75" thickBot="1">
      <c r="A6" s="55" t="s">
        <v>242</v>
      </c>
      <c r="B6" s="56" t="s">
        <v>237</v>
      </c>
      <c r="C6" s="57">
        <v>5856.576</v>
      </c>
      <c r="D6" s="56">
        <v>73.003</v>
      </c>
      <c r="E6" s="56">
        <v>44.3917</v>
      </c>
      <c r="F6" s="57">
        <v>259983.36480000001</v>
      </c>
      <c r="G6" s="57">
        <v>427547.6177</v>
      </c>
      <c r="H6" s="57">
        <v>167564.25289999999</v>
      </c>
      <c r="I6" s="1">
        <f t="shared" si="0"/>
        <v>0.64451913309493403</v>
      </c>
    </row>
    <row r="7" spans="1:9" ht="15.75" thickBot="1">
      <c r="A7" s="55" t="s">
        <v>272</v>
      </c>
      <c r="B7" s="56" t="s">
        <v>235</v>
      </c>
      <c r="C7" s="57">
        <v>6641.4979999999996</v>
      </c>
      <c r="D7" s="56">
        <v>72.006</v>
      </c>
      <c r="E7" s="56">
        <v>41.7624</v>
      </c>
      <c r="F7" s="57">
        <v>277364.96380000003</v>
      </c>
      <c r="G7" s="57">
        <v>478227.70500000002</v>
      </c>
      <c r="H7" s="57">
        <v>200862.74119999999</v>
      </c>
      <c r="I7" s="1">
        <f t="shared" si="0"/>
        <v>0.72418209729198668</v>
      </c>
    </row>
    <row r="8" spans="1:9" ht="15.75" thickBot="1">
      <c r="A8" s="55" t="s">
        <v>250</v>
      </c>
      <c r="B8" s="56" t="s">
        <v>251</v>
      </c>
      <c r="C8" s="57">
        <v>8191.4229999999998</v>
      </c>
      <c r="D8" s="56">
        <v>45.406500000000001</v>
      </c>
      <c r="E8" s="56">
        <v>33.688000000000002</v>
      </c>
      <c r="F8" s="57">
        <v>275952.47720000002</v>
      </c>
      <c r="G8" s="57">
        <v>371943.84840000002</v>
      </c>
      <c r="H8" s="57">
        <v>95991.371199999994</v>
      </c>
      <c r="I8" s="1">
        <f t="shared" si="0"/>
        <v>0.34785471822537417</v>
      </c>
    </row>
    <row r="9" spans="1:9" ht="15.75" thickBot="1">
      <c r="A9" s="55" t="s">
        <v>274</v>
      </c>
      <c r="B9" s="56" t="s">
        <v>233</v>
      </c>
      <c r="C9" s="57">
        <v>4419.5339999999997</v>
      </c>
      <c r="D9" s="56">
        <v>39.869999999999997</v>
      </c>
      <c r="E9" s="56">
        <v>36.201300000000003</v>
      </c>
      <c r="F9" s="57">
        <v>159992.82089999999</v>
      </c>
      <c r="G9" s="57">
        <v>176206.82060000001</v>
      </c>
      <c r="H9" s="57">
        <v>16213.9997</v>
      </c>
      <c r="I9" s="1">
        <f t="shared" si="0"/>
        <v>0.10134204527923291</v>
      </c>
    </row>
    <row r="10" spans="1:9" ht="15.75" thickBot="1">
      <c r="A10" s="55" t="s">
        <v>455</v>
      </c>
      <c r="B10" s="56" t="s">
        <v>241</v>
      </c>
      <c r="C10" s="56">
        <v>197.84399999999999</v>
      </c>
      <c r="D10" s="56">
        <v>134.34809999999999</v>
      </c>
      <c r="E10" s="56">
        <v>126.3557</v>
      </c>
      <c r="F10" s="57">
        <v>24998.7091</v>
      </c>
      <c r="G10" s="57">
        <v>26579.965499999998</v>
      </c>
      <c r="H10" s="57">
        <v>1581.2564</v>
      </c>
      <c r="I10" s="1">
        <f t="shared" si="0"/>
        <v>6.3253522158870201E-2</v>
      </c>
    </row>
    <row r="11" spans="1:9" ht="15.75" thickBot="1">
      <c r="A11" s="58" t="s">
        <v>255</v>
      </c>
      <c r="B11" s="59" t="s">
        <v>241</v>
      </c>
      <c r="C11" s="60">
        <v>18996.168000000001</v>
      </c>
      <c r="D11" s="59">
        <v>13.983700000000001</v>
      </c>
      <c r="E11" s="59">
        <v>9.4700000000000006</v>
      </c>
      <c r="F11" s="60">
        <v>179893.71100000001</v>
      </c>
      <c r="G11" s="60">
        <v>265636.7145</v>
      </c>
      <c r="H11" s="60">
        <v>85743.003500000006</v>
      </c>
      <c r="I11" s="1">
        <f t="shared" si="0"/>
        <v>0.47663146767815578</v>
      </c>
    </row>
    <row r="12" spans="1:9" ht="15.75" thickBot="1">
      <c r="A12" s="51" t="s">
        <v>11</v>
      </c>
      <c r="B12" s="51"/>
      <c r="C12" s="52">
        <f>SUM(C2:C11)</f>
        <v>57266.611999999994</v>
      </c>
      <c r="D12" s="52"/>
      <c r="E12" s="52"/>
      <c r="F12" s="52">
        <f t="shared" ref="F12:H12" si="1">SUM(F2:F11)</f>
        <v>2608751.5262000007</v>
      </c>
      <c r="G12" s="52">
        <f t="shared" si="1"/>
        <v>3580733.1579999998</v>
      </c>
      <c r="H12" s="52">
        <f t="shared" si="1"/>
        <v>971981.63169999979</v>
      </c>
      <c r="I12" s="53">
        <f t="shared" ref="I12" si="2">H12/F12</f>
        <v>0.37258497865292001</v>
      </c>
    </row>
    <row r="13" spans="1:9" ht="15.75" thickTop="1"/>
  </sheetData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E59F-F17D-496C-B611-D366B30F435E}">
  <dimension ref="A1:H73"/>
  <sheetViews>
    <sheetView workbookViewId="0">
      <selection activeCell="G72" sqref="G72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1.85546875" bestFit="1" customWidth="1"/>
  </cols>
  <sheetData>
    <row r="1" spans="1:8" ht="18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35" t="s">
        <v>142</v>
      </c>
    </row>
    <row r="2" spans="1:8" ht="18" thickBot="1">
      <c r="A2" s="55" t="s">
        <v>352</v>
      </c>
      <c r="B2" s="56">
        <v>21</v>
      </c>
      <c r="C2" s="57">
        <v>1957.15</v>
      </c>
      <c r="D2" s="57">
        <v>1698.49</v>
      </c>
      <c r="E2" s="57">
        <v>35668.29</v>
      </c>
      <c r="F2" s="57">
        <v>41100.15</v>
      </c>
      <c r="G2" s="57">
        <v>5431.86</v>
      </c>
      <c r="H2" s="39">
        <f>G2/E2</f>
        <v>0.15228820893852774</v>
      </c>
    </row>
    <row r="3" spans="1:8" ht="18" thickBot="1">
      <c r="A3" s="55" t="s">
        <v>458</v>
      </c>
      <c r="B3" s="56">
        <v>272</v>
      </c>
      <c r="C3" s="56">
        <v>125.3</v>
      </c>
      <c r="D3" s="56">
        <v>110.6285</v>
      </c>
      <c r="E3" s="57">
        <v>30090.959999999999</v>
      </c>
      <c r="F3" s="57">
        <v>34081.599999999999</v>
      </c>
      <c r="G3" s="57">
        <v>3990.64</v>
      </c>
      <c r="H3" s="39">
        <f t="shared" ref="H3:H66" si="0">G3/E3</f>
        <v>0.13261923182244767</v>
      </c>
    </row>
    <row r="4" spans="1:8" ht="18" thickBot="1">
      <c r="A4" s="55" t="s">
        <v>469</v>
      </c>
      <c r="B4" s="56">
        <v>31</v>
      </c>
      <c r="C4" s="56">
        <v>949.95</v>
      </c>
      <c r="D4" s="56">
        <v>731.81129999999996</v>
      </c>
      <c r="E4" s="57">
        <v>22686.15</v>
      </c>
      <c r="F4" s="57">
        <v>29448.45</v>
      </c>
      <c r="G4" s="57">
        <v>6762.3</v>
      </c>
      <c r="H4" s="39">
        <f t="shared" si="0"/>
        <v>0.29808054694163616</v>
      </c>
    </row>
    <row r="5" spans="1:8" ht="18" thickBot="1">
      <c r="A5" s="55" t="s">
        <v>353</v>
      </c>
      <c r="B5" s="56">
        <v>18</v>
      </c>
      <c r="C5" s="57">
        <v>3162.95</v>
      </c>
      <c r="D5" s="57">
        <v>2469.1017000000002</v>
      </c>
      <c r="E5" s="57">
        <v>44443.83</v>
      </c>
      <c r="F5" s="57">
        <v>56933.1</v>
      </c>
      <c r="G5" s="57">
        <v>12489.27</v>
      </c>
      <c r="H5" s="39">
        <f t="shared" si="0"/>
        <v>0.28101245999725943</v>
      </c>
    </row>
    <row r="6" spans="1:8" ht="18" thickBot="1">
      <c r="A6" s="55" t="s">
        <v>354</v>
      </c>
      <c r="B6" s="56">
        <v>250</v>
      </c>
      <c r="C6" s="56">
        <v>230.55</v>
      </c>
      <c r="D6" s="56">
        <v>183.58799999999999</v>
      </c>
      <c r="E6" s="57">
        <v>45897</v>
      </c>
      <c r="F6" s="57">
        <v>57637.5</v>
      </c>
      <c r="G6" s="57">
        <v>11740.5</v>
      </c>
      <c r="H6" s="39">
        <f t="shared" si="0"/>
        <v>0.25580103274723837</v>
      </c>
    </row>
    <row r="7" spans="1:8" ht="18" thickBot="1">
      <c r="A7" s="55" t="s">
        <v>355</v>
      </c>
      <c r="B7" s="56">
        <v>10</v>
      </c>
      <c r="C7" s="57">
        <v>2924</v>
      </c>
      <c r="D7" s="57">
        <v>2188.4</v>
      </c>
      <c r="E7" s="57">
        <v>21884</v>
      </c>
      <c r="F7" s="57">
        <v>29240</v>
      </c>
      <c r="G7" s="57">
        <v>7356</v>
      </c>
      <c r="H7" s="39">
        <f t="shared" si="0"/>
        <v>0.33613598976421127</v>
      </c>
    </row>
    <row r="8" spans="1:8" ht="18" thickBot="1">
      <c r="A8" s="55" t="s">
        <v>356</v>
      </c>
      <c r="B8" s="56">
        <v>48</v>
      </c>
      <c r="C8" s="57">
        <v>1001.9</v>
      </c>
      <c r="D8" s="56">
        <v>933.68960000000004</v>
      </c>
      <c r="E8" s="57">
        <v>44817.1</v>
      </c>
      <c r="F8" s="57">
        <v>48091.199999999997</v>
      </c>
      <c r="G8" s="57">
        <v>3274.1</v>
      </c>
      <c r="H8" s="39">
        <f t="shared" si="0"/>
        <v>7.3054704565891151E-2</v>
      </c>
    </row>
    <row r="9" spans="1:8" ht="18" thickBot="1">
      <c r="A9" s="55" t="s">
        <v>466</v>
      </c>
      <c r="B9" s="56">
        <v>27</v>
      </c>
      <c r="C9" s="57">
        <v>959.35</v>
      </c>
      <c r="D9" s="56">
        <v>832.95</v>
      </c>
      <c r="E9" s="57">
        <v>22489.65</v>
      </c>
      <c r="F9" s="57">
        <v>25902.45</v>
      </c>
      <c r="G9" s="57">
        <v>3412.8</v>
      </c>
      <c r="H9" s="39">
        <f t="shared" si="0"/>
        <v>0.15174980491025872</v>
      </c>
    </row>
    <row r="10" spans="1:8" ht="18" thickBot="1">
      <c r="A10" s="55" t="s">
        <v>357</v>
      </c>
      <c r="B10" s="56">
        <v>7</v>
      </c>
      <c r="C10" s="57">
        <v>3195.7</v>
      </c>
      <c r="D10" s="57">
        <v>2705.7629000000002</v>
      </c>
      <c r="E10" s="57">
        <v>18940.34</v>
      </c>
      <c r="F10" s="57">
        <v>22369.9</v>
      </c>
      <c r="G10" s="57">
        <v>3429.56</v>
      </c>
      <c r="H10" s="39">
        <f t="shared" si="0"/>
        <v>0.18107172310528744</v>
      </c>
    </row>
    <row r="11" spans="1:8" ht="18" thickBot="1">
      <c r="A11" s="55" t="s">
        <v>358</v>
      </c>
      <c r="B11" s="56">
        <v>46</v>
      </c>
      <c r="C11" s="56">
        <v>742.1</v>
      </c>
      <c r="D11" s="56">
        <v>520.73149999999998</v>
      </c>
      <c r="E11" s="57">
        <v>23953.65</v>
      </c>
      <c r="F11" s="57">
        <v>34136.6</v>
      </c>
      <c r="G11" s="57">
        <v>10182.950000000001</v>
      </c>
      <c r="H11" s="39">
        <f t="shared" si="0"/>
        <v>0.42511057813736114</v>
      </c>
    </row>
    <row r="12" spans="1:8" ht="18" thickBot="1">
      <c r="A12" s="55" t="s">
        <v>359</v>
      </c>
      <c r="B12" s="56">
        <v>17</v>
      </c>
      <c r="C12" s="57">
        <v>4249.3500000000004</v>
      </c>
      <c r="D12" s="57">
        <v>2211.9353000000001</v>
      </c>
      <c r="E12" s="57">
        <v>37602.9</v>
      </c>
      <c r="F12" s="57">
        <v>72238.95</v>
      </c>
      <c r="G12" s="57">
        <v>34636.050000000003</v>
      </c>
      <c r="H12" s="39">
        <f t="shared" si="0"/>
        <v>0.92110050022737611</v>
      </c>
    </row>
    <row r="13" spans="1:8" ht="18" thickBot="1">
      <c r="A13" s="55" t="s">
        <v>459</v>
      </c>
      <c r="B13" s="56">
        <v>37</v>
      </c>
      <c r="C13" s="56">
        <v>293.14999999999998</v>
      </c>
      <c r="D13" s="56">
        <v>232.46619999999999</v>
      </c>
      <c r="E13" s="57">
        <v>8601.25</v>
      </c>
      <c r="F13" s="57">
        <v>10846.55</v>
      </c>
      <c r="G13" s="57">
        <v>2245.3000000000002</v>
      </c>
      <c r="H13" s="39">
        <f t="shared" si="0"/>
        <v>0.26104345298648457</v>
      </c>
    </row>
    <row r="14" spans="1:8" ht="18" thickBot="1">
      <c r="A14" s="55" t="s">
        <v>361</v>
      </c>
      <c r="B14" s="56">
        <v>5</v>
      </c>
      <c r="C14" s="57">
        <v>2213.85</v>
      </c>
      <c r="D14" s="57">
        <v>1533.81</v>
      </c>
      <c r="E14" s="57">
        <v>7669.05</v>
      </c>
      <c r="F14" s="57">
        <v>11069.25</v>
      </c>
      <c r="G14" s="57">
        <v>3400.2</v>
      </c>
      <c r="H14" s="39">
        <f t="shared" si="0"/>
        <v>0.4433665186691963</v>
      </c>
    </row>
    <row r="15" spans="1:8" ht="18" thickBot="1">
      <c r="A15" s="55" t="s">
        <v>362</v>
      </c>
      <c r="B15" s="56">
        <v>180</v>
      </c>
      <c r="C15" s="56">
        <v>532.70000000000005</v>
      </c>
      <c r="D15" s="56">
        <v>322.88889999999998</v>
      </c>
      <c r="E15" s="57">
        <v>58120</v>
      </c>
      <c r="F15" s="57">
        <v>95886</v>
      </c>
      <c r="G15" s="57">
        <v>37766</v>
      </c>
      <c r="H15" s="39">
        <f t="shared" si="0"/>
        <v>0.64979353062629042</v>
      </c>
    </row>
    <row r="16" spans="1:8" ht="18" thickBot="1">
      <c r="A16" s="55" t="s">
        <v>364</v>
      </c>
      <c r="B16" s="56">
        <v>6</v>
      </c>
      <c r="C16" s="57">
        <v>3490.65</v>
      </c>
      <c r="D16" s="57">
        <v>3531.4</v>
      </c>
      <c r="E16" s="57">
        <v>21188.400000000001</v>
      </c>
      <c r="F16" s="57">
        <v>20943.900000000001</v>
      </c>
      <c r="G16" s="56">
        <v>-244.5</v>
      </c>
      <c r="H16" s="39">
        <f t="shared" si="0"/>
        <v>-1.1539332842498725E-2</v>
      </c>
    </row>
    <row r="17" spans="1:8" ht="18" thickBot="1">
      <c r="A17" s="55" t="s">
        <v>365</v>
      </c>
      <c r="B17" s="56">
        <v>180</v>
      </c>
      <c r="C17" s="56">
        <v>141.1</v>
      </c>
      <c r="D17" s="56">
        <v>155.25</v>
      </c>
      <c r="E17" s="57">
        <v>27945</v>
      </c>
      <c r="F17" s="57">
        <v>25398</v>
      </c>
      <c r="G17" s="57">
        <v>-2547</v>
      </c>
      <c r="H17" s="39">
        <f t="shared" si="0"/>
        <v>-9.1143317230273746E-2</v>
      </c>
    </row>
    <row r="18" spans="1:8" ht="18" thickBot="1">
      <c r="A18" s="55" t="s">
        <v>366</v>
      </c>
      <c r="B18" s="56">
        <v>42</v>
      </c>
      <c r="C18" s="56">
        <v>946.55</v>
      </c>
      <c r="D18" s="56">
        <v>600.02689999999996</v>
      </c>
      <c r="E18" s="57">
        <v>25201.13</v>
      </c>
      <c r="F18" s="57">
        <v>39755.1</v>
      </c>
      <c r="G18" s="57">
        <v>14553.97</v>
      </c>
      <c r="H18" s="39">
        <f t="shared" si="0"/>
        <v>0.57751259566535307</v>
      </c>
    </row>
    <row r="19" spans="1:8" ht="18" thickBot="1">
      <c r="A19" s="55" t="s">
        <v>460</v>
      </c>
      <c r="B19" s="56">
        <v>200</v>
      </c>
      <c r="C19" s="56">
        <v>166.1</v>
      </c>
      <c r="D19" s="56">
        <v>153.05690000000001</v>
      </c>
      <c r="E19" s="57">
        <v>30611.37</v>
      </c>
      <c r="F19" s="57">
        <v>33220</v>
      </c>
      <c r="G19" s="57">
        <v>2608.63</v>
      </c>
      <c r="H19" s="39">
        <f t="shared" si="0"/>
        <v>8.5217682188023613E-2</v>
      </c>
    </row>
    <row r="20" spans="1:8" ht="18" thickBot="1">
      <c r="A20" s="55" t="s">
        <v>367</v>
      </c>
      <c r="B20" s="56">
        <v>250</v>
      </c>
      <c r="C20" s="56">
        <v>153.1</v>
      </c>
      <c r="D20" s="56">
        <v>163.66999999999999</v>
      </c>
      <c r="E20" s="57">
        <v>40917.5</v>
      </c>
      <c r="F20" s="57">
        <v>38275</v>
      </c>
      <c r="G20" s="57">
        <v>-2642.5</v>
      </c>
      <c r="H20" s="39">
        <f t="shared" si="0"/>
        <v>-6.4581169426284599E-2</v>
      </c>
    </row>
    <row r="21" spans="1:8" ht="18" thickBot="1">
      <c r="A21" s="55" t="s">
        <v>369</v>
      </c>
      <c r="B21" s="56">
        <v>9</v>
      </c>
      <c r="C21" s="57">
        <v>1696.6</v>
      </c>
      <c r="D21" s="57">
        <v>1558.9944</v>
      </c>
      <c r="E21" s="57">
        <v>14030.95</v>
      </c>
      <c r="F21" s="57">
        <v>15269.4</v>
      </c>
      <c r="G21" s="57">
        <v>1238.45</v>
      </c>
      <c r="H21" s="39">
        <f t="shared" si="0"/>
        <v>8.8265584297570726E-2</v>
      </c>
    </row>
    <row r="22" spans="1:8" ht="18" thickBot="1">
      <c r="A22" s="55" t="s">
        <v>370</v>
      </c>
      <c r="B22" s="56">
        <v>22</v>
      </c>
      <c r="C22" s="56">
        <v>543.85</v>
      </c>
      <c r="D22" s="56">
        <v>529.24639999999999</v>
      </c>
      <c r="E22" s="57">
        <v>11643.42</v>
      </c>
      <c r="F22" s="57">
        <v>11964.7</v>
      </c>
      <c r="G22" s="56">
        <v>321.27999999999997</v>
      </c>
      <c r="H22" s="39">
        <f t="shared" si="0"/>
        <v>2.7593267270269384E-2</v>
      </c>
    </row>
    <row r="23" spans="1:8" ht="18" thickBot="1">
      <c r="A23" s="55" t="s">
        <v>371</v>
      </c>
      <c r="B23" s="56">
        <v>13</v>
      </c>
      <c r="C23" s="57">
        <v>4258.75</v>
      </c>
      <c r="D23" s="57">
        <v>2202.3762000000002</v>
      </c>
      <c r="E23" s="57">
        <v>28630.89</v>
      </c>
      <c r="F23" s="57">
        <v>55363.75</v>
      </c>
      <c r="G23" s="57">
        <v>26732.86</v>
      </c>
      <c r="H23" s="39">
        <f t="shared" si="0"/>
        <v>0.93370691585207455</v>
      </c>
    </row>
    <row r="24" spans="1:8" ht="18" thickBot="1">
      <c r="A24" s="55" t="s">
        <v>372</v>
      </c>
      <c r="B24" s="56">
        <v>39</v>
      </c>
      <c r="C24" s="56">
        <v>296.89999999999998</v>
      </c>
      <c r="D24" s="56">
        <v>245.03</v>
      </c>
      <c r="E24" s="57">
        <v>9556.17</v>
      </c>
      <c r="F24" s="57">
        <v>11579.1</v>
      </c>
      <c r="G24" s="57">
        <v>2022.93</v>
      </c>
      <c r="H24" s="39">
        <f t="shared" si="0"/>
        <v>0.21168836469003796</v>
      </c>
    </row>
    <row r="25" spans="1:8" ht="18" thickBot="1">
      <c r="A25" s="55" t="s">
        <v>374</v>
      </c>
      <c r="B25" s="56">
        <v>5</v>
      </c>
      <c r="C25" s="57">
        <v>2742.35</v>
      </c>
      <c r="D25" s="57">
        <v>2414.5279999999998</v>
      </c>
      <c r="E25" s="57">
        <v>12072.64</v>
      </c>
      <c r="F25" s="57">
        <v>13711.75</v>
      </c>
      <c r="G25" s="57">
        <v>1639.11</v>
      </c>
      <c r="H25" s="39">
        <f t="shared" si="0"/>
        <v>0.13577063508892837</v>
      </c>
    </row>
    <row r="26" spans="1:8" ht="18" thickBot="1">
      <c r="A26" s="55" t="s">
        <v>376</v>
      </c>
      <c r="B26" s="56">
        <v>8</v>
      </c>
      <c r="C26" s="57">
        <v>1496.45</v>
      </c>
      <c r="D26" s="57">
        <v>1205.4837</v>
      </c>
      <c r="E26" s="57">
        <v>9643.8700000000008</v>
      </c>
      <c r="F26" s="57">
        <v>11971.6</v>
      </c>
      <c r="G26" s="57">
        <v>2327.73</v>
      </c>
      <c r="H26" s="39">
        <f t="shared" si="0"/>
        <v>0.24136886955133155</v>
      </c>
    </row>
    <row r="27" spans="1:8" ht="18" thickBot="1">
      <c r="A27" s="55" t="s">
        <v>378</v>
      </c>
      <c r="B27" s="56">
        <v>207</v>
      </c>
      <c r="C27" s="56">
        <v>193.55</v>
      </c>
      <c r="D27" s="56">
        <v>200.2851</v>
      </c>
      <c r="E27" s="57">
        <v>41459.01</v>
      </c>
      <c r="F27" s="57">
        <v>40064.85</v>
      </c>
      <c r="G27" s="57">
        <v>-1394.16</v>
      </c>
      <c r="H27" s="39">
        <f t="shared" si="0"/>
        <v>-3.3627431045748557E-2</v>
      </c>
    </row>
    <row r="28" spans="1:8" ht="18" thickBot="1">
      <c r="A28" s="55" t="s">
        <v>379</v>
      </c>
      <c r="B28" s="56">
        <v>395</v>
      </c>
      <c r="C28" s="56">
        <v>87.75</v>
      </c>
      <c r="D28" s="56">
        <v>59.049900000000001</v>
      </c>
      <c r="E28" s="57">
        <v>23324.7</v>
      </c>
      <c r="F28" s="57">
        <v>34661.25</v>
      </c>
      <c r="G28" s="57">
        <v>11336.55</v>
      </c>
      <c r="H28" s="39">
        <f t="shared" si="0"/>
        <v>0.48603197468777731</v>
      </c>
    </row>
    <row r="29" spans="1:8" ht="18" thickBot="1">
      <c r="A29" s="55" t="s">
        <v>380</v>
      </c>
      <c r="B29" s="56">
        <v>34</v>
      </c>
      <c r="C29" s="56">
        <v>200.55</v>
      </c>
      <c r="D29" s="56">
        <v>148.32650000000001</v>
      </c>
      <c r="E29" s="57">
        <v>5043.1000000000004</v>
      </c>
      <c r="F29" s="57">
        <v>6818.7</v>
      </c>
      <c r="G29" s="57">
        <v>1775.6</v>
      </c>
      <c r="H29" s="39">
        <f t="shared" si="0"/>
        <v>0.35208502706668515</v>
      </c>
    </row>
    <row r="30" spans="1:8" ht="18" thickBot="1">
      <c r="A30" s="55" t="s">
        <v>383</v>
      </c>
      <c r="B30" s="56">
        <v>8</v>
      </c>
      <c r="C30" s="57">
        <v>1408.4</v>
      </c>
      <c r="D30" s="57">
        <v>1342.3688</v>
      </c>
      <c r="E30" s="57">
        <v>10738.95</v>
      </c>
      <c r="F30" s="57">
        <v>11267.2</v>
      </c>
      <c r="G30" s="56">
        <v>528.25</v>
      </c>
      <c r="H30" s="39">
        <f t="shared" si="0"/>
        <v>4.9190097728362636E-2</v>
      </c>
    </row>
    <row r="31" spans="1:8" ht="18" thickBot="1">
      <c r="A31" s="55" t="s">
        <v>461</v>
      </c>
      <c r="B31" s="56">
        <v>90</v>
      </c>
      <c r="C31" s="56">
        <v>384.95</v>
      </c>
      <c r="D31" s="56">
        <v>214.66669999999999</v>
      </c>
      <c r="E31" s="57">
        <v>19320</v>
      </c>
      <c r="F31" s="57">
        <v>34645.5</v>
      </c>
      <c r="G31" s="57">
        <v>15325.5</v>
      </c>
      <c r="H31" s="39">
        <f t="shared" si="0"/>
        <v>0.79324534161490678</v>
      </c>
    </row>
    <row r="32" spans="1:8" ht="18" thickBot="1">
      <c r="A32" s="55" t="s">
        <v>385</v>
      </c>
      <c r="B32" s="56">
        <v>28</v>
      </c>
      <c r="C32" s="57">
        <v>1501.15</v>
      </c>
      <c r="D32" s="57">
        <v>1249.8839</v>
      </c>
      <c r="E32" s="57">
        <v>34996.75</v>
      </c>
      <c r="F32" s="57">
        <v>42032.2</v>
      </c>
      <c r="G32" s="57">
        <v>7035.45</v>
      </c>
      <c r="H32" s="39">
        <f t="shared" si="0"/>
        <v>0.20103152435583305</v>
      </c>
    </row>
    <row r="33" spans="1:8" ht="18" thickBot="1">
      <c r="A33" s="55" t="s">
        <v>386</v>
      </c>
      <c r="B33" s="56">
        <v>32</v>
      </c>
      <c r="C33" s="56">
        <v>680.8</v>
      </c>
      <c r="D33" s="56">
        <v>658.01059999999995</v>
      </c>
      <c r="E33" s="57">
        <v>21056.34</v>
      </c>
      <c r="F33" s="57">
        <v>21785.599999999999</v>
      </c>
      <c r="G33" s="56">
        <v>729.26</v>
      </c>
      <c r="H33" s="39">
        <f t="shared" si="0"/>
        <v>3.463374926506696E-2</v>
      </c>
    </row>
    <row r="34" spans="1:8" ht="18" thickBot="1">
      <c r="A34" s="55" t="s">
        <v>387</v>
      </c>
      <c r="B34" s="56">
        <v>6</v>
      </c>
      <c r="C34" s="57">
        <v>3048.3</v>
      </c>
      <c r="D34" s="57">
        <v>3100.6916999999999</v>
      </c>
      <c r="E34" s="57">
        <v>18604.150000000001</v>
      </c>
      <c r="F34" s="57">
        <v>18289.8</v>
      </c>
      <c r="G34" s="57">
        <v>-314.35000000000002</v>
      </c>
      <c r="H34" s="39">
        <f t="shared" si="0"/>
        <v>-1.6896767656678753E-2</v>
      </c>
    </row>
    <row r="35" spans="1:8" ht="18" thickBot="1">
      <c r="A35" s="55" t="s">
        <v>390</v>
      </c>
      <c r="B35" s="56">
        <v>6</v>
      </c>
      <c r="C35" s="57">
        <v>2341.65</v>
      </c>
      <c r="D35" s="57">
        <v>2280.7082999999998</v>
      </c>
      <c r="E35" s="57">
        <v>13684.25</v>
      </c>
      <c r="F35" s="57">
        <v>14049.9</v>
      </c>
      <c r="G35" s="56">
        <v>365.65</v>
      </c>
      <c r="H35" s="39">
        <f t="shared" si="0"/>
        <v>2.6720499844711986E-2</v>
      </c>
    </row>
    <row r="36" spans="1:8" ht="18" thickBot="1">
      <c r="A36" s="55" t="s">
        <v>391</v>
      </c>
      <c r="B36" s="56">
        <v>47</v>
      </c>
      <c r="C36" s="56">
        <v>642.79999999999995</v>
      </c>
      <c r="D36" s="56">
        <v>417.89359999999999</v>
      </c>
      <c r="E36" s="57">
        <v>19641</v>
      </c>
      <c r="F36" s="57">
        <v>30211.599999999999</v>
      </c>
      <c r="G36" s="57">
        <v>10570.6</v>
      </c>
      <c r="H36" s="39">
        <f t="shared" si="0"/>
        <v>0.53819051983096589</v>
      </c>
    </row>
    <row r="37" spans="1:8" ht="18" thickBot="1">
      <c r="A37" s="55" t="s">
        <v>392</v>
      </c>
      <c r="B37" s="56">
        <v>16</v>
      </c>
      <c r="C37" s="57">
        <v>1448.2</v>
      </c>
      <c r="D37" s="57">
        <v>1410.1494</v>
      </c>
      <c r="E37" s="57">
        <v>22562.39</v>
      </c>
      <c r="F37" s="57">
        <v>23171.200000000001</v>
      </c>
      <c r="G37" s="56">
        <v>608.80999999999995</v>
      </c>
      <c r="H37" s="39">
        <f t="shared" si="0"/>
        <v>2.6983400251480449E-2</v>
      </c>
    </row>
    <row r="38" spans="1:8" ht="18" thickBot="1">
      <c r="A38" s="55" t="s">
        <v>393</v>
      </c>
      <c r="B38" s="56">
        <v>36</v>
      </c>
      <c r="C38" s="56">
        <v>578.20000000000005</v>
      </c>
      <c r="D38" s="56">
        <v>470.7944</v>
      </c>
      <c r="E38" s="57">
        <v>16948.599999999999</v>
      </c>
      <c r="F38" s="57">
        <v>20815.2</v>
      </c>
      <c r="G38" s="57">
        <v>3866.6</v>
      </c>
      <c r="H38" s="39">
        <f t="shared" si="0"/>
        <v>0.22813683726089473</v>
      </c>
    </row>
    <row r="39" spans="1:8" ht="18" thickBot="1">
      <c r="A39" s="55" t="s">
        <v>445</v>
      </c>
      <c r="B39" s="56">
        <v>20</v>
      </c>
      <c r="C39" s="57">
        <v>2059.8000000000002</v>
      </c>
      <c r="D39" s="57">
        <v>1783.3515</v>
      </c>
      <c r="E39" s="57">
        <v>35667.03</v>
      </c>
      <c r="F39" s="57">
        <v>41196</v>
      </c>
      <c r="G39" s="57">
        <v>5528.97</v>
      </c>
      <c r="H39" s="39">
        <f t="shared" si="0"/>
        <v>0.15501627132957244</v>
      </c>
    </row>
    <row r="40" spans="1:8" ht="18" thickBot="1">
      <c r="A40" s="55" t="s">
        <v>396</v>
      </c>
      <c r="B40" s="56">
        <v>665</v>
      </c>
      <c r="C40" s="56">
        <v>208.8</v>
      </c>
      <c r="D40" s="56">
        <v>225.94319999999999</v>
      </c>
      <c r="E40" s="57">
        <v>150252.20000000001</v>
      </c>
      <c r="F40" s="57">
        <v>138852</v>
      </c>
      <c r="G40" s="57">
        <v>-11400.2</v>
      </c>
      <c r="H40" s="39">
        <f t="shared" si="0"/>
        <v>-7.5873764244383773E-2</v>
      </c>
    </row>
    <row r="41" spans="1:8" ht="18" thickBot="1">
      <c r="A41" s="55" t="s">
        <v>397</v>
      </c>
      <c r="B41" s="56">
        <v>28</v>
      </c>
      <c r="C41" s="57">
        <v>1510.95</v>
      </c>
      <c r="D41" s="56">
        <v>743.03139999999996</v>
      </c>
      <c r="E41" s="57">
        <v>20804.88</v>
      </c>
      <c r="F41" s="57">
        <v>42306.6</v>
      </c>
      <c r="G41" s="57">
        <v>21501.72</v>
      </c>
      <c r="H41" s="39">
        <f t="shared" si="0"/>
        <v>1.033494064854015</v>
      </c>
    </row>
    <row r="42" spans="1:8" ht="18" thickBot="1">
      <c r="A42" s="55" t="s">
        <v>446</v>
      </c>
      <c r="B42" s="56">
        <v>78</v>
      </c>
      <c r="C42" s="56">
        <v>159.19999999999999</v>
      </c>
      <c r="D42" s="56">
        <v>145.3108</v>
      </c>
      <c r="E42" s="57">
        <v>11334.24</v>
      </c>
      <c r="F42" s="57">
        <v>12417.6</v>
      </c>
      <c r="G42" s="57">
        <v>1083.3599999999999</v>
      </c>
      <c r="H42" s="39">
        <f t="shared" si="0"/>
        <v>9.5582941599966109E-2</v>
      </c>
    </row>
    <row r="43" spans="1:8" ht="18" thickBot="1">
      <c r="A43" s="55" t="s">
        <v>398</v>
      </c>
      <c r="B43" s="56">
        <v>26</v>
      </c>
      <c r="C43" s="57">
        <v>1810.2</v>
      </c>
      <c r="D43" s="57">
        <v>1567.0019</v>
      </c>
      <c r="E43" s="57">
        <v>40742.050000000003</v>
      </c>
      <c r="F43" s="57">
        <v>47065.2</v>
      </c>
      <c r="G43" s="57">
        <v>6323.15</v>
      </c>
      <c r="H43" s="39">
        <f t="shared" si="0"/>
        <v>0.15519960335820115</v>
      </c>
    </row>
    <row r="44" spans="1:8" ht="18" thickBot="1">
      <c r="A44" s="55" t="s">
        <v>401</v>
      </c>
      <c r="B44" s="56">
        <v>62</v>
      </c>
      <c r="C44" s="57">
        <v>1537.6</v>
      </c>
      <c r="D44" s="57">
        <v>1053.2161000000001</v>
      </c>
      <c r="E44" s="57">
        <v>65299.4</v>
      </c>
      <c r="F44" s="57">
        <v>95331.199999999997</v>
      </c>
      <c r="G44" s="57">
        <v>30031.8</v>
      </c>
      <c r="H44" s="39">
        <f t="shared" si="0"/>
        <v>0.45990927941144938</v>
      </c>
    </row>
    <row r="45" spans="1:8" ht="18" thickBot="1">
      <c r="A45" s="55" t="s">
        <v>462</v>
      </c>
      <c r="B45" s="56">
        <v>459</v>
      </c>
      <c r="C45" s="56">
        <v>76.849999999999994</v>
      </c>
      <c r="D45" s="56">
        <v>60.862900000000003</v>
      </c>
      <c r="E45" s="57">
        <v>27936.05</v>
      </c>
      <c r="F45" s="57">
        <v>35274.15</v>
      </c>
      <c r="G45" s="57">
        <v>7338.1</v>
      </c>
      <c r="H45" s="39">
        <f t="shared" si="0"/>
        <v>0.26267493077940512</v>
      </c>
    </row>
    <row r="46" spans="1:8" ht="18" thickBot="1">
      <c r="A46" s="55" t="s">
        <v>402</v>
      </c>
      <c r="B46" s="56">
        <v>11</v>
      </c>
      <c r="C46" s="56">
        <v>804.4</v>
      </c>
      <c r="D46" s="56">
        <v>729.40449999999998</v>
      </c>
      <c r="E46" s="57">
        <v>8023.45</v>
      </c>
      <c r="F46" s="57">
        <v>8848.4</v>
      </c>
      <c r="G46" s="56">
        <v>824.95</v>
      </c>
      <c r="H46" s="39">
        <f t="shared" si="0"/>
        <v>0.10281736659417084</v>
      </c>
    </row>
    <row r="47" spans="1:8" ht="18" thickBot="1">
      <c r="A47" s="55" t="s">
        <v>403</v>
      </c>
      <c r="B47" s="56">
        <v>52</v>
      </c>
      <c r="C47" s="56">
        <v>226.35</v>
      </c>
      <c r="D47" s="56">
        <v>159.7337</v>
      </c>
      <c r="E47" s="57">
        <v>8306.15</v>
      </c>
      <c r="F47" s="57">
        <v>11770.2</v>
      </c>
      <c r="G47" s="57">
        <v>3464.05</v>
      </c>
      <c r="H47" s="39">
        <f t="shared" si="0"/>
        <v>0.41704640537433113</v>
      </c>
    </row>
    <row r="48" spans="1:8" ht="18" thickBot="1">
      <c r="A48" s="55" t="s">
        <v>404</v>
      </c>
      <c r="B48" s="56">
        <v>32</v>
      </c>
      <c r="C48" s="56">
        <v>486.8</v>
      </c>
      <c r="D48" s="56">
        <v>399.82659999999998</v>
      </c>
      <c r="E48" s="57">
        <v>12794.45</v>
      </c>
      <c r="F48" s="57">
        <v>15577.6</v>
      </c>
      <c r="G48" s="57">
        <v>2783.15</v>
      </c>
      <c r="H48" s="39">
        <f t="shared" si="0"/>
        <v>0.21752791249330763</v>
      </c>
    </row>
    <row r="49" spans="1:8" ht="18" thickBot="1">
      <c r="A49" s="55" t="s">
        <v>405</v>
      </c>
      <c r="B49" s="56">
        <v>16</v>
      </c>
      <c r="C49" s="56">
        <v>588.15</v>
      </c>
      <c r="D49" s="56">
        <v>426.5831</v>
      </c>
      <c r="E49" s="57">
        <v>6825.33</v>
      </c>
      <c r="F49" s="57">
        <v>9410.4</v>
      </c>
      <c r="G49" s="57">
        <v>2585.0700000000002</v>
      </c>
      <c r="H49" s="39">
        <f t="shared" si="0"/>
        <v>0.37874652214618199</v>
      </c>
    </row>
    <row r="50" spans="1:8" ht="18" thickBot="1">
      <c r="A50" s="55" t="s">
        <v>448</v>
      </c>
      <c r="B50" s="56">
        <v>29</v>
      </c>
      <c r="C50" s="56">
        <v>252</v>
      </c>
      <c r="D50" s="56">
        <v>139.30590000000001</v>
      </c>
      <c r="E50" s="57">
        <v>4039.87</v>
      </c>
      <c r="F50" s="57">
        <v>7308</v>
      </c>
      <c r="G50" s="57">
        <v>3268.13</v>
      </c>
      <c r="H50" s="39">
        <f t="shared" si="0"/>
        <v>0.80896910049085746</v>
      </c>
    </row>
    <row r="51" spans="1:8" ht="18" thickBot="1">
      <c r="A51" s="55" t="s">
        <v>410</v>
      </c>
      <c r="B51" s="56">
        <v>75</v>
      </c>
      <c r="C51" s="56">
        <v>653.54999999999995</v>
      </c>
      <c r="D51" s="56">
        <v>319.55869999999999</v>
      </c>
      <c r="E51" s="57">
        <v>23966.9</v>
      </c>
      <c r="F51" s="57">
        <v>49016.25</v>
      </c>
      <c r="G51" s="57">
        <v>25049.35</v>
      </c>
      <c r="H51" s="39">
        <f t="shared" si="0"/>
        <v>1.045164372530448</v>
      </c>
    </row>
    <row r="52" spans="1:8" ht="18" thickBot="1">
      <c r="A52" s="55" t="s">
        <v>411</v>
      </c>
      <c r="B52" s="56">
        <v>300</v>
      </c>
      <c r="C52" s="56">
        <v>125.4</v>
      </c>
      <c r="D52" s="56">
        <v>82.333299999999994</v>
      </c>
      <c r="E52" s="57">
        <v>24700</v>
      </c>
      <c r="F52" s="57">
        <v>37620</v>
      </c>
      <c r="G52" s="57">
        <v>12920</v>
      </c>
      <c r="H52" s="39">
        <f t="shared" si="0"/>
        <v>0.52307692307692311</v>
      </c>
    </row>
    <row r="53" spans="1:8" ht="18" thickBot="1">
      <c r="A53" s="55" t="s">
        <v>415</v>
      </c>
      <c r="B53" s="56">
        <v>18</v>
      </c>
      <c r="C53" s="56">
        <v>876</v>
      </c>
      <c r="D53" s="56">
        <v>774.18889999999999</v>
      </c>
      <c r="E53" s="57">
        <v>13935.4</v>
      </c>
      <c r="F53" s="57">
        <v>15768</v>
      </c>
      <c r="G53" s="57">
        <v>1832.6</v>
      </c>
      <c r="H53" s="39">
        <f t="shared" si="0"/>
        <v>0.13150680999468978</v>
      </c>
    </row>
    <row r="54" spans="1:8" ht="18" thickBot="1">
      <c r="A54" s="55" t="s">
        <v>450</v>
      </c>
      <c r="B54" s="56">
        <v>33</v>
      </c>
      <c r="C54" s="57">
        <v>1149.25</v>
      </c>
      <c r="D54" s="56">
        <v>491.78480000000002</v>
      </c>
      <c r="E54" s="57">
        <v>16228.9</v>
      </c>
      <c r="F54" s="57">
        <v>37925.25</v>
      </c>
      <c r="G54" s="57">
        <v>21696.35</v>
      </c>
      <c r="H54" s="39">
        <f t="shared" si="0"/>
        <v>1.3368959079173572</v>
      </c>
    </row>
    <row r="55" spans="1:8" ht="18" thickBot="1">
      <c r="A55" s="55" t="s">
        <v>420</v>
      </c>
      <c r="B55" s="56">
        <v>27</v>
      </c>
      <c r="C55" s="56">
        <v>988.8</v>
      </c>
      <c r="D55" s="56">
        <v>870.82960000000003</v>
      </c>
      <c r="E55" s="57">
        <v>23512.400000000001</v>
      </c>
      <c r="F55" s="57">
        <v>26697.599999999999</v>
      </c>
      <c r="G55" s="57">
        <v>3185.2</v>
      </c>
      <c r="H55" s="39">
        <f t="shared" si="0"/>
        <v>0.13546894404654564</v>
      </c>
    </row>
    <row r="56" spans="1:8" ht="18" thickBot="1">
      <c r="A56" s="55" t="s">
        <v>421</v>
      </c>
      <c r="B56" s="56">
        <v>35</v>
      </c>
      <c r="C56" s="57">
        <v>2119.4499999999998</v>
      </c>
      <c r="D56" s="56">
        <v>984.23</v>
      </c>
      <c r="E56" s="57">
        <v>34448.050000000003</v>
      </c>
      <c r="F56" s="57">
        <v>74180.75</v>
      </c>
      <c r="G56" s="57">
        <v>39732.699999999997</v>
      </c>
      <c r="H56" s="39">
        <f t="shared" si="0"/>
        <v>1.1534092640947744</v>
      </c>
    </row>
    <row r="57" spans="1:8" ht="18" thickBot="1">
      <c r="A57" s="55" t="s">
        <v>423</v>
      </c>
      <c r="B57" s="56">
        <v>25</v>
      </c>
      <c r="C57" s="56">
        <v>508.9</v>
      </c>
      <c r="D57" s="56">
        <v>455.18599999999998</v>
      </c>
      <c r="E57" s="57">
        <v>11379.65</v>
      </c>
      <c r="F57" s="57">
        <v>12722.5</v>
      </c>
      <c r="G57" s="57">
        <v>1342.85</v>
      </c>
      <c r="H57" s="39">
        <f t="shared" si="0"/>
        <v>0.1180045080472598</v>
      </c>
    </row>
    <row r="58" spans="1:8" ht="18" thickBot="1">
      <c r="A58" s="55" t="s">
        <v>425</v>
      </c>
      <c r="B58" s="56">
        <v>89</v>
      </c>
      <c r="C58" s="56">
        <v>433.6</v>
      </c>
      <c r="D58" s="56">
        <v>205.3742</v>
      </c>
      <c r="E58" s="57">
        <v>18278.3</v>
      </c>
      <c r="F58" s="57">
        <v>38590.400000000001</v>
      </c>
      <c r="G58" s="57">
        <v>20312.099999999999</v>
      </c>
      <c r="H58" s="39">
        <f t="shared" si="0"/>
        <v>1.1112685534212701</v>
      </c>
    </row>
    <row r="59" spans="1:8" ht="18" thickBot="1">
      <c r="A59" s="55" t="s">
        <v>426</v>
      </c>
      <c r="B59" s="56">
        <v>152</v>
      </c>
      <c r="C59" s="56">
        <v>674.2</v>
      </c>
      <c r="D59" s="56">
        <v>477.58749999999998</v>
      </c>
      <c r="E59" s="57">
        <v>72593.3</v>
      </c>
      <c r="F59" s="57">
        <v>102478.39999999999</v>
      </c>
      <c r="G59" s="57">
        <v>29885.1</v>
      </c>
      <c r="H59" s="39">
        <f t="shared" si="0"/>
        <v>0.41167848823514014</v>
      </c>
    </row>
    <row r="60" spans="1:8" ht="18" thickBot="1">
      <c r="A60" s="55" t="s">
        <v>427</v>
      </c>
      <c r="B60" s="56">
        <v>15</v>
      </c>
      <c r="C60" s="56">
        <v>810.85</v>
      </c>
      <c r="D60" s="56">
        <v>542.74869999999999</v>
      </c>
      <c r="E60" s="57">
        <v>8141.23</v>
      </c>
      <c r="F60" s="57">
        <v>12162.75</v>
      </c>
      <c r="G60" s="57">
        <v>4021.52</v>
      </c>
      <c r="H60" s="39">
        <f t="shared" si="0"/>
        <v>0.49396958444854161</v>
      </c>
    </row>
    <row r="61" spans="1:8" ht="18" thickBot="1">
      <c r="A61" s="55" t="s">
        <v>428</v>
      </c>
      <c r="B61" s="56">
        <v>39</v>
      </c>
      <c r="C61" s="56">
        <v>302.60000000000002</v>
      </c>
      <c r="D61" s="56">
        <v>324.14030000000002</v>
      </c>
      <c r="E61" s="57">
        <v>12641.47</v>
      </c>
      <c r="F61" s="57">
        <v>11801.4</v>
      </c>
      <c r="G61" s="57">
        <v>-840.07</v>
      </c>
      <c r="H61" s="39">
        <f t="shared" si="0"/>
        <v>-6.6453505802727061E-2</v>
      </c>
    </row>
    <row r="62" spans="1:8" ht="18" thickBot="1">
      <c r="A62" s="55" t="s">
        <v>429</v>
      </c>
      <c r="B62" s="56">
        <v>42</v>
      </c>
      <c r="C62" s="56">
        <v>278.3</v>
      </c>
      <c r="D62" s="56">
        <v>207.95400000000001</v>
      </c>
      <c r="E62" s="57">
        <v>8734.07</v>
      </c>
      <c r="F62" s="57">
        <v>11688.6</v>
      </c>
      <c r="G62" s="57">
        <v>2954.53</v>
      </c>
      <c r="H62" s="39">
        <f t="shared" si="0"/>
        <v>0.33827642782803441</v>
      </c>
    </row>
    <row r="63" spans="1:8" ht="18" thickBot="1">
      <c r="A63" s="55" t="s">
        <v>430</v>
      </c>
      <c r="B63" s="56">
        <v>86</v>
      </c>
      <c r="C63" s="56">
        <v>589.20000000000005</v>
      </c>
      <c r="D63" s="56">
        <v>410.71780000000001</v>
      </c>
      <c r="E63" s="57">
        <v>35321.730000000003</v>
      </c>
      <c r="F63" s="57">
        <v>50671.199999999997</v>
      </c>
      <c r="G63" s="57">
        <v>15349.47</v>
      </c>
      <c r="H63" s="39">
        <f t="shared" si="0"/>
        <v>0.43456167067694584</v>
      </c>
    </row>
    <row r="64" spans="1:8" ht="18" thickBot="1">
      <c r="A64" s="55" t="s">
        <v>432</v>
      </c>
      <c r="B64" s="56">
        <v>15</v>
      </c>
      <c r="C64" s="56">
        <v>686.7</v>
      </c>
      <c r="D64" s="56">
        <v>582.97</v>
      </c>
      <c r="E64" s="57">
        <v>8744.5499999999993</v>
      </c>
      <c r="F64" s="57">
        <v>10300.5</v>
      </c>
      <c r="G64" s="57">
        <v>1555.95</v>
      </c>
      <c r="H64" s="39">
        <f t="shared" si="0"/>
        <v>0.17793368440914628</v>
      </c>
    </row>
    <row r="65" spans="1:8" ht="18" thickBot="1">
      <c r="A65" s="55" t="s">
        <v>433</v>
      </c>
      <c r="B65" s="56">
        <v>775</v>
      </c>
      <c r="C65" s="56">
        <v>151.85</v>
      </c>
      <c r="D65" s="56">
        <v>99.291600000000003</v>
      </c>
      <c r="E65" s="57">
        <v>76951</v>
      </c>
      <c r="F65" s="57">
        <v>117683.75</v>
      </c>
      <c r="G65" s="57">
        <v>40732.75</v>
      </c>
      <c r="H65" s="39">
        <f t="shared" si="0"/>
        <v>0.52933360190250944</v>
      </c>
    </row>
    <row r="66" spans="1:8" ht="18" thickBot="1">
      <c r="A66" s="55" t="s">
        <v>434</v>
      </c>
      <c r="B66" s="56">
        <v>105</v>
      </c>
      <c r="C66" s="57">
        <v>1119.9000000000001</v>
      </c>
      <c r="D66" s="56">
        <v>404.76429999999999</v>
      </c>
      <c r="E66" s="57">
        <v>42500.25</v>
      </c>
      <c r="F66" s="57">
        <v>117589.5</v>
      </c>
      <c r="G66" s="57">
        <v>75089.25</v>
      </c>
      <c r="H66" s="39">
        <f t="shared" si="0"/>
        <v>1.7667954894382973</v>
      </c>
    </row>
    <row r="67" spans="1:8" ht="18" thickBot="1">
      <c r="A67" s="55" t="s">
        <v>438</v>
      </c>
      <c r="B67" s="56">
        <v>14</v>
      </c>
      <c r="C67" s="57">
        <v>1058.5999999999999</v>
      </c>
      <c r="D67" s="57">
        <v>1005.6214</v>
      </c>
      <c r="E67" s="57">
        <v>14078.7</v>
      </c>
      <c r="F67" s="57">
        <v>14820.4</v>
      </c>
      <c r="G67" s="56">
        <v>741.7</v>
      </c>
      <c r="H67" s="39">
        <f t="shared" ref="H67:H72" si="1">G67/E67</f>
        <v>5.2682420962162697E-2</v>
      </c>
    </row>
    <row r="68" spans="1:8" ht="18" thickBot="1">
      <c r="A68" s="55" t="s">
        <v>470</v>
      </c>
      <c r="B68" s="56">
        <v>25</v>
      </c>
      <c r="C68" s="57">
        <v>1210.3</v>
      </c>
      <c r="D68" s="57">
        <v>1037.2852</v>
      </c>
      <c r="E68" s="57">
        <v>25932.13</v>
      </c>
      <c r="F68" s="57">
        <v>30257.5</v>
      </c>
      <c r="G68" s="57">
        <v>4325.37</v>
      </c>
      <c r="H68" s="39">
        <f t="shared" si="1"/>
        <v>0.1667957857684656</v>
      </c>
    </row>
    <row r="69" spans="1:8" ht="18" thickBot="1">
      <c r="A69" s="55" t="s">
        <v>465</v>
      </c>
      <c r="B69" s="56">
        <v>209</v>
      </c>
      <c r="C69" s="56">
        <v>147.75</v>
      </c>
      <c r="D69" s="56">
        <v>136.4725</v>
      </c>
      <c r="E69" s="57">
        <v>28522.76</v>
      </c>
      <c r="F69" s="57">
        <v>30879.75</v>
      </c>
      <c r="G69" s="57">
        <v>2356.9899999999998</v>
      </c>
      <c r="H69" s="39">
        <f t="shared" si="1"/>
        <v>8.2635411159368871E-2</v>
      </c>
    </row>
    <row r="70" spans="1:8" ht="18" thickBot="1">
      <c r="A70" s="55" t="s">
        <v>439</v>
      </c>
      <c r="B70" s="56">
        <v>525</v>
      </c>
      <c r="C70" s="56">
        <v>13.73</v>
      </c>
      <c r="D70" s="56">
        <v>38.966700000000003</v>
      </c>
      <c r="E70" s="57">
        <v>20457.5</v>
      </c>
      <c r="F70" s="57">
        <v>7208.25</v>
      </c>
      <c r="G70" s="57">
        <v>-13249.25</v>
      </c>
      <c r="H70" s="39">
        <f t="shared" si="1"/>
        <v>-0.64764756201881946</v>
      </c>
    </row>
    <row r="71" spans="1:8" ht="18" thickBot="1">
      <c r="A71" s="58" t="s">
        <v>440</v>
      </c>
      <c r="B71" s="59">
        <v>8</v>
      </c>
      <c r="C71" s="60">
        <v>2096.35</v>
      </c>
      <c r="D71" s="60">
        <v>1918.7674999999999</v>
      </c>
      <c r="E71" s="60">
        <v>15350.14</v>
      </c>
      <c r="F71" s="60">
        <v>16770.8</v>
      </c>
      <c r="G71" s="60">
        <v>1420.66</v>
      </c>
      <c r="H71" s="43">
        <f t="shared" si="1"/>
        <v>9.2550295958212764E-2</v>
      </c>
    </row>
    <row r="72" spans="1:8" ht="18.75" thickBot="1">
      <c r="A72" s="44" t="s">
        <v>11</v>
      </c>
      <c r="B72" s="44">
        <f>SUM(B2:B71)</f>
        <v>6738</v>
      </c>
      <c r="C72" s="44"/>
      <c r="D72" s="44"/>
      <c r="E72" s="45">
        <f>SUM(E2:E71)</f>
        <v>1830128.2799999993</v>
      </c>
      <c r="F72" s="45">
        <f>SUM(F2:F71)</f>
        <v>2436437.899999999</v>
      </c>
      <c r="G72" s="45">
        <f>SUM(G2:G71)</f>
        <v>606309.61999999988</v>
      </c>
      <c r="H72" s="46">
        <f t="shared" si="1"/>
        <v>0.33129350910855282</v>
      </c>
    </row>
    <row r="73" spans="1:8" ht="15.75" thickTop="1"/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E204-BE14-476D-B0A8-F76D0FE73A24}">
  <dimension ref="A1:I13"/>
  <sheetViews>
    <sheetView workbookViewId="0">
      <selection activeCell="F12" sqref="F12:H12"/>
    </sheetView>
  </sheetViews>
  <sheetFormatPr defaultColWidth="8.7109375" defaultRowHeight="15"/>
  <cols>
    <col min="1" max="1" width="51.28515625" style="22" bestFit="1" customWidth="1"/>
    <col min="2" max="2" width="20.28515625" style="22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16384" width="8.7109375" style="22"/>
  </cols>
  <sheetData>
    <row r="1" spans="1:9" ht="31.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30" t="s">
        <v>142</v>
      </c>
    </row>
    <row r="2" spans="1:9" ht="15.75" thickBot="1">
      <c r="A2" s="55" t="s">
        <v>234</v>
      </c>
      <c r="B2" s="56" t="s">
        <v>235</v>
      </c>
      <c r="C2" s="57">
        <v>1343.5050000000001</v>
      </c>
      <c r="D2" s="56">
        <v>65.34</v>
      </c>
      <c r="E2" s="56">
        <v>59.5428</v>
      </c>
      <c r="F2" s="57">
        <v>79996.0429</v>
      </c>
      <c r="G2" s="57">
        <v>87784.616699999999</v>
      </c>
      <c r="H2" s="57">
        <v>7788.5738000000001</v>
      </c>
      <c r="I2" s="1">
        <f>H2/F2</f>
        <v>9.7361988389053175E-2</v>
      </c>
    </row>
    <row r="3" spans="1:9" ht="15.75" thickBot="1">
      <c r="A3" s="55" t="s">
        <v>236</v>
      </c>
      <c r="B3" s="56" t="s">
        <v>237</v>
      </c>
      <c r="C3" s="57">
        <v>9119.6389999999992</v>
      </c>
      <c r="D3" s="56">
        <v>54.51</v>
      </c>
      <c r="E3" s="56">
        <v>37.2804</v>
      </c>
      <c r="F3" s="57">
        <v>339983.92940000002</v>
      </c>
      <c r="G3" s="57">
        <v>497111.52189999999</v>
      </c>
      <c r="H3" s="57">
        <v>157127.5925</v>
      </c>
      <c r="I3" s="1">
        <f t="shared" ref="I3:I12" si="0">H3/F3</f>
        <v>0.46216182269937606</v>
      </c>
    </row>
    <row r="4" spans="1:9" ht="15.75" thickBot="1">
      <c r="A4" s="55" t="s">
        <v>454</v>
      </c>
      <c r="B4" s="56" t="s">
        <v>269</v>
      </c>
      <c r="C4" s="56">
        <v>113.212</v>
      </c>
      <c r="D4" s="57">
        <v>3109.1097</v>
      </c>
      <c r="E4" s="57">
        <v>3097.5493999999999</v>
      </c>
      <c r="F4" s="57">
        <v>350679.76730000001</v>
      </c>
      <c r="G4" s="57">
        <v>351988.52740000002</v>
      </c>
      <c r="H4" s="57">
        <v>1308.76</v>
      </c>
      <c r="I4" s="1">
        <f t="shared" si="0"/>
        <v>3.732065896121062E-3</v>
      </c>
    </row>
    <row r="5" spans="1:9" ht="15.75" thickBot="1">
      <c r="A5" s="55" t="s">
        <v>441</v>
      </c>
      <c r="B5" s="56" t="s">
        <v>241</v>
      </c>
      <c r="C5" s="57">
        <v>1653.7639999999999</v>
      </c>
      <c r="D5" s="56">
        <v>475.1003</v>
      </c>
      <c r="E5" s="56">
        <v>350.66039999999998</v>
      </c>
      <c r="F5" s="57">
        <v>579909.48419999995</v>
      </c>
      <c r="G5" s="57">
        <v>785703.77249999996</v>
      </c>
      <c r="H5" s="57">
        <v>205794.28829999999</v>
      </c>
      <c r="I5" s="1">
        <f t="shared" si="0"/>
        <v>0.35487312055932058</v>
      </c>
    </row>
    <row r="6" spans="1:9" ht="15.75" thickBot="1">
      <c r="A6" s="55" t="s">
        <v>242</v>
      </c>
      <c r="B6" s="56" t="s">
        <v>237</v>
      </c>
      <c r="C6" s="57">
        <v>5856.576</v>
      </c>
      <c r="D6" s="56">
        <v>67.813000000000002</v>
      </c>
      <c r="E6" s="56">
        <v>44.3917</v>
      </c>
      <c r="F6" s="57">
        <v>259983.36480000001</v>
      </c>
      <c r="G6" s="57">
        <v>397151.98830000003</v>
      </c>
      <c r="H6" s="57">
        <v>137168.62349999999</v>
      </c>
      <c r="I6" s="1">
        <f t="shared" si="0"/>
        <v>0.52760538585044103</v>
      </c>
    </row>
    <row r="7" spans="1:9" ht="15.75" thickBot="1">
      <c r="A7" s="55" t="s">
        <v>272</v>
      </c>
      <c r="B7" s="56" t="s">
        <v>235</v>
      </c>
      <c r="C7" s="57">
        <v>6641.4979999999996</v>
      </c>
      <c r="D7" s="56">
        <v>68.977999999999994</v>
      </c>
      <c r="E7" s="56">
        <v>41.7624</v>
      </c>
      <c r="F7" s="57">
        <v>277364.96380000003</v>
      </c>
      <c r="G7" s="57">
        <v>458117.24900000001</v>
      </c>
      <c r="H7" s="57">
        <v>180752.28529999999</v>
      </c>
      <c r="I7" s="1">
        <f t="shared" si="0"/>
        <v>0.65167670358803975</v>
      </c>
    </row>
    <row r="8" spans="1:9" ht="15.75" thickBot="1">
      <c r="A8" s="55" t="s">
        <v>250</v>
      </c>
      <c r="B8" s="56" t="s">
        <v>251</v>
      </c>
      <c r="C8" s="57">
        <v>7747.2269999999999</v>
      </c>
      <c r="D8" s="56">
        <v>43.654899999999998</v>
      </c>
      <c r="E8" s="56">
        <v>33.0381</v>
      </c>
      <c r="F8" s="57">
        <v>255953.4852</v>
      </c>
      <c r="G8" s="57">
        <v>338204.42</v>
      </c>
      <c r="H8" s="57">
        <v>82250.934800000003</v>
      </c>
      <c r="I8" s="1">
        <f t="shared" si="0"/>
        <v>0.32135110305581416</v>
      </c>
    </row>
    <row r="9" spans="1:9" ht="15.75" thickBot="1">
      <c r="A9" s="55" t="s">
        <v>274</v>
      </c>
      <c r="B9" s="56" t="s">
        <v>233</v>
      </c>
      <c r="C9" s="57">
        <v>3856.9740000000002</v>
      </c>
      <c r="D9" s="56">
        <v>36.46</v>
      </c>
      <c r="E9" s="56">
        <v>36.296300000000002</v>
      </c>
      <c r="F9" s="57">
        <v>139993.81289999999</v>
      </c>
      <c r="G9" s="57">
        <v>140625.272</v>
      </c>
      <c r="H9" s="57">
        <v>631.45920000000001</v>
      </c>
      <c r="I9" s="1">
        <f t="shared" si="0"/>
        <v>4.5106221976471362E-3</v>
      </c>
    </row>
    <row r="10" spans="1:9" ht="15.75" thickBot="1">
      <c r="A10" s="55" t="s">
        <v>455</v>
      </c>
      <c r="B10" s="56" t="s">
        <v>241</v>
      </c>
      <c r="C10" s="56">
        <v>197.84399999999999</v>
      </c>
      <c r="D10" s="56">
        <v>133.93629999999999</v>
      </c>
      <c r="E10" s="56">
        <v>126.3557</v>
      </c>
      <c r="F10" s="57">
        <v>24998.7091</v>
      </c>
      <c r="G10" s="57">
        <v>26498.493299999998</v>
      </c>
      <c r="H10" s="57">
        <v>1499.7842000000001</v>
      </c>
      <c r="I10" s="1">
        <f>H10/F10</f>
        <v>5.9994465874239886E-2</v>
      </c>
    </row>
    <row r="11" spans="1:9" ht="15.75" thickBot="1">
      <c r="A11" s="58" t="s">
        <v>255</v>
      </c>
      <c r="B11" s="59" t="s">
        <v>241</v>
      </c>
      <c r="C11" s="60">
        <v>18996.168000000001</v>
      </c>
      <c r="D11" s="59">
        <v>14.011799999999999</v>
      </c>
      <c r="E11" s="59">
        <v>9.4700000000000006</v>
      </c>
      <c r="F11" s="60">
        <v>179893.71100000001</v>
      </c>
      <c r="G11" s="60">
        <v>266170.50679999997</v>
      </c>
      <c r="H11" s="60">
        <v>86276.795800000007</v>
      </c>
      <c r="I11" s="61">
        <f t="shared" si="0"/>
        <v>0.47959873260939068</v>
      </c>
    </row>
    <row r="12" spans="1:9" ht="15.75" thickBot="1">
      <c r="A12" s="51" t="s">
        <v>11</v>
      </c>
      <c r="B12" s="51"/>
      <c r="C12" s="52">
        <f>SUM(C2:C11)</f>
        <v>55526.406999999992</v>
      </c>
      <c r="D12" s="52"/>
      <c r="E12" s="52"/>
      <c r="F12" s="52">
        <f t="shared" ref="F12:H12" si="1">SUM(F2:F11)</f>
        <v>2488757.2705999999</v>
      </c>
      <c r="G12" s="52">
        <f t="shared" si="1"/>
        <v>3349356.3679</v>
      </c>
      <c r="H12" s="52">
        <f t="shared" si="1"/>
        <v>860599.09739999997</v>
      </c>
      <c r="I12" s="53">
        <f t="shared" si="0"/>
        <v>0.34579470949873836</v>
      </c>
    </row>
    <row r="13" spans="1:9" ht="15.75" thickTop="1"/>
  </sheetData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DC63-2310-4D36-B65C-4B73B6BC7F68}">
  <dimension ref="A1:H73"/>
  <sheetViews>
    <sheetView topLeftCell="A51" workbookViewId="0">
      <selection activeCell="E17" sqref="E17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1.85546875" bestFit="1" customWidth="1"/>
  </cols>
  <sheetData>
    <row r="1" spans="1:8" ht="18" thickBot="1">
      <c r="A1" s="54" t="s">
        <v>349</v>
      </c>
      <c r="B1" s="54" t="s">
        <v>225</v>
      </c>
      <c r="C1" s="54" t="s">
        <v>226</v>
      </c>
      <c r="D1" s="54" t="s">
        <v>350</v>
      </c>
      <c r="E1" s="54" t="s">
        <v>228</v>
      </c>
      <c r="F1" s="54" t="s">
        <v>229</v>
      </c>
      <c r="G1" s="54" t="s">
        <v>351</v>
      </c>
      <c r="H1" s="35" t="s">
        <v>142</v>
      </c>
    </row>
    <row r="2" spans="1:8" ht="18" thickBot="1">
      <c r="A2" s="55" t="s">
        <v>352</v>
      </c>
      <c r="B2" s="56">
        <v>21</v>
      </c>
      <c r="C2" s="57">
        <v>1946.5</v>
      </c>
      <c r="D2" s="57">
        <v>1698.49</v>
      </c>
      <c r="E2" s="57">
        <v>35668.29</v>
      </c>
      <c r="F2" s="57">
        <v>40876.5</v>
      </c>
      <c r="G2" s="57">
        <v>5208.21</v>
      </c>
      <c r="H2" s="39">
        <f>G2/E2</f>
        <v>0.14601793357629422</v>
      </c>
    </row>
    <row r="3" spans="1:8" ht="18" thickBot="1">
      <c r="A3" s="55" t="s">
        <v>458</v>
      </c>
      <c r="B3" s="56">
        <v>272</v>
      </c>
      <c r="C3" s="56">
        <v>130.1</v>
      </c>
      <c r="D3" s="56">
        <v>110.6285</v>
      </c>
      <c r="E3" s="57">
        <v>30090.959999999999</v>
      </c>
      <c r="F3" s="57">
        <v>35387.199999999997</v>
      </c>
      <c r="G3" s="57">
        <v>5296.24</v>
      </c>
      <c r="H3" s="39">
        <f t="shared" ref="H3:H66" si="0">G3/E3</f>
        <v>0.1760076780534752</v>
      </c>
    </row>
    <row r="4" spans="1:8" ht="18" thickBot="1">
      <c r="A4" s="55" t="s">
        <v>469</v>
      </c>
      <c r="B4" s="56">
        <v>31</v>
      </c>
      <c r="C4" s="56">
        <v>956</v>
      </c>
      <c r="D4" s="56">
        <v>731.81129999999996</v>
      </c>
      <c r="E4" s="57">
        <v>22686.15</v>
      </c>
      <c r="F4" s="57">
        <v>29636</v>
      </c>
      <c r="G4" s="57">
        <v>6949.85</v>
      </c>
      <c r="H4" s="39">
        <f t="shared" si="0"/>
        <v>0.30634770553840118</v>
      </c>
    </row>
    <row r="5" spans="1:8" ht="18" thickBot="1">
      <c r="A5" s="55" t="s">
        <v>353</v>
      </c>
      <c r="B5" s="56">
        <v>18</v>
      </c>
      <c r="C5" s="57">
        <v>2900.1</v>
      </c>
      <c r="D5" s="57">
        <v>2469.1017000000002</v>
      </c>
      <c r="E5" s="57">
        <v>44443.83</v>
      </c>
      <c r="F5" s="57">
        <v>52201.8</v>
      </c>
      <c r="G5" s="57">
        <v>7757.97</v>
      </c>
      <c r="H5" s="39">
        <f t="shared" si="0"/>
        <v>0.17455673824690626</v>
      </c>
    </row>
    <row r="6" spans="1:8" ht="18" thickBot="1">
      <c r="A6" s="55" t="s">
        <v>354</v>
      </c>
      <c r="B6" s="56">
        <v>250</v>
      </c>
      <c r="C6" s="56">
        <v>215.1</v>
      </c>
      <c r="D6" s="56">
        <v>183.58799999999999</v>
      </c>
      <c r="E6" s="57">
        <v>45897</v>
      </c>
      <c r="F6" s="57">
        <v>53775</v>
      </c>
      <c r="G6" s="57">
        <v>7878</v>
      </c>
      <c r="H6" s="39">
        <f t="shared" si="0"/>
        <v>0.17164520556899143</v>
      </c>
    </row>
    <row r="7" spans="1:8" ht="18" thickBot="1">
      <c r="A7" s="55" t="s">
        <v>355</v>
      </c>
      <c r="B7" s="56">
        <v>10</v>
      </c>
      <c r="C7" s="57">
        <v>2567.65</v>
      </c>
      <c r="D7" s="57">
        <v>2188.4</v>
      </c>
      <c r="E7" s="57">
        <v>21884</v>
      </c>
      <c r="F7" s="57">
        <v>25676.5</v>
      </c>
      <c r="G7" s="57">
        <v>3792.5</v>
      </c>
      <c r="H7" s="39">
        <f t="shared" si="0"/>
        <v>0.1733001279473588</v>
      </c>
    </row>
    <row r="8" spans="1:8" ht="18" thickBot="1">
      <c r="A8" s="55" t="s">
        <v>356</v>
      </c>
      <c r="B8" s="56">
        <v>40</v>
      </c>
      <c r="C8" s="56">
        <v>942</v>
      </c>
      <c r="D8" s="56">
        <v>922.5675</v>
      </c>
      <c r="E8" s="57">
        <v>36902.699999999997</v>
      </c>
      <c r="F8" s="57">
        <v>37680</v>
      </c>
      <c r="G8" s="56">
        <v>777.3</v>
      </c>
      <c r="H8" s="39">
        <f t="shared" si="0"/>
        <v>2.1063499418741718E-2</v>
      </c>
    </row>
    <row r="9" spans="1:8" ht="18" thickBot="1">
      <c r="A9" s="55" t="s">
        <v>466</v>
      </c>
      <c r="B9" s="56">
        <v>27</v>
      </c>
      <c r="C9" s="57">
        <v>1018.1</v>
      </c>
      <c r="D9" s="56">
        <v>832.95</v>
      </c>
      <c r="E9" s="57">
        <v>22489.65</v>
      </c>
      <c r="F9" s="57">
        <v>27488.7</v>
      </c>
      <c r="G9" s="57">
        <v>4999.05</v>
      </c>
      <c r="H9" s="39">
        <f t="shared" si="0"/>
        <v>0.22228224983492406</v>
      </c>
    </row>
    <row r="10" spans="1:8" ht="18" thickBot="1">
      <c r="A10" s="55" t="s">
        <v>357</v>
      </c>
      <c r="B10" s="56">
        <v>6</v>
      </c>
      <c r="C10" s="57">
        <v>2875.65</v>
      </c>
      <c r="D10" s="57">
        <v>2674.64</v>
      </c>
      <c r="E10" s="57">
        <v>16047.84</v>
      </c>
      <c r="F10" s="57">
        <v>17253.900000000001</v>
      </c>
      <c r="G10" s="57">
        <v>1206.06</v>
      </c>
      <c r="H10" s="39">
        <f t="shared" si="0"/>
        <v>7.5154039422127838E-2</v>
      </c>
    </row>
    <row r="11" spans="1:8" ht="18" thickBot="1">
      <c r="A11" s="55" t="s">
        <v>358</v>
      </c>
      <c r="B11" s="56">
        <v>44</v>
      </c>
      <c r="C11" s="56">
        <v>717.15</v>
      </c>
      <c r="D11" s="56">
        <v>510.15109999999999</v>
      </c>
      <c r="E11" s="57">
        <v>22446.65</v>
      </c>
      <c r="F11" s="57">
        <v>31554.6</v>
      </c>
      <c r="G11" s="57">
        <v>9107.9500000000007</v>
      </c>
      <c r="H11" s="39">
        <f t="shared" si="0"/>
        <v>0.4057598795365901</v>
      </c>
    </row>
    <row r="12" spans="1:8" ht="18" thickBot="1">
      <c r="A12" s="55" t="s">
        <v>359</v>
      </c>
      <c r="B12" s="56">
        <v>17</v>
      </c>
      <c r="C12" s="57">
        <v>3843.65</v>
      </c>
      <c r="D12" s="57">
        <v>2211.9353000000001</v>
      </c>
      <c r="E12" s="57">
        <v>37602.9</v>
      </c>
      <c r="F12" s="57">
        <v>65342.05</v>
      </c>
      <c r="G12" s="57">
        <v>27739.15</v>
      </c>
      <c r="H12" s="39">
        <f t="shared" si="0"/>
        <v>0.73768645503405328</v>
      </c>
    </row>
    <row r="13" spans="1:8" ht="18" thickBot="1">
      <c r="A13" s="55" t="s">
        <v>459</v>
      </c>
      <c r="B13" s="56">
        <v>34</v>
      </c>
      <c r="C13" s="56">
        <v>269.89999999999998</v>
      </c>
      <c r="D13" s="56">
        <v>229.3441</v>
      </c>
      <c r="E13" s="57">
        <v>7797.7</v>
      </c>
      <c r="F13" s="57">
        <v>9176.6</v>
      </c>
      <c r="G13" s="57">
        <v>1378.9</v>
      </c>
      <c r="H13" s="39">
        <f t="shared" si="0"/>
        <v>0.17683419469843673</v>
      </c>
    </row>
    <row r="14" spans="1:8" ht="18" thickBot="1">
      <c r="A14" s="55" t="s">
        <v>361</v>
      </c>
      <c r="B14" s="56">
        <v>5</v>
      </c>
      <c r="C14" s="57">
        <v>1797.75</v>
      </c>
      <c r="D14" s="57">
        <v>1533.81</v>
      </c>
      <c r="E14" s="57">
        <v>7669.05</v>
      </c>
      <c r="F14" s="57">
        <v>8988.75</v>
      </c>
      <c r="G14" s="57">
        <v>1319.7</v>
      </c>
      <c r="H14" s="39">
        <f t="shared" si="0"/>
        <v>0.17208128777358342</v>
      </c>
    </row>
    <row r="15" spans="1:8" ht="18" thickBot="1">
      <c r="A15" s="55" t="s">
        <v>362</v>
      </c>
      <c r="B15" s="56">
        <v>180</v>
      </c>
      <c r="C15" s="56">
        <v>559.9</v>
      </c>
      <c r="D15" s="56">
        <v>322.88889999999998</v>
      </c>
      <c r="E15" s="57">
        <v>58120</v>
      </c>
      <c r="F15" s="57">
        <v>100782</v>
      </c>
      <c r="G15" s="57">
        <v>42662</v>
      </c>
      <c r="H15" s="39">
        <f t="shared" si="0"/>
        <v>0.73403303509979356</v>
      </c>
    </row>
    <row r="16" spans="1:8" ht="18" thickBot="1">
      <c r="A16" s="55" t="s">
        <v>364</v>
      </c>
      <c r="B16" s="56">
        <v>5</v>
      </c>
      <c r="C16" s="57">
        <v>3451.3</v>
      </c>
      <c r="D16" s="57">
        <v>3544.68</v>
      </c>
      <c r="E16" s="57">
        <v>17723.400000000001</v>
      </c>
      <c r="F16" s="57">
        <v>17256.5</v>
      </c>
      <c r="G16" s="56">
        <v>-466.9</v>
      </c>
      <c r="H16" s="39">
        <f t="shared" si="0"/>
        <v>-2.6343703804010514E-2</v>
      </c>
    </row>
    <row r="17" spans="1:8" ht="18" thickBot="1">
      <c r="A17" s="55" t="s">
        <v>365</v>
      </c>
      <c r="B17" s="56">
        <v>180</v>
      </c>
      <c r="C17" s="56">
        <v>123.85</v>
      </c>
      <c r="D17" s="56">
        <v>155.25</v>
      </c>
      <c r="E17" s="57">
        <v>27945</v>
      </c>
      <c r="F17" s="57">
        <v>22293</v>
      </c>
      <c r="G17" s="57">
        <v>-5652</v>
      </c>
      <c r="H17" s="39">
        <f t="shared" si="0"/>
        <v>-0.20225442834138485</v>
      </c>
    </row>
    <row r="18" spans="1:8" ht="18" thickBot="1">
      <c r="A18" s="55" t="s">
        <v>366</v>
      </c>
      <c r="B18" s="56">
        <v>42</v>
      </c>
      <c r="C18" s="56">
        <v>888.7</v>
      </c>
      <c r="D18" s="56">
        <v>600.02689999999996</v>
      </c>
      <c r="E18" s="57">
        <v>25201.13</v>
      </c>
      <c r="F18" s="57">
        <v>37325.4</v>
      </c>
      <c r="G18" s="57">
        <v>12124.27</v>
      </c>
      <c r="H18" s="39">
        <f t="shared" si="0"/>
        <v>0.4811002522505935</v>
      </c>
    </row>
    <row r="19" spans="1:8" ht="18" thickBot="1">
      <c r="A19" s="55" t="s">
        <v>460</v>
      </c>
      <c r="B19" s="56">
        <v>190</v>
      </c>
      <c r="C19" s="56">
        <v>169.55</v>
      </c>
      <c r="D19" s="56">
        <v>151.93090000000001</v>
      </c>
      <c r="E19" s="57">
        <v>28866.87</v>
      </c>
      <c r="F19" s="57">
        <v>32214.5</v>
      </c>
      <c r="G19" s="57">
        <v>3347.63</v>
      </c>
      <c r="H19" s="39">
        <f t="shared" si="0"/>
        <v>0.11596788983357047</v>
      </c>
    </row>
    <row r="20" spans="1:8" ht="18" thickBot="1">
      <c r="A20" s="55" t="s">
        <v>367</v>
      </c>
      <c r="B20" s="56">
        <v>250</v>
      </c>
      <c r="C20" s="56">
        <v>133</v>
      </c>
      <c r="D20" s="56">
        <v>163.66999999999999</v>
      </c>
      <c r="E20" s="57">
        <v>40917.5</v>
      </c>
      <c r="F20" s="57">
        <v>33250</v>
      </c>
      <c r="G20" s="57">
        <v>-7667.5</v>
      </c>
      <c r="H20" s="39">
        <f t="shared" si="0"/>
        <v>-0.18738925887456467</v>
      </c>
    </row>
    <row r="21" spans="1:8" ht="18" thickBot="1">
      <c r="A21" s="55" t="s">
        <v>369</v>
      </c>
      <c r="B21" s="56">
        <v>8</v>
      </c>
      <c r="C21" s="57">
        <v>1494.25</v>
      </c>
      <c r="D21" s="57">
        <v>1565.8188</v>
      </c>
      <c r="E21" s="57">
        <v>12526.55</v>
      </c>
      <c r="F21" s="57">
        <v>11954</v>
      </c>
      <c r="G21" s="56">
        <v>-572.54999999999995</v>
      </c>
      <c r="H21" s="39">
        <f t="shared" si="0"/>
        <v>-4.570691850509518E-2</v>
      </c>
    </row>
    <row r="22" spans="1:8" ht="18" thickBot="1">
      <c r="A22" s="55" t="s">
        <v>370</v>
      </c>
      <c r="B22" s="56">
        <v>19</v>
      </c>
      <c r="C22" s="56">
        <v>541.20000000000005</v>
      </c>
      <c r="D22" s="56">
        <v>527.39049999999997</v>
      </c>
      <c r="E22" s="57">
        <v>10020.42</v>
      </c>
      <c r="F22" s="57">
        <v>10282.799999999999</v>
      </c>
      <c r="G22" s="56">
        <v>262.38</v>
      </c>
      <c r="H22" s="39">
        <f t="shared" si="0"/>
        <v>2.61845311873155E-2</v>
      </c>
    </row>
    <row r="23" spans="1:8" ht="18" thickBot="1">
      <c r="A23" s="55" t="s">
        <v>371</v>
      </c>
      <c r="B23" s="56">
        <v>13</v>
      </c>
      <c r="C23" s="57">
        <v>4035.25</v>
      </c>
      <c r="D23" s="57">
        <v>2202.3762000000002</v>
      </c>
      <c r="E23" s="57">
        <v>28630.89</v>
      </c>
      <c r="F23" s="57">
        <v>52458.25</v>
      </c>
      <c r="G23" s="57">
        <v>23827.360000000001</v>
      </c>
      <c r="H23" s="39">
        <f t="shared" si="0"/>
        <v>0.83222561366412295</v>
      </c>
    </row>
    <row r="24" spans="1:8" ht="18" thickBot="1">
      <c r="A24" s="55" t="s">
        <v>372</v>
      </c>
      <c r="B24" s="56">
        <v>36</v>
      </c>
      <c r="C24" s="56">
        <v>248.55</v>
      </c>
      <c r="D24" s="56">
        <v>243.60749999999999</v>
      </c>
      <c r="E24" s="57">
        <v>8769.8700000000008</v>
      </c>
      <c r="F24" s="57">
        <v>8947.7999999999993</v>
      </c>
      <c r="G24" s="56">
        <v>177.93</v>
      </c>
      <c r="H24" s="39">
        <f t="shared" si="0"/>
        <v>2.0288784212308734E-2</v>
      </c>
    </row>
    <row r="25" spans="1:8" ht="18" thickBot="1">
      <c r="A25" s="55" t="s">
        <v>374</v>
      </c>
      <c r="B25" s="56">
        <v>4</v>
      </c>
      <c r="C25" s="57">
        <v>2371.4499999999998</v>
      </c>
      <c r="D25" s="57">
        <v>2385.21</v>
      </c>
      <c r="E25" s="57">
        <v>9540.84</v>
      </c>
      <c r="F25" s="57">
        <v>9485.7999999999993</v>
      </c>
      <c r="G25" s="56">
        <v>-55.04</v>
      </c>
      <c r="H25" s="39">
        <f t="shared" si="0"/>
        <v>-5.7688840814854878E-3</v>
      </c>
    </row>
    <row r="26" spans="1:8" ht="18" thickBot="1">
      <c r="A26" s="55" t="s">
        <v>376</v>
      </c>
      <c r="B26" s="56">
        <v>7</v>
      </c>
      <c r="C26" s="57">
        <v>1303.8</v>
      </c>
      <c r="D26" s="57">
        <v>1178.06</v>
      </c>
      <c r="E26" s="57">
        <v>8246.42</v>
      </c>
      <c r="F26" s="57">
        <v>9126.6</v>
      </c>
      <c r="G26" s="56">
        <v>880.18</v>
      </c>
      <c r="H26" s="39">
        <f t="shared" si="0"/>
        <v>0.10673480128346603</v>
      </c>
    </row>
    <row r="27" spans="1:8" ht="18" thickBot="1">
      <c r="A27" s="55" t="s">
        <v>378</v>
      </c>
      <c r="B27" s="56">
        <v>201</v>
      </c>
      <c r="C27" s="56">
        <v>182.75</v>
      </c>
      <c r="D27" s="56">
        <v>200.6354</v>
      </c>
      <c r="E27" s="57">
        <v>40327.71</v>
      </c>
      <c r="F27" s="57">
        <v>36732.75</v>
      </c>
      <c r="G27" s="57">
        <v>-3594.96</v>
      </c>
      <c r="H27" s="39">
        <f t="shared" si="0"/>
        <v>-8.9143668212254057E-2</v>
      </c>
    </row>
    <row r="28" spans="1:8" ht="18" thickBot="1">
      <c r="A28" s="55" t="s">
        <v>379</v>
      </c>
      <c r="B28" s="56">
        <v>395</v>
      </c>
      <c r="C28" s="56">
        <v>80.05</v>
      </c>
      <c r="D28" s="56">
        <v>59.049900000000001</v>
      </c>
      <c r="E28" s="57">
        <v>23324.7</v>
      </c>
      <c r="F28" s="57">
        <v>31619.75</v>
      </c>
      <c r="G28" s="57">
        <v>8295.0499999999993</v>
      </c>
      <c r="H28" s="39">
        <f t="shared" si="0"/>
        <v>0.35563372733625725</v>
      </c>
    </row>
    <row r="29" spans="1:8" ht="18" thickBot="1">
      <c r="A29" s="55" t="s">
        <v>380</v>
      </c>
      <c r="B29" s="56">
        <v>29</v>
      </c>
      <c r="C29" s="56">
        <v>205.65</v>
      </c>
      <c r="D29" s="56">
        <v>139.2448</v>
      </c>
      <c r="E29" s="57">
        <v>4038.1</v>
      </c>
      <c r="F29" s="57">
        <v>5963.85</v>
      </c>
      <c r="G29" s="57">
        <v>1925.75</v>
      </c>
      <c r="H29" s="39">
        <f t="shared" si="0"/>
        <v>0.47689507441618584</v>
      </c>
    </row>
    <row r="30" spans="1:8" ht="18" thickBot="1">
      <c r="A30" s="55" t="s">
        <v>383</v>
      </c>
      <c r="B30" s="56">
        <v>7</v>
      </c>
      <c r="C30" s="57">
        <v>1225.75</v>
      </c>
      <c r="D30" s="57">
        <v>1358.7143000000001</v>
      </c>
      <c r="E30" s="57">
        <v>9511</v>
      </c>
      <c r="F30" s="57">
        <v>8580.25</v>
      </c>
      <c r="G30" s="56">
        <v>-930.75</v>
      </c>
      <c r="H30" s="39">
        <f t="shared" si="0"/>
        <v>-9.7860372200609821E-2</v>
      </c>
    </row>
    <row r="31" spans="1:8" ht="18" thickBot="1">
      <c r="A31" s="55" t="s">
        <v>461</v>
      </c>
      <c r="B31" s="56">
        <v>90</v>
      </c>
      <c r="C31" s="56">
        <v>364.5</v>
      </c>
      <c r="D31" s="56">
        <v>214.66669999999999</v>
      </c>
      <c r="E31" s="57">
        <v>19320</v>
      </c>
      <c r="F31" s="57">
        <v>32805</v>
      </c>
      <c r="G31" s="57">
        <v>13485</v>
      </c>
      <c r="H31" s="39">
        <f t="shared" si="0"/>
        <v>0.69798136645962738</v>
      </c>
    </row>
    <row r="32" spans="1:8" ht="18" thickBot="1">
      <c r="A32" s="55" t="s">
        <v>385</v>
      </c>
      <c r="B32" s="56">
        <v>26</v>
      </c>
      <c r="C32" s="57">
        <v>1402.45</v>
      </c>
      <c r="D32" s="57">
        <v>1231.6288</v>
      </c>
      <c r="E32" s="57">
        <v>32022.35</v>
      </c>
      <c r="F32" s="57">
        <v>36463.699999999997</v>
      </c>
      <c r="G32" s="57">
        <v>4441.3500000000004</v>
      </c>
      <c r="H32" s="39">
        <f t="shared" si="0"/>
        <v>0.13869531748919117</v>
      </c>
    </row>
    <row r="33" spans="1:8" ht="18" thickBot="1">
      <c r="A33" s="55" t="s">
        <v>386</v>
      </c>
      <c r="B33" s="56">
        <v>28</v>
      </c>
      <c r="C33" s="56">
        <v>674.05</v>
      </c>
      <c r="D33" s="56">
        <v>654.60500000000002</v>
      </c>
      <c r="E33" s="57">
        <v>18328.939999999999</v>
      </c>
      <c r="F33" s="57">
        <v>18873.400000000001</v>
      </c>
      <c r="G33" s="56">
        <v>544.46</v>
      </c>
      <c r="H33" s="39">
        <f t="shared" si="0"/>
        <v>2.9704936564798622E-2</v>
      </c>
    </row>
    <row r="34" spans="1:8" ht="18" thickBot="1">
      <c r="A34" s="55" t="s">
        <v>387</v>
      </c>
      <c r="B34" s="56">
        <v>5</v>
      </c>
      <c r="C34" s="57">
        <v>2787</v>
      </c>
      <c r="D34" s="57">
        <v>3133.59</v>
      </c>
      <c r="E34" s="57">
        <v>15667.95</v>
      </c>
      <c r="F34" s="57">
        <v>13935</v>
      </c>
      <c r="G34" s="57">
        <v>-1732.95</v>
      </c>
      <c r="H34" s="39">
        <f t="shared" si="0"/>
        <v>-0.11060476960929796</v>
      </c>
    </row>
    <row r="35" spans="1:8" ht="18" thickBot="1">
      <c r="A35" s="55" t="s">
        <v>390</v>
      </c>
      <c r="B35" s="56">
        <v>5</v>
      </c>
      <c r="C35" s="57">
        <v>2394.9</v>
      </c>
      <c r="D35" s="57">
        <v>2254.54</v>
      </c>
      <c r="E35" s="57">
        <v>11272.7</v>
      </c>
      <c r="F35" s="57">
        <v>11974.5</v>
      </c>
      <c r="G35" s="56">
        <v>701.8</v>
      </c>
      <c r="H35" s="39">
        <f t="shared" si="0"/>
        <v>6.2256602233715076E-2</v>
      </c>
    </row>
    <row r="36" spans="1:8" ht="18" thickBot="1">
      <c r="A36" s="55" t="s">
        <v>391</v>
      </c>
      <c r="B36" s="56">
        <v>47</v>
      </c>
      <c r="C36" s="56">
        <v>602.65</v>
      </c>
      <c r="D36" s="56">
        <v>417.89359999999999</v>
      </c>
      <c r="E36" s="57">
        <v>19641</v>
      </c>
      <c r="F36" s="57">
        <v>28324.55</v>
      </c>
      <c r="G36" s="57">
        <v>8683.5499999999993</v>
      </c>
      <c r="H36" s="39">
        <f t="shared" si="0"/>
        <v>0.44211343617942056</v>
      </c>
    </row>
    <row r="37" spans="1:8" ht="18" thickBot="1">
      <c r="A37" s="55" t="s">
        <v>392</v>
      </c>
      <c r="B37" s="56">
        <v>14</v>
      </c>
      <c r="C37" s="57">
        <v>1452.45</v>
      </c>
      <c r="D37" s="57">
        <v>1404.9136000000001</v>
      </c>
      <c r="E37" s="57">
        <v>19668.79</v>
      </c>
      <c r="F37" s="57">
        <v>20334.3</v>
      </c>
      <c r="G37" s="56">
        <v>665.51</v>
      </c>
      <c r="H37" s="39">
        <f t="shared" si="0"/>
        <v>3.3835838401853897E-2</v>
      </c>
    </row>
    <row r="38" spans="1:8" ht="18" thickBot="1">
      <c r="A38" s="55" t="s">
        <v>393</v>
      </c>
      <c r="B38" s="56">
        <v>34</v>
      </c>
      <c r="C38" s="56">
        <v>559.20000000000005</v>
      </c>
      <c r="D38" s="56">
        <v>464.51179999999999</v>
      </c>
      <c r="E38" s="57">
        <v>15793.4</v>
      </c>
      <c r="F38" s="57">
        <v>19012.8</v>
      </c>
      <c r="G38" s="57">
        <v>3219.4</v>
      </c>
      <c r="H38" s="39">
        <f t="shared" si="0"/>
        <v>0.20384464396520066</v>
      </c>
    </row>
    <row r="39" spans="1:8" ht="18" thickBot="1">
      <c r="A39" s="55" t="s">
        <v>445</v>
      </c>
      <c r="B39" s="56">
        <v>20</v>
      </c>
      <c r="C39" s="57">
        <v>2109.75</v>
      </c>
      <c r="D39" s="57">
        <v>1783.3515</v>
      </c>
      <c r="E39" s="57">
        <v>35667.03</v>
      </c>
      <c r="F39" s="57">
        <v>42195</v>
      </c>
      <c r="G39" s="57">
        <v>6527.97</v>
      </c>
      <c r="H39" s="39">
        <f t="shared" si="0"/>
        <v>0.18302533179802188</v>
      </c>
    </row>
    <row r="40" spans="1:8" ht="18" thickBot="1">
      <c r="A40" s="55" t="s">
        <v>396</v>
      </c>
      <c r="B40" s="56">
        <v>658</v>
      </c>
      <c r="C40" s="56">
        <v>201.55</v>
      </c>
      <c r="D40" s="56">
        <v>226.17500000000001</v>
      </c>
      <c r="E40" s="57">
        <v>148823.15</v>
      </c>
      <c r="F40" s="57">
        <v>132619.9</v>
      </c>
      <c r="G40" s="57">
        <v>-16203.25</v>
      </c>
      <c r="H40" s="39">
        <f t="shared" si="0"/>
        <v>-0.10887587045429424</v>
      </c>
    </row>
    <row r="41" spans="1:8" ht="18" thickBot="1">
      <c r="A41" s="55" t="s">
        <v>397</v>
      </c>
      <c r="B41" s="56">
        <v>28</v>
      </c>
      <c r="C41" s="57">
        <v>1416.3</v>
      </c>
      <c r="D41" s="56">
        <v>743.03139999999996</v>
      </c>
      <c r="E41" s="57">
        <v>20804.88</v>
      </c>
      <c r="F41" s="57">
        <v>39656.400000000001</v>
      </c>
      <c r="G41" s="57">
        <v>18851.52</v>
      </c>
      <c r="H41" s="39">
        <f t="shared" si="0"/>
        <v>0.90611048946208772</v>
      </c>
    </row>
    <row r="42" spans="1:8" ht="18" thickBot="1">
      <c r="A42" s="55" t="s">
        <v>446</v>
      </c>
      <c r="B42" s="56">
        <v>72</v>
      </c>
      <c r="C42" s="56">
        <v>141.9</v>
      </c>
      <c r="D42" s="56">
        <v>145.4667</v>
      </c>
      <c r="E42" s="57">
        <v>10473.6</v>
      </c>
      <c r="F42" s="57">
        <v>10216.799999999999</v>
      </c>
      <c r="G42" s="56">
        <v>-256.8</v>
      </c>
      <c r="H42" s="39">
        <f t="shared" si="0"/>
        <v>-2.451879010082493E-2</v>
      </c>
    </row>
    <row r="43" spans="1:8" ht="18" thickBot="1">
      <c r="A43" s="55" t="s">
        <v>398</v>
      </c>
      <c r="B43" s="56">
        <v>24</v>
      </c>
      <c r="C43" s="57">
        <v>1770.3</v>
      </c>
      <c r="D43" s="57">
        <v>1548.7520999999999</v>
      </c>
      <c r="E43" s="57">
        <v>37170.050000000003</v>
      </c>
      <c r="F43" s="57">
        <v>42487.199999999997</v>
      </c>
      <c r="G43" s="57">
        <v>5317.15</v>
      </c>
      <c r="H43" s="39">
        <f t="shared" si="0"/>
        <v>0.14304930986103057</v>
      </c>
    </row>
    <row r="44" spans="1:8" ht="18" thickBot="1">
      <c r="A44" s="55" t="s">
        <v>401</v>
      </c>
      <c r="B44" s="56">
        <v>62</v>
      </c>
      <c r="C44" s="57">
        <v>1338.2</v>
      </c>
      <c r="D44" s="57">
        <v>1053.2161000000001</v>
      </c>
      <c r="E44" s="57">
        <v>65299.4</v>
      </c>
      <c r="F44" s="57">
        <v>82968.399999999994</v>
      </c>
      <c r="G44" s="57">
        <v>17669</v>
      </c>
      <c r="H44" s="39">
        <f t="shared" si="0"/>
        <v>0.27058441578329967</v>
      </c>
    </row>
    <row r="45" spans="1:8" ht="18" thickBot="1">
      <c r="A45" s="55" t="s">
        <v>462</v>
      </c>
      <c r="B45" s="56">
        <v>459</v>
      </c>
      <c r="C45" s="56">
        <v>79.349999999999994</v>
      </c>
      <c r="D45" s="56">
        <v>60.862900000000003</v>
      </c>
      <c r="E45" s="57">
        <v>27936.05</v>
      </c>
      <c r="F45" s="57">
        <v>36421.65</v>
      </c>
      <c r="G45" s="57">
        <v>8485.6</v>
      </c>
      <c r="H45" s="39">
        <f t="shared" si="0"/>
        <v>0.30375088818927515</v>
      </c>
    </row>
    <row r="46" spans="1:8" ht="18" thickBot="1">
      <c r="A46" s="55" t="s">
        <v>402</v>
      </c>
      <c r="B46" s="56">
        <v>9</v>
      </c>
      <c r="C46" s="56">
        <v>747.5</v>
      </c>
      <c r="D46" s="56">
        <v>711.78330000000005</v>
      </c>
      <c r="E46" s="57">
        <v>6406.05</v>
      </c>
      <c r="F46" s="57">
        <v>6727.5</v>
      </c>
      <c r="G46" s="56">
        <v>321.45</v>
      </c>
      <c r="H46" s="39">
        <f t="shared" si="0"/>
        <v>5.0179127543494038E-2</v>
      </c>
    </row>
    <row r="47" spans="1:8" ht="18" thickBot="1">
      <c r="A47" s="55" t="s">
        <v>403</v>
      </c>
      <c r="B47" s="56">
        <v>50</v>
      </c>
      <c r="C47" s="56">
        <v>172.65</v>
      </c>
      <c r="D47" s="56">
        <v>158.61699999999999</v>
      </c>
      <c r="E47" s="57">
        <v>7930.85</v>
      </c>
      <c r="F47" s="57">
        <v>8632.5</v>
      </c>
      <c r="G47" s="56">
        <v>701.65</v>
      </c>
      <c r="H47" s="39">
        <f t="shared" si="0"/>
        <v>8.8470970955193948E-2</v>
      </c>
    </row>
    <row r="48" spans="1:8" ht="18" thickBot="1">
      <c r="A48" s="55" t="s">
        <v>404</v>
      </c>
      <c r="B48" s="56">
        <v>32</v>
      </c>
      <c r="C48" s="56">
        <v>455.2</v>
      </c>
      <c r="D48" s="56">
        <v>399.82659999999998</v>
      </c>
      <c r="E48" s="57">
        <v>12794.45</v>
      </c>
      <c r="F48" s="57">
        <v>14566.4</v>
      </c>
      <c r="G48" s="57">
        <v>1771.95</v>
      </c>
      <c r="H48" s="39">
        <f t="shared" si="0"/>
        <v>0.13849364372833534</v>
      </c>
    </row>
    <row r="49" spans="1:8" ht="18" thickBot="1">
      <c r="A49" s="55" t="s">
        <v>405</v>
      </c>
      <c r="B49" s="56">
        <v>14</v>
      </c>
      <c r="C49" s="56">
        <v>511</v>
      </c>
      <c r="D49" s="56">
        <v>405.70209999999997</v>
      </c>
      <c r="E49" s="57">
        <v>5679.83</v>
      </c>
      <c r="F49" s="57">
        <v>7154</v>
      </c>
      <c r="G49" s="57">
        <v>1474.17</v>
      </c>
      <c r="H49" s="39">
        <f t="shared" si="0"/>
        <v>0.25954473989538424</v>
      </c>
    </row>
    <row r="50" spans="1:8" ht="18" thickBot="1">
      <c r="A50" s="55" t="s">
        <v>448</v>
      </c>
      <c r="B50" s="56">
        <v>27</v>
      </c>
      <c r="C50" s="56">
        <v>219.9</v>
      </c>
      <c r="D50" s="56">
        <v>131.5915</v>
      </c>
      <c r="E50" s="57">
        <v>3552.97</v>
      </c>
      <c r="F50" s="57">
        <v>5937.3</v>
      </c>
      <c r="G50" s="57">
        <v>2384.33</v>
      </c>
      <c r="H50" s="39">
        <f t="shared" si="0"/>
        <v>0.6710808140794885</v>
      </c>
    </row>
    <row r="51" spans="1:8" ht="18" thickBot="1">
      <c r="A51" s="55" t="s">
        <v>410</v>
      </c>
      <c r="B51" s="56">
        <v>71</v>
      </c>
      <c r="C51" s="56">
        <v>550.29999999999995</v>
      </c>
      <c r="D51" s="56">
        <v>306.81549999999999</v>
      </c>
      <c r="E51" s="57">
        <v>21783.9</v>
      </c>
      <c r="F51" s="57">
        <v>39071.300000000003</v>
      </c>
      <c r="G51" s="57">
        <v>17287.400000000001</v>
      </c>
      <c r="H51" s="39">
        <f t="shared" si="0"/>
        <v>0.7935860888087074</v>
      </c>
    </row>
    <row r="52" spans="1:8" ht="18" thickBot="1">
      <c r="A52" s="55" t="s">
        <v>411</v>
      </c>
      <c r="B52" s="56">
        <v>300</v>
      </c>
      <c r="C52" s="56">
        <v>111.05</v>
      </c>
      <c r="D52" s="56">
        <v>82.333299999999994</v>
      </c>
      <c r="E52" s="57">
        <v>24700</v>
      </c>
      <c r="F52" s="57">
        <v>33315</v>
      </c>
      <c r="G52" s="57">
        <v>8615</v>
      </c>
      <c r="H52" s="39">
        <f t="shared" si="0"/>
        <v>0.34878542510121457</v>
      </c>
    </row>
    <row r="53" spans="1:8" ht="18" thickBot="1">
      <c r="A53" s="55" t="s">
        <v>415</v>
      </c>
      <c r="B53" s="56">
        <v>16</v>
      </c>
      <c r="C53" s="56">
        <v>747.9</v>
      </c>
      <c r="D53" s="56">
        <v>779.375</v>
      </c>
      <c r="E53" s="57">
        <v>12470</v>
      </c>
      <c r="F53" s="57">
        <v>11966.4</v>
      </c>
      <c r="G53" s="56">
        <v>-503.6</v>
      </c>
      <c r="H53" s="39">
        <f t="shared" si="0"/>
        <v>-4.0384923817161189E-2</v>
      </c>
    </row>
    <row r="54" spans="1:8" ht="18" thickBot="1">
      <c r="A54" s="55" t="s">
        <v>450</v>
      </c>
      <c r="B54" s="56">
        <v>33</v>
      </c>
      <c r="C54" s="57">
        <v>1148.55</v>
      </c>
      <c r="D54" s="56">
        <v>491.78480000000002</v>
      </c>
      <c r="E54" s="57">
        <v>16228.9</v>
      </c>
      <c r="F54" s="57">
        <v>37902.15</v>
      </c>
      <c r="G54" s="57">
        <v>21673.25</v>
      </c>
      <c r="H54" s="39">
        <f t="shared" si="0"/>
        <v>1.3354725212429679</v>
      </c>
    </row>
    <row r="55" spans="1:8" ht="18" thickBot="1">
      <c r="A55" s="55" t="s">
        <v>420</v>
      </c>
      <c r="B55" s="56">
        <v>25</v>
      </c>
      <c r="C55" s="56">
        <v>972.7</v>
      </c>
      <c r="D55" s="56">
        <v>861.34799999999996</v>
      </c>
      <c r="E55" s="57">
        <v>21533.7</v>
      </c>
      <c r="F55" s="57">
        <v>24317.5</v>
      </c>
      <c r="G55" s="57">
        <v>2783.8</v>
      </c>
      <c r="H55" s="39">
        <f t="shared" si="0"/>
        <v>0.12927643646934805</v>
      </c>
    </row>
    <row r="56" spans="1:8" ht="18" thickBot="1">
      <c r="A56" s="55" t="s">
        <v>421</v>
      </c>
      <c r="B56" s="56">
        <v>35</v>
      </c>
      <c r="C56" s="57">
        <v>1837.05</v>
      </c>
      <c r="D56" s="56">
        <v>984.23</v>
      </c>
      <c r="E56" s="57">
        <v>34448.050000000003</v>
      </c>
      <c r="F56" s="57">
        <v>64296.75</v>
      </c>
      <c r="G56" s="57">
        <v>29848.7</v>
      </c>
      <c r="H56" s="39">
        <f t="shared" si="0"/>
        <v>0.8664844599331456</v>
      </c>
    </row>
    <row r="57" spans="1:8" ht="18" thickBot="1">
      <c r="A57" s="55" t="s">
        <v>423</v>
      </c>
      <c r="B57" s="56">
        <v>20</v>
      </c>
      <c r="C57" s="56">
        <v>485.85</v>
      </c>
      <c r="D57" s="56">
        <v>455.48250000000002</v>
      </c>
      <c r="E57" s="57">
        <v>9109.65</v>
      </c>
      <c r="F57" s="57">
        <v>9717</v>
      </c>
      <c r="G57" s="56">
        <v>607.35</v>
      </c>
      <c r="H57" s="39">
        <f t="shared" si="0"/>
        <v>6.6671057614727247E-2</v>
      </c>
    </row>
    <row r="58" spans="1:8" ht="18" thickBot="1">
      <c r="A58" s="55" t="s">
        <v>425</v>
      </c>
      <c r="B58" s="56">
        <v>89</v>
      </c>
      <c r="C58" s="56">
        <v>355.35</v>
      </c>
      <c r="D58" s="56">
        <v>205.3742</v>
      </c>
      <c r="E58" s="57">
        <v>18278.3</v>
      </c>
      <c r="F58" s="57">
        <v>31626.15</v>
      </c>
      <c r="G58" s="57">
        <v>13347.85</v>
      </c>
      <c r="H58" s="39">
        <f t="shared" si="0"/>
        <v>0.73025664312326644</v>
      </c>
    </row>
    <row r="59" spans="1:8" ht="18" thickBot="1">
      <c r="A59" s="55" t="s">
        <v>426</v>
      </c>
      <c r="B59" s="56">
        <v>152</v>
      </c>
      <c r="C59" s="56">
        <v>683.3</v>
      </c>
      <c r="D59" s="56">
        <v>477.58749999999998</v>
      </c>
      <c r="E59" s="57">
        <v>72593.3</v>
      </c>
      <c r="F59" s="57">
        <v>103861.6</v>
      </c>
      <c r="G59" s="57">
        <v>31268.3</v>
      </c>
      <c r="H59" s="39">
        <f t="shared" si="0"/>
        <v>0.43073258826916533</v>
      </c>
    </row>
    <row r="60" spans="1:8" ht="18" thickBot="1">
      <c r="A60" s="55" t="s">
        <v>427</v>
      </c>
      <c r="B60" s="56">
        <v>13</v>
      </c>
      <c r="C60" s="56">
        <v>727.8</v>
      </c>
      <c r="D60" s="56">
        <v>510.11309999999997</v>
      </c>
      <c r="E60" s="57">
        <v>6631.47</v>
      </c>
      <c r="F60" s="57">
        <v>9461.4</v>
      </c>
      <c r="G60" s="57">
        <v>2829.93</v>
      </c>
      <c r="H60" s="39">
        <f t="shared" si="0"/>
        <v>0.4267424869599048</v>
      </c>
    </row>
    <row r="61" spans="1:8" ht="18" thickBot="1">
      <c r="A61" s="55" t="s">
        <v>428</v>
      </c>
      <c r="B61" s="56">
        <v>33</v>
      </c>
      <c r="C61" s="56">
        <v>257.45</v>
      </c>
      <c r="D61" s="56">
        <v>334.89299999999997</v>
      </c>
      <c r="E61" s="57">
        <v>11051.47</v>
      </c>
      <c r="F61" s="57">
        <v>8495.85</v>
      </c>
      <c r="G61" s="57">
        <v>-2555.62</v>
      </c>
      <c r="H61" s="39">
        <f t="shared" si="0"/>
        <v>-0.23124706487010327</v>
      </c>
    </row>
    <row r="62" spans="1:8" ht="18" thickBot="1">
      <c r="A62" s="55" t="s">
        <v>429</v>
      </c>
      <c r="B62" s="56">
        <v>37</v>
      </c>
      <c r="C62" s="56">
        <v>254.95</v>
      </c>
      <c r="D62" s="56">
        <v>198.4614</v>
      </c>
      <c r="E62" s="57">
        <v>7343.07</v>
      </c>
      <c r="F62" s="57">
        <v>9433.15</v>
      </c>
      <c r="G62" s="57">
        <v>2090.08</v>
      </c>
      <c r="H62" s="39">
        <f t="shared" si="0"/>
        <v>0.28463299410192194</v>
      </c>
    </row>
    <row r="63" spans="1:8" ht="18" thickBot="1">
      <c r="A63" s="55" t="s">
        <v>430</v>
      </c>
      <c r="B63" s="56">
        <v>86</v>
      </c>
      <c r="C63" s="56">
        <v>567.4</v>
      </c>
      <c r="D63" s="56">
        <v>410.71780000000001</v>
      </c>
      <c r="E63" s="57">
        <v>35321.730000000003</v>
      </c>
      <c r="F63" s="57">
        <v>48796.4</v>
      </c>
      <c r="G63" s="57">
        <v>13474.67</v>
      </c>
      <c r="H63" s="39">
        <f t="shared" si="0"/>
        <v>0.38148386276663115</v>
      </c>
    </row>
    <row r="64" spans="1:8" ht="18" thickBot="1">
      <c r="A64" s="55" t="s">
        <v>432</v>
      </c>
      <c r="B64" s="56">
        <v>12</v>
      </c>
      <c r="C64" s="56">
        <v>649.4</v>
      </c>
      <c r="D64" s="56">
        <v>574.02499999999998</v>
      </c>
      <c r="E64" s="57">
        <v>6888.3</v>
      </c>
      <c r="F64" s="57">
        <v>7792.8</v>
      </c>
      <c r="G64" s="56">
        <v>904.5</v>
      </c>
      <c r="H64" s="39">
        <f t="shared" si="0"/>
        <v>0.13130961195069901</v>
      </c>
    </row>
    <row r="65" spans="1:8" ht="18" thickBot="1">
      <c r="A65" s="55" t="s">
        <v>433</v>
      </c>
      <c r="B65" s="56">
        <v>775</v>
      </c>
      <c r="C65" s="56">
        <v>126.2</v>
      </c>
      <c r="D65" s="56">
        <v>99.291600000000003</v>
      </c>
      <c r="E65" s="57">
        <v>76951</v>
      </c>
      <c r="F65" s="57">
        <v>97805</v>
      </c>
      <c r="G65" s="57">
        <v>20854</v>
      </c>
      <c r="H65" s="39">
        <f t="shared" si="0"/>
        <v>0.27100362568387676</v>
      </c>
    </row>
    <row r="66" spans="1:8" ht="18" thickBot="1">
      <c r="A66" s="55" t="s">
        <v>434</v>
      </c>
      <c r="B66" s="56">
        <v>105</v>
      </c>
      <c r="C66" s="57">
        <v>1068.95</v>
      </c>
      <c r="D66" s="56">
        <v>404.76429999999999</v>
      </c>
      <c r="E66" s="57">
        <v>42500.25</v>
      </c>
      <c r="F66" s="57">
        <v>112239.75</v>
      </c>
      <c r="G66" s="57">
        <v>69739.5</v>
      </c>
      <c r="H66" s="39">
        <f t="shared" si="0"/>
        <v>1.6409197592955336</v>
      </c>
    </row>
    <row r="67" spans="1:8" ht="18" thickBot="1">
      <c r="A67" s="55" t="s">
        <v>438</v>
      </c>
      <c r="B67" s="56">
        <v>13</v>
      </c>
      <c r="C67" s="57">
        <v>1000.2</v>
      </c>
      <c r="D67" s="57">
        <v>1006.3846</v>
      </c>
      <c r="E67" s="57">
        <v>13083</v>
      </c>
      <c r="F67" s="57">
        <v>13002.6</v>
      </c>
      <c r="G67" s="56">
        <v>-80.400000000000006</v>
      </c>
      <c r="H67" s="39">
        <f t="shared" ref="H67:H72" si="1">G67/E67</f>
        <v>-6.1453795001146531E-3</v>
      </c>
    </row>
    <row r="68" spans="1:8" ht="18" thickBot="1">
      <c r="A68" s="55" t="s">
        <v>470</v>
      </c>
      <c r="B68" s="56">
        <v>25</v>
      </c>
      <c r="C68" s="57">
        <v>1097.3</v>
      </c>
      <c r="D68" s="57">
        <v>1037.2852</v>
      </c>
      <c r="E68" s="57">
        <v>25932.13</v>
      </c>
      <c r="F68" s="57">
        <v>27432.5</v>
      </c>
      <c r="G68" s="57">
        <v>1500.37</v>
      </c>
      <c r="H68" s="39">
        <f t="shared" si="1"/>
        <v>5.7857568969459885E-2</v>
      </c>
    </row>
    <row r="69" spans="1:8" ht="18" thickBot="1">
      <c r="A69" s="55" t="s">
        <v>465</v>
      </c>
      <c r="B69" s="56">
        <v>209</v>
      </c>
      <c r="C69" s="56">
        <v>140.75</v>
      </c>
      <c r="D69" s="56">
        <v>136.4725</v>
      </c>
      <c r="E69" s="57">
        <v>28522.76</v>
      </c>
      <c r="F69" s="57">
        <v>29416.75</v>
      </c>
      <c r="G69" s="56">
        <v>893.99</v>
      </c>
      <c r="H69" s="39">
        <f t="shared" si="1"/>
        <v>3.1343039733882701E-2</v>
      </c>
    </row>
    <row r="70" spans="1:8" ht="18" thickBot="1">
      <c r="A70" s="55" t="s">
        <v>439</v>
      </c>
      <c r="B70" s="56">
        <v>525</v>
      </c>
      <c r="C70" s="56">
        <v>13.88</v>
      </c>
      <c r="D70" s="56">
        <v>38.966700000000003</v>
      </c>
      <c r="E70" s="57">
        <v>20457.5</v>
      </c>
      <c r="F70" s="57">
        <v>7287</v>
      </c>
      <c r="G70" s="57">
        <v>-13170.5</v>
      </c>
      <c r="H70" s="39">
        <f t="shared" si="1"/>
        <v>-0.64379811804961506</v>
      </c>
    </row>
    <row r="71" spans="1:8" ht="18" thickBot="1">
      <c r="A71" s="58" t="s">
        <v>440</v>
      </c>
      <c r="B71" s="59">
        <v>7</v>
      </c>
      <c r="C71" s="60">
        <v>2097.35</v>
      </c>
      <c r="D71" s="60">
        <v>1894.4571000000001</v>
      </c>
      <c r="E71" s="60">
        <v>13261.2</v>
      </c>
      <c r="F71" s="60">
        <v>14681.45</v>
      </c>
      <c r="G71" s="60">
        <v>1420.25</v>
      </c>
      <c r="H71" s="43">
        <f t="shared" si="1"/>
        <v>0.10709815099689318</v>
      </c>
    </row>
    <row r="72" spans="1:8" ht="18.75" thickBot="1">
      <c r="A72" s="44" t="s">
        <v>11</v>
      </c>
      <c r="B72" s="44">
        <f>SUM(B2:B71)</f>
        <v>6626</v>
      </c>
      <c r="C72" s="44"/>
      <c r="D72" s="44"/>
      <c r="E72" s="45">
        <f>SUM(E2:E71)</f>
        <v>1758680.24</v>
      </c>
      <c r="F72" s="45">
        <f>SUM(F2:F71)</f>
        <v>2216535.65</v>
      </c>
      <c r="G72" s="45">
        <f>SUM(G2:G71)</f>
        <v>457855.40999999986</v>
      </c>
      <c r="H72" s="46">
        <f t="shared" si="1"/>
        <v>0.26034033907153004</v>
      </c>
    </row>
    <row r="73" spans="1:8" ht="15.75" thickTop="1"/>
  </sheetData>
  <hyperlinks>
    <hyperlink ref="A2" r:id="rId1" location="/stock/1831632/3723" display="https://etportfolio.indiatimes.com/pw_companyinfo.cms - /stock/1831632/3723" xr:uid="{41B8B2A8-C487-4328-ADB3-77DDA51CA3AA}"/>
    <hyperlink ref="A3" r:id="rId2" location="/stock/1831632/31" display="https://etportfolio.indiatimes.com/pw_companyinfo.cms - /stock/1831632/31" xr:uid="{91CB1364-3B12-446D-9872-F88DEA5DA7CB}"/>
    <hyperlink ref="A4" r:id="rId3" location="/stock/1831632/34421" display="https://etportfolio.indiatimes.com/pw_companyinfo.cms - /stock/1831632/34421" xr:uid="{2AE980BD-B2D7-4E59-BD3F-F0099BF2CF2D}"/>
    <hyperlink ref="A5" r:id="rId4" location="/stock/1831632/15059" display="https://etportfolio.indiatimes.com/pw_companyinfo.cms - /stock/1831632/15059" xr:uid="{78CC858E-50DE-40F4-BC1F-F39F1BE5C48E}"/>
    <hyperlink ref="A6" r:id="rId5" location="/stock/1831632/63" display="https://etportfolio.indiatimes.com/pw_companyinfo.cms - /stock/1831632/63" xr:uid="{590E9457-DC8E-4784-9A78-8C4C7B883FDB}"/>
    <hyperlink ref="A7" r:id="rId6" location="/stock/1831632/14034" display="https://etportfolio.indiatimes.com/pw_companyinfo.cms - /stock/1831632/14034" xr:uid="{672216E9-4DD9-4DA6-94BA-3F3956345C41}"/>
    <hyperlink ref="A8" r:id="rId7" location="/stock/1831632/66288" display="https://etportfolio.indiatimes.com/pw_companyinfo.cms - /stock/1831632/66288" xr:uid="{DE399FC6-9D27-4F3D-BA2C-61C07F52F5D9}"/>
    <hyperlink ref="A9" r:id="rId8" location="/stock/1831632/8279" display="https://etportfolio.indiatimes.com/pw_companyinfo.cms - /stock/1831632/8279" xr:uid="{CA8D4402-2D23-4AC0-AA6D-31FB66C7B189}"/>
    <hyperlink ref="A10" r:id="rId9" location="/stock/1831632/45987" display="https://etportfolio.indiatimes.com/pw_companyinfo.cms - /stock/1831632/45987" xr:uid="{61325B36-561B-4108-8BE1-1441CEE37C18}"/>
    <hyperlink ref="A11" r:id="rId10" location="/stock/1831632/9175" display="https://etportfolio.indiatimes.com/pw_companyinfo.cms - /stock/1831632/9175" xr:uid="{EA05C3A6-3D58-4624-91B5-055105670606}"/>
    <hyperlink ref="A12" r:id="rId11" location="/stock/1831632/21430" display="https://etportfolio.indiatimes.com/pw_companyinfo.cms - /stock/1831632/21430" xr:uid="{4974B3BC-8633-4B57-9AD6-BB849623E6AC}"/>
    <hyperlink ref="A13" r:id="rId12" location="/stock/1831632/31863" display="https://etportfolio.indiatimes.com/pw_companyinfo.cms - /stock/1831632/31863" xr:uid="{20ED3794-C919-4221-977C-06487BFA11B2}"/>
    <hyperlink ref="A14" r:id="rId13" location="/stock/1831632/14013" display="https://etportfolio.indiatimes.com/pw_companyinfo.cms - /stock/1831632/14013" xr:uid="{241CA122-FF4C-4F63-8FAC-EE3E1CABE429}"/>
    <hyperlink ref="A15" r:id="rId14" location="/stock/1831632/2718" display="https://etportfolio.indiatimes.com/pw_companyinfo.cms - /stock/1831632/2718" xr:uid="{2CC994F8-A40C-4D69-BEB4-5F567274AFB3}"/>
    <hyperlink ref="A16" r:id="rId15" location="/stock/1831632/13934" display="https://etportfolio.indiatimes.com/pw_companyinfo.cms - /stock/1831632/13934" xr:uid="{33429C87-654A-48BF-A5A9-6B44BBF983A0}"/>
    <hyperlink ref="A17" r:id="rId16" location="/stock/1831632/13577" display="https://etportfolio.indiatimes.com/pw_companyinfo.cms - /stock/1831632/13577" xr:uid="{0DC47FAD-7A0A-42B7-9503-0B6C502ACB25}"/>
    <hyperlink ref="A18" r:id="rId17" location="/stock/1831632/13917" display="https://etportfolio.indiatimes.com/pw_companyinfo.cms - /stock/1831632/13917" xr:uid="{09093BF9-8A15-4F58-BDDF-6B47B5C64686}"/>
    <hyperlink ref="A19" r:id="rId18" location="/stock/1831632/7749" display="https://etportfolio.indiatimes.com/pw_companyinfo.cms - /stock/1831632/7749" xr:uid="{B3A3C5DF-08CA-4116-94D8-FED6BF77C4C6}"/>
    <hyperlink ref="A20" r:id="rId19" location="/stock/1831632/11822" display="https://etportfolio.indiatimes.com/pw_companyinfo.cms - /stock/1831632/11822" xr:uid="{14B6A492-D054-496D-892E-5F7B5D1F19AB}"/>
    <hyperlink ref="A21" r:id="rId20" location="/stock/1831632/13873" display="https://etportfolio.indiatimes.com/pw_companyinfo.cms - /stock/1831632/13873" xr:uid="{A9850B87-FF1F-4852-B7D1-9B0664FBD5A0}"/>
    <hyperlink ref="A22" r:id="rId21" location="/stock/1831632/11796" display="https://etportfolio.indiatimes.com/pw_companyinfo.cms - /stock/1831632/11796" xr:uid="{515B46CD-6E3A-45B6-B89C-D768096A0171}"/>
    <hyperlink ref="A23" r:id="rId22" location="/stock/1831632/3635" display="https://etportfolio.indiatimes.com/pw_companyinfo.cms - /stock/1831632/3635" xr:uid="{D53992F2-1D01-4E10-83DA-ED2A6847833C}"/>
    <hyperlink ref="A24" r:id="rId23" location="/stock/1831632/12393" display="https://etportfolio.indiatimes.com/pw_companyinfo.cms - /stock/1831632/12393" xr:uid="{E040F5C4-3EB1-421F-B7D0-0D08193184C7}"/>
    <hyperlink ref="A25" r:id="rId24" location="/stock/1831632/13787" display="https://etportfolio.indiatimes.com/pw_companyinfo.cms - /stock/1831632/13787" xr:uid="{469DCAFA-3AC4-4F9C-A22C-E497EFE5B394}"/>
    <hyperlink ref="A26" r:id="rId25" location="/stock/1831632/38215" display="https://etportfolio.indiatimes.com/pw_companyinfo.cms - /stock/1831632/38215" xr:uid="{25949FCA-4026-46A0-897C-88B988209B9E}"/>
    <hyperlink ref="A27" r:id="rId26" location="/stock/1831632/13895" display="https://etportfolio.indiatimes.com/pw_companyinfo.cms - /stock/1831632/13895" xr:uid="{9751F73D-AD7A-4533-AC9E-689FE6AAC608}"/>
    <hyperlink ref="A28" r:id="rId27" location="/stock/1831632/9211" display="https://etportfolio.indiatimes.com/pw_companyinfo.cms - /stock/1831632/9211" xr:uid="{FD08F0F8-C259-49E2-B8E3-6895D2B8F8F1}"/>
    <hyperlink ref="A29" r:id="rId28" location="/stock/1831632/12266" display="https://etportfolio.indiatimes.com/pw_companyinfo.cms - /stock/1831632/12266" xr:uid="{0B65F588-92FA-4362-895F-612F4AC56ED4}"/>
    <hyperlink ref="A30" r:id="rId29" location="/stock/1831632/5733" display="https://etportfolio.indiatimes.com/pw_companyinfo.cms - /stock/1831632/5733" xr:uid="{30824C78-DF3D-4C3E-8589-5ED13BAAD763}"/>
    <hyperlink ref="A31" r:id="rId30" location="/stock/1831632/13673" display="https://etportfolio.indiatimes.com/pw_companyinfo.cms - /stock/1831632/13673" xr:uid="{CC3DE0F5-3AA5-44FD-8DB3-2A3417B874EF}"/>
    <hyperlink ref="A32" r:id="rId31" location="/stock/1831632/9195" display="https://etportfolio.indiatimes.com/pw_companyinfo.cms - /stock/1831632/9195" xr:uid="{D1C6F803-94FB-4BAD-9203-6A525B29959D}"/>
    <hyperlink ref="A33" r:id="rId32" location="/stock/1831632/3068" display="https://etportfolio.indiatimes.com/pw_companyinfo.cms - /stock/1831632/3068" xr:uid="{49E06923-62D0-41D2-85B0-1017A8073725}"/>
    <hyperlink ref="A34" r:id="rId33" location="/stock/1831632/13636" display="https://etportfolio.indiatimes.com/pw_companyinfo.cms - /stock/1831632/13636" xr:uid="{3C625F58-9788-4534-9907-7EEAB08C70F7}"/>
    <hyperlink ref="A35" r:id="rId34" location="/stock/1831632/13616" display="https://etportfolio.indiatimes.com/pw_companyinfo.cms - /stock/1831632/13616" xr:uid="{0E70D6FA-043E-42C5-8BA6-E699553D41D6}"/>
    <hyperlink ref="A36" r:id="rId35" location="/stock/1831632/9194" display="https://etportfolio.indiatimes.com/pw_companyinfo.cms - /stock/1831632/9194" xr:uid="{B2C3A2EE-EF64-4384-9BEA-B1B976D2719E}"/>
    <hyperlink ref="A37" r:id="rId36" location="/stock/1831632/1883" display="https://etportfolio.indiatimes.com/pw_companyinfo.cms - /stock/1831632/1883" xr:uid="{8C2313C9-658E-4B6B-981E-88FE9B9BE5C9}"/>
    <hyperlink ref="A38" r:id="rId37" location="/stock/1831632/1898" display="https://etportfolio.indiatimes.com/pw_companyinfo.cms - /stock/1831632/1898" xr:uid="{430A1D2C-B2BE-4011-9E1A-C3021EECABA1}"/>
    <hyperlink ref="A39" r:id="rId38" location="/stock/1831632/10587" display="https://etportfolio.indiatimes.com/pw_companyinfo.cms - /stock/1831632/10587" xr:uid="{D93A5ABC-8341-4D1F-8FC6-5296F3F7D1AE}"/>
    <hyperlink ref="A40" r:id="rId39" location="/stock/1831632/13554" display="https://etportfolio.indiatimes.com/pw_companyinfo.cms - /stock/1831632/13554" xr:uid="{46474257-4662-4EF0-8629-608619C37582}"/>
    <hyperlink ref="A41" r:id="rId40" location="/stock/1831632/13536" display="https://etportfolio.indiatimes.com/pw_companyinfo.cms - /stock/1831632/13536" xr:uid="{53B7BDB9-9D23-423C-BA54-BE2B6211530D}"/>
    <hyperlink ref="A42" r:id="rId41" location="/stock/1831632/16356" display="https://etportfolio.indiatimes.com/pw_companyinfo.cms - /stock/1831632/16356" xr:uid="{9CE4346A-EFC0-4AE7-A512-D453907BAC97}"/>
    <hyperlink ref="A43" r:id="rId42" location="/stock/1831632/12161" display="https://etportfolio.indiatimes.com/pw_companyinfo.cms - /stock/1831632/12161" xr:uid="{B3347BEA-FD2E-4D31-B5EF-2808F6CE9DE2}"/>
    <hyperlink ref="A44" r:id="rId43" location="/stock/1831632/13447" display="https://etportfolio.indiatimes.com/pw_companyinfo.cms - /stock/1831632/13447" xr:uid="{CCEA63F8-7E8E-452B-B67E-8D8A8839DC27}"/>
    <hyperlink ref="A45" r:id="rId44" location="/stock/1831632/18545" display="https://etportfolio.indiatimes.com/pw_companyinfo.cms - /stock/1831632/18545" xr:uid="{A7CF96DF-8442-40C0-A978-ECB8D04B3F2F}"/>
    <hyperlink ref="A46" r:id="rId45" location="/stock/1831632/11898" display="https://etportfolio.indiatimes.com/pw_companyinfo.cms - /stock/1831632/11898" xr:uid="{509E6AE5-EEF3-4934-B274-A488A7390570}"/>
    <hyperlink ref="A47" r:id="rId46" location="/stock/1831632/17103" display="https://etportfolio.indiatimes.com/pw_companyinfo.cms - /stock/1831632/17103" xr:uid="{6048D596-4735-423C-A89E-987E0C04A258}"/>
    <hyperlink ref="A48" r:id="rId47" location="/stock/1831632/5886" display="https://etportfolio.indiatimes.com/pw_companyinfo.cms - /stock/1831632/5886" xr:uid="{2FBE2369-EBFF-440D-9809-1F3787F4F719}"/>
    <hyperlink ref="A49" r:id="rId48" location="/stock/1831632/5459" display="https://etportfolio.indiatimes.com/pw_companyinfo.cms - /stock/1831632/5459" xr:uid="{F27B9B5B-E2A3-4A9F-834E-66F2A1ED350E}"/>
    <hyperlink ref="A50" r:id="rId49" location="/stock/1831632/10878" display="https://etportfolio.indiatimes.com/pw_companyinfo.cms - /stock/1831632/10878" xr:uid="{4CE12B93-CE65-425E-874C-BCF64F3218CE}"/>
    <hyperlink ref="A51" r:id="rId50" location="/stock/1831632/32621" display="/stock/1831632/32621" xr:uid="{5F2DF4D8-97BB-471B-A9AF-E29E5332D288}"/>
    <hyperlink ref="A52" r:id="rId51" location="/stock/1831632/11599" display="https://etportfolio.indiatimes.com/pw_companyinfo.cms - /stock/1831632/11599" xr:uid="{87704093-79BA-40B1-AFFA-4D823049366D}"/>
    <hyperlink ref="A53" r:id="rId52" location="/stock/1831632/12358" display="https://etportfolio.indiatimes.com/pw_companyinfo.cms - /stock/1831632/12358" xr:uid="{A9215482-A3B6-4843-AA83-08750D2FCAE2}"/>
    <hyperlink ref="A54" r:id="rId53" location="/stock/1831632/13282" display="https://etportfolio.indiatimes.com/pw_companyinfo.cms - /stock/1831632/13282" xr:uid="{3FABD09A-AB16-411C-BADA-12D600960C13}"/>
    <hyperlink ref="A55" r:id="rId54" location="/stock/1831632/2898" display="https://etportfolio.indiatimes.com/pw_companyinfo.cms - /stock/1831632/2898" xr:uid="{988D5814-A3D9-416F-80C5-07D5AF851EE6}"/>
    <hyperlink ref="A56" r:id="rId55" location="/stock/1831632/13102" display="https://etportfolio.indiatimes.com/pw_companyinfo.cms - /stock/1831632/13102" xr:uid="{077F8E94-BC77-4A7E-A0F6-E70BCFA72090}"/>
    <hyperlink ref="A57" r:id="rId56" location="/stock/1831632/19352" display="https://etportfolio.indiatimes.com/pw_companyinfo.cms - /stock/1831632/19352" xr:uid="{14197478-FF26-43C9-B8A7-A75DE5482279}"/>
    <hyperlink ref="A58" r:id="rId57" location="/stock/1831632/11984" display="https://etportfolio.indiatimes.com/pw_companyinfo.cms - /stock/1831632/11984" xr:uid="{48633FB7-1624-4A6B-A9B3-E80EC54E5150}"/>
    <hyperlink ref="A59" r:id="rId58" location="/stock/1831632/9134" display="https://etportfolio.indiatimes.com/pw_companyinfo.cms - /stock/1831632/9134" xr:uid="{024E4B30-142C-4DB6-A032-D3218AB1D89A}"/>
    <hyperlink ref="A60" r:id="rId59" location="/stock/1831632/12962" display="https://etportfolio.indiatimes.com/pw_companyinfo.cms - /stock/1831632/12962" xr:uid="{7A556D99-6170-45F3-8893-A4893175942E}"/>
    <hyperlink ref="A61" r:id="rId60" location="/stock/1831632/3296" display="https://etportfolio.indiatimes.com/pw_companyinfo.cms - /stock/1831632/3296" xr:uid="{33C26DD3-1150-402C-A5BD-E19DAC672531}"/>
    <hyperlink ref="A62" r:id="rId61" location="/stock/1831632/6936" display="https://etportfolio.indiatimes.com/pw_companyinfo.cms - /stock/1831632/6936" xr:uid="{CCD3FAEB-8D5B-4F65-8DC3-BC8C25EBD1CB}"/>
    <hyperlink ref="A63" r:id="rId62" location="/stock/1831632/303" display="https://etportfolio.indiatimes.com/pw_companyinfo.cms - /stock/1831632/303" xr:uid="{F598C905-22AD-4D8D-ADB6-FF9B79030227}"/>
    <hyperlink ref="A64" r:id="rId63" location="/stock/1831632/12929" display="https://etportfolio.indiatimes.com/pw_companyinfo.cms - /stock/1831632/12929" xr:uid="{747BB991-13E8-41F7-A03B-C19010C7C2B3}"/>
    <hyperlink ref="A65" r:id="rId64" location="/stock/1831632/129341111" display="https://etportfolio.indiatimes.com/pw_companyinfo.cms - /stock/1831632/129341111" xr:uid="{2A4615AE-213B-4BC7-A5E7-D2025545699E}"/>
    <hyperlink ref="A66" r:id="rId65" location="/stock/1831632/12902" display="https://etportfolio.indiatimes.com/pw_companyinfo.cms - /stock/1831632/12902" xr:uid="{25FCDD43-BC89-4E9A-9B49-44C4F326833E}"/>
    <hyperlink ref="A67" r:id="rId66" location="/stock/1831632/18605" display="https://etportfolio.indiatimes.com/pw_companyinfo.cms - /stock/1831632/18605" xr:uid="{591B2423-9E26-48CB-9782-4FED6D849CF9}"/>
    <hyperlink ref="A68" r:id="rId67" location="/stock/1831632/15493" display="https://etportfolio.indiatimes.com/pw_companyinfo.cms - /stock/1831632/15493" xr:uid="{346E5A0F-8215-4133-8AAE-DF4AF5B1203A}"/>
    <hyperlink ref="A69" r:id="rId68" location="/stock/1831632/5032" display="https://etportfolio.indiatimes.com/pw_companyinfo.cms - /stock/1831632/5032" xr:uid="{327DA233-21C6-4B5F-8381-FFF142DFDBB1}"/>
    <hyperlink ref="A70" r:id="rId69" location="/stock/1831632/16552" display="https://etportfolio.indiatimes.com/pw_companyinfo.cms - /stock/1831632/16552" xr:uid="{999FBE09-E955-4BEB-957A-E6C94DEBAD0C}"/>
    <hyperlink ref="A71" r:id="rId70" location="/stock/1831632/6816" display="https://etportfolio.indiatimes.com/pw_companyinfo.cms - /stock/1831632/6816" xr:uid="{4C3AC679-C924-40F3-AC35-E7992DB6F316}"/>
  </hyperlinks>
  <pageMargins left="0.7" right="0.7" top="0.75" bottom="0.75" header="0.3" footer="0.3"/>
  <pageSetup paperSize="9" orientation="portrait" r:id="rId7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FB1E-8EF3-44D2-862A-F8BCBAF03985}">
  <dimension ref="A1:I13"/>
  <sheetViews>
    <sheetView workbookViewId="0">
      <selection activeCell="A12" sqref="A12"/>
    </sheetView>
  </sheetViews>
  <sheetFormatPr defaultColWidth="8.7109375" defaultRowHeight="15"/>
  <cols>
    <col min="1" max="1" width="51.28515625" style="22" bestFit="1" customWidth="1"/>
    <col min="2" max="2" width="17.7109375" style="22" bestFit="1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16384" width="8.7109375" style="22"/>
  </cols>
  <sheetData>
    <row r="1" spans="1:9" ht="31.5" thickBot="1">
      <c r="A1" s="54" t="s">
        <v>223</v>
      </c>
      <c r="B1" s="54" t="s">
        <v>224</v>
      </c>
      <c r="C1" s="54" t="s">
        <v>225</v>
      </c>
      <c r="D1" s="54" t="s">
        <v>226</v>
      </c>
      <c r="E1" s="54" t="s">
        <v>227</v>
      </c>
      <c r="F1" s="54" t="s">
        <v>228</v>
      </c>
      <c r="G1" s="54" t="s">
        <v>229</v>
      </c>
      <c r="H1" s="54" t="s">
        <v>230</v>
      </c>
      <c r="I1" s="30" t="s">
        <v>142</v>
      </c>
    </row>
    <row r="2" spans="1:9" ht="15.75" thickBot="1">
      <c r="A2" s="55" t="s">
        <v>234</v>
      </c>
      <c r="B2" s="56" t="s">
        <v>235</v>
      </c>
      <c r="C2" s="57">
        <v>1025.5050000000001</v>
      </c>
      <c r="D2" s="56">
        <v>60.84</v>
      </c>
      <c r="E2" s="56">
        <v>58.504899999999999</v>
      </c>
      <c r="F2" s="57">
        <v>59997.022900000004</v>
      </c>
      <c r="G2" s="57">
        <v>62391.724199999997</v>
      </c>
      <c r="H2" s="57">
        <v>2394.7013000000002</v>
      </c>
      <c r="I2" s="1">
        <f>H2/F2</f>
        <v>3.9913668783055571E-2</v>
      </c>
    </row>
    <row r="3" spans="1:9" ht="15.75" thickBot="1">
      <c r="A3" s="55" t="s">
        <v>236</v>
      </c>
      <c r="B3" s="56" t="s">
        <v>237</v>
      </c>
      <c r="C3" s="57">
        <v>8749.2870000000003</v>
      </c>
      <c r="D3" s="56">
        <v>50.53</v>
      </c>
      <c r="E3" s="56">
        <v>36.572699999999998</v>
      </c>
      <c r="F3" s="57">
        <v>319984.92139999999</v>
      </c>
      <c r="G3" s="57">
        <v>442101.47210000001</v>
      </c>
      <c r="H3" s="57">
        <v>122116.55070000001</v>
      </c>
      <c r="I3" s="1">
        <f t="shared" ref="I3:I12" si="0">H3/F3</f>
        <v>0.3816322036854578</v>
      </c>
    </row>
    <row r="4" spans="1:9" ht="15.75" thickBot="1">
      <c r="A4" s="55" t="s">
        <v>454</v>
      </c>
      <c r="B4" s="56" t="s">
        <v>269</v>
      </c>
      <c r="C4" s="56">
        <v>80.968000000000004</v>
      </c>
      <c r="D4" s="57">
        <v>3101.0012999999999</v>
      </c>
      <c r="E4" s="57">
        <v>3096.1051000000002</v>
      </c>
      <c r="F4" s="57">
        <v>350685.4387</v>
      </c>
      <c r="G4" s="57">
        <v>351081.87329999998</v>
      </c>
      <c r="H4" s="56">
        <v>396.43450000000001</v>
      </c>
      <c r="I4" s="1">
        <f t="shared" si="0"/>
        <v>1.1304561189355137E-3</v>
      </c>
    </row>
    <row r="5" spans="1:9" ht="15.75" thickBot="1">
      <c r="A5" s="55" t="s">
        <v>441</v>
      </c>
      <c r="B5" s="56" t="s">
        <v>241</v>
      </c>
      <c r="C5" s="57">
        <v>1653.7639999999999</v>
      </c>
      <c r="D5" s="56">
        <v>438.01749999999998</v>
      </c>
      <c r="E5" s="56">
        <v>350.66039999999998</v>
      </c>
      <c r="F5" s="57">
        <v>579909.48419999995</v>
      </c>
      <c r="G5" s="57">
        <v>724377.57290000003</v>
      </c>
      <c r="H5" s="57">
        <v>144468.08859999999</v>
      </c>
      <c r="I5" s="1">
        <f t="shared" si="0"/>
        <v>0.24912178975533988</v>
      </c>
    </row>
    <row r="6" spans="1:9" ht="15.75" thickBot="1">
      <c r="A6" s="55" t="s">
        <v>242</v>
      </c>
      <c r="B6" s="56" t="s">
        <v>237</v>
      </c>
      <c r="C6" s="57">
        <v>5856.576</v>
      </c>
      <c r="D6" s="56">
        <v>60.881</v>
      </c>
      <c r="E6" s="56">
        <v>44.3917</v>
      </c>
      <c r="F6" s="57">
        <v>259983.36480000001</v>
      </c>
      <c r="G6" s="57">
        <v>356554.2035</v>
      </c>
      <c r="H6" s="57">
        <v>96570.838600000003</v>
      </c>
      <c r="I6" s="1">
        <f t="shared" si="0"/>
        <v>0.37145006825452087</v>
      </c>
    </row>
    <row r="7" spans="1:9" ht="15.75" thickBot="1">
      <c r="A7" s="55" t="s">
        <v>272</v>
      </c>
      <c r="B7" s="56" t="s">
        <v>235</v>
      </c>
      <c r="C7" s="57">
        <v>6641.4979999999996</v>
      </c>
      <c r="D7" s="56">
        <v>63.944000000000003</v>
      </c>
      <c r="E7" s="56">
        <v>41.7624</v>
      </c>
      <c r="F7" s="57">
        <v>277364.96380000003</v>
      </c>
      <c r="G7" s="57">
        <v>424683.94809999998</v>
      </c>
      <c r="H7" s="57">
        <v>147318.98430000001</v>
      </c>
      <c r="I7" s="1">
        <f t="shared" si="0"/>
        <v>0.53113768329523958</v>
      </c>
    </row>
    <row r="8" spans="1:9" ht="15.75" thickBot="1">
      <c r="A8" s="55" t="s">
        <v>250</v>
      </c>
      <c r="B8" s="56" t="s">
        <v>251</v>
      </c>
      <c r="C8" s="57">
        <v>7287.2030000000004</v>
      </c>
      <c r="D8" s="56">
        <v>41.854999999999997</v>
      </c>
      <c r="E8" s="56">
        <v>32.379300000000001</v>
      </c>
      <c r="F8" s="57">
        <v>235954.4938</v>
      </c>
      <c r="G8" s="57">
        <v>305005.88160000002</v>
      </c>
      <c r="H8" s="57">
        <v>69051.387799999997</v>
      </c>
      <c r="I8" s="1">
        <f t="shared" si="0"/>
        <v>0.29264705531961349</v>
      </c>
    </row>
    <row r="9" spans="1:9" ht="27.75" thickBot="1">
      <c r="A9" s="55" t="s">
        <v>274</v>
      </c>
      <c r="B9" s="56" t="s">
        <v>233</v>
      </c>
      <c r="C9" s="57">
        <v>3313.08</v>
      </c>
      <c r="D9" s="56">
        <v>38.19</v>
      </c>
      <c r="E9" s="56">
        <v>36.218499999999999</v>
      </c>
      <c r="F9" s="57">
        <v>119994.8305</v>
      </c>
      <c r="G9" s="57">
        <v>126526.5252</v>
      </c>
      <c r="H9" s="57">
        <v>6531.6947</v>
      </c>
      <c r="I9" s="1">
        <f t="shared" si="0"/>
        <v>5.4433134100722785E-2</v>
      </c>
    </row>
    <row r="10" spans="1:9" ht="15.75" thickBot="1">
      <c r="A10" s="55" t="s">
        <v>455</v>
      </c>
      <c r="B10" s="56" t="s">
        <v>241</v>
      </c>
      <c r="C10" s="56">
        <v>40.15</v>
      </c>
      <c r="D10" s="56">
        <v>123.6854</v>
      </c>
      <c r="E10" s="56">
        <v>124.52679999999999</v>
      </c>
      <c r="F10" s="57">
        <v>4999.7510000000002</v>
      </c>
      <c r="G10" s="57">
        <v>4965.9687999999996</v>
      </c>
      <c r="H10" s="56">
        <v>-33.782200000000003</v>
      </c>
      <c r="I10" s="1">
        <f>H10/F10</f>
        <v>-6.7567764874690763E-3</v>
      </c>
    </row>
    <row r="11" spans="1:9" ht="15.75" thickBot="1">
      <c r="A11" s="58" t="s">
        <v>255</v>
      </c>
      <c r="B11" s="59" t="s">
        <v>241</v>
      </c>
      <c r="C11" s="60">
        <v>18996.168000000001</v>
      </c>
      <c r="D11" s="59">
        <v>12.6349</v>
      </c>
      <c r="E11" s="59">
        <v>9.4700000000000006</v>
      </c>
      <c r="F11" s="60">
        <v>179893.71100000001</v>
      </c>
      <c r="G11" s="60">
        <v>240014.68309999999</v>
      </c>
      <c r="H11" s="60">
        <v>60120.972099999999</v>
      </c>
      <c r="I11" s="53">
        <f t="shared" si="0"/>
        <v>0.33420274542004413</v>
      </c>
    </row>
    <row r="12" spans="1:9" ht="15.75" thickBot="1">
      <c r="A12" s="51" t="s">
        <v>11</v>
      </c>
      <c r="B12" s="51"/>
      <c r="C12" s="52">
        <f>SUM(C3:C11)</f>
        <v>52618.694000000003</v>
      </c>
      <c r="D12" s="52"/>
      <c r="E12" s="52"/>
      <c r="F12" s="52">
        <f>SUM(F3:F11)</f>
        <v>2328770.9592000004</v>
      </c>
      <c r="G12" s="52">
        <f>SUM(G3:G11)</f>
        <v>2975312.1285999999</v>
      </c>
      <c r="H12" s="52">
        <f>SUM(H3:H11)</f>
        <v>646541.16910000006</v>
      </c>
      <c r="I12" s="53">
        <f t="shared" si="0"/>
        <v>0.27763192706684453</v>
      </c>
    </row>
    <row r="13" spans="1:9" ht="15.75" thickTop="1"/>
  </sheetData>
  <hyperlinks>
    <hyperlink ref="A2" r:id="rId1" location="/mf/1831632/15690/NULL" display="https://etportfolio.indiatimes.com/pw_companyinfo.cms - /mf/1831632/15690/NULL" xr:uid="{2B4AFEAD-03D0-4EDE-B10F-66359300BA4A}"/>
    <hyperlink ref="A3" r:id="rId2" location="/mf/1831632/22335/NULL" display="https://etportfolio.indiatimes.com/pw_companyinfo.cms - /mf/1831632/22335/NULL" xr:uid="{42C6850F-B1B6-42DC-8ED6-BDBB97EC4B1C}"/>
    <hyperlink ref="A4" r:id="rId3" location="/mf/1831632/16848/NULL" display="https://etportfolio.indiatimes.com/pw_companyinfo.cms - /mf/1831632/16848/NULL" xr:uid="{45C62751-6E57-4119-B9AD-639442C52782}"/>
    <hyperlink ref="A5" r:id="rId4" location="/mf/1831632/16071/NULL" display="https://etportfolio.indiatimes.com/pw_companyinfo.cms - /mf/1831632/16071/NULL" xr:uid="{4613BCB5-CE74-43A6-B4C2-C0FD912498BC}"/>
    <hyperlink ref="A6" r:id="rId5" location="/mf/1831632/16617/NULL" display="https://etportfolio.indiatimes.com/pw_companyinfo.cms - /mf/1831632/16617/NULL" xr:uid="{CECDFF7F-B2D4-404E-8F64-1ACF1FC1B50B}"/>
    <hyperlink ref="A7" r:id="rId6" location="/mf/1831632/17134/NULL" display="https://etportfolio.indiatimes.com/pw_companyinfo.cms - /mf/1831632/17134/NULL" xr:uid="{50F86FE9-D773-48D9-B5BB-6F74697A7D94}"/>
    <hyperlink ref="A8" r:id="rId7" location="/mf/1831632/19701/NULL" display="https://etportfolio.indiatimes.com/pw_companyinfo.cms - /mf/1831632/19701/NULL" xr:uid="{9B5B816B-71FE-47EA-BC71-91DDB2634EB0}"/>
    <hyperlink ref="A9" r:id="rId8" location="/mf/1831632/17348/NULL" display="https://etportfolio.indiatimes.com/pw_companyinfo.cms - /mf/1831632/17348/NULL" xr:uid="{5AD49E1B-9663-481F-80BB-356F4F213FF6}"/>
    <hyperlink ref="A10" r:id="rId9" location="/mf/1831632/16955/NULL" display="https://etportfolio.indiatimes.com/pw_companyinfo.cms - /mf/1831632/16955/NULL" xr:uid="{BC59481C-1EEF-4BDD-9854-FB6F0DAB9DE8}"/>
    <hyperlink ref="A11" r:id="rId10" location="/mf/1831632/36491/NULL" display="https://etportfolio.indiatimes.com/pw_companyinfo.cms - /mf/1831632/36491/NULL" xr:uid="{30460BDD-132E-44A9-B992-369BA0E96F95}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A26D-E13D-40F6-AFD9-7272D61C987D}">
  <dimension ref="A1:H73"/>
  <sheetViews>
    <sheetView workbookViewId="0">
      <selection activeCell="A75" sqref="A75"/>
    </sheetView>
  </sheetViews>
  <sheetFormatPr defaultColWidth="8.7109375" defaultRowHeight="15"/>
  <cols>
    <col min="1" max="1" width="42" customWidth="1"/>
    <col min="2" max="2" width="12.140625" bestFit="1" customWidth="1"/>
    <col min="3" max="3" width="17.42578125" bestFit="1" customWidth="1"/>
    <col min="4" max="4" width="23.5703125" bestFit="1" customWidth="1"/>
    <col min="5" max="5" width="21.85546875" customWidth="1"/>
    <col min="6" max="6" width="22.5703125" bestFit="1" customWidth="1"/>
    <col min="7" max="7" width="13.85546875" bestFit="1" customWidth="1"/>
    <col min="8" max="8" width="11.85546875" bestFit="1" customWidth="1"/>
  </cols>
  <sheetData>
    <row r="1" spans="1:8" ht="18" thickBot="1">
      <c r="A1" s="33" t="s">
        <v>349</v>
      </c>
      <c r="B1" s="34" t="s">
        <v>225</v>
      </c>
      <c r="C1" s="34" t="s">
        <v>226</v>
      </c>
      <c r="D1" s="34" t="s">
        <v>350</v>
      </c>
      <c r="E1" s="34" t="s">
        <v>228</v>
      </c>
      <c r="F1" s="34" t="s">
        <v>229</v>
      </c>
      <c r="G1" s="34" t="s">
        <v>351</v>
      </c>
      <c r="H1" s="35" t="s">
        <v>142</v>
      </c>
    </row>
    <row r="2" spans="1:8" ht="18.75" thickBot="1">
      <c r="A2" s="36" t="s">
        <v>440</v>
      </c>
      <c r="B2" s="37">
        <v>7</v>
      </c>
      <c r="C2" s="38">
        <v>1987.95</v>
      </c>
      <c r="D2" s="38">
        <v>1894.4571000000001</v>
      </c>
      <c r="E2" s="38">
        <v>13261.2</v>
      </c>
      <c r="F2" s="38">
        <v>13915.65</v>
      </c>
      <c r="G2" s="38">
        <v>654.45000000000005</v>
      </c>
      <c r="H2" s="39">
        <f>G2/E2</f>
        <v>4.9350737489819926E-2</v>
      </c>
    </row>
    <row r="3" spans="1:8" ht="18.75" thickBot="1">
      <c r="A3" s="36" t="s">
        <v>439</v>
      </c>
      <c r="B3" s="37">
        <v>525</v>
      </c>
      <c r="C3" s="38">
        <v>15.75</v>
      </c>
      <c r="D3" s="38">
        <v>38.966700000000003</v>
      </c>
      <c r="E3" s="38">
        <v>20457.5</v>
      </c>
      <c r="F3" s="38">
        <v>8268.75</v>
      </c>
      <c r="G3" s="38">
        <v>-12188.75</v>
      </c>
      <c r="H3" s="39">
        <f t="shared" ref="H3:H66" si="0">G3/E3</f>
        <v>-0.59580838323353291</v>
      </c>
    </row>
    <row r="4" spans="1:8" ht="18.75" thickBot="1">
      <c r="A4" s="36" t="s">
        <v>465</v>
      </c>
      <c r="B4" s="37">
        <v>209</v>
      </c>
      <c r="C4" s="38">
        <v>147.25</v>
      </c>
      <c r="D4" s="38">
        <v>136.4725</v>
      </c>
      <c r="E4" s="38">
        <v>28522.76</v>
      </c>
      <c r="F4" s="38">
        <v>30775.25</v>
      </c>
      <c r="G4" s="38">
        <v>2252.4899999999998</v>
      </c>
      <c r="H4" s="39">
        <f t="shared" si="0"/>
        <v>7.8971670343262704E-2</v>
      </c>
    </row>
    <row r="5" spans="1:8" ht="18.75" thickBot="1">
      <c r="A5" s="36" t="s">
        <v>470</v>
      </c>
      <c r="B5" s="37">
        <v>25</v>
      </c>
      <c r="C5" s="38">
        <v>1082.55</v>
      </c>
      <c r="D5" s="38">
        <v>1037.2852</v>
      </c>
      <c r="E5" s="38">
        <v>25932.13</v>
      </c>
      <c r="F5" s="38">
        <v>27063.75</v>
      </c>
      <c r="G5" s="38">
        <v>1131.6199999999999</v>
      </c>
      <c r="H5" s="39">
        <f t="shared" si="0"/>
        <v>4.3637757484633923E-2</v>
      </c>
    </row>
    <row r="6" spans="1:8" ht="18.75" thickBot="1">
      <c r="A6" s="36" t="s">
        <v>438</v>
      </c>
      <c r="B6" s="37">
        <v>10</v>
      </c>
      <c r="C6" s="38">
        <v>1009.55</v>
      </c>
      <c r="D6" s="38">
        <v>1011</v>
      </c>
      <c r="E6" s="38">
        <v>10110</v>
      </c>
      <c r="F6" s="38">
        <v>10095.5</v>
      </c>
      <c r="G6" s="38">
        <v>-14.5</v>
      </c>
      <c r="H6" s="39">
        <f t="shared" si="0"/>
        <v>-1.4342235410484668E-3</v>
      </c>
    </row>
    <row r="7" spans="1:8" ht="18.75" thickBot="1">
      <c r="A7" s="36" t="s">
        <v>434</v>
      </c>
      <c r="B7" s="37">
        <v>105</v>
      </c>
      <c r="C7" s="38">
        <v>862.85</v>
      </c>
      <c r="D7" s="38">
        <v>404.76429999999999</v>
      </c>
      <c r="E7" s="38">
        <v>42500.25</v>
      </c>
      <c r="F7" s="38">
        <v>90599.25</v>
      </c>
      <c r="G7" s="38">
        <v>48099</v>
      </c>
      <c r="H7" s="39">
        <f t="shared" si="0"/>
        <v>1.1317345192087105</v>
      </c>
    </row>
    <row r="8" spans="1:8" ht="18.75" thickBot="1">
      <c r="A8" s="36" t="s">
        <v>433</v>
      </c>
      <c r="B8" s="37">
        <v>775</v>
      </c>
      <c r="C8" s="38">
        <v>131.4</v>
      </c>
      <c r="D8" s="38">
        <v>99.291600000000003</v>
      </c>
      <c r="E8" s="38">
        <v>76951</v>
      </c>
      <c r="F8" s="38">
        <v>101835</v>
      </c>
      <c r="G8" s="38">
        <v>24884</v>
      </c>
      <c r="H8" s="39">
        <f t="shared" si="0"/>
        <v>0.32337461501474962</v>
      </c>
    </row>
    <row r="9" spans="1:8" ht="18.75" thickBot="1">
      <c r="A9" s="36" t="s">
        <v>432</v>
      </c>
      <c r="B9" s="37">
        <v>11</v>
      </c>
      <c r="C9" s="38">
        <v>650.29999999999995</v>
      </c>
      <c r="D9" s="38">
        <v>565.20910000000003</v>
      </c>
      <c r="E9" s="38">
        <v>6217.3</v>
      </c>
      <c r="F9" s="38">
        <v>7153.3</v>
      </c>
      <c r="G9" s="38">
        <v>936</v>
      </c>
      <c r="H9" s="39">
        <f t="shared" si="0"/>
        <v>0.15054766538529588</v>
      </c>
    </row>
    <row r="10" spans="1:8" ht="18.75" thickBot="1">
      <c r="A10" s="36" t="s">
        <v>430</v>
      </c>
      <c r="B10" s="37">
        <v>86</v>
      </c>
      <c r="C10" s="38">
        <v>557.85</v>
      </c>
      <c r="D10" s="38">
        <v>410.71780000000001</v>
      </c>
      <c r="E10" s="38">
        <v>35321.730000000003</v>
      </c>
      <c r="F10" s="38">
        <v>47975.1</v>
      </c>
      <c r="G10" s="38">
        <v>12653.37</v>
      </c>
      <c r="H10" s="39">
        <f t="shared" si="0"/>
        <v>0.35823188728298416</v>
      </c>
    </row>
    <row r="11" spans="1:8" ht="18.75" thickBot="1">
      <c r="A11" s="36" t="s">
        <v>429</v>
      </c>
      <c r="B11" s="37">
        <v>37</v>
      </c>
      <c r="C11" s="38">
        <v>289.89999999999998</v>
      </c>
      <c r="D11" s="38">
        <v>198.4614</v>
      </c>
      <c r="E11" s="38">
        <v>7343.07</v>
      </c>
      <c r="F11" s="38">
        <v>10726.3</v>
      </c>
      <c r="G11" s="38">
        <v>3383.23</v>
      </c>
      <c r="H11" s="39">
        <f t="shared" si="0"/>
        <v>0.46073781129690988</v>
      </c>
    </row>
    <row r="12" spans="1:8" ht="18.75" thickBot="1">
      <c r="A12" s="36" t="s">
        <v>428</v>
      </c>
      <c r="B12" s="37">
        <v>25</v>
      </c>
      <c r="C12" s="38">
        <v>281.39999999999998</v>
      </c>
      <c r="D12" s="38">
        <v>352.89080000000001</v>
      </c>
      <c r="E12" s="38">
        <v>8822.27</v>
      </c>
      <c r="F12" s="38">
        <v>7035</v>
      </c>
      <c r="G12" s="38">
        <v>-1787.27</v>
      </c>
      <c r="H12" s="39">
        <f t="shared" si="0"/>
        <v>-0.20258618246777754</v>
      </c>
    </row>
    <row r="13" spans="1:8" ht="18.75" thickBot="1">
      <c r="A13" s="36" t="s">
        <v>427</v>
      </c>
      <c r="B13" s="37">
        <v>13</v>
      </c>
      <c r="C13" s="38">
        <v>795.4</v>
      </c>
      <c r="D13" s="38">
        <v>510.11309999999997</v>
      </c>
      <c r="E13" s="38">
        <v>6631.47</v>
      </c>
      <c r="F13" s="38">
        <v>10340.200000000001</v>
      </c>
      <c r="G13" s="38">
        <v>3708.73</v>
      </c>
      <c r="H13" s="39">
        <f t="shared" si="0"/>
        <v>0.55926212438569423</v>
      </c>
    </row>
    <row r="14" spans="1:8" ht="18.75" thickBot="1">
      <c r="A14" s="36" t="s">
        <v>426</v>
      </c>
      <c r="B14" s="37">
        <v>152</v>
      </c>
      <c r="C14" s="38">
        <v>610.85</v>
      </c>
      <c r="D14" s="38">
        <v>477.58749999999998</v>
      </c>
      <c r="E14" s="38">
        <v>72593.3</v>
      </c>
      <c r="F14" s="38">
        <v>92849.2</v>
      </c>
      <c r="G14" s="38">
        <v>20255.900000000001</v>
      </c>
      <c r="H14" s="39">
        <f t="shared" si="0"/>
        <v>0.2790326379982726</v>
      </c>
    </row>
    <row r="15" spans="1:8" ht="18.75" thickBot="1">
      <c r="A15" s="36" t="s">
        <v>425</v>
      </c>
      <c r="B15" s="37">
        <v>86</v>
      </c>
      <c r="C15" s="38">
        <v>370.55</v>
      </c>
      <c r="D15" s="38">
        <v>200.05520000000001</v>
      </c>
      <c r="E15" s="38">
        <v>17204.75</v>
      </c>
      <c r="F15" s="38">
        <v>31867.3</v>
      </c>
      <c r="G15" s="38">
        <v>14662.55</v>
      </c>
      <c r="H15" s="39">
        <f t="shared" si="0"/>
        <v>0.85223848065214547</v>
      </c>
    </row>
    <row r="16" spans="1:8" ht="18.75" thickBot="1">
      <c r="A16" s="36" t="s">
        <v>423</v>
      </c>
      <c r="B16" s="37">
        <v>19</v>
      </c>
      <c r="C16" s="38">
        <v>446.1</v>
      </c>
      <c r="D16" s="38">
        <v>452.95</v>
      </c>
      <c r="E16" s="38">
        <v>8606.0499999999993</v>
      </c>
      <c r="F16" s="38">
        <v>8475.9</v>
      </c>
      <c r="G16" s="38">
        <v>-130.15</v>
      </c>
      <c r="H16" s="39">
        <f t="shared" si="0"/>
        <v>-1.5123082017882771E-2</v>
      </c>
    </row>
    <row r="17" spans="1:8" ht="18.75" thickBot="1">
      <c r="A17" s="36" t="s">
        <v>421</v>
      </c>
      <c r="B17" s="37">
        <v>35</v>
      </c>
      <c r="C17" s="38">
        <v>1859.9</v>
      </c>
      <c r="D17" s="38">
        <v>984.23</v>
      </c>
      <c r="E17" s="38">
        <v>34448.050000000003</v>
      </c>
      <c r="F17" s="38">
        <v>65096.5</v>
      </c>
      <c r="G17" s="38">
        <v>30648.45</v>
      </c>
      <c r="H17" s="39">
        <f t="shared" si="0"/>
        <v>0.88970057811690351</v>
      </c>
    </row>
    <row r="18" spans="1:8" ht="18.75" thickBot="1">
      <c r="A18" s="36" t="s">
        <v>420</v>
      </c>
      <c r="B18" s="37">
        <v>19</v>
      </c>
      <c r="C18" s="38">
        <v>883.3</v>
      </c>
      <c r="D18" s="38">
        <v>846.02369999999996</v>
      </c>
      <c r="E18" s="38">
        <v>16074.45</v>
      </c>
      <c r="F18" s="38">
        <v>16782.7</v>
      </c>
      <c r="G18" s="38">
        <v>708.25</v>
      </c>
      <c r="H18" s="39">
        <f t="shared" si="0"/>
        <v>4.4060605495055818E-2</v>
      </c>
    </row>
    <row r="19" spans="1:8" ht="18.75" thickBot="1">
      <c r="A19" s="36" t="s">
        <v>450</v>
      </c>
      <c r="B19" s="37">
        <v>33</v>
      </c>
      <c r="C19" s="38">
        <v>872.45</v>
      </c>
      <c r="D19" s="38">
        <v>491.78480000000002</v>
      </c>
      <c r="E19" s="38">
        <v>16228.9</v>
      </c>
      <c r="F19" s="38">
        <v>28790.85</v>
      </c>
      <c r="G19" s="38">
        <v>12561.95</v>
      </c>
      <c r="H19" s="39">
        <f t="shared" si="0"/>
        <v>0.77404814867304628</v>
      </c>
    </row>
    <row r="20" spans="1:8" ht="18.75" thickBot="1">
      <c r="A20" s="36" t="s">
        <v>415</v>
      </c>
      <c r="B20" s="37">
        <v>13</v>
      </c>
      <c r="C20" s="38">
        <v>767.75</v>
      </c>
      <c r="D20" s="38">
        <v>792.7423</v>
      </c>
      <c r="E20" s="38">
        <v>10305.65</v>
      </c>
      <c r="F20" s="38">
        <v>9980.75</v>
      </c>
      <c r="G20" s="38">
        <v>-324.89999999999998</v>
      </c>
      <c r="H20" s="39">
        <f t="shared" si="0"/>
        <v>-3.1526395714971886E-2</v>
      </c>
    </row>
    <row r="21" spans="1:8" ht="18.75" thickBot="1">
      <c r="A21" s="36" t="s">
        <v>411</v>
      </c>
      <c r="B21" s="37">
        <v>300</v>
      </c>
      <c r="C21" s="38">
        <v>104.2</v>
      </c>
      <c r="D21" s="38">
        <v>82.333299999999994</v>
      </c>
      <c r="E21" s="38">
        <v>24700</v>
      </c>
      <c r="F21" s="38">
        <v>31260</v>
      </c>
      <c r="G21" s="38">
        <v>6560</v>
      </c>
      <c r="H21" s="39">
        <f t="shared" si="0"/>
        <v>0.26558704453441295</v>
      </c>
    </row>
    <row r="22" spans="1:8" ht="18.75" thickBot="1">
      <c r="A22" s="36" t="s">
        <v>410</v>
      </c>
      <c r="B22" s="37">
        <v>68</v>
      </c>
      <c r="C22" s="38">
        <v>579.1</v>
      </c>
      <c r="D22" s="38">
        <v>296.14850000000001</v>
      </c>
      <c r="E22" s="38">
        <v>20138.099999999999</v>
      </c>
      <c r="F22" s="38">
        <v>39378.800000000003</v>
      </c>
      <c r="G22" s="38">
        <v>19240.7</v>
      </c>
      <c r="H22" s="39">
        <f t="shared" si="0"/>
        <v>0.95543770266311134</v>
      </c>
    </row>
    <row r="23" spans="1:8" ht="18.75" thickBot="1">
      <c r="A23" s="36" t="s">
        <v>448</v>
      </c>
      <c r="B23" s="37">
        <v>27</v>
      </c>
      <c r="C23" s="38">
        <v>210.35</v>
      </c>
      <c r="D23" s="38">
        <v>131.5915</v>
      </c>
      <c r="E23" s="38">
        <v>3552.97</v>
      </c>
      <c r="F23" s="38">
        <v>5679.45</v>
      </c>
      <c r="G23" s="38">
        <v>2126.48</v>
      </c>
      <c r="H23" s="39">
        <f t="shared" si="0"/>
        <v>0.59850772733797364</v>
      </c>
    </row>
    <row r="24" spans="1:8" ht="18.75" thickBot="1">
      <c r="A24" s="36" t="s">
        <v>405</v>
      </c>
      <c r="B24" s="37">
        <v>14</v>
      </c>
      <c r="C24" s="38">
        <v>538</v>
      </c>
      <c r="D24" s="38">
        <v>405.70209999999997</v>
      </c>
      <c r="E24" s="38">
        <v>5679.83</v>
      </c>
      <c r="F24" s="38">
        <v>7532</v>
      </c>
      <c r="G24" s="38">
        <v>1852.17</v>
      </c>
      <c r="H24" s="39">
        <f t="shared" si="0"/>
        <v>0.32609602752195049</v>
      </c>
    </row>
    <row r="25" spans="1:8" ht="18.75" thickBot="1">
      <c r="A25" s="36" t="s">
        <v>404</v>
      </c>
      <c r="B25" s="37">
        <v>28</v>
      </c>
      <c r="C25" s="38">
        <v>407.2</v>
      </c>
      <c r="D25" s="38">
        <v>398.7518</v>
      </c>
      <c r="E25" s="38">
        <v>11165.05</v>
      </c>
      <c r="F25" s="38">
        <v>11401.6</v>
      </c>
      <c r="G25" s="38">
        <v>236.55</v>
      </c>
      <c r="H25" s="39">
        <f t="shared" si="0"/>
        <v>2.1186649410437037E-2</v>
      </c>
    </row>
    <row r="26" spans="1:8" ht="18.75" thickBot="1">
      <c r="A26" s="36" t="s">
        <v>403</v>
      </c>
      <c r="B26" s="37">
        <v>50</v>
      </c>
      <c r="C26" s="38">
        <v>166.05</v>
      </c>
      <c r="D26" s="38">
        <v>158.61699999999999</v>
      </c>
      <c r="E26" s="38">
        <v>7930.85</v>
      </c>
      <c r="F26" s="38">
        <v>8302.5</v>
      </c>
      <c r="G26" s="38">
        <v>371.65</v>
      </c>
      <c r="H26" s="39">
        <f t="shared" si="0"/>
        <v>4.6861307426064036E-2</v>
      </c>
    </row>
    <row r="27" spans="1:8" ht="18.75" thickBot="1">
      <c r="A27" s="36" t="s">
        <v>402</v>
      </c>
      <c r="B27" s="37">
        <v>9</v>
      </c>
      <c r="C27" s="38">
        <v>808.05</v>
      </c>
      <c r="D27" s="38">
        <v>711.78330000000005</v>
      </c>
      <c r="E27" s="38">
        <v>6406.05</v>
      </c>
      <c r="F27" s="38">
        <v>7272.45</v>
      </c>
      <c r="G27" s="38">
        <v>866.4</v>
      </c>
      <c r="H27" s="39">
        <f t="shared" si="0"/>
        <v>0.13524714917929145</v>
      </c>
    </row>
    <row r="28" spans="1:8" ht="18.75" thickBot="1">
      <c r="A28" s="36" t="s">
        <v>462</v>
      </c>
      <c r="B28" s="37">
        <v>459</v>
      </c>
      <c r="C28" s="38">
        <v>62.15</v>
      </c>
      <c r="D28" s="38">
        <v>60.862900000000003</v>
      </c>
      <c r="E28" s="38">
        <v>27936.05</v>
      </c>
      <c r="F28" s="38">
        <v>28526.85</v>
      </c>
      <c r="G28" s="38">
        <v>590.79999999999995</v>
      </c>
      <c r="H28" s="39">
        <f t="shared" si="0"/>
        <v>2.1148301209369256E-2</v>
      </c>
    </row>
    <row r="29" spans="1:8" ht="18.75" thickBot="1">
      <c r="A29" s="36" t="s">
        <v>401</v>
      </c>
      <c r="B29" s="37">
        <v>62</v>
      </c>
      <c r="C29" s="38">
        <v>1444.55</v>
      </c>
      <c r="D29" s="38">
        <v>1053.2161000000001</v>
      </c>
      <c r="E29" s="38">
        <v>65299.4</v>
      </c>
      <c r="F29" s="38">
        <v>89562.1</v>
      </c>
      <c r="G29" s="38">
        <v>24262.7</v>
      </c>
      <c r="H29" s="39">
        <f t="shared" si="0"/>
        <v>0.37156084129410072</v>
      </c>
    </row>
    <row r="30" spans="1:8" ht="18.75" thickBot="1">
      <c r="A30" s="36" t="s">
        <v>398</v>
      </c>
      <c r="B30" s="37">
        <v>23</v>
      </c>
      <c r="C30" s="38">
        <v>1804.45</v>
      </c>
      <c r="D30" s="38">
        <v>1539.2826</v>
      </c>
      <c r="E30" s="38">
        <v>35403.5</v>
      </c>
      <c r="F30" s="38">
        <v>41502.35</v>
      </c>
      <c r="G30" s="38">
        <v>6098.85</v>
      </c>
      <c r="H30" s="39">
        <f t="shared" si="0"/>
        <v>0.17226686627028401</v>
      </c>
    </row>
    <row r="31" spans="1:8" ht="18.75" thickBot="1">
      <c r="A31" s="36" t="s">
        <v>446</v>
      </c>
      <c r="B31" s="37">
        <v>57</v>
      </c>
      <c r="C31" s="38">
        <v>143.85</v>
      </c>
      <c r="D31" s="38">
        <v>146.0368</v>
      </c>
      <c r="E31" s="38">
        <v>8324.1</v>
      </c>
      <c r="F31" s="38">
        <v>8199.4500000000007</v>
      </c>
      <c r="G31" s="38">
        <v>-124.65</v>
      </c>
      <c r="H31" s="39">
        <f t="shared" si="0"/>
        <v>-1.4974591847767326E-2</v>
      </c>
    </row>
    <row r="32" spans="1:8" ht="18.75" thickBot="1">
      <c r="A32" s="36" t="s">
        <v>397</v>
      </c>
      <c r="B32" s="37">
        <v>28</v>
      </c>
      <c r="C32" s="38">
        <v>1251.3499999999999</v>
      </c>
      <c r="D32" s="38">
        <v>743.03139999999996</v>
      </c>
      <c r="E32" s="38">
        <v>20804.88</v>
      </c>
      <c r="F32" s="38">
        <v>35037.800000000003</v>
      </c>
      <c r="G32" s="38">
        <v>14232.92</v>
      </c>
      <c r="H32" s="39">
        <f t="shared" si="0"/>
        <v>0.68411449621434972</v>
      </c>
    </row>
    <row r="33" spans="1:8" ht="18.75" thickBot="1">
      <c r="A33" s="36" t="s">
        <v>396</v>
      </c>
      <c r="B33" s="37">
        <v>650</v>
      </c>
      <c r="C33" s="38">
        <v>220.05</v>
      </c>
      <c r="D33" s="38">
        <v>226.3261</v>
      </c>
      <c r="E33" s="38">
        <v>147111.95000000001</v>
      </c>
      <c r="F33" s="38">
        <v>143032.5</v>
      </c>
      <c r="G33" s="38">
        <v>-4079.45</v>
      </c>
      <c r="H33" s="39">
        <f t="shared" si="0"/>
        <v>-2.7730242172712683E-2</v>
      </c>
    </row>
    <row r="34" spans="1:8" ht="18.75" thickBot="1">
      <c r="A34" s="36" t="s">
        <v>445</v>
      </c>
      <c r="B34" s="37">
        <v>20</v>
      </c>
      <c r="C34" s="38">
        <v>1883.55</v>
      </c>
      <c r="D34" s="38">
        <v>1783.3515</v>
      </c>
      <c r="E34" s="38">
        <v>35667.03</v>
      </c>
      <c r="F34" s="38">
        <v>37671</v>
      </c>
      <c r="G34" s="38">
        <v>2003.97</v>
      </c>
      <c r="H34" s="39">
        <f t="shared" si="0"/>
        <v>5.6185502409367982E-2</v>
      </c>
    </row>
    <row r="35" spans="1:8" ht="18.75" thickBot="1">
      <c r="A35" s="36" t="s">
        <v>393</v>
      </c>
      <c r="B35" s="37">
        <v>24</v>
      </c>
      <c r="C35" s="38">
        <v>444.25</v>
      </c>
      <c r="D35" s="38">
        <v>459.55829999999997</v>
      </c>
      <c r="E35" s="38">
        <v>11029.4</v>
      </c>
      <c r="F35" s="38">
        <v>10662</v>
      </c>
      <c r="G35" s="38">
        <v>-367.4</v>
      </c>
      <c r="H35" s="39">
        <f t="shared" si="0"/>
        <v>-3.3310968865033458E-2</v>
      </c>
    </row>
    <row r="36" spans="1:8" ht="18.75" thickBot="1">
      <c r="A36" s="36" t="s">
        <v>392</v>
      </c>
      <c r="B36" s="37">
        <v>11</v>
      </c>
      <c r="C36" s="38">
        <v>1435.65</v>
      </c>
      <c r="D36" s="38">
        <v>1397.2809</v>
      </c>
      <c r="E36" s="38">
        <v>15370.09</v>
      </c>
      <c r="F36" s="38">
        <v>15792.15</v>
      </c>
      <c r="G36" s="38">
        <v>422.06</v>
      </c>
      <c r="H36" s="39">
        <f t="shared" si="0"/>
        <v>2.7459826194901917E-2</v>
      </c>
    </row>
    <row r="37" spans="1:8" ht="18.75" thickBot="1">
      <c r="A37" s="36" t="s">
        <v>391</v>
      </c>
      <c r="B37" s="37">
        <v>45</v>
      </c>
      <c r="C37" s="38">
        <v>593.95000000000005</v>
      </c>
      <c r="D37" s="38">
        <v>409.63560000000001</v>
      </c>
      <c r="E37" s="38">
        <v>18433.599999999999</v>
      </c>
      <c r="F37" s="38">
        <v>26727.75</v>
      </c>
      <c r="G37" s="38">
        <v>8294.15</v>
      </c>
      <c r="H37" s="39">
        <f t="shared" si="0"/>
        <v>0.44994737869976564</v>
      </c>
    </row>
    <row r="38" spans="1:8" ht="18.75" thickBot="1">
      <c r="A38" s="36" t="s">
        <v>390</v>
      </c>
      <c r="B38" s="37">
        <v>5</v>
      </c>
      <c r="C38" s="38">
        <v>2399.4499999999998</v>
      </c>
      <c r="D38" s="38">
        <v>2254.54</v>
      </c>
      <c r="E38" s="38">
        <v>11272.7</v>
      </c>
      <c r="F38" s="38">
        <v>11997.25</v>
      </c>
      <c r="G38" s="38">
        <v>724.55</v>
      </c>
      <c r="H38" s="39">
        <f t="shared" si="0"/>
        <v>6.4274752277626468E-2</v>
      </c>
    </row>
    <row r="39" spans="1:8" ht="18.75" thickBot="1">
      <c r="A39" s="36" t="s">
        <v>387</v>
      </c>
      <c r="B39" s="37">
        <v>5</v>
      </c>
      <c r="C39" s="38">
        <v>2958.1</v>
      </c>
      <c r="D39" s="38">
        <v>3133.59</v>
      </c>
      <c r="E39" s="38">
        <v>15667.95</v>
      </c>
      <c r="F39" s="38">
        <v>14790.5</v>
      </c>
      <c r="G39" s="38">
        <v>-877.45</v>
      </c>
      <c r="H39" s="39">
        <f t="shared" si="0"/>
        <v>-5.6002859340245535E-2</v>
      </c>
    </row>
    <row r="40" spans="1:8" ht="18.75" thickBot="1">
      <c r="A40" s="36" t="s">
        <v>386</v>
      </c>
      <c r="B40" s="37">
        <v>20</v>
      </c>
      <c r="C40" s="38">
        <v>690.8</v>
      </c>
      <c r="D40" s="38">
        <v>646.37699999999995</v>
      </c>
      <c r="E40" s="38">
        <v>12927.54</v>
      </c>
      <c r="F40" s="38">
        <v>13816</v>
      </c>
      <c r="G40" s="38">
        <v>888.46</v>
      </c>
      <c r="H40" s="39">
        <f t="shared" si="0"/>
        <v>6.8726145886997839E-2</v>
      </c>
    </row>
    <row r="41" spans="1:8" ht="18.75" thickBot="1">
      <c r="A41" s="36" t="s">
        <v>385</v>
      </c>
      <c r="B41" s="37">
        <v>24</v>
      </c>
      <c r="C41" s="38">
        <v>1486.5</v>
      </c>
      <c r="D41" s="38">
        <v>1213.7688000000001</v>
      </c>
      <c r="E41" s="38">
        <v>29130.45</v>
      </c>
      <c r="F41" s="38">
        <v>35676</v>
      </c>
      <c r="G41" s="38">
        <v>6545.55</v>
      </c>
      <c r="H41" s="39">
        <f t="shared" si="0"/>
        <v>0.22469786769514374</v>
      </c>
    </row>
    <row r="42" spans="1:8" ht="18.75" thickBot="1">
      <c r="A42" s="36" t="s">
        <v>461</v>
      </c>
      <c r="B42" s="37">
        <v>90</v>
      </c>
      <c r="C42" s="38">
        <v>312.05</v>
      </c>
      <c r="D42" s="38">
        <v>214.66669999999999</v>
      </c>
      <c r="E42" s="38">
        <v>19320</v>
      </c>
      <c r="F42" s="38">
        <v>28084.5</v>
      </c>
      <c r="G42" s="38">
        <v>8764.5</v>
      </c>
      <c r="H42" s="39">
        <f t="shared" si="0"/>
        <v>0.45364906832298135</v>
      </c>
    </row>
    <row r="43" spans="1:8" ht="18.75" thickBot="1">
      <c r="A43" s="36" t="s">
        <v>383</v>
      </c>
      <c r="B43" s="37">
        <v>6</v>
      </c>
      <c r="C43" s="38">
        <v>1391.6</v>
      </c>
      <c r="D43" s="38">
        <v>1366.3667</v>
      </c>
      <c r="E43" s="38">
        <v>8198.2000000000007</v>
      </c>
      <c r="F43" s="38">
        <v>8349.6</v>
      </c>
      <c r="G43" s="38">
        <v>151.4</v>
      </c>
      <c r="H43" s="39">
        <f t="shared" si="0"/>
        <v>1.8467468468688249E-2</v>
      </c>
    </row>
    <row r="44" spans="1:8" ht="18.75" thickBot="1">
      <c r="A44" s="36" t="s">
        <v>380</v>
      </c>
      <c r="B44" s="37">
        <v>26</v>
      </c>
      <c r="C44" s="38">
        <v>208.25</v>
      </c>
      <c r="D44" s="38">
        <v>131.73849999999999</v>
      </c>
      <c r="E44" s="38">
        <v>3425.2</v>
      </c>
      <c r="F44" s="38">
        <v>5414.5</v>
      </c>
      <c r="G44" s="38">
        <v>1989.3</v>
      </c>
      <c r="H44" s="39">
        <f t="shared" si="0"/>
        <v>0.58078360387714589</v>
      </c>
    </row>
    <row r="45" spans="1:8" ht="18.75" thickBot="1">
      <c r="A45" s="36" t="s">
        <v>379</v>
      </c>
      <c r="B45" s="37">
        <v>365</v>
      </c>
      <c r="C45" s="38">
        <v>78.849999999999994</v>
      </c>
      <c r="D45" s="38">
        <v>57.714199999999998</v>
      </c>
      <c r="E45" s="38">
        <v>21065.7</v>
      </c>
      <c r="F45" s="38">
        <v>28780.25</v>
      </c>
      <c r="G45" s="38">
        <v>7714.55</v>
      </c>
      <c r="H45" s="39">
        <f t="shared" si="0"/>
        <v>0.36621379778502494</v>
      </c>
    </row>
    <row r="46" spans="1:8" ht="18.75" thickBot="1">
      <c r="A46" s="36" t="s">
        <v>378</v>
      </c>
      <c r="B46" s="37">
        <v>201</v>
      </c>
      <c r="C46" s="38">
        <v>185.9</v>
      </c>
      <c r="D46" s="38">
        <v>200.6354</v>
      </c>
      <c r="E46" s="38">
        <v>40327.71</v>
      </c>
      <c r="F46" s="38">
        <v>37365.9</v>
      </c>
      <c r="G46" s="38">
        <v>-2961.81</v>
      </c>
      <c r="H46" s="39">
        <f t="shared" si="0"/>
        <v>-7.3443545393477583E-2</v>
      </c>
    </row>
    <row r="47" spans="1:8" ht="18.75" thickBot="1">
      <c r="A47" s="36" t="s">
        <v>376</v>
      </c>
      <c r="B47" s="37">
        <v>7</v>
      </c>
      <c r="C47" s="38">
        <v>1440.8</v>
      </c>
      <c r="D47" s="38">
        <v>1178.06</v>
      </c>
      <c r="E47" s="38">
        <v>8246.42</v>
      </c>
      <c r="F47" s="38">
        <v>10085.6</v>
      </c>
      <c r="G47" s="38">
        <v>1839.18</v>
      </c>
      <c r="H47" s="39">
        <f t="shared" si="0"/>
        <v>0.22302768959136207</v>
      </c>
    </row>
    <row r="48" spans="1:8" ht="18.75" thickBot="1">
      <c r="A48" s="36" t="s">
        <v>374</v>
      </c>
      <c r="B48" s="37">
        <v>4</v>
      </c>
      <c r="C48" s="38">
        <v>2630.55</v>
      </c>
      <c r="D48" s="38">
        <v>2385.21</v>
      </c>
      <c r="E48" s="38">
        <v>9540.84</v>
      </c>
      <c r="F48" s="38">
        <v>10522.2</v>
      </c>
      <c r="G48" s="38">
        <v>981.36</v>
      </c>
      <c r="H48" s="39">
        <f t="shared" si="0"/>
        <v>0.10285886777264895</v>
      </c>
    </row>
    <row r="49" spans="1:8" ht="18.75" thickBot="1">
      <c r="A49" s="36" t="s">
        <v>372</v>
      </c>
      <c r="B49" s="37">
        <v>28</v>
      </c>
      <c r="C49" s="38">
        <v>291.7</v>
      </c>
      <c r="D49" s="38">
        <v>241.9239</v>
      </c>
      <c r="E49" s="38">
        <v>6773.87</v>
      </c>
      <c r="F49" s="38">
        <v>8167.6</v>
      </c>
      <c r="G49" s="38">
        <v>1393.73</v>
      </c>
      <c r="H49" s="39">
        <f t="shared" si="0"/>
        <v>0.20575092229405054</v>
      </c>
    </row>
    <row r="50" spans="1:8" ht="18.75" thickBot="1">
      <c r="A50" s="36" t="s">
        <v>371</v>
      </c>
      <c r="B50" s="37">
        <v>13</v>
      </c>
      <c r="C50" s="38">
        <v>3615.2</v>
      </c>
      <c r="D50" s="38">
        <v>2202.3762000000002</v>
      </c>
      <c r="E50" s="38">
        <v>28630.89</v>
      </c>
      <c r="F50" s="38">
        <v>46997.599999999999</v>
      </c>
      <c r="G50" s="38">
        <v>18366.71</v>
      </c>
      <c r="H50" s="39">
        <f t="shared" si="0"/>
        <v>0.641499792706409</v>
      </c>
    </row>
    <row r="51" spans="1:8" ht="18.75" thickBot="1">
      <c r="A51" s="36" t="s">
        <v>370</v>
      </c>
      <c r="B51" s="37">
        <v>17</v>
      </c>
      <c r="C51" s="38">
        <v>538.6</v>
      </c>
      <c r="D51" s="38">
        <v>524.20709999999997</v>
      </c>
      <c r="E51" s="38">
        <v>8911.52</v>
      </c>
      <c r="F51" s="38">
        <v>9156.2000000000007</v>
      </c>
      <c r="G51" s="38">
        <v>244.68</v>
      </c>
      <c r="H51" s="39">
        <f t="shared" si="0"/>
        <v>2.7456595507837047E-2</v>
      </c>
    </row>
    <row r="52" spans="1:8" ht="18.75" thickBot="1">
      <c r="A52" s="36" t="s">
        <v>369</v>
      </c>
      <c r="B52" s="37">
        <v>7</v>
      </c>
      <c r="C52" s="38">
        <v>1562.65</v>
      </c>
      <c r="D52" s="38">
        <v>1565.3714</v>
      </c>
      <c r="E52" s="38">
        <v>10957.6</v>
      </c>
      <c r="F52" s="38">
        <v>10938.55</v>
      </c>
      <c r="G52" s="38">
        <v>-19.05</v>
      </c>
      <c r="H52" s="39">
        <f t="shared" si="0"/>
        <v>-1.7385193838066731E-3</v>
      </c>
    </row>
    <row r="53" spans="1:8" ht="18.75" thickBot="1">
      <c r="A53" s="36" t="s">
        <v>367</v>
      </c>
      <c r="B53" s="37">
        <v>250</v>
      </c>
      <c r="C53" s="38">
        <v>132.25</v>
      </c>
      <c r="D53" s="38">
        <v>163.66999999999999</v>
      </c>
      <c r="E53" s="38">
        <v>40917.5</v>
      </c>
      <c r="F53" s="38">
        <v>33062.5</v>
      </c>
      <c r="G53" s="38">
        <v>-7855</v>
      </c>
      <c r="H53" s="39">
        <f t="shared" si="0"/>
        <v>-0.19197165027188856</v>
      </c>
    </row>
    <row r="54" spans="1:8" ht="18.75" thickBot="1">
      <c r="A54" s="36" t="s">
        <v>460</v>
      </c>
      <c r="B54" s="37">
        <v>186</v>
      </c>
      <c r="C54" s="38">
        <v>161.25</v>
      </c>
      <c r="D54" s="38">
        <v>151.6294</v>
      </c>
      <c r="E54" s="38">
        <v>28203.07</v>
      </c>
      <c r="F54" s="38">
        <v>29992.5</v>
      </c>
      <c r="G54" s="38">
        <v>1789.43</v>
      </c>
      <c r="H54" s="39">
        <f t="shared" si="0"/>
        <v>6.3448057250505008E-2</v>
      </c>
    </row>
    <row r="55" spans="1:8" ht="18.75" thickBot="1">
      <c r="A55" s="36" t="s">
        <v>366</v>
      </c>
      <c r="B55" s="37">
        <v>42</v>
      </c>
      <c r="C55" s="38">
        <v>818.3</v>
      </c>
      <c r="D55" s="38">
        <v>600.02689999999996</v>
      </c>
      <c r="E55" s="38">
        <v>25201.13</v>
      </c>
      <c r="F55" s="38">
        <v>34368.6</v>
      </c>
      <c r="G55" s="38">
        <v>9167.4699999999993</v>
      </c>
      <c r="H55" s="39">
        <f t="shared" si="0"/>
        <v>0.36377218005700535</v>
      </c>
    </row>
    <row r="56" spans="1:8" ht="18.75" thickBot="1">
      <c r="A56" s="36" t="s">
        <v>365</v>
      </c>
      <c r="B56" s="37">
        <v>180</v>
      </c>
      <c r="C56" s="38">
        <v>124.8</v>
      </c>
      <c r="D56" s="38">
        <v>155.25</v>
      </c>
      <c r="E56" s="38">
        <v>27945</v>
      </c>
      <c r="F56" s="38">
        <v>22464</v>
      </c>
      <c r="G56" s="38">
        <v>-5481</v>
      </c>
      <c r="H56" s="39">
        <f t="shared" si="0"/>
        <v>-0.19613526570048309</v>
      </c>
    </row>
    <row r="57" spans="1:8" ht="18.75" thickBot="1">
      <c r="A57" s="36" t="s">
        <v>364</v>
      </c>
      <c r="B57" s="37">
        <v>5</v>
      </c>
      <c r="C57" s="38">
        <v>3618.4</v>
      </c>
      <c r="D57" s="38">
        <v>3544.68</v>
      </c>
      <c r="E57" s="38">
        <v>17723.400000000001</v>
      </c>
      <c r="F57" s="38">
        <v>18092</v>
      </c>
      <c r="G57" s="38">
        <v>368.6</v>
      </c>
      <c r="H57" s="39">
        <f t="shared" si="0"/>
        <v>2.079736393694212E-2</v>
      </c>
    </row>
    <row r="58" spans="1:8" ht="18.75" thickBot="1">
      <c r="A58" s="36" t="s">
        <v>362</v>
      </c>
      <c r="B58" s="37">
        <v>180</v>
      </c>
      <c r="C58" s="38">
        <v>520.9</v>
      </c>
      <c r="D58" s="38">
        <v>322.88889999999998</v>
      </c>
      <c r="E58" s="38">
        <v>58120</v>
      </c>
      <c r="F58" s="38">
        <v>93762</v>
      </c>
      <c r="G58" s="38">
        <v>35642</v>
      </c>
      <c r="H58" s="39">
        <f t="shared" si="0"/>
        <v>0.6132484514796972</v>
      </c>
    </row>
    <row r="59" spans="1:8" ht="18.75" thickBot="1">
      <c r="A59" s="36" t="s">
        <v>361</v>
      </c>
      <c r="B59" s="37">
        <v>5</v>
      </c>
      <c r="C59" s="38">
        <v>1681.2</v>
      </c>
      <c r="D59" s="38">
        <v>1533.81</v>
      </c>
      <c r="E59" s="38">
        <v>7669.05</v>
      </c>
      <c r="F59" s="38">
        <v>8406</v>
      </c>
      <c r="G59" s="38">
        <v>736.95</v>
      </c>
      <c r="H59" s="39">
        <f t="shared" si="0"/>
        <v>9.60940403309406E-2</v>
      </c>
    </row>
    <row r="60" spans="1:8" ht="18.75" thickBot="1">
      <c r="A60" s="36" t="s">
        <v>459</v>
      </c>
      <c r="B60" s="37">
        <v>28</v>
      </c>
      <c r="C60" s="38">
        <v>269.35000000000002</v>
      </c>
      <c r="D60" s="38">
        <v>219.37860000000001</v>
      </c>
      <c r="E60" s="38">
        <v>6142.6</v>
      </c>
      <c r="F60" s="38">
        <v>7541.8</v>
      </c>
      <c r="G60" s="38">
        <v>1399.2</v>
      </c>
      <c r="H60" s="39">
        <f t="shared" si="0"/>
        <v>0.22778627942565036</v>
      </c>
    </row>
    <row r="61" spans="1:8" ht="18.75" thickBot="1">
      <c r="A61" s="36" t="s">
        <v>359</v>
      </c>
      <c r="B61" s="37">
        <v>17</v>
      </c>
      <c r="C61" s="38">
        <v>3747.1</v>
      </c>
      <c r="D61" s="38">
        <v>2211.9353000000001</v>
      </c>
      <c r="E61" s="38">
        <v>37602.9</v>
      </c>
      <c r="F61" s="38">
        <v>63700.7</v>
      </c>
      <c r="G61" s="38">
        <v>26097.8</v>
      </c>
      <c r="H61" s="39">
        <f t="shared" si="0"/>
        <v>0.69403689609046104</v>
      </c>
    </row>
    <row r="62" spans="1:8" ht="18.75" thickBot="1">
      <c r="A62" s="36" t="s">
        <v>358</v>
      </c>
      <c r="B62" s="37">
        <v>42</v>
      </c>
      <c r="C62" s="38">
        <v>713.55</v>
      </c>
      <c r="D62" s="38">
        <v>500.96789999999999</v>
      </c>
      <c r="E62" s="38">
        <v>21040.65</v>
      </c>
      <c r="F62" s="38">
        <v>29969.1</v>
      </c>
      <c r="G62" s="38">
        <v>8928.4500000000007</v>
      </c>
      <c r="H62" s="39">
        <f t="shared" si="0"/>
        <v>0.4243428791410912</v>
      </c>
    </row>
    <row r="63" spans="1:8" ht="18.75" thickBot="1">
      <c r="A63" s="36" t="s">
        <v>357</v>
      </c>
      <c r="B63" s="37">
        <v>5</v>
      </c>
      <c r="C63" s="38">
        <v>2911.4</v>
      </c>
      <c r="D63" s="38">
        <v>2636.4580000000001</v>
      </c>
      <c r="E63" s="38">
        <v>13182.29</v>
      </c>
      <c r="F63" s="38">
        <v>14557</v>
      </c>
      <c r="G63" s="38">
        <v>1374.71</v>
      </c>
      <c r="H63" s="39">
        <f t="shared" si="0"/>
        <v>0.10428461215767518</v>
      </c>
    </row>
    <row r="64" spans="1:8" ht="18.75" thickBot="1">
      <c r="A64" s="36" t="s">
        <v>466</v>
      </c>
      <c r="B64" s="37">
        <v>27</v>
      </c>
      <c r="C64" s="38">
        <v>881.45</v>
      </c>
      <c r="D64" s="38">
        <v>832.95</v>
      </c>
      <c r="E64" s="38">
        <v>22489.65</v>
      </c>
      <c r="F64" s="38">
        <v>23799.15</v>
      </c>
      <c r="G64" s="38">
        <v>1309.5</v>
      </c>
      <c r="H64" s="39">
        <f t="shared" si="0"/>
        <v>5.822678432078756E-2</v>
      </c>
    </row>
    <row r="65" spans="1:8" ht="18.75" thickBot="1">
      <c r="A65" s="36" t="s">
        <v>356</v>
      </c>
      <c r="B65" s="37">
        <v>37</v>
      </c>
      <c r="C65" s="38">
        <v>1271.9000000000001</v>
      </c>
      <c r="D65" s="38">
        <v>909.59190000000001</v>
      </c>
      <c r="E65" s="38">
        <v>33654.9</v>
      </c>
      <c r="F65" s="38">
        <v>47060.3</v>
      </c>
      <c r="G65" s="38">
        <v>13405.4</v>
      </c>
      <c r="H65" s="39">
        <f t="shared" si="0"/>
        <v>0.39831941262639314</v>
      </c>
    </row>
    <row r="66" spans="1:8" ht="18.75" thickBot="1">
      <c r="A66" s="36" t="s">
        <v>355</v>
      </c>
      <c r="B66" s="37">
        <v>10</v>
      </c>
      <c r="C66" s="38">
        <v>2553.15</v>
      </c>
      <c r="D66" s="38">
        <v>2188.4</v>
      </c>
      <c r="E66" s="38">
        <v>21884</v>
      </c>
      <c r="F66" s="38">
        <v>25531.5</v>
      </c>
      <c r="G66" s="38">
        <v>3647.5</v>
      </c>
      <c r="H66" s="39">
        <f t="shared" si="0"/>
        <v>0.16667428258088102</v>
      </c>
    </row>
    <row r="67" spans="1:8" ht="18.75" thickBot="1">
      <c r="A67" s="36" t="s">
        <v>354</v>
      </c>
      <c r="B67" s="37">
        <v>250</v>
      </c>
      <c r="C67" s="38">
        <v>236.25</v>
      </c>
      <c r="D67" s="38">
        <v>183.58799999999999</v>
      </c>
      <c r="E67" s="38">
        <v>45897</v>
      </c>
      <c r="F67" s="38">
        <v>59062.5</v>
      </c>
      <c r="G67" s="38">
        <v>13165.5</v>
      </c>
      <c r="H67" s="39">
        <f t="shared" ref="H67:H72" si="1">G67/E67</f>
        <v>0.28684881364795084</v>
      </c>
    </row>
    <row r="68" spans="1:8" ht="18.75" thickBot="1">
      <c r="A68" s="36" t="s">
        <v>353</v>
      </c>
      <c r="B68" s="37">
        <v>18</v>
      </c>
      <c r="C68" s="38">
        <v>2775.8</v>
      </c>
      <c r="D68" s="38">
        <v>2469.1017000000002</v>
      </c>
      <c r="E68" s="38">
        <v>44443.83</v>
      </c>
      <c r="F68" s="38">
        <v>49964.4</v>
      </c>
      <c r="G68" s="38">
        <v>5520.57</v>
      </c>
      <c r="H68" s="39">
        <f t="shared" si="1"/>
        <v>0.12421454226604682</v>
      </c>
    </row>
    <row r="69" spans="1:8" ht="18.75" thickBot="1">
      <c r="A69" s="36" t="s">
        <v>469</v>
      </c>
      <c r="B69" s="37">
        <v>31</v>
      </c>
      <c r="C69" s="38">
        <v>984.7</v>
      </c>
      <c r="D69" s="38">
        <v>731.81129999999996</v>
      </c>
      <c r="E69" s="38">
        <v>22686.15</v>
      </c>
      <c r="F69" s="38">
        <v>30525.7</v>
      </c>
      <c r="G69" s="38">
        <v>7839.55</v>
      </c>
      <c r="H69" s="39">
        <f t="shared" si="1"/>
        <v>0.34556546615445988</v>
      </c>
    </row>
    <row r="70" spans="1:8" ht="18.75" thickBot="1">
      <c r="A70" s="36" t="s">
        <v>458</v>
      </c>
      <c r="B70" s="37">
        <v>272</v>
      </c>
      <c r="C70" s="38">
        <v>105.25</v>
      </c>
      <c r="D70" s="38">
        <v>110.6285</v>
      </c>
      <c r="E70" s="38">
        <v>30090.959999999999</v>
      </c>
      <c r="F70" s="38">
        <v>28628</v>
      </c>
      <c r="G70" s="38">
        <v>-1462.96</v>
      </c>
      <c r="H70" s="39">
        <f t="shared" si="1"/>
        <v>-4.8617923788406889E-2</v>
      </c>
    </row>
    <row r="71" spans="1:8" ht="18.75" thickBot="1">
      <c r="A71" s="40" t="s">
        <v>352</v>
      </c>
      <c r="B71" s="41">
        <v>21</v>
      </c>
      <c r="C71" s="42">
        <v>1743.65</v>
      </c>
      <c r="D71" s="42">
        <v>1698.49</v>
      </c>
      <c r="E71" s="42">
        <v>35668.29</v>
      </c>
      <c r="F71" s="42">
        <v>36616.65</v>
      </c>
      <c r="G71" s="42">
        <v>948.36</v>
      </c>
      <c r="H71" s="43">
        <f t="shared" si="1"/>
        <v>2.6588322568869997E-2</v>
      </c>
    </row>
    <row r="72" spans="1:8" ht="18.75" thickBot="1">
      <c r="A72" s="44" t="s">
        <v>11</v>
      </c>
      <c r="B72" s="44">
        <f>SUM(B2:B71)</f>
        <v>6484</v>
      </c>
      <c r="C72" s="44"/>
      <c r="D72" s="44"/>
      <c r="E72" s="45">
        <f>SUM(E2:E71)</f>
        <v>1697443.6399999997</v>
      </c>
      <c r="F72" s="45">
        <f>SUM(F2:F71)</f>
        <v>2104413.65</v>
      </c>
      <c r="G72" s="45">
        <f>SUM(G2:G71)</f>
        <v>406970.00999999995</v>
      </c>
      <c r="H72" s="46">
        <f t="shared" si="1"/>
        <v>0.23975465247258521</v>
      </c>
    </row>
    <row r="73" spans="1:8" ht="15.75" thickTop="1"/>
  </sheetData>
  <hyperlinks>
    <hyperlink ref="A2" r:id="rId1" location="/stock/1831632/6816" display="https://etportfolio.indiatimes.com/pw_companyinfo.cms - /stock/1831632/6816" xr:uid="{9F526082-E9FD-40E5-B8D4-6DE5623F850E}"/>
    <hyperlink ref="A3" r:id="rId2" location="/stock/1831632/16552" display="https://etportfolio.indiatimes.com/pw_companyinfo.cms - /stock/1831632/16552" xr:uid="{1DE9CEF0-C223-4582-846C-A55BBE0304EF}"/>
    <hyperlink ref="A4" r:id="rId3" location="/stock/1831632/5032" display="https://etportfolio.indiatimes.com/pw_companyinfo.cms - /stock/1831632/5032" xr:uid="{316317E3-C1D5-46D4-AAFF-75EC5C832D2F}"/>
    <hyperlink ref="A5" r:id="rId4" location="/stock/1831632/15493" display="https://etportfolio.indiatimes.com/pw_companyinfo.cms - /stock/1831632/15493" xr:uid="{8B1F2B6E-979E-4557-9DFC-3E932CD10251}"/>
    <hyperlink ref="A6" r:id="rId5" location="/stock/1831632/18605" display="https://etportfolio.indiatimes.com/pw_companyinfo.cms - /stock/1831632/18605" xr:uid="{1180C063-61FE-4D62-B0FB-A09CE9A56270}"/>
    <hyperlink ref="A7" r:id="rId6" location="/stock/1831632/12902" display="https://etportfolio.indiatimes.com/pw_companyinfo.cms - /stock/1831632/12902" xr:uid="{38D22D8C-9980-445A-9A99-32F448CF4607}"/>
    <hyperlink ref="A8" r:id="rId7" location="/stock/1831632/129341111" display="https://etportfolio.indiatimes.com/pw_companyinfo.cms - /stock/1831632/129341111" xr:uid="{36202037-169F-43FC-BD97-3FE535D24134}"/>
    <hyperlink ref="A9" r:id="rId8" location="/stock/1831632/12929" display="https://etportfolio.indiatimes.com/pw_companyinfo.cms - /stock/1831632/12929" xr:uid="{D4A71151-5598-4DB9-BB34-B881ADFE1F93}"/>
    <hyperlink ref="A10" r:id="rId9" location="/stock/1831632/303" display="https://etportfolio.indiatimes.com/pw_companyinfo.cms - /stock/1831632/303" xr:uid="{4B599CC0-119D-4AAC-9F38-AB82C455B390}"/>
    <hyperlink ref="A11" r:id="rId10" location="/stock/1831632/6936" display="https://etportfolio.indiatimes.com/pw_companyinfo.cms - /stock/1831632/6936" xr:uid="{1FCFCD73-5E4A-4F60-8803-32EC09C17DDA}"/>
    <hyperlink ref="A12" r:id="rId11" location="/stock/1831632/3296" display="https://etportfolio.indiatimes.com/pw_companyinfo.cms - /stock/1831632/3296" xr:uid="{87F02BC4-4184-4F0A-A2B1-BC5FD259B52B}"/>
    <hyperlink ref="A13" r:id="rId12" location="/stock/1831632/12962" display="https://etportfolio.indiatimes.com/pw_companyinfo.cms - /stock/1831632/12962" xr:uid="{BCF14484-D940-4B57-AB43-6E64786DCC61}"/>
    <hyperlink ref="A14" r:id="rId13" location="/stock/1831632/9134" display="https://etportfolio.indiatimes.com/pw_companyinfo.cms - /stock/1831632/9134" xr:uid="{E00EA893-5419-4609-B082-BD21AEC178F1}"/>
    <hyperlink ref="A15" r:id="rId14" location="/stock/1831632/11984" display="https://etportfolio.indiatimes.com/pw_companyinfo.cms - /stock/1831632/11984" xr:uid="{68039DE7-103C-41F4-BC10-75FA513A56C3}"/>
    <hyperlink ref="A16" r:id="rId15" location="/stock/1831632/19352" display="https://etportfolio.indiatimes.com/pw_companyinfo.cms - /stock/1831632/19352" xr:uid="{1E9A2D69-1D47-4196-977F-CD3001359306}"/>
    <hyperlink ref="A17" r:id="rId16" location="/stock/1831632/13102" display="https://etportfolio.indiatimes.com/pw_companyinfo.cms - /stock/1831632/13102" xr:uid="{E22C3991-769D-4678-9B7B-15CC6B83EF05}"/>
    <hyperlink ref="A18" r:id="rId17" location="/stock/1831632/2898" display="https://etportfolio.indiatimes.com/pw_companyinfo.cms - /stock/1831632/2898" xr:uid="{B002B0E5-64A8-4E57-AFE8-BEFF23017487}"/>
    <hyperlink ref="A19" r:id="rId18" location="/stock/1831632/13282" display="https://etportfolio.indiatimes.com/pw_companyinfo.cms - /stock/1831632/13282" xr:uid="{5DF01C9C-CB5E-47FA-9EE4-1890BB944DC2}"/>
    <hyperlink ref="A20" r:id="rId19" location="/stock/1831632/12358" display="https://etportfolio.indiatimes.com/pw_companyinfo.cms - /stock/1831632/12358" xr:uid="{74519934-257D-43E9-9556-897F0FE79FE2}"/>
    <hyperlink ref="A21" r:id="rId20" location="/stock/1831632/11599" display="https://etportfolio.indiatimes.com/pw_companyinfo.cms - /stock/1831632/11599" xr:uid="{E595ADED-1977-4A84-84EE-C15359D0C3FF}"/>
    <hyperlink ref="A22" r:id="rId21" location="/stock/1831632/32621" display="https://etportfolio.indiatimes.com/pw_companyinfo.cms - /stock/1831632/32621" xr:uid="{19FC61BB-019A-4842-AACD-4F0386CC0139}"/>
    <hyperlink ref="A23" r:id="rId22" location="/stock/1831632/10878" display="https://etportfolio.indiatimes.com/pw_companyinfo.cms - /stock/1831632/10878" xr:uid="{84515746-4F6E-45EB-8B6B-5FE4AB655C13}"/>
    <hyperlink ref="A24" r:id="rId23" location="/stock/1831632/5459" display="https://etportfolio.indiatimes.com/pw_companyinfo.cms - /stock/1831632/5459" xr:uid="{2564283E-1DAB-4890-8549-38AC4BA45796}"/>
    <hyperlink ref="A25" r:id="rId24" location="/stock/1831632/5886" display="https://etportfolio.indiatimes.com/pw_companyinfo.cms - /stock/1831632/5886" xr:uid="{BB8631CA-AC42-4092-9012-96A8AEA1FC3F}"/>
    <hyperlink ref="A26" r:id="rId25" location="/stock/1831632/17103" display="https://etportfolio.indiatimes.com/pw_companyinfo.cms - /stock/1831632/17103" xr:uid="{F66601F0-46F6-402C-BA8A-D1A3FF93F073}"/>
    <hyperlink ref="A27" r:id="rId26" location="/stock/1831632/11898" display="https://etportfolio.indiatimes.com/pw_companyinfo.cms - /stock/1831632/11898" xr:uid="{435ED8DD-B221-43BD-9875-BD652D1BC47A}"/>
    <hyperlink ref="A28" r:id="rId27" location="/stock/1831632/18545" display="https://etportfolio.indiatimes.com/pw_companyinfo.cms - /stock/1831632/18545" xr:uid="{928E375D-A2E7-4D21-8925-CEFAFBDD52C5}"/>
    <hyperlink ref="A29" r:id="rId28" location="/stock/1831632/13447" display="https://etportfolio.indiatimes.com/pw_companyinfo.cms - /stock/1831632/13447" xr:uid="{3D195D02-1B65-4BF5-BE31-BDA89C76A7F4}"/>
    <hyperlink ref="A30" r:id="rId29" location="/stock/1831632/12161" display="https://etportfolio.indiatimes.com/pw_companyinfo.cms - /stock/1831632/12161" xr:uid="{F229114A-D2DC-42BC-BD0B-05315C3C69CA}"/>
    <hyperlink ref="A31" r:id="rId30" location="/stock/1831632/16356" display="https://etportfolio.indiatimes.com/pw_companyinfo.cms - /stock/1831632/16356" xr:uid="{93F92B28-7098-4365-A65B-D6CCB245C081}"/>
    <hyperlink ref="A32" r:id="rId31" location="/stock/1831632/13536" display="https://etportfolio.indiatimes.com/pw_companyinfo.cms - /stock/1831632/13536" xr:uid="{C40494B9-96FA-47D8-AFCE-F867C0CB42F1}"/>
    <hyperlink ref="A33" r:id="rId32" location="/stock/1831632/13554" display="https://etportfolio.indiatimes.com/pw_companyinfo.cms - /stock/1831632/13554" xr:uid="{C4FEB44F-B60B-4F21-B819-71B6710886F9}"/>
    <hyperlink ref="A34" r:id="rId33" location="/stock/1831632/10587" display="https://etportfolio.indiatimes.com/pw_companyinfo.cms - /stock/1831632/10587" xr:uid="{C961D222-206E-42B0-9624-35D71968BC91}"/>
    <hyperlink ref="A35" r:id="rId34" location="/stock/1831632/1898" display="https://etportfolio.indiatimes.com/pw_companyinfo.cms - /stock/1831632/1898" xr:uid="{03891ADE-368D-47FB-885A-62E1264B00B3}"/>
    <hyperlink ref="A36" r:id="rId35" location="/stock/1831632/1883" display="https://etportfolio.indiatimes.com/pw_companyinfo.cms - /stock/1831632/1883" xr:uid="{310461D6-20BE-486A-9C05-39C92551B333}"/>
    <hyperlink ref="A37" r:id="rId36" location="/stock/1831632/9194" display="https://etportfolio.indiatimes.com/pw_companyinfo.cms - /stock/1831632/9194" xr:uid="{2B808518-3E8D-4ABB-A12F-69905B4788B8}"/>
    <hyperlink ref="A38" r:id="rId37" location="/stock/1831632/13616" display="https://etportfolio.indiatimes.com/pw_companyinfo.cms - /stock/1831632/13616" xr:uid="{6C33D9C5-A42D-44CA-9349-D03E3FA74FEE}"/>
    <hyperlink ref="A39" r:id="rId38" location="/stock/1831632/13636" display="https://etportfolio.indiatimes.com/pw_companyinfo.cms - /stock/1831632/13636" xr:uid="{16B189DE-A425-4711-B8D6-A80408E4164E}"/>
    <hyperlink ref="A40" r:id="rId39" location="/stock/1831632/3068" display="https://etportfolio.indiatimes.com/pw_companyinfo.cms - /stock/1831632/3068" xr:uid="{AB56C90D-32BA-4873-A01B-C06623FC3F47}"/>
    <hyperlink ref="A41" r:id="rId40" location="/stock/1831632/9195" display="https://etportfolio.indiatimes.com/pw_companyinfo.cms - /stock/1831632/9195" xr:uid="{4E655575-80A1-4640-96DB-B1039BE56E9D}"/>
    <hyperlink ref="A42" r:id="rId41" location="/stock/1831632/13673" display="https://etportfolio.indiatimes.com/pw_companyinfo.cms - /stock/1831632/13673" xr:uid="{9519777C-9D50-4400-A355-1DDEB1C7FAFF}"/>
    <hyperlink ref="A43" r:id="rId42" location="/stock/1831632/5733" display="https://etportfolio.indiatimes.com/pw_companyinfo.cms - /stock/1831632/5733" xr:uid="{1BC6A631-9D6E-4701-A9C4-B90940813FA6}"/>
    <hyperlink ref="A44" r:id="rId43" location="/stock/1831632/12266" display="https://etportfolio.indiatimes.com/pw_companyinfo.cms - /stock/1831632/12266" xr:uid="{D680D721-3E18-49C5-B047-F2F2708AB336}"/>
    <hyperlink ref="A45" r:id="rId44" location="/stock/1831632/9211" display="https://etportfolio.indiatimes.com/pw_companyinfo.cms - /stock/1831632/9211" xr:uid="{9926900E-2E20-49BE-9F8C-CB192C396FF6}"/>
    <hyperlink ref="A46" r:id="rId45" location="/stock/1831632/13895" display="https://etportfolio.indiatimes.com/pw_companyinfo.cms - /stock/1831632/13895" xr:uid="{3863AFC4-9C43-4537-9D77-EA3484C1444A}"/>
    <hyperlink ref="A47" r:id="rId46" location="/stock/1831632/38215" display="https://etportfolio.indiatimes.com/pw_companyinfo.cms - /stock/1831632/38215" xr:uid="{D5B9028C-D4D3-464C-8D63-56A717D30D8B}"/>
    <hyperlink ref="A48" r:id="rId47" location="/stock/1831632/13787" display="https://etportfolio.indiatimes.com/pw_companyinfo.cms - /stock/1831632/13787" xr:uid="{A713C207-9231-4553-83B4-9BB9840EE1E7}"/>
    <hyperlink ref="A49" r:id="rId48" location="/stock/1831632/12393" display="https://etportfolio.indiatimes.com/pw_companyinfo.cms - /stock/1831632/12393" xr:uid="{7523960D-95B7-4831-9183-F24F1BF479F0}"/>
    <hyperlink ref="A50" r:id="rId49" location="/stock/1831632/3635" display="https://etportfolio.indiatimes.com/pw_companyinfo.cms - /stock/1831632/3635" xr:uid="{75177B17-C2C8-4E63-9A94-970FEA6A7FCF}"/>
    <hyperlink ref="A51" r:id="rId50" location="/stock/1831632/11796" display="https://etportfolio.indiatimes.com/pw_companyinfo.cms - /stock/1831632/11796" xr:uid="{4C440CF6-959A-4591-9315-857D34110032}"/>
    <hyperlink ref="A52" r:id="rId51" location="/stock/1831632/13873" display="https://etportfolio.indiatimes.com/pw_companyinfo.cms - /stock/1831632/13873" xr:uid="{80BECA87-1336-4B2E-9AF2-4BBC4F38726C}"/>
    <hyperlink ref="A53" r:id="rId52" location="/stock/1831632/11822" display="https://etportfolio.indiatimes.com/pw_companyinfo.cms - /stock/1831632/11822" xr:uid="{B10C3B53-37F5-44BA-A334-5F46764DE77F}"/>
    <hyperlink ref="A54" r:id="rId53" location="/stock/1831632/7749" display="https://etportfolio.indiatimes.com/pw_companyinfo.cms - /stock/1831632/7749" xr:uid="{34607064-2104-47C5-9A87-95A81C3C5471}"/>
    <hyperlink ref="A55" r:id="rId54" location="/stock/1831632/13917" display="https://etportfolio.indiatimes.com/pw_companyinfo.cms - /stock/1831632/13917" xr:uid="{95DF7C0E-7545-4449-9ECB-AD763C62DF16}"/>
    <hyperlink ref="A56" r:id="rId55" location="/stock/1831632/13577" display="https://etportfolio.indiatimes.com/pw_companyinfo.cms - /stock/1831632/13577" xr:uid="{C8625B93-BF60-418B-8AD1-CFA1035044AD}"/>
    <hyperlink ref="A57" r:id="rId56" location="/stock/1831632/13934" display="https://etportfolio.indiatimes.com/pw_companyinfo.cms - /stock/1831632/13934" xr:uid="{10E1C6D0-3659-4E66-8C52-5B4498F967DB}"/>
    <hyperlink ref="A58" r:id="rId57" location="/stock/1831632/2718" display="https://etportfolio.indiatimes.com/pw_companyinfo.cms - /stock/1831632/2718" xr:uid="{D636B471-F0DC-4ADB-9A6A-A9EF05A9FA6B}"/>
    <hyperlink ref="A59" r:id="rId58" location="/stock/1831632/14013" display="https://etportfolio.indiatimes.com/pw_companyinfo.cms - /stock/1831632/14013" xr:uid="{F2A34DD0-78DF-404B-A515-769DD4491071}"/>
    <hyperlink ref="A60" r:id="rId59" location="/stock/1831632/31863" display="https://etportfolio.indiatimes.com/pw_companyinfo.cms - /stock/1831632/31863" xr:uid="{7B39F4D4-270A-458C-97EB-78C451F5E124}"/>
    <hyperlink ref="A61" r:id="rId60" location="/stock/1831632/21430" display="https://etportfolio.indiatimes.com/pw_companyinfo.cms - /stock/1831632/21430" xr:uid="{D30D327D-199B-4047-B371-5069378F00C7}"/>
    <hyperlink ref="A62" r:id="rId61" location="/stock/1831632/9175" display="https://etportfolio.indiatimes.com/pw_companyinfo.cms - /stock/1831632/9175" xr:uid="{8B7F742B-467A-4586-A9F1-C53014B43CE9}"/>
    <hyperlink ref="A63" r:id="rId62" location="/stock/1831632/45987" display="https://etportfolio.indiatimes.com/pw_companyinfo.cms - /stock/1831632/45987" xr:uid="{A579DEED-DFD0-4460-B386-83594C22F682}"/>
    <hyperlink ref="A64" r:id="rId63" location="/stock/1831632/8279" display="https://etportfolio.indiatimes.com/pw_companyinfo.cms - /stock/1831632/8279" xr:uid="{31A31B7A-6006-437A-A8ED-FA7BDF30428C}"/>
    <hyperlink ref="A65" r:id="rId64" location="/stock/1831632/66288" display="https://etportfolio.indiatimes.com/pw_companyinfo.cms - /stock/1831632/66288" xr:uid="{4A9F424B-F2DA-4EAF-A0FE-01CB96C0C186}"/>
    <hyperlink ref="A66" r:id="rId65" location="/stock/1831632/14034" display="https://etportfolio.indiatimes.com/pw_companyinfo.cms - /stock/1831632/14034" xr:uid="{CE0E984A-512D-4865-927C-0ADCDF2B9FC2}"/>
    <hyperlink ref="A67" r:id="rId66" location="/stock/1831632/63" display="https://etportfolio.indiatimes.com/pw_companyinfo.cms - /stock/1831632/63" xr:uid="{8B67930A-9EEA-4E89-AF02-E8A67CAE09C3}"/>
    <hyperlink ref="A68" r:id="rId67" location="/stock/1831632/15059" display="https://etportfolio.indiatimes.com/pw_companyinfo.cms - /stock/1831632/15059" xr:uid="{258A7276-9AC6-464C-9CE1-EAA725E88D21}"/>
    <hyperlink ref="A69" r:id="rId68" location="/stock/1831632/34421" display="https://etportfolio.indiatimes.com/pw_companyinfo.cms - /stock/1831632/34421" xr:uid="{615F4D42-BBEA-4E13-9DA6-2852A572E14C}"/>
    <hyperlink ref="A70" r:id="rId69" location="/stock/1831632/31" display="https://etportfolio.indiatimes.com/pw_companyinfo.cms - /stock/1831632/31" xr:uid="{684935C7-477E-4A21-9F74-10AA71B30ACF}"/>
    <hyperlink ref="A71" r:id="rId70" location="/stock/1831632/3723" display="https://etportfolio.indiatimes.com/pw_companyinfo.cms - /stock/1831632/3723" xr:uid="{D4628411-158B-435A-B532-B4FD368A096E}"/>
  </hyperlinks>
  <pageMargins left="0.7" right="0.7" top="0.75" bottom="0.75" header="0.3" footer="0.3"/>
  <pageSetup paperSize="9" orientation="portrait" r:id="rId7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1F98-9EA6-4B47-85DC-F5E4AC535E43}">
  <dimension ref="A1:I12"/>
  <sheetViews>
    <sheetView workbookViewId="0">
      <selection activeCell="A11" sqref="A11:I11"/>
    </sheetView>
  </sheetViews>
  <sheetFormatPr defaultColWidth="8.7109375" defaultRowHeight="15"/>
  <cols>
    <col min="1" max="1" width="56.28515625" style="22" customWidth="1"/>
    <col min="2" max="2" width="17.7109375" style="22" bestFit="1" customWidth="1"/>
    <col min="3" max="3" width="12.5703125" style="22" customWidth="1"/>
    <col min="4" max="4" width="10.28515625" style="22" bestFit="1" customWidth="1"/>
    <col min="5" max="5" width="15.85546875" style="22" customWidth="1"/>
    <col min="6" max="8" width="14.85546875" style="22" bestFit="1" customWidth="1"/>
    <col min="9" max="16384" width="8.7109375" style="22"/>
  </cols>
  <sheetData>
    <row r="1" spans="1:9" ht="31.5" thickBot="1">
      <c r="A1" s="30" t="s">
        <v>223</v>
      </c>
      <c r="B1" s="30" t="s">
        <v>224</v>
      </c>
      <c r="C1" s="30" t="s">
        <v>225</v>
      </c>
      <c r="D1" s="30" t="s">
        <v>226</v>
      </c>
      <c r="E1" s="30" t="s">
        <v>227</v>
      </c>
      <c r="F1" s="30" t="s">
        <v>228</v>
      </c>
      <c r="G1" s="30" t="s">
        <v>229</v>
      </c>
      <c r="H1" s="30" t="s">
        <v>230</v>
      </c>
      <c r="I1" s="30" t="s">
        <v>142</v>
      </c>
    </row>
    <row r="2" spans="1:9" ht="18.75" thickBot="1">
      <c r="A2" s="31" t="s">
        <v>234</v>
      </c>
      <c r="B2" s="47" t="s">
        <v>235</v>
      </c>
      <c r="C2" s="49">
        <v>1025.5050000000001</v>
      </c>
      <c r="D2" s="49">
        <v>60.82</v>
      </c>
      <c r="E2" s="49">
        <v>58.504899999999999</v>
      </c>
      <c r="F2" s="49">
        <v>59997.022900000004</v>
      </c>
      <c r="G2" s="49">
        <v>62371.214099999997</v>
      </c>
      <c r="H2" s="49">
        <v>2374.1912000000002</v>
      </c>
      <c r="I2" s="1">
        <f>H2/F2</f>
        <v>3.9571816820930958E-2</v>
      </c>
    </row>
    <row r="3" spans="1:9" ht="18.75" thickBot="1">
      <c r="A3" s="31" t="s">
        <v>236</v>
      </c>
      <c r="B3" s="47" t="s">
        <v>237</v>
      </c>
      <c r="C3" s="49">
        <v>7934.7479999999996</v>
      </c>
      <c r="D3" s="49">
        <v>48.42</v>
      </c>
      <c r="E3" s="49">
        <v>35.286200000000001</v>
      </c>
      <c r="F3" s="49">
        <v>279986.9216</v>
      </c>
      <c r="G3" s="49">
        <v>384200.49819999997</v>
      </c>
      <c r="H3" s="49">
        <v>104213.5766</v>
      </c>
      <c r="I3" s="1">
        <f t="shared" ref="I3:I11" si="0">H3/F3</f>
        <v>0.37220873033806734</v>
      </c>
    </row>
    <row r="4" spans="1:9" ht="18.75" thickBot="1">
      <c r="A4" s="31" t="s">
        <v>454</v>
      </c>
      <c r="B4" s="47" t="s">
        <v>269</v>
      </c>
      <c r="C4" s="49">
        <v>32.451000000000001</v>
      </c>
      <c r="D4" s="49">
        <v>3092.3595999999998</v>
      </c>
      <c r="E4" s="49">
        <v>3081.4859000000001</v>
      </c>
      <c r="F4" s="49">
        <v>99997.298899999994</v>
      </c>
      <c r="G4" s="49">
        <v>100350.1614</v>
      </c>
      <c r="H4" s="49">
        <v>352.86239999999998</v>
      </c>
      <c r="I4" s="1">
        <f t="shared" si="0"/>
        <v>3.528719314237397E-3</v>
      </c>
    </row>
    <row r="5" spans="1:9" ht="18.75" thickBot="1">
      <c r="A5" s="31" t="s">
        <v>441</v>
      </c>
      <c r="B5" s="47" t="s">
        <v>241</v>
      </c>
      <c r="C5" s="49">
        <v>1607.7539999999999</v>
      </c>
      <c r="D5" s="49">
        <v>454.19369999999998</v>
      </c>
      <c r="E5" s="49">
        <v>348.25630000000001</v>
      </c>
      <c r="F5" s="49">
        <v>559910.46479999996</v>
      </c>
      <c r="G5" s="49">
        <v>730231.73789999995</v>
      </c>
      <c r="H5" s="49">
        <v>170321.2732</v>
      </c>
      <c r="I5" s="1">
        <f t="shared" si="0"/>
        <v>0.30419376651736407</v>
      </c>
    </row>
    <row r="6" spans="1:9" ht="18.75" thickBot="1">
      <c r="A6" s="31" t="s">
        <v>242</v>
      </c>
      <c r="B6" s="47" t="s">
        <v>237</v>
      </c>
      <c r="C6" s="49">
        <v>5856.576</v>
      </c>
      <c r="D6" s="49">
        <v>58.689</v>
      </c>
      <c r="E6" s="49">
        <v>44.3917</v>
      </c>
      <c r="F6" s="49">
        <v>259983.36480000001</v>
      </c>
      <c r="G6" s="49">
        <v>343716.58889999997</v>
      </c>
      <c r="H6" s="49">
        <v>83733.224000000002</v>
      </c>
      <c r="I6" s="1">
        <f t="shared" si="0"/>
        <v>0.32207146816648941</v>
      </c>
    </row>
    <row r="7" spans="1:9" ht="18.75" thickBot="1">
      <c r="A7" s="31" t="s">
        <v>272</v>
      </c>
      <c r="B7" s="47" t="s">
        <v>235</v>
      </c>
      <c r="C7" s="49">
        <v>11641.498</v>
      </c>
      <c r="D7" s="49">
        <v>63.744999999999997</v>
      </c>
      <c r="E7" s="49">
        <v>41.231200000000001</v>
      </c>
      <c r="F7" s="49">
        <v>479993.46380000003</v>
      </c>
      <c r="G7" s="49">
        <v>742087.29</v>
      </c>
      <c r="H7" s="49">
        <v>262093.82620000001</v>
      </c>
      <c r="I7" s="1">
        <f t="shared" si="0"/>
        <v>0.5460362400043165</v>
      </c>
    </row>
    <row r="8" spans="1:9" ht="18.75" thickBot="1">
      <c r="A8" s="31" t="s">
        <v>250</v>
      </c>
      <c r="B8" s="47" t="s">
        <v>251</v>
      </c>
      <c r="C8" s="49">
        <v>6803.5479999999998</v>
      </c>
      <c r="D8" s="49">
        <v>40.394300000000001</v>
      </c>
      <c r="E8" s="49">
        <v>31.741599999999998</v>
      </c>
      <c r="F8" s="49">
        <v>215955.50459999999</v>
      </c>
      <c r="G8" s="49">
        <v>274824.55900000001</v>
      </c>
      <c r="H8" s="49">
        <v>58869.054300000003</v>
      </c>
      <c r="I8" s="1">
        <f t="shared" si="0"/>
        <v>0.27259807250127399</v>
      </c>
    </row>
    <row r="9" spans="1:9" ht="33" thickBot="1">
      <c r="A9" s="31" t="s">
        <v>274</v>
      </c>
      <c r="B9" s="47" t="s">
        <v>233</v>
      </c>
      <c r="C9" s="49">
        <v>2748.4549999999999</v>
      </c>
      <c r="D9" s="49">
        <v>35.450000000000003</v>
      </c>
      <c r="E9" s="49">
        <v>36.382599999999996</v>
      </c>
      <c r="F9" s="49">
        <v>99995.812999999995</v>
      </c>
      <c r="G9" s="49">
        <v>97432.729800000001</v>
      </c>
      <c r="H9" s="49">
        <v>-2563.0832</v>
      </c>
      <c r="I9" s="1">
        <f t="shared" si="0"/>
        <v>-2.5631905207871054E-2</v>
      </c>
    </row>
    <row r="10" spans="1:9" ht="18.75" thickBot="1">
      <c r="A10" s="32" t="s">
        <v>255</v>
      </c>
      <c r="B10" s="48" t="s">
        <v>241</v>
      </c>
      <c r="C10" s="50">
        <v>18996.168000000001</v>
      </c>
      <c r="D10" s="50">
        <v>12.554</v>
      </c>
      <c r="E10" s="50">
        <v>9.4700000000000006</v>
      </c>
      <c r="F10" s="50">
        <v>179893.71100000001</v>
      </c>
      <c r="G10" s="50">
        <v>238477.89309999999</v>
      </c>
      <c r="H10" s="50">
        <v>58584.182099999998</v>
      </c>
      <c r="I10" s="1">
        <f>H10/F10</f>
        <v>0.32565997874155811</v>
      </c>
    </row>
    <row r="11" spans="1:9" ht="15.75" thickBot="1">
      <c r="A11" s="51" t="s">
        <v>11</v>
      </c>
      <c r="B11" s="51"/>
      <c r="C11" s="52">
        <f>SUM(C2:C10)</f>
        <v>56646.703000000009</v>
      </c>
      <c r="D11" s="52"/>
      <c r="E11" s="52"/>
      <c r="F11" s="52">
        <f>SUM(F2:F10)</f>
        <v>2235713.5654000002</v>
      </c>
      <c r="G11" s="52">
        <f>SUM(G2:G10)</f>
        <v>2973692.6723999996</v>
      </c>
      <c r="H11" s="52">
        <f>SUM(H2:H10)</f>
        <v>737979.10679999995</v>
      </c>
      <c r="I11" s="53">
        <f t="shared" si="0"/>
        <v>0.33008660779314331</v>
      </c>
    </row>
    <row r="12" spans="1:9" ht="15.75" thickTop="1"/>
  </sheetData>
  <hyperlinks>
    <hyperlink ref="A2" r:id="rId1" location="/mf/1831632/15690/NULL" display="/mf/1831632/15690/NULL" xr:uid="{830C4160-4840-4EBE-A2AE-6F8328B8766E}"/>
    <hyperlink ref="A3" r:id="rId2" location="/mf/1831632/22335/NULL" display="https://etportfolio.indiatimes.com/pw_companyinfo.cms - /mf/1831632/22335/NULL" xr:uid="{67A3B96E-F1D0-4AF9-9713-47AA43764A41}"/>
    <hyperlink ref="A4" r:id="rId3" location="/mf/1831632/16848/NULL" display="https://etportfolio.indiatimes.com/pw_companyinfo.cms - /mf/1831632/16848/NULL" xr:uid="{3F72AB9C-B977-4817-B7E8-06D798541948}"/>
    <hyperlink ref="A5" r:id="rId4" location="/mf/1831632/16071/NULL" display="https://etportfolio.indiatimes.com/pw_companyinfo.cms - /mf/1831632/16071/NULL" xr:uid="{8171E77A-50FA-45CE-9769-430CC278D445}"/>
    <hyperlink ref="A6" r:id="rId5" location="/mf/1831632/16617/NULL" display="https://etportfolio.indiatimes.com/pw_companyinfo.cms - /mf/1831632/16617/NULL" xr:uid="{A8C61DF3-2EF6-4C78-9541-79DAF2D1E97A}"/>
    <hyperlink ref="A7" r:id="rId6" location="/mf/1831632/17134/NULL" display="https://etportfolio.indiatimes.com/pw_companyinfo.cms - /mf/1831632/17134/NULL" xr:uid="{DBB69A83-900F-45A7-8D78-4873211A5674}"/>
    <hyperlink ref="A8" r:id="rId7" location="/mf/1831632/19701/NULL" display="https://etportfolio.indiatimes.com/pw_companyinfo.cms - /mf/1831632/19701/NULL" xr:uid="{230D1832-16C0-45E8-A101-0DC847E3F71A}"/>
    <hyperlink ref="A9" r:id="rId8" location="/mf/1831632/17348/NULL" display="https://etportfolio.indiatimes.com/pw_companyinfo.cms - /mf/1831632/17348/NULL" xr:uid="{4CD92600-4F6C-4B3C-98E2-0F8A96E25619}"/>
    <hyperlink ref="A10" r:id="rId9" location="/mf/1831632/36491/NULL" display="https://etportfolio.indiatimes.com/pw_companyinfo.cms - /mf/1831632/36491/NULL" xr:uid="{37E9963C-AD7C-452B-8C19-3221B12C607A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B932-DCE2-4DD0-81B2-C099D34FF0C6}">
  <sheetPr codeName="Sheet1"/>
  <dimension ref="A1:H73"/>
  <sheetViews>
    <sheetView topLeftCell="A60" workbookViewId="0">
      <selection activeCell="E72" sqref="E72"/>
    </sheetView>
  </sheetViews>
  <sheetFormatPr defaultRowHeight="15"/>
  <cols>
    <col min="1" max="1" width="43.85546875" bestFit="1" customWidth="1"/>
    <col min="2" max="2" width="8.7109375" bestFit="1" customWidth="1"/>
    <col min="3" max="3" width="12.5703125" style="9" bestFit="1" customWidth="1"/>
    <col min="4" max="4" width="16.85546875" style="9" bestFit="1" customWidth="1"/>
    <col min="5" max="5" width="16.42578125" bestFit="1" customWidth="1"/>
    <col min="6" max="6" width="16.85546875" bestFit="1" customWidth="1"/>
    <col min="7" max="7" width="9.5703125" bestFit="1" customWidth="1"/>
  </cols>
  <sheetData>
    <row r="1" spans="1:8">
      <c r="A1" s="3" t="s">
        <v>349</v>
      </c>
      <c r="B1" s="3" t="s">
        <v>225</v>
      </c>
      <c r="C1" s="29" t="s">
        <v>226</v>
      </c>
      <c r="D1" s="29" t="s">
        <v>350</v>
      </c>
      <c r="E1" s="3" t="s">
        <v>228</v>
      </c>
      <c r="F1" s="3" t="s">
        <v>229</v>
      </c>
      <c r="G1" s="3" t="s">
        <v>351</v>
      </c>
      <c r="H1" s="3" t="s">
        <v>142</v>
      </c>
    </row>
    <row r="2" spans="1:8">
      <c r="A2" s="2" t="s">
        <v>352</v>
      </c>
      <c r="B2" s="2">
        <v>24</v>
      </c>
      <c r="C2" s="5" t="s">
        <v>471</v>
      </c>
      <c r="D2" s="5" t="s">
        <v>472</v>
      </c>
      <c r="E2" s="5">
        <f>D2*B2</f>
        <v>40763.760000000002</v>
      </c>
      <c r="F2" s="5">
        <f>B2*C2</f>
        <v>40064.399999999994</v>
      </c>
      <c r="G2" s="5">
        <f>F2-E2</f>
        <v>-699.36000000000786</v>
      </c>
      <c r="H2" s="1">
        <f>G2/E2</f>
        <v>-1.7156415404271045E-2</v>
      </c>
    </row>
    <row r="3" spans="1:8">
      <c r="A3" s="2" t="s">
        <v>458</v>
      </c>
      <c r="B3" s="2">
        <v>222</v>
      </c>
      <c r="C3" s="5">
        <v>99.45</v>
      </c>
      <c r="D3" s="5">
        <v>112.5043</v>
      </c>
      <c r="E3" s="5">
        <f t="shared" ref="E3:E66" si="0">D3*B3</f>
        <v>24975.954600000001</v>
      </c>
      <c r="F3" s="5">
        <f t="shared" ref="F3:F66" si="1">B3*C3</f>
        <v>22077.9</v>
      </c>
      <c r="G3" s="5">
        <f t="shared" ref="G3:G66" si="2">F3-E3</f>
        <v>-2898.0545999999995</v>
      </c>
      <c r="H3" s="1">
        <f t="shared" ref="H3:H66" si="3">G3/E3</f>
        <v>-0.11603378715302434</v>
      </c>
    </row>
    <row r="4" spans="1:8">
      <c r="A4" s="2" t="s">
        <v>469</v>
      </c>
      <c r="B4" s="2">
        <v>34</v>
      </c>
      <c r="C4" s="5" t="s">
        <v>473</v>
      </c>
      <c r="D4" s="5">
        <v>715.98530000000005</v>
      </c>
      <c r="E4" s="5">
        <f t="shared" si="0"/>
        <v>24343.500200000002</v>
      </c>
      <c r="F4" s="5">
        <f t="shared" si="1"/>
        <v>36470.100000000006</v>
      </c>
      <c r="G4" s="5">
        <f t="shared" si="2"/>
        <v>12126.599800000004</v>
      </c>
      <c r="H4" s="1">
        <f t="shared" si="3"/>
        <v>0.49814528315036644</v>
      </c>
    </row>
    <row r="5" spans="1:8">
      <c r="A5" s="2" t="s">
        <v>353</v>
      </c>
      <c r="B5" s="2">
        <v>16</v>
      </c>
      <c r="C5" s="5" t="s">
        <v>474</v>
      </c>
      <c r="D5" s="5" t="s">
        <v>475</v>
      </c>
      <c r="E5" s="5">
        <f t="shared" si="0"/>
        <v>39185.830399999999</v>
      </c>
      <c r="F5" s="5">
        <f t="shared" si="1"/>
        <v>46728</v>
      </c>
      <c r="G5" s="5">
        <f t="shared" si="2"/>
        <v>7542.1696000000011</v>
      </c>
      <c r="H5" s="1">
        <f t="shared" si="3"/>
        <v>0.19247185839910136</v>
      </c>
    </row>
    <row r="6" spans="1:8">
      <c r="A6" s="2" t="s">
        <v>354</v>
      </c>
      <c r="B6" s="2">
        <v>250</v>
      </c>
      <c r="C6" s="5">
        <v>175.45</v>
      </c>
      <c r="D6" s="5">
        <v>183.58799999999999</v>
      </c>
      <c r="E6" s="5">
        <f t="shared" si="0"/>
        <v>45897</v>
      </c>
      <c r="F6" s="5">
        <f t="shared" si="1"/>
        <v>43862.5</v>
      </c>
      <c r="G6" s="5">
        <f t="shared" si="2"/>
        <v>-2034.5</v>
      </c>
      <c r="H6" s="1">
        <f t="shared" si="3"/>
        <v>-4.4327515959648782E-2</v>
      </c>
    </row>
    <row r="7" spans="1:8">
      <c r="A7" s="2" t="s">
        <v>355</v>
      </c>
      <c r="B7" s="2">
        <v>10</v>
      </c>
      <c r="C7" s="5" t="s">
        <v>476</v>
      </c>
      <c r="D7" s="5" t="s">
        <v>477</v>
      </c>
      <c r="E7" s="5">
        <f t="shared" si="0"/>
        <v>21884</v>
      </c>
      <c r="F7" s="5">
        <f t="shared" si="1"/>
        <v>26493.5</v>
      </c>
      <c r="G7" s="5">
        <f t="shared" si="2"/>
        <v>4609.5</v>
      </c>
      <c r="H7" s="1">
        <f t="shared" si="3"/>
        <v>0.21063333942606471</v>
      </c>
    </row>
    <row r="8" spans="1:8">
      <c r="A8" s="2" t="s">
        <v>356</v>
      </c>
      <c r="B8" s="2">
        <v>30</v>
      </c>
      <c r="C8" s="5">
        <v>867.95</v>
      </c>
      <c r="D8" s="5">
        <v>919.75</v>
      </c>
      <c r="E8" s="5">
        <f t="shared" si="0"/>
        <v>27592.5</v>
      </c>
      <c r="F8" s="5">
        <f t="shared" si="1"/>
        <v>26038.5</v>
      </c>
      <c r="G8" s="5">
        <f t="shared" si="2"/>
        <v>-1554</v>
      </c>
      <c r="H8" s="1">
        <f t="shared" si="3"/>
        <v>-5.6319652079369391E-2</v>
      </c>
    </row>
    <row r="9" spans="1:8">
      <c r="A9" s="2" t="s">
        <v>357</v>
      </c>
      <c r="B9" s="2">
        <v>3</v>
      </c>
      <c r="C9" s="5" t="s">
        <v>478</v>
      </c>
      <c r="D9" s="5" t="s">
        <v>479</v>
      </c>
      <c r="E9" s="5">
        <f t="shared" si="0"/>
        <v>6961.5398999999998</v>
      </c>
      <c r="F9" s="5">
        <f t="shared" si="1"/>
        <v>8019.75</v>
      </c>
      <c r="G9" s="5">
        <f t="shared" si="2"/>
        <v>1058.2101000000002</v>
      </c>
      <c r="H9" s="1">
        <f t="shared" si="3"/>
        <v>0.15200804925358544</v>
      </c>
    </row>
    <row r="10" spans="1:8">
      <c r="A10" s="2" t="s">
        <v>358</v>
      </c>
      <c r="B10" s="2">
        <v>33</v>
      </c>
      <c r="C10" s="5">
        <v>610.35</v>
      </c>
      <c r="D10" s="5">
        <v>450.71359999999999</v>
      </c>
      <c r="E10" s="5">
        <f t="shared" si="0"/>
        <v>14873.548799999999</v>
      </c>
      <c r="F10" s="5">
        <f t="shared" si="1"/>
        <v>20141.55</v>
      </c>
      <c r="G10" s="5">
        <f t="shared" si="2"/>
        <v>5268.0012000000006</v>
      </c>
      <c r="H10" s="1">
        <f t="shared" si="3"/>
        <v>0.35418589543337503</v>
      </c>
    </row>
    <row r="11" spans="1:8">
      <c r="A11" s="2" t="s">
        <v>359</v>
      </c>
      <c r="B11" s="2">
        <v>15</v>
      </c>
      <c r="C11" s="5" t="s">
        <v>480</v>
      </c>
      <c r="D11" s="5" t="s">
        <v>481</v>
      </c>
      <c r="E11" s="5">
        <f t="shared" si="0"/>
        <v>29981.25</v>
      </c>
      <c r="F11" s="5">
        <f t="shared" si="1"/>
        <v>50588.25</v>
      </c>
      <c r="G11" s="5">
        <f t="shared" si="2"/>
        <v>20607</v>
      </c>
      <c r="H11" s="1">
        <f t="shared" si="3"/>
        <v>0.68732958098811758</v>
      </c>
    </row>
    <row r="12" spans="1:8">
      <c r="A12" s="2" t="s">
        <v>459</v>
      </c>
      <c r="B12" s="2">
        <v>23</v>
      </c>
      <c r="C12" s="5">
        <v>213</v>
      </c>
      <c r="D12" s="5">
        <v>188.8552</v>
      </c>
      <c r="E12" s="5">
        <f t="shared" si="0"/>
        <v>4343.6696000000002</v>
      </c>
      <c r="F12" s="5">
        <f t="shared" si="1"/>
        <v>4899</v>
      </c>
      <c r="G12" s="5">
        <f t="shared" si="2"/>
        <v>555.33039999999983</v>
      </c>
      <c r="H12" s="1">
        <f t="shared" si="3"/>
        <v>0.12784821386967365</v>
      </c>
    </row>
    <row r="13" spans="1:8">
      <c r="A13" s="2" t="s">
        <v>361</v>
      </c>
      <c r="B13" s="2">
        <v>3</v>
      </c>
      <c r="C13" s="5" t="s">
        <v>482</v>
      </c>
      <c r="D13" s="5" t="s">
        <v>483</v>
      </c>
      <c r="E13" s="5">
        <f t="shared" si="0"/>
        <v>4558.4499000000005</v>
      </c>
      <c r="F13" s="5">
        <f t="shared" si="1"/>
        <v>4667.5499999999993</v>
      </c>
      <c r="G13" s="5">
        <f t="shared" si="2"/>
        <v>109.10009999999875</v>
      </c>
      <c r="H13" s="1">
        <f t="shared" si="3"/>
        <v>2.3933596374504134E-2</v>
      </c>
    </row>
    <row r="14" spans="1:8">
      <c r="A14" s="2" t="s">
        <v>362</v>
      </c>
      <c r="B14" s="2">
        <v>180</v>
      </c>
      <c r="C14" s="5">
        <v>517.04999999999995</v>
      </c>
      <c r="D14" s="5">
        <v>322.88889999999998</v>
      </c>
      <c r="E14" s="5">
        <f t="shared" si="0"/>
        <v>58120.001999999993</v>
      </c>
      <c r="F14" s="5">
        <f t="shared" si="1"/>
        <v>93068.999999999985</v>
      </c>
      <c r="G14" s="5">
        <f t="shared" si="2"/>
        <v>34948.997999999992</v>
      </c>
      <c r="H14" s="1">
        <f t="shared" si="3"/>
        <v>0.60132479004388195</v>
      </c>
    </row>
    <row r="15" spans="1:8">
      <c r="A15" s="2" t="s">
        <v>364</v>
      </c>
      <c r="B15" s="2">
        <v>3</v>
      </c>
      <c r="C15" s="5" t="s">
        <v>484</v>
      </c>
      <c r="D15" s="5" t="s">
        <v>485</v>
      </c>
      <c r="E15" s="5">
        <f t="shared" si="0"/>
        <v>10958.3001</v>
      </c>
      <c r="F15" s="5">
        <f t="shared" si="1"/>
        <v>10855.349999999999</v>
      </c>
      <c r="G15" s="5">
        <f t="shared" si="2"/>
        <v>-102.95010000000184</v>
      </c>
      <c r="H15" s="1">
        <f t="shared" si="3"/>
        <v>-9.3947144229059604E-3</v>
      </c>
    </row>
    <row r="16" spans="1:8">
      <c r="A16" s="2" t="s">
        <v>365</v>
      </c>
      <c r="B16" s="2">
        <v>180</v>
      </c>
      <c r="C16" s="5">
        <v>124.7</v>
      </c>
      <c r="D16" s="5">
        <v>155.25</v>
      </c>
      <c r="E16" s="5">
        <f t="shared" si="0"/>
        <v>27945</v>
      </c>
      <c r="F16" s="5">
        <f t="shared" si="1"/>
        <v>22446</v>
      </c>
      <c r="G16" s="5">
        <f t="shared" si="2"/>
        <v>-5499</v>
      </c>
      <c r="H16" s="1">
        <f t="shared" si="3"/>
        <v>-0.19677938808373591</v>
      </c>
    </row>
    <row r="17" spans="1:8">
      <c r="A17" s="2" t="s">
        <v>366</v>
      </c>
      <c r="B17" s="2">
        <v>40</v>
      </c>
      <c r="C17" s="5">
        <v>833.45</v>
      </c>
      <c r="D17" s="5">
        <v>591.70579999999995</v>
      </c>
      <c r="E17" s="5">
        <f t="shared" si="0"/>
        <v>23668.231999999996</v>
      </c>
      <c r="F17" s="5">
        <f t="shared" si="1"/>
        <v>33338</v>
      </c>
      <c r="G17" s="5">
        <f t="shared" si="2"/>
        <v>9669.7680000000037</v>
      </c>
      <c r="H17" s="1">
        <f t="shared" si="3"/>
        <v>0.40855472432414913</v>
      </c>
    </row>
    <row r="18" spans="1:8">
      <c r="A18" s="2" t="s">
        <v>460</v>
      </c>
      <c r="B18" s="2">
        <v>109</v>
      </c>
      <c r="C18" s="5">
        <v>178.65</v>
      </c>
      <c r="D18" s="5">
        <v>139.55179999999999</v>
      </c>
      <c r="E18" s="5">
        <f t="shared" si="0"/>
        <v>15211.146199999999</v>
      </c>
      <c r="F18" s="5">
        <f t="shared" si="1"/>
        <v>19472.850000000002</v>
      </c>
      <c r="G18" s="5">
        <f t="shared" si="2"/>
        <v>4261.703800000003</v>
      </c>
      <c r="H18" s="1">
        <f t="shared" si="3"/>
        <v>0.28016980074782288</v>
      </c>
    </row>
    <row r="19" spans="1:8">
      <c r="A19" s="2" t="s">
        <v>367</v>
      </c>
      <c r="B19" s="2">
        <v>250</v>
      </c>
      <c r="C19" s="5">
        <v>136.19999999999999</v>
      </c>
      <c r="D19" s="5">
        <v>163.66999999999999</v>
      </c>
      <c r="E19" s="5">
        <f t="shared" si="0"/>
        <v>40917.5</v>
      </c>
      <c r="F19" s="5">
        <f t="shared" si="1"/>
        <v>34050</v>
      </c>
      <c r="G19" s="5">
        <f t="shared" si="2"/>
        <v>-6867.5</v>
      </c>
      <c r="H19" s="1">
        <f t="shared" si="3"/>
        <v>-0.16783772224598276</v>
      </c>
    </row>
    <row r="20" spans="1:8">
      <c r="A20" s="2" t="s">
        <v>369</v>
      </c>
      <c r="B20" s="2">
        <v>3</v>
      </c>
      <c r="C20" s="5" t="s">
        <v>486</v>
      </c>
      <c r="D20" s="5" t="s">
        <v>487</v>
      </c>
      <c r="E20" s="5">
        <f t="shared" si="0"/>
        <v>4515.6500999999998</v>
      </c>
      <c r="F20" s="5">
        <f t="shared" si="1"/>
        <v>4706.3999999999996</v>
      </c>
      <c r="G20" s="5">
        <f t="shared" si="2"/>
        <v>190.7498999999998</v>
      </c>
      <c r="H20" s="1">
        <f t="shared" si="3"/>
        <v>4.2241957586572045E-2</v>
      </c>
    </row>
    <row r="21" spans="1:8">
      <c r="A21" s="2" t="s">
        <v>370</v>
      </c>
      <c r="B21" s="2">
        <v>9</v>
      </c>
      <c r="C21" s="5">
        <v>514.4</v>
      </c>
      <c r="D21" s="5">
        <v>518.18330000000003</v>
      </c>
      <c r="E21" s="5">
        <f t="shared" si="0"/>
        <v>4663.6496999999999</v>
      </c>
      <c r="F21" s="5">
        <f t="shared" si="1"/>
        <v>4629.5999999999995</v>
      </c>
      <c r="G21" s="5">
        <f t="shared" si="2"/>
        <v>-34.049700000000485</v>
      </c>
      <c r="H21" s="1">
        <f t="shared" si="3"/>
        <v>-7.3010843846184423E-3</v>
      </c>
    </row>
    <row r="22" spans="1:8">
      <c r="A22" s="2" t="s">
        <v>371</v>
      </c>
      <c r="B22" s="2">
        <v>12</v>
      </c>
      <c r="C22" s="5" t="s">
        <v>488</v>
      </c>
      <c r="D22" s="5" t="s">
        <v>489</v>
      </c>
      <c r="E22" s="5">
        <f t="shared" si="0"/>
        <v>25282.940399999999</v>
      </c>
      <c r="F22" s="5">
        <f t="shared" si="1"/>
        <v>44991.600000000006</v>
      </c>
      <c r="G22" s="5">
        <f t="shared" si="2"/>
        <v>19708.659600000006</v>
      </c>
      <c r="H22" s="1">
        <f t="shared" si="3"/>
        <v>0.77952403036159534</v>
      </c>
    </row>
    <row r="23" spans="1:8">
      <c r="A23" s="2" t="s">
        <v>372</v>
      </c>
      <c r="B23" s="2">
        <v>16</v>
      </c>
      <c r="C23" s="5">
        <v>226.1</v>
      </c>
      <c r="D23" s="5">
        <v>197.87190000000001</v>
      </c>
      <c r="E23" s="5">
        <f t="shared" si="0"/>
        <v>3165.9504000000002</v>
      </c>
      <c r="F23" s="5">
        <f t="shared" si="1"/>
        <v>3617.6</v>
      </c>
      <c r="G23" s="5">
        <f t="shared" si="2"/>
        <v>451.64959999999974</v>
      </c>
      <c r="H23" s="1">
        <f t="shared" si="3"/>
        <v>0.14265845731506083</v>
      </c>
    </row>
    <row r="24" spans="1:8">
      <c r="A24" s="2" t="s">
        <v>374</v>
      </c>
      <c r="B24" s="2">
        <v>2</v>
      </c>
      <c r="C24" s="5" t="s">
        <v>490</v>
      </c>
      <c r="D24" s="5" t="s">
        <v>491</v>
      </c>
      <c r="E24" s="5">
        <f t="shared" si="0"/>
        <v>4594.84</v>
      </c>
      <c r="F24" s="5">
        <f t="shared" si="1"/>
        <v>4872.3999999999996</v>
      </c>
      <c r="G24" s="5">
        <f t="shared" si="2"/>
        <v>277.55999999999949</v>
      </c>
      <c r="H24" s="1">
        <f t="shared" si="3"/>
        <v>6.0406891208398872E-2</v>
      </c>
    </row>
    <row r="25" spans="1:8">
      <c r="A25" s="2" t="s">
        <v>376</v>
      </c>
      <c r="B25" s="2">
        <v>5</v>
      </c>
      <c r="C25" s="5" t="s">
        <v>492</v>
      </c>
      <c r="D25" s="5" t="s">
        <v>493</v>
      </c>
      <c r="E25" s="5">
        <f t="shared" si="0"/>
        <v>5548.7199999999993</v>
      </c>
      <c r="F25" s="5">
        <f t="shared" si="1"/>
        <v>6198.25</v>
      </c>
      <c r="G25" s="5">
        <f t="shared" si="2"/>
        <v>649.53000000000065</v>
      </c>
      <c r="H25" s="1">
        <f t="shared" si="3"/>
        <v>0.11705942992257687</v>
      </c>
    </row>
    <row r="26" spans="1:8">
      <c r="A26" s="2" t="s">
        <v>378</v>
      </c>
      <c r="B26" s="2">
        <v>176</v>
      </c>
      <c r="C26" s="5">
        <v>183.5</v>
      </c>
      <c r="D26" s="5">
        <v>201.506</v>
      </c>
      <c r="E26" s="5">
        <f t="shared" si="0"/>
        <v>35465.055999999997</v>
      </c>
      <c r="F26" s="5">
        <f t="shared" si="1"/>
        <v>32296</v>
      </c>
      <c r="G26" s="5">
        <f t="shared" si="2"/>
        <v>-3169.0559999999969</v>
      </c>
      <c r="H26" s="1">
        <f t="shared" si="3"/>
        <v>-8.9357140730300752E-2</v>
      </c>
    </row>
    <row r="27" spans="1:8">
      <c r="A27" s="2" t="s">
        <v>379</v>
      </c>
      <c r="B27" s="2">
        <v>281</v>
      </c>
      <c r="C27" s="5">
        <v>65.2</v>
      </c>
      <c r="D27" s="5">
        <v>52.479700000000001</v>
      </c>
      <c r="E27" s="5">
        <f t="shared" si="0"/>
        <v>14746.795700000001</v>
      </c>
      <c r="F27" s="5">
        <f t="shared" si="1"/>
        <v>18321.2</v>
      </c>
      <c r="G27" s="5">
        <f t="shared" si="2"/>
        <v>3574.4043000000001</v>
      </c>
      <c r="H27" s="1">
        <f t="shared" si="3"/>
        <v>0.2423851508297494</v>
      </c>
    </row>
    <row r="28" spans="1:8">
      <c r="A28" s="2" t="s">
        <v>380</v>
      </c>
      <c r="B28" s="2">
        <v>16</v>
      </c>
      <c r="C28" s="5">
        <v>140.85</v>
      </c>
      <c r="D28" s="5">
        <v>126.8563</v>
      </c>
      <c r="E28" s="5">
        <f t="shared" si="0"/>
        <v>2029.7008000000001</v>
      </c>
      <c r="F28" s="5">
        <f t="shared" si="1"/>
        <v>2253.6</v>
      </c>
      <c r="G28" s="5">
        <f t="shared" si="2"/>
        <v>223.89919999999984</v>
      </c>
      <c r="H28" s="1">
        <f t="shared" si="3"/>
        <v>0.11031143112324725</v>
      </c>
    </row>
    <row r="29" spans="1:8">
      <c r="A29" s="2" t="s">
        <v>383</v>
      </c>
      <c r="B29" s="2">
        <v>3</v>
      </c>
      <c r="C29" s="5" t="s">
        <v>494</v>
      </c>
      <c r="D29" s="5" t="s">
        <v>495</v>
      </c>
      <c r="E29" s="5">
        <f t="shared" si="0"/>
        <v>3432.9998999999998</v>
      </c>
      <c r="F29" s="5">
        <f t="shared" si="1"/>
        <v>4086</v>
      </c>
      <c r="G29" s="5">
        <f t="shared" si="2"/>
        <v>653.0001000000002</v>
      </c>
      <c r="H29" s="1">
        <f t="shared" si="3"/>
        <v>0.19021267667383276</v>
      </c>
    </row>
    <row r="30" spans="1:8">
      <c r="A30" s="2" t="s">
        <v>461</v>
      </c>
      <c r="B30" s="2">
        <v>93</v>
      </c>
      <c r="C30" s="5">
        <v>229.6</v>
      </c>
      <c r="D30" s="5">
        <v>214.44030000000001</v>
      </c>
      <c r="E30" s="5">
        <f t="shared" si="0"/>
        <v>19942.947899999999</v>
      </c>
      <c r="F30" s="5">
        <f t="shared" si="1"/>
        <v>21352.799999999999</v>
      </c>
      <c r="G30" s="5">
        <f t="shared" si="2"/>
        <v>1409.8521000000001</v>
      </c>
      <c r="H30" s="1">
        <f t="shared" si="3"/>
        <v>7.0694267821859988E-2</v>
      </c>
    </row>
    <row r="31" spans="1:8">
      <c r="A31" s="2" t="s">
        <v>385</v>
      </c>
      <c r="B31" s="2">
        <v>17</v>
      </c>
      <c r="C31" s="5" t="s">
        <v>496</v>
      </c>
      <c r="D31" s="5" t="s">
        <v>497</v>
      </c>
      <c r="E31" s="5">
        <f t="shared" si="0"/>
        <v>18790.0507</v>
      </c>
      <c r="F31" s="5">
        <f t="shared" si="1"/>
        <v>23747.300000000003</v>
      </c>
      <c r="G31" s="5">
        <f t="shared" si="2"/>
        <v>4957.2493000000031</v>
      </c>
      <c r="H31" s="1">
        <f t="shared" si="3"/>
        <v>0.26382309335652848</v>
      </c>
    </row>
    <row r="32" spans="1:8">
      <c r="A32" s="2" t="s">
        <v>386</v>
      </c>
      <c r="B32" s="2">
        <v>11</v>
      </c>
      <c r="C32" s="5">
        <v>657.25</v>
      </c>
      <c r="D32" s="5">
        <v>602.65909999999997</v>
      </c>
      <c r="E32" s="5">
        <f t="shared" si="0"/>
        <v>6629.2500999999993</v>
      </c>
      <c r="F32" s="5">
        <f t="shared" si="1"/>
        <v>7229.75</v>
      </c>
      <c r="G32" s="5">
        <f t="shared" si="2"/>
        <v>600.49990000000071</v>
      </c>
      <c r="H32" s="1">
        <f t="shared" si="3"/>
        <v>9.0583382877650179E-2</v>
      </c>
    </row>
    <row r="33" spans="1:8">
      <c r="A33" s="2" t="s">
        <v>387</v>
      </c>
      <c r="B33" s="2">
        <v>2</v>
      </c>
      <c r="C33" s="5" t="s">
        <v>498</v>
      </c>
      <c r="D33" s="5" t="s">
        <v>499</v>
      </c>
      <c r="E33" s="5">
        <f t="shared" si="0"/>
        <v>6127.5</v>
      </c>
      <c r="F33" s="5">
        <f t="shared" si="1"/>
        <v>6141.5</v>
      </c>
      <c r="G33" s="5">
        <f t="shared" si="2"/>
        <v>14</v>
      </c>
      <c r="H33" s="1">
        <f t="shared" si="3"/>
        <v>2.2847817217462262E-3</v>
      </c>
    </row>
    <row r="34" spans="1:8">
      <c r="A34" s="2" t="s">
        <v>390</v>
      </c>
      <c r="B34" s="2">
        <v>3</v>
      </c>
      <c r="C34" s="5" t="s">
        <v>500</v>
      </c>
      <c r="D34" s="5" t="s">
        <v>501</v>
      </c>
      <c r="E34" s="5">
        <f t="shared" si="0"/>
        <v>6510.0501000000004</v>
      </c>
      <c r="F34" s="5">
        <f t="shared" si="1"/>
        <v>7199.8499999999995</v>
      </c>
      <c r="G34" s="5">
        <f t="shared" si="2"/>
        <v>689.79989999999907</v>
      </c>
      <c r="H34" s="1">
        <f t="shared" si="3"/>
        <v>0.10595923063633551</v>
      </c>
    </row>
    <row r="35" spans="1:8">
      <c r="A35" s="2" t="s">
        <v>391</v>
      </c>
      <c r="B35" s="2">
        <v>186</v>
      </c>
      <c r="C35" s="5">
        <v>513.65</v>
      </c>
      <c r="D35" s="5">
        <v>313.93869999999998</v>
      </c>
      <c r="E35" s="5">
        <f t="shared" si="0"/>
        <v>58392.5982</v>
      </c>
      <c r="F35" s="5">
        <f t="shared" si="1"/>
        <v>95538.9</v>
      </c>
      <c r="G35" s="5">
        <f t="shared" si="2"/>
        <v>37146.301799999994</v>
      </c>
      <c r="H35" s="1">
        <f t="shared" si="3"/>
        <v>0.63614743897455128</v>
      </c>
    </row>
    <row r="36" spans="1:8">
      <c r="A36" s="2" t="s">
        <v>392</v>
      </c>
      <c r="B36" s="2">
        <v>5</v>
      </c>
      <c r="C36" s="5" t="s">
        <v>502</v>
      </c>
      <c r="D36" s="5" t="s">
        <v>503</v>
      </c>
      <c r="E36" s="5">
        <f t="shared" si="0"/>
        <v>6581.59</v>
      </c>
      <c r="F36" s="5">
        <f t="shared" si="1"/>
        <v>7421.25</v>
      </c>
      <c r="G36" s="5">
        <f t="shared" si="2"/>
        <v>839.65999999999985</v>
      </c>
      <c r="H36" s="1">
        <f t="shared" si="3"/>
        <v>0.12757707484057801</v>
      </c>
    </row>
    <row r="37" spans="1:8">
      <c r="A37" s="2" t="s">
        <v>393</v>
      </c>
      <c r="B37" s="2">
        <v>12</v>
      </c>
      <c r="C37" s="5">
        <v>496.3</v>
      </c>
      <c r="D37" s="5">
        <v>435.5333</v>
      </c>
      <c r="E37" s="5">
        <f t="shared" si="0"/>
        <v>5226.3995999999997</v>
      </c>
      <c r="F37" s="5">
        <f t="shared" si="1"/>
        <v>5955.6</v>
      </c>
      <c r="G37" s="5">
        <f t="shared" si="2"/>
        <v>729.20040000000063</v>
      </c>
      <c r="H37" s="1">
        <f t="shared" si="3"/>
        <v>0.13952251182630596</v>
      </c>
    </row>
    <row r="38" spans="1:8">
      <c r="A38" s="2" t="s">
        <v>395</v>
      </c>
      <c r="B38" s="2">
        <v>100</v>
      </c>
      <c r="C38" s="5" t="s">
        <v>504</v>
      </c>
      <c r="D38" s="5">
        <v>462</v>
      </c>
      <c r="E38" s="5">
        <f t="shared" si="0"/>
        <v>46200</v>
      </c>
      <c r="F38" s="5">
        <f t="shared" si="1"/>
        <v>123634.99999999999</v>
      </c>
      <c r="G38" s="5">
        <f t="shared" si="2"/>
        <v>77434.999999999985</v>
      </c>
      <c r="H38" s="1">
        <f t="shared" si="3"/>
        <v>1.6760822510822508</v>
      </c>
    </row>
    <row r="39" spans="1:8">
      <c r="A39" s="2" t="s">
        <v>505</v>
      </c>
      <c r="B39" s="2">
        <v>49</v>
      </c>
      <c r="C39" s="5">
        <v>461.8</v>
      </c>
      <c r="D39" s="5">
        <v>488.16329999999999</v>
      </c>
      <c r="E39" s="5">
        <f t="shared" si="0"/>
        <v>23920.001700000001</v>
      </c>
      <c r="F39" s="5">
        <f t="shared" si="1"/>
        <v>22628.2</v>
      </c>
      <c r="G39" s="5">
        <f t="shared" si="2"/>
        <v>-1291.8017</v>
      </c>
      <c r="H39" s="1">
        <f t="shared" si="3"/>
        <v>-5.4005083954488178E-2</v>
      </c>
    </row>
    <row r="40" spans="1:8">
      <c r="A40" s="2" t="s">
        <v>445</v>
      </c>
      <c r="B40" s="2">
        <v>14</v>
      </c>
      <c r="C40" s="5" t="s">
        <v>506</v>
      </c>
      <c r="D40" s="5" t="s">
        <v>507</v>
      </c>
      <c r="E40" s="5">
        <f t="shared" si="0"/>
        <v>24547.95</v>
      </c>
      <c r="F40" s="5">
        <f t="shared" si="1"/>
        <v>30272.200000000004</v>
      </c>
      <c r="G40" s="5">
        <f t="shared" si="2"/>
        <v>5724.2500000000036</v>
      </c>
      <c r="H40" s="1">
        <f t="shared" si="3"/>
        <v>0.23318647789326619</v>
      </c>
    </row>
    <row r="41" spans="1:8">
      <c r="A41" s="2" t="s">
        <v>396</v>
      </c>
      <c r="B41" s="2">
        <v>628</v>
      </c>
      <c r="C41" s="5">
        <v>208.6</v>
      </c>
      <c r="D41" s="5">
        <v>226.8623</v>
      </c>
      <c r="E41" s="5">
        <f t="shared" si="0"/>
        <v>142469.52439999999</v>
      </c>
      <c r="F41" s="5">
        <f t="shared" si="1"/>
        <v>131000.8</v>
      </c>
      <c r="G41" s="5">
        <f t="shared" si="2"/>
        <v>-11468.724399999992</v>
      </c>
      <c r="H41" s="1">
        <f t="shared" si="3"/>
        <v>-8.0499492423377478E-2</v>
      </c>
    </row>
    <row r="42" spans="1:8">
      <c r="A42" s="2" t="s">
        <v>397</v>
      </c>
      <c r="B42" s="2">
        <v>36</v>
      </c>
      <c r="C42" s="5" t="s">
        <v>508</v>
      </c>
      <c r="D42" s="5">
        <v>674.28</v>
      </c>
      <c r="E42" s="5">
        <f t="shared" si="0"/>
        <v>24274.079999999998</v>
      </c>
      <c r="F42" s="5">
        <f t="shared" si="1"/>
        <v>37173.599999999999</v>
      </c>
      <c r="G42" s="5">
        <f t="shared" si="2"/>
        <v>12899.52</v>
      </c>
      <c r="H42" s="1">
        <f t="shared" si="3"/>
        <v>0.53141128314646735</v>
      </c>
    </row>
    <row r="43" spans="1:8">
      <c r="A43" s="2" t="s">
        <v>446</v>
      </c>
      <c r="B43" s="2">
        <v>32</v>
      </c>
      <c r="C43" s="5">
        <v>148.25</v>
      </c>
      <c r="D43" s="5">
        <v>141.72659999999999</v>
      </c>
      <c r="E43" s="5">
        <f t="shared" si="0"/>
        <v>4535.2511999999997</v>
      </c>
      <c r="F43" s="5">
        <f t="shared" si="1"/>
        <v>4744</v>
      </c>
      <c r="G43" s="5">
        <f t="shared" si="2"/>
        <v>208.7488000000003</v>
      </c>
      <c r="H43" s="1">
        <f t="shared" si="3"/>
        <v>4.6028056836190309E-2</v>
      </c>
    </row>
    <row r="44" spans="1:8">
      <c r="A44" s="2" t="s">
        <v>398</v>
      </c>
      <c r="B44" s="2">
        <v>14</v>
      </c>
      <c r="C44" s="5" t="s">
        <v>509</v>
      </c>
      <c r="D44" s="5" t="s">
        <v>510</v>
      </c>
      <c r="E44" s="5">
        <f t="shared" si="0"/>
        <v>19226.649400000002</v>
      </c>
      <c r="F44" s="5">
        <f t="shared" si="1"/>
        <v>27466.600000000002</v>
      </c>
      <c r="G44" s="5">
        <f t="shared" si="2"/>
        <v>8239.9506000000001</v>
      </c>
      <c r="H44" s="1">
        <f t="shared" si="3"/>
        <v>0.42856924410344732</v>
      </c>
    </row>
    <row r="45" spans="1:8">
      <c r="A45" s="2" t="s">
        <v>401</v>
      </c>
      <c r="B45" s="2">
        <v>62</v>
      </c>
      <c r="C45" s="5" t="s">
        <v>511</v>
      </c>
      <c r="D45" s="5" t="s">
        <v>512</v>
      </c>
      <c r="E45" s="5">
        <f t="shared" si="0"/>
        <v>65299.398200000003</v>
      </c>
      <c r="F45" s="5">
        <f t="shared" si="1"/>
        <v>78234.7</v>
      </c>
      <c r="G45" s="5">
        <f t="shared" si="2"/>
        <v>12935.301799999994</v>
      </c>
      <c r="H45" s="1">
        <f t="shared" si="3"/>
        <v>0.19809220538880851</v>
      </c>
    </row>
    <row r="46" spans="1:8">
      <c r="A46" s="2" t="s">
        <v>462</v>
      </c>
      <c r="B46" s="2">
        <v>379</v>
      </c>
      <c r="C46" s="5">
        <v>54.9</v>
      </c>
      <c r="D46" s="5">
        <v>60.95</v>
      </c>
      <c r="E46" s="5">
        <f t="shared" si="0"/>
        <v>23100.05</v>
      </c>
      <c r="F46" s="5">
        <f t="shared" si="1"/>
        <v>20807.099999999999</v>
      </c>
      <c r="G46" s="5">
        <f t="shared" si="2"/>
        <v>-2292.9500000000007</v>
      </c>
      <c r="H46" s="1">
        <f t="shared" si="3"/>
        <v>-9.9261689909762141E-2</v>
      </c>
    </row>
    <row r="47" spans="1:8">
      <c r="A47" s="2" t="s">
        <v>402</v>
      </c>
      <c r="B47" s="2">
        <v>6</v>
      </c>
      <c r="C47" s="5">
        <v>711.3</v>
      </c>
      <c r="D47" s="5">
        <v>652.16669999999999</v>
      </c>
      <c r="E47" s="5">
        <f t="shared" si="0"/>
        <v>3913.0001999999999</v>
      </c>
      <c r="F47" s="5">
        <f t="shared" si="1"/>
        <v>4267.7999999999993</v>
      </c>
      <c r="G47" s="5">
        <f t="shared" si="2"/>
        <v>354.79979999999932</v>
      </c>
      <c r="H47" s="1">
        <f t="shared" si="3"/>
        <v>9.0672062833014766E-2</v>
      </c>
    </row>
    <row r="48" spans="1:8">
      <c r="A48" s="2" t="s">
        <v>403</v>
      </c>
      <c r="B48" s="2">
        <v>27</v>
      </c>
      <c r="C48" s="5">
        <v>163.35</v>
      </c>
      <c r="D48" s="5">
        <v>148.2611</v>
      </c>
      <c r="E48" s="5">
        <f t="shared" si="0"/>
        <v>4003.0497</v>
      </c>
      <c r="F48" s="5">
        <f t="shared" si="1"/>
        <v>4410.45</v>
      </c>
      <c r="G48" s="5">
        <f t="shared" si="2"/>
        <v>407.40029999999979</v>
      </c>
      <c r="H48" s="1">
        <f t="shared" si="3"/>
        <v>0.10177248111608501</v>
      </c>
    </row>
    <row r="49" spans="1:8">
      <c r="A49" s="2" t="s">
        <v>404</v>
      </c>
      <c r="B49" s="2">
        <v>14</v>
      </c>
      <c r="C49" s="5">
        <v>401.05</v>
      </c>
      <c r="D49" s="5">
        <v>385.19639999999998</v>
      </c>
      <c r="E49" s="5">
        <f t="shared" si="0"/>
        <v>5392.7496000000001</v>
      </c>
      <c r="F49" s="5">
        <f t="shared" si="1"/>
        <v>5614.7</v>
      </c>
      <c r="G49" s="5">
        <f t="shared" si="2"/>
        <v>221.95039999999972</v>
      </c>
      <c r="H49" s="1">
        <f t="shared" si="3"/>
        <v>4.1157186308075515E-2</v>
      </c>
    </row>
    <row r="50" spans="1:8">
      <c r="A50" s="2" t="s">
        <v>405</v>
      </c>
      <c r="B50" s="2">
        <v>10</v>
      </c>
      <c r="C50" s="5">
        <v>400.9</v>
      </c>
      <c r="D50" s="5">
        <v>353.02499999999998</v>
      </c>
      <c r="E50" s="5">
        <f t="shared" si="0"/>
        <v>3530.25</v>
      </c>
      <c r="F50" s="5">
        <f t="shared" si="1"/>
        <v>4009</v>
      </c>
      <c r="G50" s="5">
        <f t="shared" si="2"/>
        <v>478.75</v>
      </c>
      <c r="H50" s="1">
        <f t="shared" si="3"/>
        <v>0.13561362509737271</v>
      </c>
    </row>
    <row r="51" spans="1:8">
      <c r="A51" s="2" t="s">
        <v>448</v>
      </c>
      <c r="B51" s="2">
        <v>19</v>
      </c>
      <c r="C51" s="5">
        <v>154</v>
      </c>
      <c r="D51" s="5">
        <v>123.50369999999999</v>
      </c>
      <c r="E51" s="5">
        <f t="shared" si="0"/>
        <v>2346.5702999999999</v>
      </c>
      <c r="F51" s="5">
        <f t="shared" si="1"/>
        <v>2926</v>
      </c>
      <c r="G51" s="5">
        <f t="shared" si="2"/>
        <v>579.42970000000014</v>
      </c>
      <c r="H51" s="1">
        <f t="shared" si="3"/>
        <v>0.24692620544971536</v>
      </c>
    </row>
    <row r="52" spans="1:8">
      <c r="A52" s="2" t="s">
        <v>513</v>
      </c>
      <c r="B52" s="2">
        <v>37</v>
      </c>
      <c r="C52" s="5">
        <v>931.65</v>
      </c>
      <c r="D52" s="5">
        <v>608.30780000000004</v>
      </c>
      <c r="E52" s="5">
        <f t="shared" si="0"/>
        <v>22507.388600000002</v>
      </c>
      <c r="F52" s="5">
        <f t="shared" si="1"/>
        <v>34471.049999999996</v>
      </c>
      <c r="G52" s="5">
        <f t="shared" si="2"/>
        <v>11963.661399999994</v>
      </c>
      <c r="H52" s="1">
        <f t="shared" si="3"/>
        <v>0.53154373493155893</v>
      </c>
    </row>
    <row r="53" spans="1:8">
      <c r="A53" s="2" t="s">
        <v>410</v>
      </c>
      <c r="B53" s="2">
        <v>59</v>
      </c>
      <c r="C53" s="5">
        <v>535.54999999999995</v>
      </c>
      <c r="D53" s="5">
        <v>234.1797</v>
      </c>
      <c r="E53" s="5">
        <f t="shared" si="0"/>
        <v>13816.6023</v>
      </c>
      <c r="F53" s="5">
        <f t="shared" si="1"/>
        <v>31597.449999999997</v>
      </c>
      <c r="G53" s="5">
        <f t="shared" si="2"/>
        <v>17780.847699999998</v>
      </c>
      <c r="H53" s="1">
        <f t="shared" si="3"/>
        <v>1.2869189771786367</v>
      </c>
    </row>
    <row r="54" spans="1:8">
      <c r="A54" s="2" t="s">
        <v>411</v>
      </c>
      <c r="B54" s="2">
        <v>300</v>
      </c>
      <c r="C54" s="5">
        <v>93.15</v>
      </c>
      <c r="D54" s="5">
        <v>82.333299999999994</v>
      </c>
      <c r="E54" s="5">
        <f t="shared" si="0"/>
        <v>24699.989999999998</v>
      </c>
      <c r="F54" s="5">
        <f t="shared" si="1"/>
        <v>27945</v>
      </c>
      <c r="G54" s="5">
        <f t="shared" si="2"/>
        <v>3245.010000000002</v>
      </c>
      <c r="H54" s="1">
        <f t="shared" si="3"/>
        <v>0.13137697626598238</v>
      </c>
    </row>
    <row r="55" spans="1:8">
      <c r="A55" s="2" t="s">
        <v>415</v>
      </c>
      <c r="B55" s="2">
        <v>7</v>
      </c>
      <c r="C55" s="5">
        <v>741.95</v>
      </c>
      <c r="D55" s="5">
        <v>720.41430000000003</v>
      </c>
      <c r="E55" s="5">
        <f t="shared" si="0"/>
        <v>5042.9000999999998</v>
      </c>
      <c r="F55" s="5">
        <f t="shared" si="1"/>
        <v>5193.6500000000005</v>
      </c>
      <c r="G55" s="5">
        <f t="shared" si="2"/>
        <v>150.74990000000071</v>
      </c>
      <c r="H55" s="1">
        <f t="shared" si="3"/>
        <v>2.9893493230215031E-2</v>
      </c>
    </row>
    <row r="56" spans="1:8">
      <c r="A56" s="2" t="s">
        <v>450</v>
      </c>
      <c r="B56" s="2">
        <v>30</v>
      </c>
      <c r="C56" s="5">
        <v>730.9</v>
      </c>
      <c r="D56" s="5">
        <v>456.75830000000002</v>
      </c>
      <c r="E56" s="5">
        <f t="shared" si="0"/>
        <v>13702.749</v>
      </c>
      <c r="F56" s="5">
        <f t="shared" si="1"/>
        <v>21927</v>
      </c>
      <c r="G56" s="5">
        <f t="shared" si="2"/>
        <v>8224.2510000000002</v>
      </c>
      <c r="H56" s="1">
        <f t="shared" si="3"/>
        <v>0.60018985971355088</v>
      </c>
    </row>
    <row r="57" spans="1:8">
      <c r="A57" s="2" t="s">
        <v>420</v>
      </c>
      <c r="B57" s="2">
        <v>10</v>
      </c>
      <c r="C57" s="5">
        <v>873.8</v>
      </c>
      <c r="D57" s="5">
        <v>812.1</v>
      </c>
      <c r="E57" s="5">
        <f t="shared" si="0"/>
        <v>8121</v>
      </c>
      <c r="F57" s="5">
        <f t="shared" si="1"/>
        <v>8738</v>
      </c>
      <c r="G57" s="5">
        <f t="shared" si="2"/>
        <v>617</v>
      </c>
      <c r="H57" s="1">
        <f t="shared" si="3"/>
        <v>7.5975865041251076E-2</v>
      </c>
    </row>
    <row r="58" spans="1:8">
      <c r="A58" s="2" t="s">
        <v>421</v>
      </c>
      <c r="B58" s="2">
        <v>35</v>
      </c>
      <c r="C58" s="5" t="s">
        <v>514</v>
      </c>
      <c r="D58" s="5">
        <v>984.23</v>
      </c>
      <c r="E58" s="5">
        <f t="shared" si="0"/>
        <v>34448.050000000003</v>
      </c>
      <c r="F58" s="5">
        <f t="shared" si="1"/>
        <v>54248.25</v>
      </c>
      <c r="G58" s="5">
        <f t="shared" si="2"/>
        <v>19800.199999999997</v>
      </c>
      <c r="H58" s="1">
        <f t="shared" si="3"/>
        <v>0.57478434918667376</v>
      </c>
    </row>
    <row r="59" spans="1:8">
      <c r="A59" s="2" t="s">
        <v>425</v>
      </c>
      <c r="B59" s="2">
        <v>76</v>
      </c>
      <c r="C59" s="5">
        <v>266.75</v>
      </c>
      <c r="D59" s="5">
        <v>190.65129999999999</v>
      </c>
      <c r="E59" s="5">
        <f t="shared" si="0"/>
        <v>14489.498799999999</v>
      </c>
      <c r="F59" s="5">
        <f t="shared" si="1"/>
        <v>20273</v>
      </c>
      <c r="G59" s="5">
        <f t="shared" si="2"/>
        <v>5783.5012000000006</v>
      </c>
      <c r="H59" s="1">
        <f t="shared" si="3"/>
        <v>0.39915122529980129</v>
      </c>
    </row>
    <row r="60" spans="1:8">
      <c r="A60" s="2" t="s">
        <v>426</v>
      </c>
      <c r="B60" s="2">
        <v>157</v>
      </c>
      <c r="C60" s="5">
        <v>589.85</v>
      </c>
      <c r="D60" s="5">
        <v>477.8236</v>
      </c>
      <c r="E60" s="5">
        <f t="shared" si="0"/>
        <v>75018.305200000003</v>
      </c>
      <c r="F60" s="5">
        <f t="shared" si="1"/>
        <v>92606.45</v>
      </c>
      <c r="G60" s="5">
        <f t="shared" si="2"/>
        <v>17588.144799999995</v>
      </c>
      <c r="H60" s="1">
        <f t="shared" si="3"/>
        <v>0.23445137494255194</v>
      </c>
    </row>
    <row r="61" spans="1:8">
      <c r="A61" s="2" t="s">
        <v>427</v>
      </c>
      <c r="B61" s="2">
        <v>9</v>
      </c>
      <c r="C61" s="5">
        <v>530.75</v>
      </c>
      <c r="D61" s="5">
        <v>467.2278</v>
      </c>
      <c r="E61" s="5">
        <f t="shared" si="0"/>
        <v>4205.0501999999997</v>
      </c>
      <c r="F61" s="5">
        <f t="shared" si="1"/>
        <v>4776.75</v>
      </c>
      <c r="G61" s="5">
        <f t="shared" si="2"/>
        <v>571.69980000000032</v>
      </c>
      <c r="H61" s="1">
        <f t="shared" si="3"/>
        <v>0.13595552319446755</v>
      </c>
    </row>
    <row r="62" spans="1:8">
      <c r="A62" s="2" t="s">
        <v>428</v>
      </c>
      <c r="B62" s="2">
        <v>14</v>
      </c>
      <c r="C62" s="5">
        <v>349.75</v>
      </c>
      <c r="D62" s="5">
        <v>307.75</v>
      </c>
      <c r="E62" s="5">
        <f t="shared" si="0"/>
        <v>4308.5</v>
      </c>
      <c r="F62" s="5">
        <f t="shared" si="1"/>
        <v>4896.5</v>
      </c>
      <c r="G62" s="5">
        <f t="shared" si="2"/>
        <v>588</v>
      </c>
      <c r="H62" s="1">
        <f t="shared" si="3"/>
        <v>0.13647441104792851</v>
      </c>
    </row>
    <row r="63" spans="1:8">
      <c r="A63" s="2" t="s">
        <v>429</v>
      </c>
      <c r="B63" s="2">
        <v>28</v>
      </c>
      <c r="C63" s="5">
        <v>190.3</v>
      </c>
      <c r="D63" s="5">
        <v>189.0857</v>
      </c>
      <c r="E63" s="5">
        <f t="shared" si="0"/>
        <v>5294.3995999999997</v>
      </c>
      <c r="F63" s="5">
        <f t="shared" si="1"/>
        <v>5328.4000000000005</v>
      </c>
      <c r="G63" s="5">
        <f t="shared" si="2"/>
        <v>34.000400000000809</v>
      </c>
      <c r="H63" s="1">
        <f t="shared" si="3"/>
        <v>6.4219557586852362E-3</v>
      </c>
    </row>
    <row r="64" spans="1:8">
      <c r="A64" s="2" t="s">
        <v>430</v>
      </c>
      <c r="B64" s="2">
        <v>73</v>
      </c>
      <c r="C64" s="5">
        <v>610.25</v>
      </c>
      <c r="D64" s="5">
        <v>391.6216</v>
      </c>
      <c r="E64" s="5">
        <f t="shared" si="0"/>
        <v>28588.376800000002</v>
      </c>
      <c r="F64" s="5">
        <f t="shared" si="1"/>
        <v>44548.25</v>
      </c>
      <c r="G64" s="5">
        <f t="shared" si="2"/>
        <v>15959.873199999998</v>
      </c>
      <c r="H64" s="1">
        <f t="shared" si="3"/>
        <v>0.55826440625338325</v>
      </c>
    </row>
    <row r="65" spans="1:8">
      <c r="A65" s="2" t="s">
        <v>432</v>
      </c>
      <c r="B65" s="2">
        <v>6</v>
      </c>
      <c r="C65" s="5">
        <v>601.20000000000005</v>
      </c>
      <c r="D65" s="5">
        <v>506.23329999999999</v>
      </c>
      <c r="E65" s="5">
        <f t="shared" si="0"/>
        <v>3037.3998000000001</v>
      </c>
      <c r="F65" s="5">
        <f t="shared" si="1"/>
        <v>3607.2000000000003</v>
      </c>
      <c r="G65" s="5">
        <f t="shared" si="2"/>
        <v>569.80020000000013</v>
      </c>
      <c r="H65" s="1">
        <f t="shared" si="3"/>
        <v>0.18759473152003239</v>
      </c>
    </row>
    <row r="66" spans="1:8">
      <c r="A66" s="2" t="s">
        <v>433</v>
      </c>
      <c r="B66" s="2">
        <v>775</v>
      </c>
      <c r="C66" s="5">
        <v>72.8</v>
      </c>
      <c r="D66" s="5">
        <v>99.291600000000003</v>
      </c>
      <c r="E66" s="5">
        <f t="shared" si="0"/>
        <v>76950.990000000005</v>
      </c>
      <c r="F66" s="5">
        <f t="shared" si="1"/>
        <v>56420</v>
      </c>
      <c r="G66" s="5">
        <f t="shared" si="2"/>
        <v>-20530.990000000005</v>
      </c>
      <c r="H66" s="1">
        <f t="shared" si="3"/>
        <v>-0.26680605408715347</v>
      </c>
    </row>
    <row r="67" spans="1:8">
      <c r="A67" s="2" t="s">
        <v>434</v>
      </c>
      <c r="B67" s="2">
        <v>105</v>
      </c>
      <c r="C67" s="5">
        <v>622.25</v>
      </c>
      <c r="D67" s="5">
        <v>404.76429999999999</v>
      </c>
      <c r="E67" s="5">
        <f t="shared" ref="E67:E71" si="4">D67*B67</f>
        <v>42500.251499999998</v>
      </c>
      <c r="F67" s="5">
        <f t="shared" ref="F67:F71" si="5">B67*C67</f>
        <v>65336.25</v>
      </c>
      <c r="G67" s="5">
        <f t="shared" ref="G67:G71" si="6">F67-E67</f>
        <v>22835.998500000002</v>
      </c>
      <c r="H67" s="1">
        <f t="shared" ref="H67:H72" si="7">G67/E67</f>
        <v>0.53731443212753704</v>
      </c>
    </row>
    <row r="68" spans="1:8">
      <c r="A68" s="2" t="s">
        <v>470</v>
      </c>
      <c r="B68" s="2">
        <v>21</v>
      </c>
      <c r="C68" s="5" t="s">
        <v>515</v>
      </c>
      <c r="D68" s="5" t="s">
        <v>516</v>
      </c>
      <c r="E68" s="5">
        <f t="shared" si="4"/>
        <v>21443.209199999998</v>
      </c>
      <c r="F68" s="5">
        <f t="shared" si="5"/>
        <v>25203.15</v>
      </c>
      <c r="G68" s="5">
        <f t="shared" si="6"/>
        <v>3759.9408000000039</v>
      </c>
      <c r="H68" s="1">
        <f t="shared" si="7"/>
        <v>0.17534412712813549</v>
      </c>
    </row>
    <row r="69" spans="1:8">
      <c r="A69" s="2" t="s">
        <v>465</v>
      </c>
      <c r="B69" s="2">
        <v>168</v>
      </c>
      <c r="C69" s="5">
        <v>125</v>
      </c>
      <c r="D69" s="5">
        <v>137.32</v>
      </c>
      <c r="E69" s="5">
        <f t="shared" si="4"/>
        <v>23069.759999999998</v>
      </c>
      <c r="F69" s="5">
        <f t="shared" si="5"/>
        <v>21000</v>
      </c>
      <c r="G69" s="5">
        <f t="shared" si="6"/>
        <v>-2069.7599999999984</v>
      </c>
      <c r="H69" s="1">
        <f t="shared" si="7"/>
        <v>-8.9717448295951005E-2</v>
      </c>
    </row>
    <row r="70" spans="1:8">
      <c r="A70" s="2" t="s">
        <v>439</v>
      </c>
      <c r="B70" s="2">
        <v>525</v>
      </c>
      <c r="C70" s="5">
        <v>17.55</v>
      </c>
      <c r="D70" s="5">
        <v>38.966700000000003</v>
      </c>
      <c r="E70" s="5">
        <f t="shared" si="4"/>
        <v>20457.517500000002</v>
      </c>
      <c r="F70" s="5">
        <f t="shared" si="5"/>
        <v>9213.75</v>
      </c>
      <c r="G70" s="5">
        <f t="shared" si="6"/>
        <v>-11243.767500000002</v>
      </c>
      <c r="H70" s="1">
        <f t="shared" si="7"/>
        <v>-0.54961544087644065</v>
      </c>
    </row>
    <row r="71" spans="1:8">
      <c r="A71" s="2" t="s">
        <v>440</v>
      </c>
      <c r="B71" s="2">
        <v>3</v>
      </c>
      <c r="C71" s="5" t="s">
        <v>517</v>
      </c>
      <c r="D71" s="5" t="s">
        <v>518</v>
      </c>
      <c r="E71" s="5">
        <f t="shared" si="4"/>
        <v>5434.5500999999995</v>
      </c>
      <c r="F71" s="5">
        <f t="shared" si="5"/>
        <v>5820.6</v>
      </c>
      <c r="G71" s="5">
        <f t="shared" si="6"/>
        <v>386.04990000000089</v>
      </c>
      <c r="H71" s="1">
        <f t="shared" si="7"/>
        <v>7.1036220643177245E-2</v>
      </c>
    </row>
    <row r="72" spans="1:8">
      <c r="A72" s="2" t="s">
        <v>11</v>
      </c>
      <c r="E72" s="6">
        <f>SUM(E2:E71)</f>
        <v>1533722.8866999999</v>
      </c>
      <c r="F72" s="6">
        <f t="shared" ref="F72:G72" si="8">SUM(F2:F71)</f>
        <v>1884182.6499999997</v>
      </c>
      <c r="G72" s="6">
        <f t="shared" si="8"/>
        <v>350459.76329999988</v>
      </c>
      <c r="H72" s="1">
        <f t="shared" si="7"/>
        <v>0.22850266259901661</v>
      </c>
    </row>
    <row r="73" spans="1:8">
      <c r="A73" s="2" t="s">
        <v>519</v>
      </c>
      <c r="F73" s="8"/>
      <c r="H73" s="1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97BC-CF2B-490B-A5D9-DD74D6CA340C}">
  <dimension ref="A1:I10"/>
  <sheetViews>
    <sheetView workbookViewId="0">
      <selection activeCell="A9" sqref="A9"/>
    </sheetView>
  </sheetViews>
  <sheetFormatPr defaultRowHeight="15"/>
  <cols>
    <col min="1" max="1" width="51.28515625" bestFit="1" customWidth="1"/>
    <col min="2" max="2" width="18.42578125" bestFit="1" customWidth="1"/>
    <col min="3" max="3" width="10.85546875" bestFit="1" customWidth="1"/>
    <col min="4" max="4" width="11.85546875" bestFit="1" customWidth="1"/>
    <col min="5" max="5" width="16.5703125" bestFit="1" customWidth="1"/>
    <col min="6" max="6" width="16.42578125" bestFit="1" customWidth="1"/>
    <col min="7" max="7" width="16.85546875" bestFit="1" customWidth="1"/>
    <col min="8" max="8" width="20.140625" bestFit="1" customWidth="1"/>
  </cols>
  <sheetData>
    <row r="1" spans="1:9">
      <c r="A1" s="3" t="s">
        <v>223</v>
      </c>
      <c r="B1" s="3" t="s">
        <v>224</v>
      </c>
      <c r="C1" s="3" t="s">
        <v>225</v>
      </c>
      <c r="D1" s="3" t="s">
        <v>226</v>
      </c>
      <c r="E1" s="3" t="s">
        <v>227</v>
      </c>
      <c r="F1" s="3" t="s">
        <v>228</v>
      </c>
      <c r="G1" s="3" t="s">
        <v>229</v>
      </c>
      <c r="H1" s="3" t="s">
        <v>230</v>
      </c>
      <c r="I1" s="3" t="s">
        <v>142</v>
      </c>
    </row>
    <row r="2" spans="1:9">
      <c r="A2" s="2" t="s">
        <v>236</v>
      </c>
      <c r="B2" s="2" t="s">
        <v>237</v>
      </c>
      <c r="C2" s="4" t="s">
        <v>520</v>
      </c>
      <c r="D2" s="4">
        <v>42.17</v>
      </c>
      <c r="E2" s="4">
        <v>33.3645</v>
      </c>
      <c r="F2" s="5">
        <f>E2*C2</f>
        <v>219989.86504949999</v>
      </c>
      <c r="G2" s="5">
        <f>D2*C2</f>
        <v>278049.20227000001</v>
      </c>
      <c r="H2" s="5">
        <f>G2-F2</f>
        <v>58059.33722050002</v>
      </c>
      <c r="I2" s="1">
        <f>H2/F2</f>
        <v>0.26391823644892037</v>
      </c>
    </row>
    <row r="3" spans="1:9">
      <c r="A3" s="2" t="s">
        <v>441</v>
      </c>
      <c r="B3" s="2" t="s">
        <v>241</v>
      </c>
      <c r="C3" s="4" t="s">
        <v>521</v>
      </c>
      <c r="D3" s="4">
        <v>425.96780000000001</v>
      </c>
      <c r="E3" s="4">
        <v>338.45339999999999</v>
      </c>
      <c r="F3" s="5">
        <f t="shared" ref="F3:F8" si="0">E3*C3</f>
        <v>499913.60983020003</v>
      </c>
      <c r="G3" s="5">
        <f t="shared" ref="G3:G8" si="1">D3*C3</f>
        <v>629177.01689340011</v>
      </c>
      <c r="H3" s="5">
        <f t="shared" ref="H3:H8" si="2">G3-F3</f>
        <v>129263.40706320008</v>
      </c>
      <c r="I3" s="1">
        <f t="shared" ref="I3:I9" si="3">H3/F3</f>
        <v>0.25857149019628711</v>
      </c>
    </row>
    <row r="4" spans="1:9">
      <c r="A4" s="2" t="s">
        <v>242</v>
      </c>
      <c r="B4" s="2" t="s">
        <v>237</v>
      </c>
      <c r="C4" s="4" t="s">
        <v>522</v>
      </c>
      <c r="D4" s="4">
        <v>49.261000000000003</v>
      </c>
      <c r="E4" s="4">
        <v>44.3917</v>
      </c>
      <c r="F4" s="5">
        <f t="shared" si="0"/>
        <v>259983.36481920001</v>
      </c>
      <c r="G4" s="5">
        <f t="shared" si="1"/>
        <v>288500.79033600003</v>
      </c>
      <c r="H4" s="5">
        <f t="shared" si="2"/>
        <v>28517.425516800024</v>
      </c>
      <c r="I4" s="1">
        <f t="shared" si="3"/>
        <v>0.10968942392384171</v>
      </c>
    </row>
    <row r="5" spans="1:9">
      <c r="A5" s="2" t="s">
        <v>272</v>
      </c>
      <c r="B5" s="2" t="s">
        <v>235</v>
      </c>
      <c r="C5" s="4" t="s">
        <v>523</v>
      </c>
      <c r="D5" s="4">
        <v>53.301000000000002</v>
      </c>
      <c r="E5" s="4">
        <v>41.231200000000001</v>
      </c>
      <c r="F5" s="5">
        <f t="shared" si="0"/>
        <v>479992.93233759998</v>
      </c>
      <c r="G5" s="5">
        <f t="shared" si="1"/>
        <v>620503.48489800002</v>
      </c>
      <c r="H5" s="5">
        <f t="shared" si="2"/>
        <v>140510.55256040004</v>
      </c>
      <c r="I5" s="1">
        <f t="shared" si="3"/>
        <v>0.29273462814567619</v>
      </c>
    </row>
    <row r="6" spans="1:9">
      <c r="A6" s="2" t="s">
        <v>524</v>
      </c>
      <c r="B6" s="2" t="s">
        <v>525</v>
      </c>
      <c r="C6" s="4" t="s">
        <v>526</v>
      </c>
      <c r="D6" s="4">
        <v>36.529699999999998</v>
      </c>
      <c r="E6" s="4">
        <v>28.808</v>
      </c>
      <c r="F6" s="5">
        <f t="shared" si="0"/>
        <v>135959.50004000001</v>
      </c>
      <c r="G6" s="5">
        <f t="shared" si="1"/>
        <v>172402.10179849999</v>
      </c>
      <c r="H6" s="5">
        <f t="shared" si="2"/>
        <v>36442.601758499979</v>
      </c>
      <c r="I6" s="1">
        <f t="shared" si="3"/>
        <v>0.26804012774229363</v>
      </c>
    </row>
    <row r="7" spans="1:9">
      <c r="A7" s="2" t="s">
        <v>274</v>
      </c>
      <c r="B7" s="2" t="s">
        <v>233</v>
      </c>
      <c r="C7" s="4" t="s">
        <v>527</v>
      </c>
      <c r="D7" s="4">
        <v>38.22</v>
      </c>
      <c r="E7" s="4">
        <v>34.896799999999999</v>
      </c>
      <c r="F7" s="5">
        <f t="shared" si="0"/>
        <v>39998.014223999999</v>
      </c>
      <c r="G7" s="5">
        <f t="shared" si="1"/>
        <v>43806.999600000003</v>
      </c>
      <c r="H7" s="5">
        <f t="shared" si="2"/>
        <v>3808.9853760000042</v>
      </c>
      <c r="I7" s="1">
        <f t="shared" si="3"/>
        <v>9.52293620045392E-2</v>
      </c>
    </row>
    <row r="8" spans="1:9">
      <c r="A8" s="2" t="s">
        <v>255</v>
      </c>
      <c r="B8" s="2" t="s">
        <v>241</v>
      </c>
      <c r="C8" s="4" t="s">
        <v>528</v>
      </c>
      <c r="D8" s="4">
        <v>11.6043</v>
      </c>
      <c r="E8" s="4">
        <v>9.4700000000000006</v>
      </c>
      <c r="F8" s="5">
        <f t="shared" si="0"/>
        <v>179893.71096000003</v>
      </c>
      <c r="G8" s="5">
        <f t="shared" si="1"/>
        <v>220437.23232240003</v>
      </c>
      <c r="H8" s="5">
        <f t="shared" si="2"/>
        <v>40543.521362400003</v>
      </c>
      <c r="I8" s="1">
        <f t="shared" si="3"/>
        <v>0.22537486800422385</v>
      </c>
    </row>
    <row r="9" spans="1:9">
      <c r="A9" s="2" t="s">
        <v>11</v>
      </c>
      <c r="F9" s="6">
        <f>SUM(F2:F8)</f>
        <v>1815730.9972605002</v>
      </c>
      <c r="G9" s="6">
        <f t="shared" ref="G9:H9" si="4">SUM(G2:G8)</f>
        <v>2252876.8281183001</v>
      </c>
      <c r="H9" s="6">
        <f t="shared" si="4"/>
        <v>437145.83085780009</v>
      </c>
      <c r="I9" s="1">
        <f t="shared" si="3"/>
        <v>0.24075473267645242</v>
      </c>
    </row>
    <row r="10" spans="1:9">
      <c r="A10" s="2"/>
      <c r="H10" s="8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E35C-29B7-4DD2-AE1D-01D4A9411376}">
  <dimension ref="A1:H72"/>
  <sheetViews>
    <sheetView workbookViewId="0">
      <selection activeCell="B1" sqref="B1"/>
    </sheetView>
  </sheetViews>
  <sheetFormatPr defaultRowHeight="15"/>
  <cols>
    <col min="1" max="1" width="36.28515625" customWidth="1"/>
    <col min="2" max="2" width="11.5703125" customWidth="1"/>
    <col min="3" max="3" width="17.7109375" customWidth="1"/>
    <col min="4" max="4" width="18.28515625" customWidth="1"/>
    <col min="5" max="6" width="19.5703125" customWidth="1"/>
    <col min="7" max="7" width="14.140625" customWidth="1"/>
  </cols>
  <sheetData>
    <row r="1" spans="1:8" ht="15.75" thickBot="1">
      <c r="A1" s="11" t="s">
        <v>349</v>
      </c>
      <c r="B1" s="11" t="s">
        <v>225</v>
      </c>
      <c r="C1" s="11" t="s">
        <v>226</v>
      </c>
      <c r="D1" s="11" t="s">
        <v>350</v>
      </c>
      <c r="E1" s="11" t="s">
        <v>228</v>
      </c>
      <c r="F1" s="11" t="s">
        <v>229</v>
      </c>
      <c r="G1" s="11" t="s">
        <v>529</v>
      </c>
      <c r="H1" s="18" t="s">
        <v>142</v>
      </c>
    </row>
    <row r="2" spans="1:8" ht="15.75" thickBot="1">
      <c r="A2" s="12" t="s">
        <v>352</v>
      </c>
      <c r="B2" s="13">
        <v>24</v>
      </c>
      <c r="C2" s="14">
        <v>1767.6</v>
      </c>
      <c r="D2" s="14">
        <v>1698.49</v>
      </c>
      <c r="E2" s="14">
        <v>40763.760000000002</v>
      </c>
      <c r="F2" s="14">
        <v>42422.400000000001</v>
      </c>
      <c r="G2" s="14">
        <v>1658.64</v>
      </c>
      <c r="H2" s="19">
        <f>G2/E2</f>
        <v>4.0689082655770717E-2</v>
      </c>
    </row>
    <row r="3" spans="1:8" ht="15.75" thickBot="1">
      <c r="A3" s="12" t="s">
        <v>458</v>
      </c>
      <c r="B3" s="13">
        <v>222</v>
      </c>
      <c r="C3" s="13">
        <v>93.9</v>
      </c>
      <c r="D3" s="13">
        <v>112.5043</v>
      </c>
      <c r="E3" s="14">
        <v>24975.96</v>
      </c>
      <c r="F3" s="14">
        <v>20845.8</v>
      </c>
      <c r="G3" s="14">
        <v>-4130.16</v>
      </c>
      <c r="H3" s="19">
        <f t="shared" ref="H3:H66" si="0">G3/E3</f>
        <v>-0.16536541538343272</v>
      </c>
    </row>
    <row r="4" spans="1:8" ht="15.75" thickBot="1">
      <c r="A4" s="12" t="s">
        <v>469</v>
      </c>
      <c r="B4" s="13">
        <v>34</v>
      </c>
      <c r="C4" s="13">
        <v>952.8</v>
      </c>
      <c r="D4" s="13">
        <v>715.98530000000005</v>
      </c>
      <c r="E4" s="14">
        <v>24343.5</v>
      </c>
      <c r="F4" s="14">
        <v>32395.200000000001</v>
      </c>
      <c r="G4" s="14">
        <v>8051.7</v>
      </c>
      <c r="H4" s="19">
        <f t="shared" si="0"/>
        <v>0.33075358925380494</v>
      </c>
    </row>
    <row r="5" spans="1:8" ht="15.75" thickBot="1">
      <c r="A5" s="12" t="s">
        <v>353</v>
      </c>
      <c r="B5" s="13">
        <v>16</v>
      </c>
      <c r="C5" s="14">
        <v>3003.75</v>
      </c>
      <c r="D5" s="14">
        <v>2449.1143999999999</v>
      </c>
      <c r="E5" s="14">
        <v>39185.83</v>
      </c>
      <c r="F5" s="14">
        <v>48060</v>
      </c>
      <c r="G5" s="14">
        <v>8874.17</v>
      </c>
      <c r="H5" s="19">
        <f t="shared" si="0"/>
        <v>0.22646374977893793</v>
      </c>
    </row>
    <row r="6" spans="1:8" ht="15.75" thickBot="1">
      <c r="A6" s="12" t="s">
        <v>354</v>
      </c>
      <c r="B6" s="13">
        <v>250</v>
      </c>
      <c r="C6" s="13">
        <v>196.65</v>
      </c>
      <c r="D6" s="13">
        <v>183.58799999999999</v>
      </c>
      <c r="E6" s="14">
        <v>45897</v>
      </c>
      <c r="F6" s="14">
        <v>49162.5</v>
      </c>
      <c r="G6" s="14">
        <v>3265.5</v>
      </c>
      <c r="H6" s="19">
        <f t="shared" si="0"/>
        <v>7.1148441074580043E-2</v>
      </c>
    </row>
    <row r="7" spans="1:8" ht="15.75" thickBot="1">
      <c r="A7" s="12" t="s">
        <v>355</v>
      </c>
      <c r="B7" s="13">
        <v>10</v>
      </c>
      <c r="C7" s="14">
        <v>2407.35</v>
      </c>
      <c r="D7" s="14">
        <v>2188.4</v>
      </c>
      <c r="E7" s="14">
        <v>21884</v>
      </c>
      <c r="F7" s="14">
        <v>24073.5</v>
      </c>
      <c r="G7" s="14">
        <v>2189.5</v>
      </c>
      <c r="H7" s="19">
        <f t="shared" si="0"/>
        <v>0.10005026503381466</v>
      </c>
    </row>
    <row r="8" spans="1:8" ht="15.75" thickBot="1">
      <c r="A8" s="12" t="s">
        <v>356</v>
      </c>
      <c r="B8" s="13">
        <v>37</v>
      </c>
      <c r="C8" s="13">
        <v>873.05</v>
      </c>
      <c r="D8" s="13">
        <v>909.59190000000001</v>
      </c>
      <c r="E8" s="14">
        <v>33654.9</v>
      </c>
      <c r="F8" s="14">
        <v>32302.85</v>
      </c>
      <c r="G8" s="14">
        <v>-1352.05</v>
      </c>
      <c r="H8" s="19">
        <f t="shared" si="0"/>
        <v>-4.0173941981702516E-2</v>
      </c>
    </row>
    <row r="9" spans="1:8" ht="15.75" thickBot="1">
      <c r="A9" s="12" t="s">
        <v>357</v>
      </c>
      <c r="B9" s="13">
        <v>4</v>
      </c>
      <c r="C9" s="14">
        <v>2650.9</v>
      </c>
      <c r="D9" s="14">
        <v>2481.1224999999999</v>
      </c>
      <c r="E9" s="14">
        <v>9924.49</v>
      </c>
      <c r="F9" s="14">
        <v>10603.6</v>
      </c>
      <c r="G9" s="13">
        <v>679.11</v>
      </c>
      <c r="H9" s="19">
        <f t="shared" si="0"/>
        <v>6.8427697544155924E-2</v>
      </c>
    </row>
    <row r="10" spans="1:8" ht="15.75" thickBot="1">
      <c r="A10" s="12" t="s">
        <v>358</v>
      </c>
      <c r="B10" s="13">
        <v>36</v>
      </c>
      <c r="C10" s="13">
        <v>663.5</v>
      </c>
      <c r="D10" s="13">
        <v>465.17360000000002</v>
      </c>
      <c r="E10" s="14">
        <v>16746.25</v>
      </c>
      <c r="F10" s="14">
        <v>23886</v>
      </c>
      <c r="G10" s="14">
        <v>7139.75</v>
      </c>
      <c r="H10" s="19">
        <f t="shared" si="0"/>
        <v>0.42634918265283273</v>
      </c>
    </row>
    <row r="11" spans="1:8" ht="15.75" thickBot="1">
      <c r="A11" s="12" t="s">
        <v>359</v>
      </c>
      <c r="B11" s="13">
        <v>15</v>
      </c>
      <c r="C11" s="14">
        <v>4007.1</v>
      </c>
      <c r="D11" s="14">
        <v>1998.75</v>
      </c>
      <c r="E11" s="14">
        <v>29981.25</v>
      </c>
      <c r="F11" s="14">
        <v>60106.5</v>
      </c>
      <c r="G11" s="14">
        <v>30125.25</v>
      </c>
      <c r="H11" s="19">
        <f t="shared" si="0"/>
        <v>1.0048030018761727</v>
      </c>
    </row>
    <row r="12" spans="1:8" ht="15.75" thickBot="1">
      <c r="A12" s="12" t="s">
        <v>459</v>
      </c>
      <c r="B12" s="13">
        <v>29</v>
      </c>
      <c r="C12" s="13">
        <v>209.35</v>
      </c>
      <c r="D12" s="13">
        <v>196.94380000000001</v>
      </c>
      <c r="E12" s="14">
        <v>5711.37</v>
      </c>
      <c r="F12" s="14">
        <v>6071.15</v>
      </c>
      <c r="G12" s="13">
        <v>359.78</v>
      </c>
      <c r="H12" s="19">
        <f t="shared" si="0"/>
        <v>6.2993642506088729E-2</v>
      </c>
    </row>
    <row r="13" spans="1:8" ht="15.75" thickBot="1">
      <c r="A13" s="12" t="s">
        <v>361</v>
      </c>
      <c r="B13" s="13">
        <v>3</v>
      </c>
      <c r="C13" s="14">
        <v>1590.05</v>
      </c>
      <c r="D13" s="14">
        <v>1519.4833000000001</v>
      </c>
      <c r="E13" s="14">
        <v>4558.45</v>
      </c>
      <c r="F13" s="14">
        <v>4770.1499999999996</v>
      </c>
      <c r="G13" s="13">
        <v>211.7</v>
      </c>
      <c r="H13" s="19">
        <f t="shared" si="0"/>
        <v>4.6441224539042876E-2</v>
      </c>
    </row>
    <row r="14" spans="1:8" ht="15.75" thickBot="1">
      <c r="A14" s="12" t="s">
        <v>362</v>
      </c>
      <c r="B14" s="13">
        <v>180</v>
      </c>
      <c r="C14" s="13">
        <v>553.20000000000005</v>
      </c>
      <c r="D14" s="13">
        <v>322.88889999999998</v>
      </c>
      <c r="E14" s="14">
        <v>58120</v>
      </c>
      <c r="F14" s="14">
        <v>99576</v>
      </c>
      <c r="G14" s="14">
        <v>41456</v>
      </c>
      <c r="H14" s="19">
        <f t="shared" si="0"/>
        <v>0.71328286304198207</v>
      </c>
    </row>
    <row r="15" spans="1:8" ht="15.75" thickBot="1">
      <c r="A15" s="12" t="s">
        <v>364</v>
      </c>
      <c r="B15" s="13">
        <v>4</v>
      </c>
      <c r="C15" s="14">
        <v>3502.8</v>
      </c>
      <c r="D15" s="14">
        <v>3628.3125</v>
      </c>
      <c r="E15" s="14">
        <v>14513.25</v>
      </c>
      <c r="F15" s="14">
        <v>14011.2</v>
      </c>
      <c r="G15" s="13">
        <v>-502.05</v>
      </c>
      <c r="H15" s="19">
        <f t="shared" si="0"/>
        <v>-3.459252751795773E-2</v>
      </c>
    </row>
    <row r="16" spans="1:8" ht="15.75" thickBot="1">
      <c r="A16" s="12" t="s">
        <v>365</v>
      </c>
      <c r="B16" s="13">
        <v>180</v>
      </c>
      <c r="C16" s="13">
        <v>128.15</v>
      </c>
      <c r="D16" s="13">
        <v>155.25</v>
      </c>
      <c r="E16" s="14">
        <v>27945</v>
      </c>
      <c r="F16" s="14">
        <v>23067</v>
      </c>
      <c r="G16" s="14">
        <v>-4878</v>
      </c>
      <c r="H16" s="19">
        <f t="shared" si="0"/>
        <v>-0.17455716586151368</v>
      </c>
    </row>
    <row r="17" spans="1:8" ht="15.75" thickBot="1">
      <c r="A17" s="12" t="s">
        <v>366</v>
      </c>
      <c r="B17" s="13">
        <v>40</v>
      </c>
      <c r="C17" s="13">
        <v>825.6</v>
      </c>
      <c r="D17" s="13">
        <v>591.70579999999995</v>
      </c>
      <c r="E17" s="14">
        <v>23668.23</v>
      </c>
      <c r="F17" s="14">
        <v>33024</v>
      </c>
      <c r="G17" s="14">
        <v>9355.77</v>
      </c>
      <c r="H17" s="19">
        <f t="shared" si="0"/>
        <v>0.3952881140668314</v>
      </c>
    </row>
    <row r="18" spans="1:8" ht="15.75" thickBot="1">
      <c r="A18" s="12" t="s">
        <v>460</v>
      </c>
      <c r="B18" s="13">
        <v>139</v>
      </c>
      <c r="C18" s="13">
        <v>169.1</v>
      </c>
      <c r="D18" s="13">
        <v>146.5915</v>
      </c>
      <c r="E18" s="14">
        <v>20376.22</v>
      </c>
      <c r="F18" s="14">
        <v>23504.9</v>
      </c>
      <c r="G18" s="14">
        <v>3128.68</v>
      </c>
      <c r="H18" s="19">
        <f t="shared" si="0"/>
        <v>0.15354565272656065</v>
      </c>
    </row>
    <row r="19" spans="1:8" ht="15.75" thickBot="1">
      <c r="A19" s="12" t="s">
        <v>367</v>
      </c>
      <c r="B19" s="13">
        <v>250</v>
      </c>
      <c r="C19" s="13">
        <v>126.05</v>
      </c>
      <c r="D19" s="13">
        <v>163.66999999999999</v>
      </c>
      <c r="E19" s="14">
        <v>40917.5</v>
      </c>
      <c r="F19" s="14">
        <v>31512.5</v>
      </c>
      <c r="G19" s="14">
        <v>-9405</v>
      </c>
      <c r="H19" s="19">
        <f t="shared" si="0"/>
        <v>-0.229852752489766</v>
      </c>
    </row>
    <row r="20" spans="1:8" ht="15.75" thickBot="1">
      <c r="A20" s="12" t="s">
        <v>369</v>
      </c>
      <c r="B20" s="13">
        <v>4</v>
      </c>
      <c r="C20" s="14">
        <v>1604.25</v>
      </c>
      <c r="D20" s="14">
        <v>1531.5374999999999</v>
      </c>
      <c r="E20" s="14">
        <v>6126.15</v>
      </c>
      <c r="F20" s="14">
        <v>6417</v>
      </c>
      <c r="G20" s="13">
        <v>290.85000000000002</v>
      </c>
      <c r="H20" s="19">
        <f t="shared" si="0"/>
        <v>4.7476800274234232E-2</v>
      </c>
    </row>
    <row r="21" spans="1:8" ht="15.75" thickBot="1">
      <c r="A21" s="12" t="s">
        <v>370</v>
      </c>
      <c r="B21" s="13">
        <v>12</v>
      </c>
      <c r="C21" s="13">
        <v>515.25</v>
      </c>
      <c r="D21" s="13">
        <v>522.83500000000004</v>
      </c>
      <c r="E21" s="14">
        <v>6274.02</v>
      </c>
      <c r="F21" s="14">
        <v>6183</v>
      </c>
      <c r="G21" s="13">
        <v>-91.02</v>
      </c>
      <c r="H21" s="19">
        <f t="shared" si="0"/>
        <v>-1.4507444987424329E-2</v>
      </c>
    </row>
    <row r="22" spans="1:8" ht="15.75" thickBot="1">
      <c r="A22" s="12" t="s">
        <v>371</v>
      </c>
      <c r="B22" s="13">
        <v>12</v>
      </c>
      <c r="C22" s="14">
        <v>3370.5</v>
      </c>
      <c r="D22" s="14">
        <v>2106.9117000000001</v>
      </c>
      <c r="E22" s="14">
        <v>25282.94</v>
      </c>
      <c r="F22" s="14">
        <v>40446</v>
      </c>
      <c r="G22" s="14">
        <v>15163.06</v>
      </c>
      <c r="H22" s="19">
        <f t="shared" si="0"/>
        <v>0.59973484096390695</v>
      </c>
    </row>
    <row r="23" spans="1:8" ht="15.75" thickBot="1">
      <c r="A23" s="12" t="s">
        <v>372</v>
      </c>
      <c r="B23" s="13">
        <v>20</v>
      </c>
      <c r="C23" s="13">
        <v>255.4</v>
      </c>
      <c r="D23" s="13">
        <v>214.4255</v>
      </c>
      <c r="E23" s="14">
        <v>4288.51</v>
      </c>
      <c r="F23" s="14">
        <v>5108</v>
      </c>
      <c r="G23" s="13">
        <v>819.49</v>
      </c>
      <c r="H23" s="19">
        <f t="shared" si="0"/>
        <v>0.1910896791659574</v>
      </c>
    </row>
    <row r="24" spans="1:8" ht="15.75" thickBot="1">
      <c r="A24" s="12" t="s">
        <v>374</v>
      </c>
      <c r="B24" s="13">
        <v>2</v>
      </c>
      <c r="C24" s="14">
        <v>2744.85</v>
      </c>
      <c r="D24" s="14">
        <v>2297.42</v>
      </c>
      <c r="E24" s="14">
        <v>4594.84</v>
      </c>
      <c r="F24" s="14">
        <v>5489.7</v>
      </c>
      <c r="G24" s="13">
        <v>894.86</v>
      </c>
      <c r="H24" s="19">
        <f t="shared" si="0"/>
        <v>0.19475324494432886</v>
      </c>
    </row>
    <row r="25" spans="1:8" ht="15.75" thickBot="1">
      <c r="A25" s="12" t="s">
        <v>376</v>
      </c>
      <c r="B25" s="13">
        <v>5</v>
      </c>
      <c r="C25" s="14">
        <v>1377.05</v>
      </c>
      <c r="D25" s="14">
        <v>1109.7439999999999</v>
      </c>
      <c r="E25" s="14">
        <v>5548.72</v>
      </c>
      <c r="F25" s="14">
        <v>6885.25</v>
      </c>
      <c r="G25" s="14">
        <v>1336.53</v>
      </c>
      <c r="H25" s="19">
        <f t="shared" si="0"/>
        <v>0.24087176862411511</v>
      </c>
    </row>
    <row r="26" spans="1:8" ht="15.75" thickBot="1">
      <c r="A26" s="12" t="s">
        <v>378</v>
      </c>
      <c r="B26" s="13">
        <v>184</v>
      </c>
      <c r="C26" s="13">
        <v>193.45</v>
      </c>
      <c r="D26" s="13">
        <v>201.2174</v>
      </c>
      <c r="E26" s="14">
        <v>37024.01</v>
      </c>
      <c r="F26" s="14">
        <v>35594.800000000003</v>
      </c>
      <c r="G26" s="14">
        <v>-1429.21</v>
      </c>
      <c r="H26" s="19">
        <f t="shared" si="0"/>
        <v>-3.8602247568537279E-2</v>
      </c>
    </row>
    <row r="27" spans="1:8" ht="15.75" thickBot="1">
      <c r="A27" s="12" t="s">
        <v>379</v>
      </c>
      <c r="B27" s="13">
        <v>309</v>
      </c>
      <c r="C27" s="13">
        <v>72.400000000000006</v>
      </c>
      <c r="D27" s="13">
        <v>53.741100000000003</v>
      </c>
      <c r="E27" s="14">
        <v>16606</v>
      </c>
      <c r="F27" s="14">
        <v>22371.599999999999</v>
      </c>
      <c r="G27" s="14">
        <v>5765.6</v>
      </c>
      <c r="H27" s="19">
        <f t="shared" si="0"/>
        <v>0.34719980729856681</v>
      </c>
    </row>
    <row r="28" spans="1:8" ht="15.75" thickBot="1">
      <c r="A28" s="12" t="s">
        <v>380</v>
      </c>
      <c r="B28" s="13">
        <v>21</v>
      </c>
      <c r="C28" s="13">
        <v>132.1</v>
      </c>
      <c r="D28" s="13">
        <v>130.29519999999999</v>
      </c>
      <c r="E28" s="14">
        <v>2736.2</v>
      </c>
      <c r="F28" s="14">
        <v>2774.1</v>
      </c>
      <c r="G28" s="13">
        <v>37.9</v>
      </c>
      <c r="H28" s="19">
        <f t="shared" si="0"/>
        <v>1.3851326657408085E-2</v>
      </c>
    </row>
    <row r="29" spans="1:8" ht="15.75" thickBot="1">
      <c r="A29" s="12" t="s">
        <v>383</v>
      </c>
      <c r="B29" s="13">
        <v>4</v>
      </c>
      <c r="C29" s="14">
        <v>1254.75</v>
      </c>
      <c r="D29" s="14">
        <v>1216.875</v>
      </c>
      <c r="E29" s="14">
        <v>4867.5</v>
      </c>
      <c r="F29" s="14">
        <v>5019</v>
      </c>
      <c r="G29" s="13">
        <v>151.5</v>
      </c>
      <c r="H29" s="19">
        <f t="shared" si="0"/>
        <v>3.1124807395993836E-2</v>
      </c>
    </row>
    <row r="30" spans="1:8" ht="28.5" thickBot="1">
      <c r="A30" s="12" t="s">
        <v>461</v>
      </c>
      <c r="B30" s="13">
        <v>93</v>
      </c>
      <c r="C30" s="13">
        <v>210.75</v>
      </c>
      <c r="D30" s="13">
        <v>214.44030000000001</v>
      </c>
      <c r="E30" s="14">
        <v>19942.95</v>
      </c>
      <c r="F30" s="14">
        <v>19599.75</v>
      </c>
      <c r="G30" s="13">
        <v>-343.2</v>
      </c>
      <c r="H30" s="19">
        <f t="shared" si="0"/>
        <v>-1.7209088926161877E-2</v>
      </c>
    </row>
    <row r="31" spans="1:8" ht="15.75" thickBot="1">
      <c r="A31" s="12" t="s">
        <v>385</v>
      </c>
      <c r="B31" s="13">
        <v>20</v>
      </c>
      <c r="C31" s="14">
        <v>1390.8</v>
      </c>
      <c r="D31" s="14">
        <v>1149.6224999999999</v>
      </c>
      <c r="E31" s="14">
        <v>22992.45</v>
      </c>
      <c r="F31" s="14">
        <v>27816</v>
      </c>
      <c r="G31" s="14">
        <v>4823.55</v>
      </c>
      <c r="H31" s="19">
        <f t="shared" si="0"/>
        <v>0.20978843055002838</v>
      </c>
    </row>
    <row r="32" spans="1:8" ht="15.75" thickBot="1">
      <c r="A32" s="12" t="s">
        <v>386</v>
      </c>
      <c r="B32" s="13">
        <v>14</v>
      </c>
      <c r="C32" s="13">
        <v>677.8</v>
      </c>
      <c r="D32" s="13">
        <v>621.18209999999999</v>
      </c>
      <c r="E32" s="14">
        <v>8696.5499999999993</v>
      </c>
      <c r="F32" s="14">
        <v>9489.2000000000007</v>
      </c>
      <c r="G32" s="13">
        <v>792.65</v>
      </c>
      <c r="H32" s="19">
        <f t="shared" si="0"/>
        <v>9.1145339243723089E-2</v>
      </c>
    </row>
    <row r="33" spans="1:8" ht="15.75" thickBot="1">
      <c r="A33" s="12" t="s">
        <v>387</v>
      </c>
      <c r="B33" s="13">
        <v>3</v>
      </c>
      <c r="C33" s="14">
        <v>3255.25</v>
      </c>
      <c r="D33" s="14">
        <v>3170.05</v>
      </c>
      <c r="E33" s="14">
        <v>9510.15</v>
      </c>
      <c r="F33" s="14">
        <v>9765.75</v>
      </c>
      <c r="G33" s="13">
        <v>255.6</v>
      </c>
      <c r="H33" s="19">
        <f t="shared" si="0"/>
        <v>2.6876547688522264E-2</v>
      </c>
    </row>
    <row r="34" spans="1:8" ht="15.75" thickBot="1">
      <c r="A34" s="12" t="s">
        <v>390</v>
      </c>
      <c r="B34" s="13">
        <v>4</v>
      </c>
      <c r="C34" s="14">
        <v>2263.4</v>
      </c>
      <c r="D34" s="14">
        <v>2232.3000000000002</v>
      </c>
      <c r="E34" s="14">
        <v>8929.2000000000007</v>
      </c>
      <c r="F34" s="14">
        <v>9053.6</v>
      </c>
      <c r="G34" s="13">
        <v>124.4</v>
      </c>
      <c r="H34" s="19">
        <f t="shared" si="0"/>
        <v>1.3931819199928324E-2</v>
      </c>
    </row>
    <row r="35" spans="1:8" ht="15.75" thickBot="1">
      <c r="A35" s="12" t="s">
        <v>391</v>
      </c>
      <c r="B35" s="13">
        <v>190</v>
      </c>
      <c r="C35" s="13">
        <v>537</v>
      </c>
      <c r="D35" s="13">
        <v>318.22160000000002</v>
      </c>
      <c r="E35" s="14">
        <v>60462.1</v>
      </c>
      <c r="F35" s="14">
        <v>102030</v>
      </c>
      <c r="G35" s="14">
        <v>41567.9</v>
      </c>
      <c r="H35" s="19">
        <f t="shared" si="0"/>
        <v>0.68750341122786018</v>
      </c>
    </row>
    <row r="36" spans="1:8" ht="28.5" thickBot="1">
      <c r="A36" s="12" t="s">
        <v>392</v>
      </c>
      <c r="B36" s="13">
        <v>7</v>
      </c>
      <c r="C36" s="14">
        <v>1317.7</v>
      </c>
      <c r="D36" s="14">
        <v>1376.3986</v>
      </c>
      <c r="E36" s="14">
        <v>9634.7900000000009</v>
      </c>
      <c r="F36" s="14">
        <v>9223.9</v>
      </c>
      <c r="G36" s="13">
        <v>-410.89</v>
      </c>
      <c r="H36" s="19">
        <f t="shared" si="0"/>
        <v>-4.2646492554586031E-2</v>
      </c>
    </row>
    <row r="37" spans="1:8" ht="15.75" thickBot="1">
      <c r="A37" s="12" t="s">
        <v>393</v>
      </c>
      <c r="B37" s="13">
        <v>15</v>
      </c>
      <c r="C37" s="13">
        <v>481.1</v>
      </c>
      <c r="D37" s="13">
        <v>448.57670000000002</v>
      </c>
      <c r="E37" s="14">
        <v>6728.65</v>
      </c>
      <c r="F37" s="14">
        <v>7216.5</v>
      </c>
      <c r="G37" s="13">
        <v>487.85</v>
      </c>
      <c r="H37" s="19">
        <f t="shared" si="0"/>
        <v>7.2503399641830085E-2</v>
      </c>
    </row>
    <row r="38" spans="1:8" ht="15.75" thickBot="1">
      <c r="A38" s="12" t="s">
        <v>395</v>
      </c>
      <c r="B38" s="13">
        <v>100</v>
      </c>
      <c r="C38" s="14">
        <v>1239.6500000000001</v>
      </c>
      <c r="D38" s="13">
        <v>462</v>
      </c>
      <c r="E38" s="14">
        <v>46200</v>
      </c>
      <c r="F38" s="14">
        <v>123965</v>
      </c>
      <c r="G38" s="14">
        <v>77765</v>
      </c>
      <c r="H38" s="19">
        <f t="shared" si="0"/>
        <v>1.6832251082251082</v>
      </c>
    </row>
    <row r="39" spans="1:8" ht="15.75" thickBot="1">
      <c r="A39" s="12" t="s">
        <v>505</v>
      </c>
      <c r="B39" s="13">
        <v>49</v>
      </c>
      <c r="C39" s="13">
        <v>483</v>
      </c>
      <c r="D39" s="13">
        <v>488.16329999999999</v>
      </c>
      <c r="E39" s="14">
        <v>23920</v>
      </c>
      <c r="F39" s="14">
        <v>23667</v>
      </c>
      <c r="G39" s="13">
        <v>-253</v>
      </c>
      <c r="H39" s="19">
        <f t="shared" si="0"/>
        <v>-1.0576923076923078E-2</v>
      </c>
    </row>
    <row r="40" spans="1:8" ht="15.75" thickBot="1">
      <c r="A40" s="12" t="s">
        <v>445</v>
      </c>
      <c r="B40" s="13">
        <v>14</v>
      </c>
      <c r="C40" s="14">
        <v>1853.5</v>
      </c>
      <c r="D40" s="14">
        <v>1753.425</v>
      </c>
      <c r="E40" s="14">
        <v>24547.95</v>
      </c>
      <c r="F40" s="14">
        <v>25949</v>
      </c>
      <c r="G40" s="14">
        <v>1401.05</v>
      </c>
      <c r="H40" s="19">
        <f t="shared" si="0"/>
        <v>5.7074012290231971E-2</v>
      </c>
    </row>
    <row r="41" spans="1:8" ht="15.75" thickBot="1">
      <c r="A41" s="12" t="s">
        <v>396</v>
      </c>
      <c r="B41" s="13">
        <v>636</v>
      </c>
      <c r="C41" s="13">
        <v>203.25</v>
      </c>
      <c r="D41" s="13">
        <v>226.5917</v>
      </c>
      <c r="E41" s="14">
        <v>144112.35</v>
      </c>
      <c r="F41" s="14">
        <v>129267</v>
      </c>
      <c r="G41" s="14">
        <v>-14845.35</v>
      </c>
      <c r="H41" s="19">
        <f t="shared" si="0"/>
        <v>-0.10301233724937522</v>
      </c>
    </row>
    <row r="42" spans="1:8" ht="15.75" thickBot="1">
      <c r="A42" s="12" t="s">
        <v>397</v>
      </c>
      <c r="B42" s="13">
        <v>36</v>
      </c>
      <c r="C42" s="14">
        <v>1000.85</v>
      </c>
      <c r="D42" s="13">
        <v>674.28</v>
      </c>
      <c r="E42" s="14">
        <v>24274.080000000002</v>
      </c>
      <c r="F42" s="14">
        <v>36030.6</v>
      </c>
      <c r="G42" s="14">
        <v>11756.52</v>
      </c>
      <c r="H42" s="19">
        <f t="shared" si="0"/>
        <v>0.48432401969508215</v>
      </c>
    </row>
    <row r="43" spans="1:8" ht="15.75" thickBot="1">
      <c r="A43" s="12" t="s">
        <v>446</v>
      </c>
      <c r="B43" s="13">
        <v>42</v>
      </c>
      <c r="C43" s="13">
        <v>162.05000000000001</v>
      </c>
      <c r="D43" s="13">
        <v>143.32499999999999</v>
      </c>
      <c r="E43" s="14">
        <v>6019.65</v>
      </c>
      <c r="F43" s="14">
        <v>6806.1</v>
      </c>
      <c r="G43" s="13">
        <v>786.45</v>
      </c>
      <c r="H43" s="19">
        <f t="shared" si="0"/>
        <v>0.13064713064713065</v>
      </c>
    </row>
    <row r="44" spans="1:8" ht="15.75" thickBot="1">
      <c r="A44" s="12" t="s">
        <v>398</v>
      </c>
      <c r="B44" s="13">
        <v>18</v>
      </c>
      <c r="C44" s="14">
        <v>1713.45</v>
      </c>
      <c r="D44" s="14">
        <v>1466.1472000000001</v>
      </c>
      <c r="E44" s="14">
        <v>26390.65</v>
      </c>
      <c r="F44" s="14">
        <v>30842.1</v>
      </c>
      <c r="G44" s="14">
        <v>4451.45</v>
      </c>
      <c r="H44" s="19">
        <f t="shared" si="0"/>
        <v>0.16867526946096437</v>
      </c>
    </row>
    <row r="45" spans="1:8" ht="15.75" thickBot="1">
      <c r="A45" s="12" t="s">
        <v>401</v>
      </c>
      <c r="B45" s="13">
        <v>62</v>
      </c>
      <c r="C45" s="14">
        <v>1334.6</v>
      </c>
      <c r="D45" s="14">
        <v>1053.2161000000001</v>
      </c>
      <c r="E45" s="14">
        <v>65299.4</v>
      </c>
      <c r="F45" s="14">
        <v>82745.2</v>
      </c>
      <c r="G45" s="14">
        <v>17445.8</v>
      </c>
      <c r="H45" s="19">
        <f t="shared" si="0"/>
        <v>0.26716631393244039</v>
      </c>
    </row>
    <row r="46" spans="1:8" ht="15.75" thickBot="1">
      <c r="A46" s="12" t="s">
        <v>462</v>
      </c>
      <c r="B46" s="13">
        <v>379</v>
      </c>
      <c r="C46" s="13">
        <v>54.2</v>
      </c>
      <c r="D46" s="13">
        <v>60.95</v>
      </c>
      <c r="E46" s="14">
        <v>23100.05</v>
      </c>
      <c r="F46" s="14">
        <v>20541.8</v>
      </c>
      <c r="G46" s="14">
        <v>-2558.25</v>
      </c>
      <c r="H46" s="19">
        <f t="shared" si="0"/>
        <v>-0.11074651353568499</v>
      </c>
    </row>
    <row r="47" spans="1:8" ht="15.75" thickBot="1">
      <c r="A47" s="12" t="s">
        <v>402</v>
      </c>
      <c r="B47" s="13">
        <v>7</v>
      </c>
      <c r="C47" s="13">
        <v>749.9</v>
      </c>
      <c r="D47" s="13">
        <v>672.55</v>
      </c>
      <c r="E47" s="14">
        <v>4707.8500000000004</v>
      </c>
      <c r="F47" s="14">
        <v>5249.3</v>
      </c>
      <c r="G47" s="13">
        <v>541.45000000000005</v>
      </c>
      <c r="H47" s="19">
        <f t="shared" si="0"/>
        <v>0.11501003642851833</v>
      </c>
    </row>
    <row r="48" spans="1:8" ht="15.75" thickBot="1">
      <c r="A48" s="12" t="s">
        <v>403</v>
      </c>
      <c r="B48" s="13">
        <v>36</v>
      </c>
      <c r="C48" s="13">
        <v>162.15</v>
      </c>
      <c r="D48" s="13">
        <v>152.83330000000001</v>
      </c>
      <c r="E48" s="14">
        <v>5502</v>
      </c>
      <c r="F48" s="14">
        <v>5837.4</v>
      </c>
      <c r="G48" s="13">
        <v>335.4</v>
      </c>
      <c r="H48" s="19">
        <f t="shared" si="0"/>
        <v>6.0959651035986911E-2</v>
      </c>
    </row>
    <row r="49" spans="1:8" ht="15.75" thickBot="1">
      <c r="A49" s="12" t="s">
        <v>404</v>
      </c>
      <c r="B49" s="13">
        <v>18</v>
      </c>
      <c r="C49" s="13">
        <v>415.4</v>
      </c>
      <c r="D49" s="13">
        <v>393.25279999999998</v>
      </c>
      <c r="E49" s="14">
        <v>7078.55</v>
      </c>
      <c r="F49" s="14">
        <v>7477.2</v>
      </c>
      <c r="G49" s="13">
        <v>398.65</v>
      </c>
      <c r="H49" s="19">
        <f t="shared" si="0"/>
        <v>5.6318031235210599E-2</v>
      </c>
    </row>
    <row r="50" spans="1:8" ht="15.75" thickBot="1">
      <c r="A50" s="12" t="s">
        <v>405</v>
      </c>
      <c r="B50" s="13">
        <v>11</v>
      </c>
      <c r="C50" s="13">
        <v>456.05</v>
      </c>
      <c r="D50" s="13">
        <v>366.3818</v>
      </c>
      <c r="E50" s="14">
        <v>4030.2</v>
      </c>
      <c r="F50" s="14">
        <v>5016.55</v>
      </c>
      <c r="G50" s="13">
        <v>986.35</v>
      </c>
      <c r="H50" s="19">
        <f t="shared" si="0"/>
        <v>0.24473971515061288</v>
      </c>
    </row>
    <row r="51" spans="1:8" ht="15.75" thickBot="1">
      <c r="A51" s="12" t="s">
        <v>448</v>
      </c>
      <c r="B51" s="13">
        <v>27</v>
      </c>
      <c r="C51" s="13">
        <v>144.9</v>
      </c>
      <c r="D51" s="13">
        <v>131.5915</v>
      </c>
      <c r="E51" s="14">
        <v>3552.97</v>
      </c>
      <c r="F51" s="14">
        <v>3912.3</v>
      </c>
      <c r="G51" s="13">
        <v>359.33</v>
      </c>
      <c r="H51" s="19">
        <f t="shared" si="0"/>
        <v>0.10113510668539279</v>
      </c>
    </row>
    <row r="52" spans="1:8" ht="15.75" thickBot="1">
      <c r="A52" s="12" t="s">
        <v>513</v>
      </c>
      <c r="B52" s="13">
        <v>37</v>
      </c>
      <c r="C52" s="13">
        <v>892.65</v>
      </c>
      <c r="D52" s="13">
        <v>608.30780000000004</v>
      </c>
      <c r="E52" s="14">
        <v>22507.39</v>
      </c>
      <c r="F52" s="14">
        <v>33028.050000000003</v>
      </c>
      <c r="G52" s="14">
        <v>10520.66</v>
      </c>
      <c r="H52" s="19">
        <f t="shared" si="0"/>
        <v>0.46743136365433752</v>
      </c>
    </row>
    <row r="53" spans="1:8" ht="15.75" thickBot="1">
      <c r="A53" s="12" t="s">
        <v>410</v>
      </c>
      <c r="B53" s="13">
        <v>64</v>
      </c>
      <c r="C53" s="13">
        <v>526.75</v>
      </c>
      <c r="D53" s="13">
        <v>260.9391</v>
      </c>
      <c r="E53" s="14">
        <v>16700.099999999999</v>
      </c>
      <c r="F53" s="14">
        <v>33712</v>
      </c>
      <c r="G53" s="14">
        <v>17011.900000000001</v>
      </c>
      <c r="H53" s="19">
        <f t="shared" si="0"/>
        <v>1.0186705468829529</v>
      </c>
    </row>
    <row r="54" spans="1:8" ht="15.75" thickBot="1">
      <c r="A54" s="12" t="s">
        <v>411</v>
      </c>
      <c r="B54" s="13">
        <v>300</v>
      </c>
      <c r="C54" s="13">
        <v>88.4</v>
      </c>
      <c r="D54" s="13">
        <v>82.333299999999994</v>
      </c>
      <c r="E54" s="14">
        <v>24700</v>
      </c>
      <c r="F54" s="14">
        <v>26520</v>
      </c>
      <c r="G54" s="14">
        <v>1820</v>
      </c>
      <c r="H54" s="19">
        <f t="shared" si="0"/>
        <v>7.3684210526315783E-2</v>
      </c>
    </row>
    <row r="55" spans="1:8" ht="15.75" thickBot="1">
      <c r="A55" s="12" t="s">
        <v>415</v>
      </c>
      <c r="B55" s="13">
        <v>10</v>
      </c>
      <c r="C55" s="13">
        <v>747.8</v>
      </c>
      <c r="D55" s="13">
        <v>741.78499999999997</v>
      </c>
      <c r="E55" s="14">
        <v>7417.85</v>
      </c>
      <c r="F55" s="14">
        <v>7478</v>
      </c>
      <c r="G55" s="13">
        <v>60.15</v>
      </c>
      <c r="H55" s="19">
        <f t="shared" si="0"/>
        <v>8.1088185929885336E-3</v>
      </c>
    </row>
    <row r="56" spans="1:8" ht="15.75" thickBot="1">
      <c r="A56" s="12" t="s">
        <v>450</v>
      </c>
      <c r="B56" s="13">
        <v>30</v>
      </c>
      <c r="C56" s="13">
        <v>689</v>
      </c>
      <c r="D56" s="13">
        <v>456.75830000000002</v>
      </c>
      <c r="E56" s="14">
        <v>13702.75</v>
      </c>
      <c r="F56" s="14">
        <v>20670</v>
      </c>
      <c r="G56" s="14">
        <v>6967.25</v>
      </c>
      <c r="H56" s="19">
        <f t="shared" si="0"/>
        <v>0.50845633175822369</v>
      </c>
    </row>
    <row r="57" spans="1:8" ht="15.75" thickBot="1">
      <c r="A57" s="12" t="s">
        <v>420</v>
      </c>
      <c r="B57" s="13">
        <v>13</v>
      </c>
      <c r="C57" s="13">
        <v>864.6</v>
      </c>
      <c r="D57" s="13">
        <v>832.53459999999995</v>
      </c>
      <c r="E57" s="14">
        <v>10822.95</v>
      </c>
      <c r="F57" s="14">
        <v>11239.8</v>
      </c>
      <c r="G57" s="13">
        <v>416.85</v>
      </c>
      <c r="H57" s="19">
        <f t="shared" si="0"/>
        <v>3.8515377045999472E-2</v>
      </c>
    </row>
    <row r="58" spans="1:8" ht="15.75" thickBot="1">
      <c r="A58" s="12" t="s">
        <v>421</v>
      </c>
      <c r="B58" s="13">
        <v>35</v>
      </c>
      <c r="C58" s="14">
        <v>1585.65</v>
      </c>
      <c r="D58" s="13">
        <v>984.23</v>
      </c>
      <c r="E58" s="14">
        <v>34448.050000000003</v>
      </c>
      <c r="F58" s="14">
        <v>55497.75</v>
      </c>
      <c r="G58" s="14">
        <v>21049.7</v>
      </c>
      <c r="H58" s="19">
        <f t="shared" si="0"/>
        <v>0.61105635877792785</v>
      </c>
    </row>
    <row r="59" spans="1:8" ht="15.75" thickBot="1">
      <c r="A59" s="12" t="s">
        <v>425</v>
      </c>
      <c r="B59" s="13">
        <v>86</v>
      </c>
      <c r="C59" s="13">
        <v>282.05</v>
      </c>
      <c r="D59" s="13">
        <v>200.05520000000001</v>
      </c>
      <c r="E59" s="14">
        <v>17204.75</v>
      </c>
      <c r="F59" s="14">
        <v>24256.3</v>
      </c>
      <c r="G59" s="14">
        <v>7051.55</v>
      </c>
      <c r="H59" s="19">
        <f t="shared" si="0"/>
        <v>0.40986064894869151</v>
      </c>
    </row>
    <row r="60" spans="1:8" ht="15.75" thickBot="1">
      <c r="A60" s="12" t="s">
        <v>426</v>
      </c>
      <c r="B60" s="13">
        <v>157</v>
      </c>
      <c r="C60" s="13">
        <v>586.45000000000005</v>
      </c>
      <c r="D60" s="13">
        <v>477.8236</v>
      </c>
      <c r="E60" s="14">
        <v>75018.3</v>
      </c>
      <c r="F60" s="14">
        <v>92072.65</v>
      </c>
      <c r="G60" s="14">
        <v>17054.349999999999</v>
      </c>
      <c r="H60" s="19">
        <f t="shared" si="0"/>
        <v>0.22733586338266792</v>
      </c>
    </row>
    <row r="61" spans="1:8" ht="15.75" thickBot="1">
      <c r="A61" s="12" t="s">
        <v>427</v>
      </c>
      <c r="B61" s="13">
        <v>12</v>
      </c>
      <c r="C61" s="13">
        <v>559.95000000000005</v>
      </c>
      <c r="D61" s="13">
        <v>491.24329999999998</v>
      </c>
      <c r="E61" s="14">
        <v>5894.92</v>
      </c>
      <c r="F61" s="14">
        <v>6719.4</v>
      </c>
      <c r="G61" s="13">
        <v>824.48</v>
      </c>
      <c r="H61" s="19">
        <f t="shared" si="0"/>
        <v>0.13986279712023234</v>
      </c>
    </row>
    <row r="62" spans="1:8" ht="15.75" thickBot="1">
      <c r="A62" s="12" t="s">
        <v>428</v>
      </c>
      <c r="B62" s="13">
        <v>19</v>
      </c>
      <c r="C62" s="13">
        <v>321.35000000000002</v>
      </c>
      <c r="D62" s="13">
        <v>327.46050000000002</v>
      </c>
      <c r="E62" s="14">
        <v>6221.75</v>
      </c>
      <c r="F62" s="14">
        <v>6105.65</v>
      </c>
      <c r="G62" s="13">
        <v>-116.1</v>
      </c>
      <c r="H62" s="19">
        <f t="shared" si="0"/>
        <v>-1.8660344758307548E-2</v>
      </c>
    </row>
    <row r="63" spans="1:8" ht="15.75" thickBot="1">
      <c r="A63" s="12" t="s">
        <v>429</v>
      </c>
      <c r="B63" s="13">
        <v>35</v>
      </c>
      <c r="C63" s="13">
        <v>206.8</v>
      </c>
      <c r="D63" s="13">
        <v>193.47059999999999</v>
      </c>
      <c r="E63" s="14">
        <v>6771.47</v>
      </c>
      <c r="F63" s="14">
        <v>7238</v>
      </c>
      <c r="G63" s="13">
        <v>466.53</v>
      </c>
      <c r="H63" s="19">
        <f t="shared" si="0"/>
        <v>6.8896413924893707E-2</v>
      </c>
    </row>
    <row r="64" spans="1:8" ht="15.75" thickBot="1">
      <c r="A64" s="12" t="s">
        <v>430</v>
      </c>
      <c r="B64" s="13">
        <v>73</v>
      </c>
      <c r="C64" s="13">
        <v>566.5</v>
      </c>
      <c r="D64" s="13">
        <v>391.6216</v>
      </c>
      <c r="E64" s="14">
        <v>28588.38</v>
      </c>
      <c r="F64" s="14">
        <v>41354.5</v>
      </c>
      <c r="G64" s="14">
        <v>12766.12</v>
      </c>
      <c r="H64" s="19">
        <f t="shared" si="0"/>
        <v>0.44654926232266395</v>
      </c>
    </row>
    <row r="65" spans="1:8" ht="15.75" thickBot="1">
      <c r="A65" s="12" t="s">
        <v>432</v>
      </c>
      <c r="B65" s="13">
        <v>8</v>
      </c>
      <c r="C65" s="13">
        <v>560.25</v>
      </c>
      <c r="D65" s="13">
        <v>532.1</v>
      </c>
      <c r="E65" s="14">
        <v>4256.8</v>
      </c>
      <c r="F65" s="14">
        <v>4482</v>
      </c>
      <c r="G65" s="13">
        <v>225.2</v>
      </c>
      <c r="H65" s="19">
        <f t="shared" si="0"/>
        <v>5.2903589550836301E-2</v>
      </c>
    </row>
    <row r="66" spans="1:8" ht="15.75" thickBot="1">
      <c r="A66" s="12" t="s">
        <v>433</v>
      </c>
      <c r="B66" s="13">
        <v>775</v>
      </c>
      <c r="C66" s="13">
        <v>104.25</v>
      </c>
      <c r="D66" s="13">
        <v>99.291600000000003</v>
      </c>
      <c r="E66" s="14">
        <v>76951</v>
      </c>
      <c r="F66" s="14">
        <v>80793.75</v>
      </c>
      <c r="G66" s="14">
        <v>3842.75</v>
      </c>
      <c r="H66" s="19">
        <f t="shared" si="0"/>
        <v>4.99376226429806E-2</v>
      </c>
    </row>
    <row r="67" spans="1:8" ht="15.75" thickBot="1">
      <c r="A67" s="12" t="s">
        <v>434</v>
      </c>
      <c r="B67" s="13">
        <v>105</v>
      </c>
      <c r="C67" s="13">
        <v>601.15</v>
      </c>
      <c r="D67" s="13">
        <v>404.76429999999999</v>
      </c>
      <c r="E67" s="14">
        <v>42500.25</v>
      </c>
      <c r="F67" s="14">
        <v>63120.75</v>
      </c>
      <c r="G67" s="14">
        <v>20620.5</v>
      </c>
      <c r="H67" s="19">
        <f t="shared" ref="H67:H72" si="1">G67/E67</f>
        <v>0.48518538126246319</v>
      </c>
    </row>
    <row r="68" spans="1:8" ht="15.75" thickBot="1">
      <c r="A68" s="12" t="s">
        <v>470</v>
      </c>
      <c r="B68" s="13">
        <v>21</v>
      </c>
      <c r="C68" s="14">
        <v>1201.4000000000001</v>
      </c>
      <c r="D68" s="14">
        <v>1021.1052</v>
      </c>
      <c r="E68" s="14">
        <v>21443.21</v>
      </c>
      <c r="F68" s="14">
        <v>25229.4</v>
      </c>
      <c r="G68" s="14">
        <v>3786.19</v>
      </c>
      <c r="H68" s="19">
        <f t="shared" si="1"/>
        <v>0.17656824701152488</v>
      </c>
    </row>
    <row r="69" spans="1:8" ht="15.75" thickBot="1">
      <c r="A69" s="12" t="s">
        <v>465</v>
      </c>
      <c r="B69" s="13">
        <v>168</v>
      </c>
      <c r="C69" s="13">
        <v>120.1</v>
      </c>
      <c r="D69" s="13">
        <v>137.32</v>
      </c>
      <c r="E69" s="14">
        <v>23069.759999999998</v>
      </c>
      <c r="F69" s="14">
        <v>20176.8</v>
      </c>
      <c r="G69" s="14">
        <v>-2892.96</v>
      </c>
      <c r="H69" s="19">
        <f t="shared" si="1"/>
        <v>-0.12540052432274978</v>
      </c>
    </row>
    <row r="70" spans="1:8" ht="15.75" thickBot="1">
      <c r="A70" s="12" t="s">
        <v>439</v>
      </c>
      <c r="B70" s="13">
        <v>525</v>
      </c>
      <c r="C70" s="13">
        <v>15.75</v>
      </c>
      <c r="D70" s="13">
        <v>38.966700000000003</v>
      </c>
      <c r="E70" s="14">
        <v>20457.5</v>
      </c>
      <c r="F70" s="14">
        <v>8268.75</v>
      </c>
      <c r="G70" s="14">
        <v>-12188.75</v>
      </c>
      <c r="H70" s="19">
        <f t="shared" si="1"/>
        <v>-0.59580838323353291</v>
      </c>
    </row>
    <row r="71" spans="1:8" ht="15.75" thickBot="1">
      <c r="A71" s="15" t="s">
        <v>440</v>
      </c>
      <c r="B71" s="16">
        <v>4</v>
      </c>
      <c r="C71" s="17">
        <v>1932.25</v>
      </c>
      <c r="D71" s="17">
        <v>1883.6</v>
      </c>
      <c r="E71" s="17">
        <v>7534.4</v>
      </c>
      <c r="F71" s="17">
        <v>7729</v>
      </c>
      <c r="G71" s="16">
        <v>194.6</v>
      </c>
      <c r="H71" s="20">
        <f t="shared" si="1"/>
        <v>2.5828201316627733E-2</v>
      </c>
    </row>
    <row r="72" spans="1:8">
      <c r="A72" t="s">
        <v>11</v>
      </c>
      <c r="B72">
        <f>SUM(B2:B71)</f>
        <v>6304</v>
      </c>
      <c r="E72" s="9">
        <f>SUM(E2:E71)</f>
        <v>1618359.9699999997</v>
      </c>
      <c r="F72" s="9">
        <f>SUM(F2:F71)</f>
        <v>1992877.5</v>
      </c>
      <c r="G72" s="9">
        <f>SUM(G2:G71)</f>
        <v>374517.53</v>
      </c>
      <c r="H72" s="1">
        <f t="shared" si="1"/>
        <v>0.2314179397306769</v>
      </c>
    </row>
  </sheetData>
  <hyperlinks>
    <hyperlink ref="A2" r:id="rId1" location="/stock/1831632/3723" display="https://etportfolio.indiatimes.com/pw_companyinfo.cms - /stock/1831632/3723" xr:uid="{F93EC1B9-D4F2-4B6B-B940-D36075A46C43}"/>
    <hyperlink ref="A3" r:id="rId2" location="/stock/1831632/31" display="https://etportfolio.indiatimes.com/pw_companyinfo.cms - /stock/1831632/31" xr:uid="{AD92752C-390D-42F0-BCBA-19A9DE3615BF}"/>
    <hyperlink ref="A4" r:id="rId3" location="/stock/1831632/34421" display="/stock/1831632/34421" xr:uid="{595BFF44-7913-463D-B59E-BEAD115C66DF}"/>
    <hyperlink ref="A5" r:id="rId4" location="/stock/1831632/15059" display="https://etportfolio.indiatimes.com/pw_companyinfo.cms - /stock/1831632/15059" xr:uid="{BFC06097-B96D-4624-B8BB-17B7FE7ED697}"/>
    <hyperlink ref="A6" r:id="rId5" location="/stock/1831632/63" display="https://etportfolio.indiatimes.com/pw_companyinfo.cms - /stock/1831632/63" xr:uid="{B6CE1761-9A46-4AD6-8350-7A149CEC9292}"/>
    <hyperlink ref="A7" r:id="rId6" location="/stock/1831632/14034" display="https://etportfolio.indiatimes.com/pw_companyinfo.cms - /stock/1831632/14034" xr:uid="{56C92122-A35A-47DE-8690-4675A7F2E7A1}"/>
    <hyperlink ref="A8" r:id="rId7" location="/stock/1831632/66288" display="https://etportfolio.indiatimes.com/pw_companyinfo.cms - /stock/1831632/66288" xr:uid="{685D8544-8BE5-4FAF-9889-133EC057B7B2}"/>
    <hyperlink ref="A9" r:id="rId8" location="/stock/1831632/45987" display="https://etportfolio.indiatimes.com/pw_companyinfo.cms - /stock/1831632/45987" xr:uid="{CD0B08FF-9CA8-4CA8-AF4D-5DE539818FC2}"/>
    <hyperlink ref="A10" r:id="rId9" location="/stock/1831632/9175" display="https://etportfolio.indiatimes.com/pw_companyinfo.cms - /stock/1831632/9175" xr:uid="{375C342E-32C5-4C03-BB01-993DE2A7A992}"/>
    <hyperlink ref="A11" r:id="rId10" location="/stock/1831632/21430" display="https://etportfolio.indiatimes.com/pw_companyinfo.cms - /stock/1831632/21430" xr:uid="{32F29339-7289-400D-AC98-4E765ACE406B}"/>
    <hyperlink ref="A12" r:id="rId11" location="/stock/1831632/31863" display="https://etportfolio.indiatimes.com/pw_companyinfo.cms - /stock/1831632/31863" xr:uid="{8538302A-FC77-46EB-BD5F-DEC67A0CF59B}"/>
    <hyperlink ref="A13" r:id="rId12" location="/stock/1831632/14013" display="https://etportfolio.indiatimes.com/pw_companyinfo.cms - /stock/1831632/14013" xr:uid="{BDB5370D-AF9A-4A29-A01E-49C0353D8810}"/>
    <hyperlink ref="A14" r:id="rId13" location="/stock/1831632/2718" display="https://etportfolio.indiatimes.com/pw_companyinfo.cms - /stock/1831632/2718" xr:uid="{6035F36F-3C90-4306-81D8-681B52027B2A}"/>
    <hyperlink ref="A15" r:id="rId14" location="/stock/1831632/13934" display="https://etportfolio.indiatimes.com/pw_companyinfo.cms - /stock/1831632/13934" xr:uid="{8D54801B-8CD8-4C78-8E18-CB4DAD01D1D3}"/>
    <hyperlink ref="A16" r:id="rId15" location="/stock/1831632/13577" display="https://etportfolio.indiatimes.com/pw_companyinfo.cms - /stock/1831632/13577" xr:uid="{81E03074-12E9-4C54-8FD8-2ACBAEA684D7}"/>
    <hyperlink ref="A17" r:id="rId16" location="/stock/1831632/13917" display="https://etportfolio.indiatimes.com/pw_companyinfo.cms - /stock/1831632/13917" xr:uid="{B71A017E-DEC2-42DE-B744-41C414F6A58E}"/>
    <hyperlink ref="A18" r:id="rId17" location="/stock/1831632/7749" display="https://etportfolio.indiatimes.com/pw_companyinfo.cms - /stock/1831632/7749" xr:uid="{1F68EB95-BD18-426F-BAED-DACBC89AC00C}"/>
    <hyperlink ref="A19" r:id="rId18" location="/stock/1831632/11822" display="https://etportfolio.indiatimes.com/pw_companyinfo.cms - /stock/1831632/11822" xr:uid="{147EB612-7BCB-4636-948A-C83F4D2D617A}"/>
    <hyperlink ref="A20" r:id="rId19" location="/stock/1831632/13873" display="https://etportfolio.indiatimes.com/pw_companyinfo.cms - /stock/1831632/13873" xr:uid="{6D8CEABD-B746-47D2-85A1-B2018CEA7445}"/>
    <hyperlink ref="A21" r:id="rId20" location="/stock/1831632/11796" display="https://etportfolio.indiatimes.com/pw_companyinfo.cms - /stock/1831632/11796" xr:uid="{40644D52-BB25-4CAF-9381-2E6F1B6BA26C}"/>
    <hyperlink ref="A22" r:id="rId21" location="/stock/1831632/3635" display="https://etportfolio.indiatimes.com/pw_companyinfo.cms - /stock/1831632/3635" xr:uid="{6EBBA780-D1F1-40B6-B77B-7226BA5D7920}"/>
    <hyperlink ref="A23" r:id="rId22" location="/stock/1831632/12393" display="https://etportfolio.indiatimes.com/pw_companyinfo.cms - /stock/1831632/12393" xr:uid="{3EC4DB0C-FD7B-4A30-B2F4-ADB4CEC72438}"/>
    <hyperlink ref="A24" r:id="rId23" location="/stock/1831632/13787" display="https://etportfolio.indiatimes.com/pw_companyinfo.cms - /stock/1831632/13787" xr:uid="{194E175E-C1D9-4F4B-BA13-EAC0261BEAAA}"/>
    <hyperlink ref="A25" r:id="rId24" location="/stock/1831632/38215" display="https://etportfolio.indiatimes.com/pw_companyinfo.cms - /stock/1831632/38215" xr:uid="{67092A37-434C-41AD-BAD6-0E13D776DB05}"/>
    <hyperlink ref="A26" r:id="rId25" location="/stock/1831632/13895" display="https://etportfolio.indiatimes.com/pw_companyinfo.cms - /stock/1831632/13895" xr:uid="{994C891D-8696-4836-90BD-280BEE87388D}"/>
    <hyperlink ref="A27" r:id="rId26" location="/stock/1831632/9211" display="https://etportfolio.indiatimes.com/pw_companyinfo.cms - /stock/1831632/9211" xr:uid="{AA07C951-48DA-42A9-8EA4-CCDE300D5BA8}"/>
    <hyperlink ref="A28" r:id="rId27" location="/stock/1831632/12266" display="https://etportfolio.indiatimes.com/pw_companyinfo.cms - /stock/1831632/12266" xr:uid="{73D5DA24-FA60-4B47-9FF8-E11E9BAED951}"/>
    <hyperlink ref="A29" r:id="rId28" location="/stock/1831632/5733" display="https://etportfolio.indiatimes.com/pw_companyinfo.cms - /stock/1831632/5733" xr:uid="{F31E9EC2-335C-4CAB-9889-7012267064F8}"/>
    <hyperlink ref="A30" r:id="rId29" location="/stock/1831632/13673" display="https://etportfolio.indiatimes.com/pw_companyinfo.cms - /stock/1831632/13673" xr:uid="{B0663035-1D7E-4553-8BCE-916EE1B3CB42}"/>
    <hyperlink ref="A31" r:id="rId30" location="/stock/1831632/9195" display="https://etportfolio.indiatimes.com/pw_companyinfo.cms - /stock/1831632/9195" xr:uid="{E80763B9-1D84-4972-B21F-736BA7C7CFD9}"/>
    <hyperlink ref="A32" r:id="rId31" location="/stock/1831632/3068" display="https://etportfolio.indiatimes.com/pw_companyinfo.cms - /stock/1831632/3068" xr:uid="{7CF772ED-376E-46F9-AC46-03BE87658D15}"/>
    <hyperlink ref="A33" r:id="rId32" location="/stock/1831632/13636" display="https://etportfolio.indiatimes.com/pw_companyinfo.cms - /stock/1831632/13636" xr:uid="{BFB62C99-E19C-4F66-B7A6-B27B23DA8229}"/>
    <hyperlink ref="A34" r:id="rId33" location="/stock/1831632/13616" display="https://etportfolio.indiatimes.com/pw_companyinfo.cms - /stock/1831632/13616" xr:uid="{98CCE694-87CF-4499-A11B-485ECDC87EF6}"/>
    <hyperlink ref="A35" r:id="rId34" location="/stock/1831632/9194" display="https://etportfolio.indiatimes.com/pw_companyinfo.cms - /stock/1831632/9194" xr:uid="{A4D3695E-A009-4757-B223-D86184BAB066}"/>
    <hyperlink ref="A36" r:id="rId35" location="/stock/1831632/1883" display="https://etportfolio.indiatimes.com/pw_companyinfo.cms - /stock/1831632/1883" xr:uid="{E8E00D76-6EF6-4873-9A48-D21018A6AAF4}"/>
    <hyperlink ref="A37" r:id="rId36" location="/stock/1831632/1898" display="https://etportfolio.indiatimes.com/pw_companyinfo.cms - /stock/1831632/1898" xr:uid="{2C69C2A1-E116-43DB-99E5-0D81C8A420C1}"/>
    <hyperlink ref="A38" r:id="rId37" location="/stock/1831632/10960" display="https://etportfolio.indiatimes.com/pw_companyinfo.cms - /stock/1831632/10960" xr:uid="{A93267ED-ABA8-4634-9E66-2221355C1D16}"/>
    <hyperlink ref="A39" r:id="rId38" location="/stock/1831632/19033" display="https://etportfolio.indiatimes.com/pw_companyinfo.cms - /stock/1831632/19033" xr:uid="{F16D6AA1-E1EB-48D8-BCCB-83C7D18567D3}"/>
    <hyperlink ref="A40" r:id="rId39" location="/stock/1831632/10587" display="https://etportfolio.indiatimes.com/pw_companyinfo.cms - /stock/1831632/10587" xr:uid="{99A2F29E-F47B-4DC4-8A49-BB910772A772}"/>
    <hyperlink ref="A41" r:id="rId40" location="/stock/1831632/13554" display="https://etportfolio.indiatimes.com/pw_companyinfo.cms - /stock/1831632/13554" xr:uid="{F5D9E103-5800-45BB-8BD0-B8E0225A36CE}"/>
    <hyperlink ref="A42" r:id="rId41" location="/stock/1831632/13536" display="https://etportfolio.indiatimes.com/pw_companyinfo.cms - /stock/1831632/13536" xr:uid="{89F32A7C-ACAB-4C00-9D95-220D6D82BB2F}"/>
    <hyperlink ref="A43" r:id="rId42" location="/stock/1831632/16356" display="https://etportfolio.indiatimes.com/pw_companyinfo.cms - /stock/1831632/16356" xr:uid="{46142BF1-592F-4EBA-B09A-DDDEB4218CDB}"/>
    <hyperlink ref="A44" r:id="rId43" location="/stock/1831632/12161" display="https://etportfolio.indiatimes.com/pw_companyinfo.cms - /stock/1831632/12161" xr:uid="{712B31F1-D956-4605-B0AB-25D1FCDCCFCB}"/>
    <hyperlink ref="A45" r:id="rId44" location="/stock/1831632/13447" display="https://etportfolio.indiatimes.com/pw_companyinfo.cms - /stock/1831632/13447" xr:uid="{5131A141-72F3-49F6-88AD-472B959735F2}"/>
    <hyperlink ref="A46" r:id="rId45" location="/stock/1831632/18545" display="https://etportfolio.indiatimes.com/pw_companyinfo.cms - /stock/1831632/18545" xr:uid="{0AFD9880-0CFF-436E-B739-6A3546647150}"/>
    <hyperlink ref="A47" r:id="rId46" location="/stock/1831632/11898" display="https://etportfolio.indiatimes.com/pw_companyinfo.cms - /stock/1831632/11898" xr:uid="{6DF385E3-BC15-431F-9A85-C29CD4FED235}"/>
    <hyperlink ref="A48" r:id="rId47" location="/stock/1831632/17103" display="https://etportfolio.indiatimes.com/pw_companyinfo.cms - /stock/1831632/17103" xr:uid="{B9108007-E09E-415B-A1DC-336F89F2643B}"/>
    <hyperlink ref="A49" r:id="rId48" location="/stock/1831632/5886" display="https://etportfolio.indiatimes.com/pw_companyinfo.cms - /stock/1831632/5886" xr:uid="{002F79B4-2846-4D6D-A0AE-F05F7B24E630}"/>
    <hyperlink ref="A50" r:id="rId49" location="/stock/1831632/5459" display="https://etportfolio.indiatimes.com/pw_companyinfo.cms - /stock/1831632/5459" xr:uid="{A77A4CEE-8A08-48A5-A886-31AE33D2E2F9}"/>
    <hyperlink ref="A51" r:id="rId50" location="/stock/1831632/10878" display="https://etportfolio.indiatimes.com/pw_companyinfo.cms - /stock/1831632/10878" xr:uid="{976BE7AA-B6E8-430E-A2DF-1F8DEA6A487B}"/>
    <hyperlink ref="A52" r:id="rId51" location="/stock/1831632/8305" display="https://etportfolio.indiatimes.com/pw_companyinfo.cms - /stock/1831632/8305" xr:uid="{A89B8DEF-8B0A-49EB-9E12-B1E692B6AA7C}"/>
    <hyperlink ref="A53" r:id="rId52" location="/stock/1831632/32621" display="https://etportfolio.indiatimes.com/pw_companyinfo.cms - /stock/1831632/32621" xr:uid="{546F594C-0303-49AA-B259-ADE0956F2826}"/>
    <hyperlink ref="A54" r:id="rId53" location="/stock/1831632/11599" display="https://etportfolio.indiatimes.com/pw_companyinfo.cms - /stock/1831632/11599" xr:uid="{C0393C08-DAB6-419A-97B9-572345E8B9EC}"/>
    <hyperlink ref="A55" r:id="rId54" location="/stock/1831632/12358" display="https://etportfolio.indiatimes.com/pw_companyinfo.cms - /stock/1831632/12358" xr:uid="{FC796B33-738E-4BEB-9592-6DD517A5B10C}"/>
    <hyperlink ref="A56" r:id="rId55" location="/stock/1831632/13282" display="https://etportfolio.indiatimes.com/pw_companyinfo.cms - /stock/1831632/13282" xr:uid="{3B552D85-4AC0-4DBE-B5E2-6B1031D7FC5E}"/>
    <hyperlink ref="A57" r:id="rId56" location="/stock/1831632/2898" display="https://etportfolio.indiatimes.com/pw_companyinfo.cms - /stock/1831632/2898" xr:uid="{A98E76D7-FA2A-4A4F-B86A-5EF026393A1B}"/>
    <hyperlink ref="A58" r:id="rId57" location="/stock/1831632/13102" display="https://etportfolio.indiatimes.com/pw_companyinfo.cms - /stock/1831632/13102" xr:uid="{CB00E064-77DB-4836-81D4-C63AEDE26D86}"/>
    <hyperlink ref="A59" r:id="rId58" location="/stock/1831632/11984" display="https://etportfolio.indiatimes.com/pw_companyinfo.cms - /stock/1831632/11984" xr:uid="{10624008-B6E9-43DE-9B83-9EECE64AB86A}"/>
    <hyperlink ref="A60" r:id="rId59" location="/stock/1831632/9134" display="https://etportfolio.indiatimes.com/pw_companyinfo.cms - /stock/1831632/9134" xr:uid="{2B682847-5B94-4110-B881-66EC9123F121}"/>
    <hyperlink ref="A61" r:id="rId60" location="/stock/1831632/12962" display="https://etportfolio.indiatimes.com/pw_companyinfo.cms - /stock/1831632/12962" xr:uid="{FFF8DF43-C254-487A-AADE-983431C20345}"/>
    <hyperlink ref="A62" r:id="rId61" location="/stock/1831632/3296" display="https://etportfolio.indiatimes.com/pw_companyinfo.cms - /stock/1831632/3296" xr:uid="{ADFDBAD3-8314-49E0-96DA-C8D0C142A37D}"/>
    <hyperlink ref="A63" r:id="rId62" location="/stock/1831632/6936" display="https://etportfolio.indiatimes.com/pw_companyinfo.cms - /stock/1831632/6936" xr:uid="{40B6AAA3-D1B3-41F9-A275-2ACE2F8F77D1}"/>
    <hyperlink ref="A64" r:id="rId63" location="/stock/1831632/303" display="https://etportfolio.indiatimes.com/pw_companyinfo.cms - /stock/1831632/303" xr:uid="{5A184D24-7285-4798-B03B-9D5FC1BC39FB}"/>
    <hyperlink ref="A65" r:id="rId64" location="/stock/1831632/12929" display="https://etportfolio.indiatimes.com/pw_companyinfo.cms - /stock/1831632/12929" xr:uid="{A5B5E463-F609-44B6-8A1C-6FF371BF1FC3}"/>
    <hyperlink ref="A66" r:id="rId65" location="/stock/1831632/129341111" display="https://etportfolio.indiatimes.com/pw_companyinfo.cms - /stock/1831632/129341111" xr:uid="{6F576997-6134-4C80-B632-42E588CA201A}"/>
    <hyperlink ref="A67" r:id="rId66" location="/stock/1831632/12902" display="https://etportfolio.indiatimes.com/pw_companyinfo.cms - /stock/1831632/12902" xr:uid="{B82A9AFE-8B67-4799-8FAA-339DB77C72A4}"/>
    <hyperlink ref="A68" r:id="rId67" location="/stock/1831632/15493" display="https://etportfolio.indiatimes.com/pw_companyinfo.cms - /stock/1831632/15493" xr:uid="{27BBD708-5E85-4F8F-8957-C5930159D89E}"/>
    <hyperlink ref="A69" r:id="rId68" location="/stock/1831632/5032" display="https://etportfolio.indiatimes.com/pw_companyinfo.cms - /stock/1831632/5032" xr:uid="{924F5357-7897-42DE-9C3F-867696D0CC84}"/>
    <hyperlink ref="A70" r:id="rId69" location="/stock/1831632/16552" display="https://etportfolio.indiatimes.com/pw_companyinfo.cms - /stock/1831632/16552" xr:uid="{0A85AF65-D2FE-478B-ABD0-11041F7498D7}"/>
    <hyperlink ref="A71" r:id="rId70" location="/stock/1831632/6816" display="https://etportfolio.indiatimes.com/pw_companyinfo.cms - /stock/1831632/6816" xr:uid="{9312A1AB-EDAC-4F47-9FC2-8507026594D6}"/>
  </hyperlinks>
  <pageMargins left="0.7" right="0.7" top="0.75" bottom="0.75" header="0.3" footer="0.3"/>
  <pageSetup orientation="portrait" r:id="rId7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D634-8953-4C20-BBC4-198CD9EBFBA8}">
  <dimension ref="A1:I10"/>
  <sheetViews>
    <sheetView topLeftCell="B1" workbookViewId="0">
      <selection activeCell="I1" sqref="I1:I9"/>
    </sheetView>
  </sheetViews>
  <sheetFormatPr defaultRowHeight="15"/>
  <cols>
    <col min="1" max="1" width="48.42578125" customWidth="1"/>
    <col min="2" max="2" width="19.5703125" customWidth="1"/>
    <col min="3" max="3" width="11.28515625" customWidth="1"/>
    <col min="4" max="4" width="14.140625" customWidth="1"/>
    <col min="5" max="5" width="17.85546875" customWidth="1"/>
    <col min="6" max="6" width="19.42578125" customWidth="1"/>
    <col min="7" max="7" width="18.28515625" customWidth="1"/>
    <col min="8" max="8" width="22.140625" customWidth="1"/>
  </cols>
  <sheetData>
    <row r="1" spans="1:9" ht="15.75" thickBot="1">
      <c r="A1" s="11" t="s">
        <v>223</v>
      </c>
      <c r="B1" s="11" t="s">
        <v>224</v>
      </c>
      <c r="C1" s="11" t="s">
        <v>225</v>
      </c>
      <c r="D1" s="11" t="s">
        <v>226</v>
      </c>
      <c r="E1" s="11" t="s">
        <v>227</v>
      </c>
      <c r="F1" s="11" t="s">
        <v>228</v>
      </c>
      <c r="G1" s="11" t="s">
        <v>229</v>
      </c>
      <c r="H1" s="11" t="s">
        <v>230</v>
      </c>
      <c r="I1" s="18" t="s">
        <v>142</v>
      </c>
    </row>
    <row r="2" spans="1:9" ht="15.75" thickBot="1">
      <c r="A2" s="12" t="s">
        <v>234</v>
      </c>
      <c r="B2" s="13" t="s">
        <v>235</v>
      </c>
      <c r="C2" s="13">
        <v>352.03300000000002</v>
      </c>
      <c r="D2" s="13">
        <v>54.06</v>
      </c>
      <c r="E2" s="13">
        <v>56.81</v>
      </c>
      <c r="F2" s="14">
        <v>19998.994699999999</v>
      </c>
      <c r="G2" s="14">
        <v>19030.903999999999</v>
      </c>
      <c r="H2" s="13">
        <v>-968.09069999999997</v>
      </c>
      <c r="I2" s="1">
        <f>H2/F2</f>
        <v>-4.840696817625538E-2</v>
      </c>
    </row>
    <row r="3" spans="1:9" ht="15.75" thickBot="1">
      <c r="A3" s="12" t="s">
        <v>236</v>
      </c>
      <c r="B3" s="13" t="s">
        <v>237</v>
      </c>
      <c r="C3" s="14">
        <v>7057.4369999999999</v>
      </c>
      <c r="D3" s="13">
        <v>42.63</v>
      </c>
      <c r="E3" s="13">
        <v>34.005099999999999</v>
      </c>
      <c r="F3" s="14">
        <v>239988.93479999999</v>
      </c>
      <c r="G3" s="14">
        <v>300858.5393</v>
      </c>
      <c r="H3" s="14">
        <v>60869.604500000001</v>
      </c>
      <c r="I3" s="1">
        <f t="shared" ref="I3:I10" si="0">H3/F3</f>
        <v>0.25363504592712582</v>
      </c>
    </row>
    <row r="4" spans="1:9" ht="15.75" thickBot="1">
      <c r="A4" s="12" t="s">
        <v>441</v>
      </c>
      <c r="B4" s="13" t="s">
        <v>241</v>
      </c>
      <c r="C4" s="14">
        <v>1521.819</v>
      </c>
      <c r="D4" s="13">
        <v>419.78269999999998</v>
      </c>
      <c r="E4" s="13">
        <v>341.63889999999998</v>
      </c>
      <c r="F4" s="14">
        <v>519912.61489999999</v>
      </c>
      <c r="G4" s="14">
        <v>638833.28870000003</v>
      </c>
      <c r="H4" s="14">
        <v>118920.67389999999</v>
      </c>
      <c r="I4" s="1">
        <f t="shared" si="0"/>
        <v>0.22873204167756769</v>
      </c>
    </row>
    <row r="5" spans="1:9" ht="15.75" thickBot="1">
      <c r="A5" s="12" t="s">
        <v>242</v>
      </c>
      <c r="B5" s="13" t="s">
        <v>237</v>
      </c>
      <c r="C5" s="14">
        <v>5856.576</v>
      </c>
      <c r="D5" s="13">
        <v>50.631</v>
      </c>
      <c r="E5" s="13">
        <v>44.3917</v>
      </c>
      <c r="F5" s="14">
        <v>259983.36480000001</v>
      </c>
      <c r="G5" s="14">
        <v>296524.29950000002</v>
      </c>
      <c r="H5" s="14">
        <v>36540.934600000001</v>
      </c>
      <c r="I5" s="1">
        <f t="shared" si="0"/>
        <v>0.14055104882618244</v>
      </c>
    </row>
    <row r="6" spans="1:9" ht="15.75" thickBot="1">
      <c r="A6" s="12" t="s">
        <v>272</v>
      </c>
      <c r="B6" s="13" t="s">
        <v>235</v>
      </c>
      <c r="C6" s="14">
        <v>11641.498</v>
      </c>
      <c r="D6" s="13">
        <v>54.976999999999997</v>
      </c>
      <c r="E6" s="13">
        <v>41.231200000000001</v>
      </c>
      <c r="F6" s="14">
        <v>479993.46380000003</v>
      </c>
      <c r="G6" s="14">
        <v>640014.63549999997</v>
      </c>
      <c r="H6" s="14">
        <v>160021.17180000001</v>
      </c>
      <c r="I6" s="1">
        <f t="shared" si="0"/>
        <v>0.33338198094021632</v>
      </c>
    </row>
    <row r="7" spans="1:9" ht="15.75" thickBot="1">
      <c r="A7" s="12" t="s">
        <v>524</v>
      </c>
      <c r="B7" s="13" t="s">
        <v>525</v>
      </c>
      <c r="C7" s="14">
        <v>5791.6440000000002</v>
      </c>
      <c r="D7" s="13">
        <v>37.457299999999996</v>
      </c>
      <c r="E7" s="13">
        <v>30.3813</v>
      </c>
      <c r="F7" s="14">
        <v>175957.52230000001</v>
      </c>
      <c r="G7" s="14">
        <v>216939.3468</v>
      </c>
      <c r="H7" s="14">
        <v>40981.824500000002</v>
      </c>
      <c r="I7" s="1">
        <f t="shared" si="0"/>
        <v>0.23290748792272575</v>
      </c>
    </row>
    <row r="8" spans="1:9" ht="28.5" thickBot="1">
      <c r="A8" s="12" t="s">
        <v>274</v>
      </c>
      <c r="B8" s="13" t="s">
        <v>233</v>
      </c>
      <c r="C8" s="14">
        <v>1678.635</v>
      </c>
      <c r="D8" s="13">
        <v>37.64</v>
      </c>
      <c r="E8" s="13">
        <v>35.741599999999998</v>
      </c>
      <c r="F8" s="14">
        <v>59997.037100000001</v>
      </c>
      <c r="G8" s="14">
        <v>63183.821400000001</v>
      </c>
      <c r="H8" s="14">
        <v>3186.7842999999998</v>
      </c>
      <c r="I8" s="1">
        <f t="shared" si="0"/>
        <v>5.3115694608192571E-2</v>
      </c>
    </row>
    <row r="9" spans="1:9" ht="15.75" thickBot="1">
      <c r="A9" s="15" t="s">
        <v>255</v>
      </c>
      <c r="B9" s="16" t="s">
        <v>241</v>
      </c>
      <c r="C9" s="17">
        <v>18996.168000000001</v>
      </c>
      <c r="D9" s="16">
        <v>11.4857</v>
      </c>
      <c r="E9" s="16">
        <v>9.4700000000000006</v>
      </c>
      <c r="F9" s="17">
        <v>179893.71100000001</v>
      </c>
      <c r="G9" s="17">
        <v>218184.2868</v>
      </c>
      <c r="H9" s="17">
        <v>38290.575799999999</v>
      </c>
      <c r="I9" s="1">
        <f t="shared" si="0"/>
        <v>0.21285110850817901</v>
      </c>
    </row>
    <row r="10" spans="1:9">
      <c r="A10" t="s">
        <v>11</v>
      </c>
      <c r="C10">
        <f>SUM(C2:C9)</f>
        <v>52895.81</v>
      </c>
      <c r="F10" s="9">
        <f t="shared" ref="F10:H10" si="1">SUM(F2:F9)</f>
        <v>1935725.6434000004</v>
      </c>
      <c r="G10" s="9">
        <f t="shared" si="1"/>
        <v>2393569.1219999995</v>
      </c>
      <c r="H10" s="9">
        <f t="shared" si="1"/>
        <v>457843.47870000004</v>
      </c>
      <c r="I10" s="1">
        <f t="shared" si="0"/>
        <v>0.23652291855565957</v>
      </c>
    </row>
  </sheetData>
  <hyperlinks>
    <hyperlink ref="A2" r:id="rId1" location="/mf/1831632/15690/NULL" display="https://etportfolio.indiatimes.com/pw_companyinfo.cms - /mf/1831632/15690/NULL" xr:uid="{E30A193E-58C2-49E3-B75B-B4FBE6346D0F}"/>
    <hyperlink ref="A3" r:id="rId2" location="/mf/1831632/22335/NULL" display="https://etportfolio.indiatimes.com/pw_companyinfo.cms - /mf/1831632/22335/NULL" xr:uid="{D0D54C3D-B2CA-43FA-BE8A-F2D278F295CA}"/>
    <hyperlink ref="A4" r:id="rId3" location="/mf/1831632/16071/NULL" display="https://etportfolio.indiatimes.com/pw_companyinfo.cms - /mf/1831632/16071/NULL" xr:uid="{E974D828-178E-4081-8659-3D466B9E94C2}"/>
    <hyperlink ref="A5" r:id="rId4" location="/mf/1831632/16617/NULL" display="https://etportfolio.indiatimes.com/pw_companyinfo.cms - /mf/1831632/16617/NULL" xr:uid="{C41090D0-08FA-458E-B220-2577220017DF}"/>
    <hyperlink ref="A6" r:id="rId5" location="/mf/1831632/17134/NULL" display="https://etportfolio.indiatimes.com/pw_companyinfo.cms - /mf/1831632/17134/NULL" xr:uid="{D99B266F-4B61-47B4-B2F8-C5AB30609852}"/>
    <hyperlink ref="A7" r:id="rId6" location="/mf/1831632/19701/NULL" display="https://etportfolio.indiatimes.com/pw_companyinfo.cms - /mf/1831632/19701/NULL" xr:uid="{55A678B2-518F-4C4F-8C83-AA490228DC93}"/>
    <hyperlink ref="A8" r:id="rId7" location="/mf/1831632/17348/NULL" display="https://etportfolio.indiatimes.com/pw_companyinfo.cms - /mf/1831632/17348/NULL" xr:uid="{194A4767-3ED0-41A6-9201-DE83AFDD783B}"/>
    <hyperlink ref="A9" r:id="rId8" location="/mf/1831632/36491/NULL" display="https://etportfolio.indiatimes.com/pw_companyinfo.cms - /mf/1831632/36491/NULL" xr:uid="{B599359A-4027-48E5-A299-A92AA8A1E50A}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9904-537E-45B7-8A34-7AED691A8323}">
  <dimension ref="A1:H72"/>
  <sheetViews>
    <sheetView topLeftCell="A47" workbookViewId="0">
      <selection activeCell="A71" sqref="A71"/>
    </sheetView>
  </sheetViews>
  <sheetFormatPr defaultColWidth="23.42578125" defaultRowHeight="15"/>
  <cols>
    <col min="1" max="1" width="48.28515625" style="22" customWidth="1"/>
    <col min="2" max="2" width="11.140625" style="22" bestFit="1" customWidth="1"/>
    <col min="3" max="3" width="16.140625" style="22" bestFit="1" customWidth="1"/>
    <col min="4" max="4" width="21.85546875" style="22" bestFit="1" customWidth="1"/>
    <col min="5" max="5" width="20.28515625" style="22" bestFit="1" customWidth="1"/>
    <col min="6" max="6" width="20.85546875" style="22" bestFit="1" customWidth="1"/>
    <col min="7" max="7" width="13" style="22" bestFit="1" customWidth="1"/>
    <col min="9" max="16384" width="23.42578125" style="22"/>
  </cols>
  <sheetData>
    <row r="1" spans="1:8" ht="15.75" thickBot="1">
      <c r="A1" s="21" t="s">
        <v>349</v>
      </c>
      <c r="B1" s="21" t="s">
        <v>225</v>
      </c>
      <c r="C1" s="21" t="s">
        <v>226</v>
      </c>
      <c r="D1" s="21" t="s">
        <v>350</v>
      </c>
      <c r="E1" s="21" t="s">
        <v>228</v>
      </c>
      <c r="F1" s="21" t="s">
        <v>229</v>
      </c>
      <c r="G1" s="21" t="s">
        <v>351</v>
      </c>
      <c r="H1" s="18" t="s">
        <v>142</v>
      </c>
    </row>
    <row r="2" spans="1:8" ht="15.75" thickBot="1">
      <c r="A2" s="23" t="s">
        <v>352</v>
      </c>
      <c r="B2" s="24">
        <v>24</v>
      </c>
      <c r="C2" s="25">
        <v>1757.7</v>
      </c>
      <c r="D2" s="25">
        <v>1698.49</v>
      </c>
      <c r="E2" s="25">
        <v>40763.760000000002</v>
      </c>
      <c r="F2" s="25">
        <v>42184.800000000003</v>
      </c>
      <c r="G2" s="25">
        <v>1421.04</v>
      </c>
      <c r="H2" s="19">
        <f>G2/E2</f>
        <v>3.4860375981018432E-2</v>
      </c>
    </row>
    <row r="3" spans="1:8" ht="15.75" thickBot="1">
      <c r="A3" s="23" t="s">
        <v>458</v>
      </c>
      <c r="B3" s="24">
        <v>222</v>
      </c>
      <c r="C3" s="24">
        <v>101.5</v>
      </c>
      <c r="D3" s="24">
        <v>112.5043</v>
      </c>
      <c r="E3" s="25">
        <v>24975.96</v>
      </c>
      <c r="F3" s="25">
        <v>22533</v>
      </c>
      <c r="G3" s="25">
        <v>-2442.96</v>
      </c>
      <c r="H3" s="19">
        <f t="shared" ref="H3:H66" si="0">G3/E3</f>
        <v>-9.7812456458130137E-2</v>
      </c>
    </row>
    <row r="4" spans="1:8" ht="15.75" thickBot="1">
      <c r="A4" s="23" t="s">
        <v>469</v>
      </c>
      <c r="B4" s="24">
        <v>34</v>
      </c>
      <c r="C4" s="24">
        <v>923.3</v>
      </c>
      <c r="D4" s="24">
        <v>715.98530000000005</v>
      </c>
      <c r="E4" s="25">
        <v>24343.5</v>
      </c>
      <c r="F4" s="25">
        <v>31392.2</v>
      </c>
      <c r="G4" s="25">
        <v>7048.7</v>
      </c>
      <c r="H4" s="19">
        <f t="shared" si="0"/>
        <v>0.28955162569063608</v>
      </c>
    </row>
    <row r="5" spans="1:8" ht="15.75" thickBot="1">
      <c r="A5" s="23" t="s">
        <v>353</v>
      </c>
      <c r="B5" s="24">
        <v>16</v>
      </c>
      <c r="C5" s="25">
        <v>2817.45</v>
      </c>
      <c r="D5" s="25">
        <v>2449.1143999999999</v>
      </c>
      <c r="E5" s="25">
        <v>39185.83</v>
      </c>
      <c r="F5" s="25">
        <v>45079.199999999997</v>
      </c>
      <c r="G5" s="25">
        <v>5893.37</v>
      </c>
      <c r="H5" s="19">
        <f t="shared" si="0"/>
        <v>0.15039543630950269</v>
      </c>
    </row>
    <row r="6" spans="1:8" ht="15.75" thickBot="1">
      <c r="A6" s="23" t="s">
        <v>354</v>
      </c>
      <c r="B6" s="24">
        <v>250</v>
      </c>
      <c r="C6" s="24">
        <v>244.9</v>
      </c>
      <c r="D6" s="24">
        <v>183.58799999999999</v>
      </c>
      <c r="E6" s="25">
        <v>45897</v>
      </c>
      <c r="F6" s="25">
        <v>61225</v>
      </c>
      <c r="G6" s="25">
        <v>15328</v>
      </c>
      <c r="H6" s="19">
        <f t="shared" si="0"/>
        <v>0.33396518290955834</v>
      </c>
    </row>
    <row r="7" spans="1:8" ht="15.75" thickBot="1">
      <c r="A7" s="23" t="s">
        <v>355</v>
      </c>
      <c r="B7" s="24">
        <v>10</v>
      </c>
      <c r="C7" s="25">
        <v>2363.0500000000002</v>
      </c>
      <c r="D7" s="25">
        <v>2188.4</v>
      </c>
      <c r="E7" s="25">
        <v>21884</v>
      </c>
      <c r="F7" s="25">
        <v>23630.5</v>
      </c>
      <c r="G7" s="25">
        <v>1746.5</v>
      </c>
      <c r="H7" s="19">
        <f t="shared" si="0"/>
        <v>7.9807165052092857E-2</v>
      </c>
    </row>
    <row r="8" spans="1:8" ht="15.75" thickBot="1">
      <c r="A8" s="23" t="s">
        <v>356</v>
      </c>
      <c r="B8" s="24">
        <v>37</v>
      </c>
      <c r="C8" s="25">
        <v>1148.3</v>
      </c>
      <c r="D8" s="24">
        <v>909.59190000000001</v>
      </c>
      <c r="E8" s="25">
        <v>33654.9</v>
      </c>
      <c r="F8" s="25">
        <v>42487.1</v>
      </c>
      <c r="G8" s="25">
        <v>8832.2000000000007</v>
      </c>
      <c r="H8" s="19">
        <f t="shared" si="0"/>
        <v>0.26243429634317739</v>
      </c>
    </row>
    <row r="9" spans="1:8" ht="15.75" thickBot="1">
      <c r="A9" s="23" t="s">
        <v>357</v>
      </c>
      <c r="B9" s="24">
        <v>4</v>
      </c>
      <c r="C9" s="25">
        <v>2908.4</v>
      </c>
      <c r="D9" s="25">
        <v>2481.1224999999999</v>
      </c>
      <c r="E9" s="25">
        <v>9924.49</v>
      </c>
      <c r="F9" s="25">
        <v>11633.6</v>
      </c>
      <c r="G9" s="25">
        <v>1709.11</v>
      </c>
      <c r="H9" s="19">
        <f t="shared" si="0"/>
        <v>0.17221136804007056</v>
      </c>
    </row>
    <row r="10" spans="1:8" ht="15.75" thickBot="1">
      <c r="A10" s="23" t="s">
        <v>358</v>
      </c>
      <c r="B10" s="24">
        <v>38</v>
      </c>
      <c r="C10" s="24">
        <v>728.95</v>
      </c>
      <c r="D10" s="24">
        <v>479.52760000000001</v>
      </c>
      <c r="E10" s="25">
        <v>18222.05</v>
      </c>
      <c r="F10" s="25">
        <v>27700.1</v>
      </c>
      <c r="G10" s="25">
        <v>9478.0499999999993</v>
      </c>
      <c r="H10" s="19">
        <f t="shared" si="0"/>
        <v>0.52014180621829043</v>
      </c>
    </row>
    <row r="11" spans="1:8" ht="15.75" thickBot="1">
      <c r="A11" s="23" t="s">
        <v>359</v>
      </c>
      <c r="B11" s="24">
        <v>16</v>
      </c>
      <c r="C11" s="25">
        <v>3812.9</v>
      </c>
      <c r="D11" s="25">
        <v>2120.2219</v>
      </c>
      <c r="E11" s="25">
        <v>33923.550000000003</v>
      </c>
      <c r="F11" s="25">
        <v>61006.400000000001</v>
      </c>
      <c r="G11" s="25">
        <v>27082.85</v>
      </c>
      <c r="H11" s="19">
        <f t="shared" si="0"/>
        <v>0.79834952415062677</v>
      </c>
    </row>
    <row r="12" spans="1:8" ht="15.75" thickBot="1">
      <c r="A12" s="23" t="s">
        <v>459</v>
      </c>
      <c r="B12" s="24">
        <v>31</v>
      </c>
      <c r="C12" s="24">
        <v>246.3</v>
      </c>
      <c r="D12" s="24">
        <v>201.0119</v>
      </c>
      <c r="E12" s="25">
        <v>6231.37</v>
      </c>
      <c r="F12" s="25">
        <v>7635.3</v>
      </c>
      <c r="G12" s="25">
        <v>1403.93</v>
      </c>
      <c r="H12" s="19">
        <f t="shared" si="0"/>
        <v>0.22530037535886974</v>
      </c>
    </row>
    <row r="13" spans="1:8" ht="15.75" thickBot="1">
      <c r="A13" s="23" t="s">
        <v>361</v>
      </c>
      <c r="B13" s="24">
        <v>5</v>
      </c>
      <c r="C13" s="25">
        <v>1584.85</v>
      </c>
      <c r="D13" s="25">
        <v>1533.81</v>
      </c>
      <c r="E13" s="25">
        <v>7669.05</v>
      </c>
      <c r="F13" s="25">
        <v>7924.25</v>
      </c>
      <c r="G13" s="24">
        <v>255.2</v>
      </c>
      <c r="H13" s="19">
        <f t="shared" si="0"/>
        <v>3.3276611835885796E-2</v>
      </c>
    </row>
    <row r="14" spans="1:8" ht="15.75" thickBot="1">
      <c r="A14" s="23" t="s">
        <v>362</v>
      </c>
      <c r="B14" s="24">
        <v>180</v>
      </c>
      <c r="C14" s="24">
        <v>532.29999999999995</v>
      </c>
      <c r="D14" s="24">
        <v>322.88889999999998</v>
      </c>
      <c r="E14" s="25">
        <v>58120</v>
      </c>
      <c r="F14" s="25">
        <v>95814</v>
      </c>
      <c r="G14" s="25">
        <v>37694</v>
      </c>
      <c r="H14" s="19">
        <f t="shared" si="0"/>
        <v>0.648554714384033</v>
      </c>
    </row>
    <row r="15" spans="1:8" ht="15.75" thickBot="1">
      <c r="A15" s="23" t="s">
        <v>364</v>
      </c>
      <c r="B15" s="24">
        <v>5</v>
      </c>
      <c r="C15" s="25">
        <v>3413.35</v>
      </c>
      <c r="D15" s="25">
        <v>3604.36</v>
      </c>
      <c r="E15" s="25">
        <v>18021.8</v>
      </c>
      <c r="F15" s="25">
        <v>17066.75</v>
      </c>
      <c r="G15" s="24">
        <v>-955.05</v>
      </c>
      <c r="H15" s="19">
        <f t="shared" si="0"/>
        <v>-5.299415152759436E-2</v>
      </c>
    </row>
    <row r="16" spans="1:8" ht="15.75" thickBot="1">
      <c r="A16" s="23" t="s">
        <v>365</v>
      </c>
      <c r="B16" s="24">
        <v>180</v>
      </c>
      <c r="C16" s="24">
        <v>135.69999999999999</v>
      </c>
      <c r="D16" s="24">
        <v>155.25</v>
      </c>
      <c r="E16" s="25">
        <v>27945</v>
      </c>
      <c r="F16" s="25">
        <v>24426</v>
      </c>
      <c r="G16" s="25">
        <v>-3519</v>
      </c>
      <c r="H16" s="19">
        <f t="shared" si="0"/>
        <v>-0.12592592592592591</v>
      </c>
    </row>
    <row r="17" spans="1:8" ht="15.75" thickBot="1">
      <c r="A17" s="23" t="s">
        <v>366</v>
      </c>
      <c r="B17" s="24">
        <v>40</v>
      </c>
      <c r="C17" s="24">
        <v>789.5</v>
      </c>
      <c r="D17" s="24">
        <v>591.70579999999995</v>
      </c>
      <c r="E17" s="25">
        <v>23668.23</v>
      </c>
      <c r="F17" s="25">
        <v>31580</v>
      </c>
      <c r="G17" s="25">
        <v>7911.77</v>
      </c>
      <c r="H17" s="19">
        <f t="shared" si="0"/>
        <v>0.33427805966056612</v>
      </c>
    </row>
    <row r="18" spans="1:8" ht="15.75" thickBot="1">
      <c r="A18" s="23" t="s">
        <v>460</v>
      </c>
      <c r="B18" s="24">
        <v>173</v>
      </c>
      <c r="C18" s="24">
        <v>168.65</v>
      </c>
      <c r="D18" s="24">
        <v>150.9365</v>
      </c>
      <c r="E18" s="25">
        <v>26112.02</v>
      </c>
      <c r="F18" s="25">
        <v>29176.45</v>
      </c>
      <c r="G18" s="25">
        <v>3064.43</v>
      </c>
      <c r="H18" s="19">
        <f t="shared" si="0"/>
        <v>0.11735706391156256</v>
      </c>
    </row>
    <row r="19" spans="1:8" ht="15.75" thickBot="1">
      <c r="A19" s="23" t="s">
        <v>367</v>
      </c>
      <c r="B19" s="24">
        <v>250</v>
      </c>
      <c r="C19" s="24">
        <v>154.30000000000001</v>
      </c>
      <c r="D19" s="24">
        <v>163.66999999999999</v>
      </c>
      <c r="E19" s="25">
        <v>40917.5</v>
      </c>
      <c r="F19" s="25">
        <v>38575</v>
      </c>
      <c r="G19" s="25">
        <v>-2342.5</v>
      </c>
      <c r="H19" s="19">
        <f t="shared" si="0"/>
        <v>-5.7249343190566383E-2</v>
      </c>
    </row>
    <row r="20" spans="1:8" ht="15.75" thickBot="1">
      <c r="A20" s="23" t="s">
        <v>369</v>
      </c>
      <c r="B20" s="24">
        <v>5</v>
      </c>
      <c r="C20" s="25">
        <v>1582.25</v>
      </c>
      <c r="D20" s="25">
        <v>1544</v>
      </c>
      <c r="E20" s="25">
        <v>7720</v>
      </c>
      <c r="F20" s="25">
        <v>7911.25</v>
      </c>
      <c r="G20" s="24">
        <v>191.25</v>
      </c>
      <c r="H20" s="19">
        <f t="shared" si="0"/>
        <v>2.4773316062176167E-2</v>
      </c>
    </row>
    <row r="21" spans="1:8" ht="15.75" thickBot="1">
      <c r="A21" s="23" t="s">
        <v>370</v>
      </c>
      <c r="B21" s="24">
        <v>15</v>
      </c>
      <c r="C21" s="24">
        <v>505.95</v>
      </c>
      <c r="D21" s="24">
        <v>523.38800000000003</v>
      </c>
      <c r="E21" s="25">
        <v>7850.82</v>
      </c>
      <c r="F21" s="25">
        <v>7589.25</v>
      </c>
      <c r="G21" s="24">
        <v>-261.57</v>
      </c>
      <c r="H21" s="19">
        <f t="shared" si="0"/>
        <v>-3.3317538804863697E-2</v>
      </c>
    </row>
    <row r="22" spans="1:8" ht="15.75" thickBot="1">
      <c r="A22" s="23" t="s">
        <v>371</v>
      </c>
      <c r="B22" s="24">
        <v>12</v>
      </c>
      <c r="C22" s="25">
        <v>3462.8</v>
      </c>
      <c r="D22" s="25">
        <v>2106.9117000000001</v>
      </c>
      <c r="E22" s="25">
        <v>25282.94</v>
      </c>
      <c r="F22" s="25">
        <v>41553.599999999999</v>
      </c>
      <c r="G22" s="25">
        <v>16270.66</v>
      </c>
      <c r="H22" s="19">
        <f t="shared" si="0"/>
        <v>0.64354303732081797</v>
      </c>
    </row>
    <row r="23" spans="1:8" ht="15.75" thickBot="1">
      <c r="A23" s="23" t="s">
        <v>372</v>
      </c>
      <c r="B23" s="24">
        <v>24</v>
      </c>
      <c r="C23" s="24">
        <v>307.14999999999998</v>
      </c>
      <c r="D23" s="24">
        <v>230.80459999999999</v>
      </c>
      <c r="E23" s="25">
        <v>5539.31</v>
      </c>
      <c r="F23" s="25">
        <v>7371.6</v>
      </c>
      <c r="G23" s="25">
        <v>1832.29</v>
      </c>
      <c r="H23" s="19">
        <f t="shared" si="0"/>
        <v>0.33077946531246666</v>
      </c>
    </row>
    <row r="24" spans="1:8" ht="15.75" thickBot="1">
      <c r="A24" s="23" t="s">
        <v>374</v>
      </c>
      <c r="B24" s="24">
        <v>4</v>
      </c>
      <c r="C24" s="25">
        <v>2556.35</v>
      </c>
      <c r="D24" s="25">
        <v>2385.21</v>
      </c>
      <c r="E24" s="25">
        <v>9540.84</v>
      </c>
      <c r="F24" s="25">
        <v>10225.4</v>
      </c>
      <c r="G24" s="24">
        <v>684.56</v>
      </c>
      <c r="H24" s="19">
        <f t="shared" si="0"/>
        <v>7.1750495763475752E-2</v>
      </c>
    </row>
    <row r="25" spans="1:8" ht="15.75" thickBot="1">
      <c r="A25" s="23" t="s">
        <v>376</v>
      </c>
      <c r="B25" s="24">
        <v>7</v>
      </c>
      <c r="C25" s="25">
        <v>1404.1</v>
      </c>
      <c r="D25" s="25">
        <v>1178.06</v>
      </c>
      <c r="E25" s="25">
        <v>8246.42</v>
      </c>
      <c r="F25" s="25">
        <v>9828.7000000000007</v>
      </c>
      <c r="G25" s="25">
        <v>1582.28</v>
      </c>
      <c r="H25" s="19">
        <f t="shared" si="0"/>
        <v>0.19187477717603518</v>
      </c>
    </row>
    <row r="26" spans="1:8" ht="15.75" thickBot="1">
      <c r="A26" s="23" t="s">
        <v>378</v>
      </c>
      <c r="B26" s="24">
        <v>190</v>
      </c>
      <c r="C26" s="24">
        <v>206.65</v>
      </c>
      <c r="D26" s="24">
        <v>201.2627</v>
      </c>
      <c r="E26" s="25">
        <v>38239.910000000003</v>
      </c>
      <c r="F26" s="25">
        <v>39263.5</v>
      </c>
      <c r="G26" s="25">
        <v>1023.59</v>
      </c>
      <c r="H26" s="19">
        <f t="shared" si="0"/>
        <v>2.676758391952282E-2</v>
      </c>
    </row>
    <row r="27" spans="1:8" ht="15.75" thickBot="1">
      <c r="A27" s="23" t="s">
        <v>379</v>
      </c>
      <c r="B27" s="24">
        <v>328</v>
      </c>
      <c r="C27" s="24">
        <v>83.05</v>
      </c>
      <c r="D27" s="24">
        <v>55.482300000000002</v>
      </c>
      <c r="E27" s="25">
        <v>18198.2</v>
      </c>
      <c r="F27" s="25">
        <v>27240.400000000001</v>
      </c>
      <c r="G27" s="25">
        <v>9042.2000000000007</v>
      </c>
      <c r="H27" s="19">
        <f t="shared" si="0"/>
        <v>0.49687331714125577</v>
      </c>
    </row>
    <row r="28" spans="1:8" ht="15.75" thickBot="1">
      <c r="A28" s="23" t="s">
        <v>380</v>
      </c>
      <c r="B28" s="24">
        <v>26</v>
      </c>
      <c r="C28" s="24">
        <v>197.85</v>
      </c>
      <c r="D28" s="24">
        <v>131.73849999999999</v>
      </c>
      <c r="E28" s="25">
        <v>3425.2</v>
      </c>
      <c r="F28" s="25">
        <v>5144.1000000000004</v>
      </c>
      <c r="G28" s="25">
        <v>1718.9</v>
      </c>
      <c r="H28" s="19">
        <f t="shared" si="0"/>
        <v>0.50183930865350934</v>
      </c>
    </row>
    <row r="29" spans="1:8" ht="15.75" thickBot="1">
      <c r="A29" s="23" t="s">
        <v>383</v>
      </c>
      <c r="B29" s="24">
        <v>5</v>
      </c>
      <c r="C29" s="25">
        <v>1539.8</v>
      </c>
      <c r="D29" s="25">
        <v>1273.82</v>
      </c>
      <c r="E29" s="25">
        <v>6369.1</v>
      </c>
      <c r="F29" s="25">
        <v>7699</v>
      </c>
      <c r="G29" s="25">
        <v>1329.9</v>
      </c>
      <c r="H29" s="19">
        <f t="shared" si="0"/>
        <v>0.20880501169710006</v>
      </c>
    </row>
    <row r="30" spans="1:8" ht="15.75" thickBot="1">
      <c r="A30" s="23" t="s">
        <v>461</v>
      </c>
      <c r="B30" s="24">
        <v>93</v>
      </c>
      <c r="C30" s="24">
        <v>329.45</v>
      </c>
      <c r="D30" s="24">
        <v>214.44030000000001</v>
      </c>
      <c r="E30" s="25">
        <v>19942.95</v>
      </c>
      <c r="F30" s="25">
        <v>30638.85</v>
      </c>
      <c r="G30" s="25">
        <v>10695.9</v>
      </c>
      <c r="H30" s="19">
        <f t="shared" si="0"/>
        <v>0.53632486668221102</v>
      </c>
    </row>
    <row r="31" spans="1:8" ht="15.75" thickBot="1">
      <c r="A31" s="23" t="s">
        <v>385</v>
      </c>
      <c r="B31" s="24">
        <v>22</v>
      </c>
      <c r="C31" s="25">
        <v>1558.7</v>
      </c>
      <c r="D31" s="25">
        <v>1186.7476999999999</v>
      </c>
      <c r="E31" s="25">
        <v>26108.45</v>
      </c>
      <c r="F31" s="25">
        <v>34291.4</v>
      </c>
      <c r="G31" s="25">
        <v>8182.95</v>
      </c>
      <c r="H31" s="19">
        <f t="shared" si="0"/>
        <v>0.3134215167886259</v>
      </c>
    </row>
    <row r="32" spans="1:8" ht="15.75" thickBot="1">
      <c r="A32" s="23" t="s">
        <v>386</v>
      </c>
      <c r="B32" s="24">
        <v>17</v>
      </c>
      <c r="C32" s="24">
        <v>705.05</v>
      </c>
      <c r="D32" s="24">
        <v>632.11410000000001</v>
      </c>
      <c r="E32" s="25">
        <v>10745.94</v>
      </c>
      <c r="F32" s="25">
        <v>11985.85</v>
      </c>
      <c r="G32" s="25">
        <v>1239.9100000000001</v>
      </c>
      <c r="H32" s="19">
        <f t="shared" si="0"/>
        <v>0.11538404271752867</v>
      </c>
    </row>
    <row r="33" spans="1:8" ht="15.75" thickBot="1">
      <c r="A33" s="23" t="s">
        <v>387</v>
      </c>
      <c r="B33" s="24">
        <v>3</v>
      </c>
      <c r="C33" s="25">
        <v>3349.95</v>
      </c>
      <c r="D33" s="25">
        <v>3170.05</v>
      </c>
      <c r="E33" s="25">
        <v>9510.15</v>
      </c>
      <c r="F33" s="25">
        <v>10049.85</v>
      </c>
      <c r="G33" s="24">
        <v>539.70000000000005</v>
      </c>
      <c r="H33" s="19">
        <f t="shared" si="0"/>
        <v>5.6749893534802295E-2</v>
      </c>
    </row>
    <row r="34" spans="1:8" ht="15.75" thickBot="1">
      <c r="A34" s="23" t="s">
        <v>390</v>
      </c>
      <c r="B34" s="24">
        <v>5</v>
      </c>
      <c r="C34" s="25">
        <v>2144.6999999999998</v>
      </c>
      <c r="D34" s="25">
        <v>2239.52</v>
      </c>
      <c r="E34" s="25">
        <v>11197.6</v>
      </c>
      <c r="F34" s="25">
        <v>10723.5</v>
      </c>
      <c r="G34" s="24">
        <v>-474.1</v>
      </c>
      <c r="H34" s="19">
        <f t="shared" si="0"/>
        <v>-4.2339429877830966E-2</v>
      </c>
    </row>
    <row r="35" spans="1:8" ht="15.75" thickBot="1">
      <c r="A35" s="23" t="s">
        <v>391</v>
      </c>
      <c r="B35" s="24">
        <v>42</v>
      </c>
      <c r="C35" s="24">
        <v>608.15</v>
      </c>
      <c r="D35" s="24">
        <v>397.15600000000001</v>
      </c>
      <c r="E35" s="25">
        <v>16680.55</v>
      </c>
      <c r="F35" s="25">
        <v>25542.3</v>
      </c>
      <c r="G35" s="25">
        <v>8861.75</v>
      </c>
      <c r="H35" s="19">
        <f t="shared" si="0"/>
        <v>0.53126245837217601</v>
      </c>
    </row>
    <row r="36" spans="1:8" ht="15.75" thickBot="1">
      <c r="A36" s="23" t="s">
        <v>392</v>
      </c>
      <c r="B36" s="24">
        <v>9</v>
      </c>
      <c r="C36" s="25">
        <v>1426.7</v>
      </c>
      <c r="D36" s="25">
        <v>1382.9766999999999</v>
      </c>
      <c r="E36" s="25">
        <v>12446.79</v>
      </c>
      <c r="F36" s="25">
        <v>12840.3</v>
      </c>
      <c r="G36" s="24">
        <v>393.51</v>
      </c>
      <c r="H36" s="19">
        <f t="shared" si="0"/>
        <v>3.161538035107847E-2</v>
      </c>
    </row>
    <row r="37" spans="1:8" ht="15.75" thickBot="1">
      <c r="A37" s="23" t="s">
        <v>393</v>
      </c>
      <c r="B37" s="24">
        <v>19</v>
      </c>
      <c r="C37" s="24">
        <v>471.85</v>
      </c>
      <c r="D37" s="24">
        <v>453.61320000000001</v>
      </c>
      <c r="E37" s="25">
        <v>8618.65</v>
      </c>
      <c r="F37" s="25">
        <v>8965.15</v>
      </c>
      <c r="G37" s="24">
        <v>346.5</v>
      </c>
      <c r="H37" s="19">
        <f t="shared" si="0"/>
        <v>4.0203512150974924E-2</v>
      </c>
    </row>
    <row r="38" spans="1:8" ht="15.75" thickBot="1">
      <c r="A38" s="23" t="s">
        <v>505</v>
      </c>
      <c r="B38" s="24">
        <v>49</v>
      </c>
      <c r="C38" s="24">
        <v>455.9</v>
      </c>
      <c r="D38" s="24">
        <v>488.16329999999999</v>
      </c>
      <c r="E38" s="25">
        <v>23920</v>
      </c>
      <c r="F38" s="25">
        <v>22339.1</v>
      </c>
      <c r="G38" s="25">
        <v>-1580.9</v>
      </c>
      <c r="H38" s="19">
        <f t="shared" si="0"/>
        <v>-6.6091137123745827E-2</v>
      </c>
    </row>
    <row r="39" spans="1:8" ht="15.75" thickBot="1">
      <c r="A39" s="23" t="s">
        <v>445</v>
      </c>
      <c r="B39" s="24">
        <v>14</v>
      </c>
      <c r="C39" s="25">
        <v>1902.85</v>
      </c>
      <c r="D39" s="25">
        <v>1753.425</v>
      </c>
      <c r="E39" s="25">
        <v>24547.95</v>
      </c>
      <c r="F39" s="25">
        <v>26639.9</v>
      </c>
      <c r="G39" s="25">
        <v>2091.9499999999998</v>
      </c>
      <c r="H39" s="19">
        <f t="shared" si="0"/>
        <v>8.5218928668177985E-2</v>
      </c>
    </row>
    <row r="40" spans="1:8" ht="15.75" thickBot="1">
      <c r="A40" s="23" t="s">
        <v>396</v>
      </c>
      <c r="B40" s="24">
        <v>639</v>
      </c>
      <c r="C40" s="24">
        <v>206.9</v>
      </c>
      <c r="D40" s="24">
        <v>226.63120000000001</v>
      </c>
      <c r="E40" s="25">
        <v>144817.35</v>
      </c>
      <c r="F40" s="25">
        <v>132209.1</v>
      </c>
      <c r="G40" s="25">
        <v>-12608.25</v>
      </c>
      <c r="H40" s="19">
        <f t="shared" si="0"/>
        <v>-8.7063117782503266E-2</v>
      </c>
    </row>
    <row r="41" spans="1:8" ht="15.75" thickBot="1">
      <c r="A41" s="23" t="s">
        <v>397</v>
      </c>
      <c r="B41" s="24">
        <v>36</v>
      </c>
      <c r="C41" s="25">
        <v>1146.6500000000001</v>
      </c>
      <c r="D41" s="24">
        <v>674.28</v>
      </c>
      <c r="E41" s="25">
        <v>24274.080000000002</v>
      </c>
      <c r="F41" s="25">
        <v>41279.4</v>
      </c>
      <c r="G41" s="25">
        <v>17005.32</v>
      </c>
      <c r="H41" s="19">
        <f t="shared" si="0"/>
        <v>0.70055466571750602</v>
      </c>
    </row>
    <row r="42" spans="1:8" ht="15.75" thickBot="1">
      <c r="A42" s="23" t="s">
        <v>446</v>
      </c>
      <c r="B42" s="24">
        <v>50</v>
      </c>
      <c r="C42" s="24">
        <v>147.85</v>
      </c>
      <c r="D42" s="24">
        <v>145.52099999999999</v>
      </c>
      <c r="E42" s="25">
        <v>7276.05</v>
      </c>
      <c r="F42" s="25">
        <v>7392.5</v>
      </c>
      <c r="G42" s="24">
        <v>116.45</v>
      </c>
      <c r="H42" s="19">
        <f t="shared" si="0"/>
        <v>1.6004562915318064E-2</v>
      </c>
    </row>
    <row r="43" spans="1:8" ht="15.75" thickBot="1">
      <c r="A43" s="23" t="s">
        <v>398</v>
      </c>
      <c r="B43" s="24">
        <v>20</v>
      </c>
      <c r="C43" s="25">
        <v>1845.35</v>
      </c>
      <c r="D43" s="25">
        <v>1502.6724999999999</v>
      </c>
      <c r="E43" s="25">
        <v>30053.45</v>
      </c>
      <c r="F43" s="25">
        <v>36907</v>
      </c>
      <c r="G43" s="25">
        <v>6853.55</v>
      </c>
      <c r="H43" s="19">
        <f t="shared" si="0"/>
        <v>0.22804536583986199</v>
      </c>
    </row>
    <row r="44" spans="1:8" ht="15.75" thickBot="1">
      <c r="A44" s="23" t="s">
        <v>401</v>
      </c>
      <c r="B44" s="24">
        <v>62</v>
      </c>
      <c r="C44" s="25">
        <v>1472.85</v>
      </c>
      <c r="D44" s="25">
        <v>1053.2161000000001</v>
      </c>
      <c r="E44" s="25">
        <v>65299.4</v>
      </c>
      <c r="F44" s="25">
        <v>91316.7</v>
      </c>
      <c r="G44" s="25">
        <v>26017.3</v>
      </c>
      <c r="H44" s="19">
        <f t="shared" si="0"/>
        <v>0.39843091973279998</v>
      </c>
    </row>
    <row r="45" spans="1:8" ht="15.75" thickBot="1">
      <c r="A45" s="23" t="s">
        <v>462</v>
      </c>
      <c r="B45" s="24">
        <v>379</v>
      </c>
      <c r="C45" s="24">
        <v>52.3</v>
      </c>
      <c r="D45" s="24">
        <v>60.95</v>
      </c>
      <c r="E45" s="25">
        <v>23100.05</v>
      </c>
      <c r="F45" s="25">
        <v>19821.7</v>
      </c>
      <c r="G45" s="25">
        <v>-3278.35</v>
      </c>
      <c r="H45" s="19">
        <f t="shared" si="0"/>
        <v>-0.14191960623461855</v>
      </c>
    </row>
    <row r="46" spans="1:8" ht="15.75" thickBot="1">
      <c r="A46" s="23" t="s">
        <v>402</v>
      </c>
      <c r="B46" s="24">
        <v>8</v>
      </c>
      <c r="C46" s="24">
        <v>819.1</v>
      </c>
      <c r="D46" s="24">
        <v>693.60630000000003</v>
      </c>
      <c r="E46" s="25">
        <v>5548.85</v>
      </c>
      <c r="F46" s="25">
        <v>6552.8</v>
      </c>
      <c r="G46" s="25">
        <v>1003.95</v>
      </c>
      <c r="H46" s="19">
        <f t="shared" si="0"/>
        <v>0.18092938176378889</v>
      </c>
    </row>
    <row r="47" spans="1:8" ht="15.75" thickBot="1">
      <c r="A47" s="23" t="s">
        <v>403</v>
      </c>
      <c r="B47" s="24">
        <v>39</v>
      </c>
      <c r="C47" s="24">
        <v>183.45</v>
      </c>
      <c r="D47" s="24">
        <v>155.09620000000001</v>
      </c>
      <c r="E47" s="25">
        <v>6048.75</v>
      </c>
      <c r="F47" s="25">
        <v>7154.55</v>
      </c>
      <c r="G47" s="25">
        <v>1105.8</v>
      </c>
      <c r="H47" s="19">
        <f t="shared" si="0"/>
        <v>0.18281463112213267</v>
      </c>
    </row>
    <row r="48" spans="1:8" ht="15.75" thickBot="1">
      <c r="A48" s="23" t="s">
        <v>404</v>
      </c>
      <c r="B48" s="24">
        <v>23</v>
      </c>
      <c r="C48" s="24">
        <v>401.7</v>
      </c>
      <c r="D48" s="24">
        <v>397.69779999999997</v>
      </c>
      <c r="E48" s="25">
        <v>9147.0499999999993</v>
      </c>
      <c r="F48" s="25">
        <v>9239.1</v>
      </c>
      <c r="G48" s="24">
        <v>92.05</v>
      </c>
      <c r="H48" s="19">
        <f t="shared" si="0"/>
        <v>1.0063353758862147E-2</v>
      </c>
    </row>
    <row r="49" spans="1:8" ht="15.75" thickBot="1">
      <c r="A49" s="23" t="s">
        <v>405</v>
      </c>
      <c r="B49" s="24">
        <v>12</v>
      </c>
      <c r="C49" s="24">
        <v>571.35</v>
      </c>
      <c r="D49" s="24">
        <v>380.39580000000001</v>
      </c>
      <c r="E49" s="25">
        <v>4564.75</v>
      </c>
      <c r="F49" s="25">
        <v>6856.2</v>
      </c>
      <c r="G49" s="25">
        <v>2291.4499999999998</v>
      </c>
      <c r="H49" s="19">
        <f t="shared" si="0"/>
        <v>0.5019880606824032</v>
      </c>
    </row>
    <row r="50" spans="1:8" ht="15.75" thickBot="1">
      <c r="A50" s="23" t="s">
        <v>448</v>
      </c>
      <c r="B50" s="24">
        <v>27</v>
      </c>
      <c r="C50" s="24">
        <v>231.55</v>
      </c>
      <c r="D50" s="24">
        <v>131.5915</v>
      </c>
      <c r="E50" s="25">
        <v>3552.97</v>
      </c>
      <c r="F50" s="25">
        <v>6251.85</v>
      </c>
      <c r="G50" s="25">
        <v>2698.88</v>
      </c>
      <c r="H50" s="19">
        <f t="shared" si="0"/>
        <v>0.75961238062803804</v>
      </c>
    </row>
    <row r="51" spans="1:8" ht="15.75" thickBot="1">
      <c r="A51" s="23" t="s">
        <v>513</v>
      </c>
      <c r="B51" s="24">
        <v>37</v>
      </c>
      <c r="C51" s="24">
        <v>819.65</v>
      </c>
      <c r="D51" s="24">
        <v>608.30780000000004</v>
      </c>
      <c r="E51" s="25">
        <v>22507.39</v>
      </c>
      <c r="F51" s="25">
        <v>30327.05</v>
      </c>
      <c r="G51" s="25">
        <v>7819.66</v>
      </c>
      <c r="H51" s="19">
        <f t="shared" si="0"/>
        <v>0.34742633419512436</v>
      </c>
    </row>
    <row r="52" spans="1:8" ht="15.75" thickBot="1">
      <c r="A52" s="23" t="s">
        <v>410</v>
      </c>
      <c r="B52" s="24">
        <v>68</v>
      </c>
      <c r="C52" s="24">
        <v>552</v>
      </c>
      <c r="D52" s="24">
        <v>279.69260000000003</v>
      </c>
      <c r="E52" s="25">
        <v>19019.099999999999</v>
      </c>
      <c r="F52" s="25">
        <v>37536</v>
      </c>
      <c r="G52" s="25">
        <v>18516.900000000001</v>
      </c>
      <c r="H52" s="19">
        <f t="shared" si="0"/>
        <v>0.97359496506143839</v>
      </c>
    </row>
    <row r="53" spans="1:8" ht="15.75" thickBot="1">
      <c r="A53" s="23" t="s">
        <v>411</v>
      </c>
      <c r="B53" s="24">
        <v>300</v>
      </c>
      <c r="C53" s="24">
        <v>117.15</v>
      </c>
      <c r="D53" s="24">
        <v>82.333299999999994</v>
      </c>
      <c r="E53" s="25">
        <v>24700</v>
      </c>
      <c r="F53" s="25">
        <v>35145</v>
      </c>
      <c r="G53" s="25">
        <v>10445</v>
      </c>
      <c r="H53" s="19">
        <f t="shared" si="0"/>
        <v>0.42287449392712551</v>
      </c>
    </row>
    <row r="54" spans="1:8" ht="15.75" thickBot="1">
      <c r="A54" s="23" t="s">
        <v>415</v>
      </c>
      <c r="B54" s="24">
        <v>13</v>
      </c>
      <c r="C54" s="24">
        <v>828.7</v>
      </c>
      <c r="D54" s="24">
        <v>761.34619999999995</v>
      </c>
      <c r="E54" s="25">
        <v>9897.5</v>
      </c>
      <c r="F54" s="25">
        <v>10773.1</v>
      </c>
      <c r="G54" s="24">
        <v>875.6</v>
      </c>
      <c r="H54" s="19">
        <f t="shared" si="0"/>
        <v>8.8466784541550894E-2</v>
      </c>
    </row>
    <row r="55" spans="1:8" ht="15.75" thickBot="1">
      <c r="A55" s="23" t="s">
        <v>450</v>
      </c>
      <c r="B55" s="24">
        <v>30</v>
      </c>
      <c r="C55" s="24">
        <v>782.3</v>
      </c>
      <c r="D55" s="24">
        <v>456.75830000000002</v>
      </c>
      <c r="E55" s="25">
        <v>13702.75</v>
      </c>
      <c r="F55" s="25">
        <v>23469</v>
      </c>
      <c r="G55" s="25">
        <v>9766.25</v>
      </c>
      <c r="H55" s="19">
        <f t="shared" si="0"/>
        <v>0.71272189888890913</v>
      </c>
    </row>
    <row r="56" spans="1:8" ht="15.75" thickBot="1">
      <c r="A56" s="23" t="s">
        <v>420</v>
      </c>
      <c r="B56" s="24">
        <v>16</v>
      </c>
      <c r="C56" s="24">
        <v>875.3</v>
      </c>
      <c r="D56" s="24">
        <v>838.19060000000002</v>
      </c>
      <c r="E56" s="25">
        <v>13411.05</v>
      </c>
      <c r="F56" s="25">
        <v>14004.8</v>
      </c>
      <c r="G56" s="24">
        <v>593.75</v>
      </c>
      <c r="H56" s="19">
        <f t="shared" si="0"/>
        <v>4.4273192628466823E-2</v>
      </c>
    </row>
    <row r="57" spans="1:8" ht="15.75" thickBot="1">
      <c r="A57" s="23" t="s">
        <v>421</v>
      </c>
      <c r="B57" s="24">
        <v>35</v>
      </c>
      <c r="C57" s="25">
        <v>1907.4</v>
      </c>
      <c r="D57" s="24">
        <v>984.23</v>
      </c>
      <c r="E57" s="25">
        <v>34448.050000000003</v>
      </c>
      <c r="F57" s="25">
        <v>66759</v>
      </c>
      <c r="G57" s="25">
        <v>32310.95</v>
      </c>
      <c r="H57" s="19">
        <f t="shared" si="0"/>
        <v>0.93796165530414632</v>
      </c>
    </row>
    <row r="58" spans="1:8" ht="15.75" thickBot="1">
      <c r="A58" s="23" t="s">
        <v>425</v>
      </c>
      <c r="B58" s="24">
        <v>86</v>
      </c>
      <c r="C58" s="24">
        <v>395</v>
      </c>
      <c r="D58" s="24">
        <v>200.05520000000001</v>
      </c>
      <c r="E58" s="25">
        <v>17204.75</v>
      </c>
      <c r="F58" s="25">
        <v>33970</v>
      </c>
      <c r="G58" s="25">
        <v>16765.25</v>
      </c>
      <c r="H58" s="19">
        <f t="shared" si="0"/>
        <v>0.97445472907191333</v>
      </c>
    </row>
    <row r="59" spans="1:8" ht="15.75" thickBot="1">
      <c r="A59" s="23" t="s">
        <v>426</v>
      </c>
      <c r="B59" s="24">
        <v>157</v>
      </c>
      <c r="C59" s="24">
        <v>604.29999999999995</v>
      </c>
      <c r="D59" s="24">
        <v>477.8236</v>
      </c>
      <c r="E59" s="25">
        <v>75018.3</v>
      </c>
      <c r="F59" s="25">
        <v>94875.1</v>
      </c>
      <c r="G59" s="25">
        <v>19856.8</v>
      </c>
      <c r="H59" s="19">
        <f t="shared" si="0"/>
        <v>0.26469274830274742</v>
      </c>
    </row>
    <row r="60" spans="1:8" ht="15.75" thickBot="1">
      <c r="A60" s="23" t="s">
        <v>427</v>
      </c>
      <c r="B60" s="24">
        <v>12</v>
      </c>
      <c r="C60" s="24">
        <v>714.45</v>
      </c>
      <c r="D60" s="24">
        <v>491.24329999999998</v>
      </c>
      <c r="E60" s="25">
        <v>5894.92</v>
      </c>
      <c r="F60" s="25">
        <v>8573.4</v>
      </c>
      <c r="G60" s="25">
        <v>2678.48</v>
      </c>
      <c r="H60" s="19">
        <f t="shared" si="0"/>
        <v>0.45437088204759352</v>
      </c>
    </row>
    <row r="61" spans="1:8" ht="15.75" thickBot="1">
      <c r="A61" s="23" t="s">
        <v>428</v>
      </c>
      <c r="B61" s="24">
        <v>25</v>
      </c>
      <c r="C61" s="24">
        <v>350.6</v>
      </c>
      <c r="D61" s="24">
        <v>340.50200000000001</v>
      </c>
      <c r="E61" s="25">
        <v>8512.5499999999993</v>
      </c>
      <c r="F61" s="25">
        <v>8765</v>
      </c>
      <c r="G61" s="24">
        <v>252.45</v>
      </c>
      <c r="H61" s="19">
        <f t="shared" si="0"/>
        <v>2.9656213473048618E-2</v>
      </c>
    </row>
    <row r="62" spans="1:8" ht="15.75" thickBot="1">
      <c r="A62" s="23" t="s">
        <v>429</v>
      </c>
      <c r="B62" s="24">
        <v>35</v>
      </c>
      <c r="C62" s="24">
        <v>284.89999999999998</v>
      </c>
      <c r="D62" s="24">
        <v>193.47059999999999</v>
      </c>
      <c r="E62" s="25">
        <v>6771.47</v>
      </c>
      <c r="F62" s="25">
        <v>9971.5</v>
      </c>
      <c r="G62" s="25">
        <v>3200.03</v>
      </c>
      <c r="H62" s="19">
        <f t="shared" si="0"/>
        <v>0.47257537875823125</v>
      </c>
    </row>
    <row r="63" spans="1:8" ht="15.75" thickBot="1">
      <c r="A63" s="23" t="s">
        <v>430</v>
      </c>
      <c r="B63" s="24">
        <v>73</v>
      </c>
      <c r="C63" s="24">
        <v>557.6</v>
      </c>
      <c r="D63" s="24">
        <v>391.6216</v>
      </c>
      <c r="E63" s="25">
        <v>28588.38</v>
      </c>
      <c r="F63" s="25">
        <v>40704.800000000003</v>
      </c>
      <c r="G63" s="25">
        <v>12116.42</v>
      </c>
      <c r="H63" s="19">
        <f t="shared" si="0"/>
        <v>0.42382324566834495</v>
      </c>
    </row>
    <row r="64" spans="1:8" ht="15.75" thickBot="1">
      <c r="A64" s="23" t="s">
        <v>432</v>
      </c>
      <c r="B64" s="24">
        <v>10</v>
      </c>
      <c r="C64" s="24">
        <v>623.35</v>
      </c>
      <c r="D64" s="24">
        <v>545.80999999999995</v>
      </c>
      <c r="E64" s="25">
        <v>5458.1</v>
      </c>
      <c r="F64" s="25">
        <v>6233.5</v>
      </c>
      <c r="G64" s="24">
        <v>775.4</v>
      </c>
      <c r="H64" s="19">
        <f t="shared" si="0"/>
        <v>0.14206408823583297</v>
      </c>
    </row>
    <row r="65" spans="1:8" ht="15.75" thickBot="1">
      <c r="A65" s="23" t="s">
        <v>433</v>
      </c>
      <c r="B65" s="24">
        <v>775</v>
      </c>
      <c r="C65" s="24">
        <v>131.85</v>
      </c>
      <c r="D65" s="24">
        <v>99.291600000000003</v>
      </c>
      <c r="E65" s="25">
        <v>76951</v>
      </c>
      <c r="F65" s="25">
        <v>102183.75</v>
      </c>
      <c r="G65" s="25">
        <v>25232.75</v>
      </c>
      <c r="H65" s="19">
        <f t="shared" si="0"/>
        <v>0.32790671986069059</v>
      </c>
    </row>
    <row r="66" spans="1:8" ht="15.75" thickBot="1">
      <c r="A66" s="23" t="s">
        <v>434</v>
      </c>
      <c r="B66" s="24">
        <v>105</v>
      </c>
      <c r="C66" s="24">
        <v>730.2</v>
      </c>
      <c r="D66" s="24">
        <v>404.76429999999999</v>
      </c>
      <c r="E66" s="25">
        <v>42500.25</v>
      </c>
      <c r="F66" s="25">
        <v>76671</v>
      </c>
      <c r="G66" s="25">
        <v>34170.75</v>
      </c>
      <c r="H66" s="19">
        <f t="shared" si="0"/>
        <v>0.80401291757107307</v>
      </c>
    </row>
    <row r="67" spans="1:8" ht="15.75" thickBot="1">
      <c r="A67" s="23" t="s">
        <v>470</v>
      </c>
      <c r="B67" s="24">
        <v>21</v>
      </c>
      <c r="C67" s="25">
        <v>1173.0999999999999</v>
      </c>
      <c r="D67" s="25">
        <v>1021.1052</v>
      </c>
      <c r="E67" s="25">
        <v>21443.21</v>
      </c>
      <c r="F67" s="25">
        <v>24635.1</v>
      </c>
      <c r="G67" s="25">
        <v>3191.89</v>
      </c>
      <c r="H67" s="19">
        <f t="shared" ref="H67:H71" si="1">G67/E67</f>
        <v>0.14885318009756934</v>
      </c>
    </row>
    <row r="68" spans="1:8" ht="15.75" thickBot="1">
      <c r="A68" s="23" t="s">
        <v>465</v>
      </c>
      <c r="B68" s="24">
        <v>168</v>
      </c>
      <c r="C68" s="24">
        <v>132</v>
      </c>
      <c r="D68" s="24">
        <v>137.32</v>
      </c>
      <c r="E68" s="25">
        <v>23069.759999999998</v>
      </c>
      <c r="F68" s="25">
        <v>22176</v>
      </c>
      <c r="G68" s="24">
        <v>-893.76</v>
      </c>
      <c r="H68" s="19">
        <f t="shared" si="1"/>
        <v>-3.8741625400524324E-2</v>
      </c>
    </row>
    <row r="69" spans="1:8" ht="15.75" thickBot="1">
      <c r="A69" s="23" t="s">
        <v>439</v>
      </c>
      <c r="B69" s="24">
        <v>525</v>
      </c>
      <c r="C69" s="24">
        <v>16.3</v>
      </c>
      <c r="D69" s="24">
        <v>38.966700000000003</v>
      </c>
      <c r="E69" s="25">
        <v>20457.5</v>
      </c>
      <c r="F69" s="25">
        <v>8557.5</v>
      </c>
      <c r="G69" s="25">
        <v>-11900</v>
      </c>
      <c r="H69" s="19">
        <f t="shared" si="1"/>
        <v>-0.58169375534644996</v>
      </c>
    </row>
    <row r="70" spans="1:8" ht="15.75" thickBot="1">
      <c r="A70" s="26" t="s">
        <v>440</v>
      </c>
      <c r="B70" s="27">
        <v>6</v>
      </c>
      <c r="C70" s="28">
        <v>1918.95</v>
      </c>
      <c r="D70" s="28">
        <v>1894.0333000000001</v>
      </c>
      <c r="E70" s="28">
        <v>11364.2</v>
      </c>
      <c r="F70" s="28">
        <v>11513.7</v>
      </c>
      <c r="G70" s="27">
        <v>149.5</v>
      </c>
      <c r="H70" s="19">
        <f t="shared" si="1"/>
        <v>1.3155347494764259E-2</v>
      </c>
    </row>
    <row r="71" spans="1:8" ht="15.75" thickBot="1">
      <c r="A71" t="s">
        <v>11</v>
      </c>
      <c r="B71">
        <f>SUM(B1:B70)</f>
        <v>6196</v>
      </c>
      <c r="C71"/>
      <c r="D71"/>
      <c r="E71" s="9">
        <f>SUM(E1:E70)</f>
        <v>1600194.7599999998</v>
      </c>
      <c r="F71" s="9">
        <f>SUM(F1:F70)</f>
        <v>2010737.8500000003</v>
      </c>
      <c r="G71" s="9">
        <f>SUM(G1:G70)</f>
        <v>410543.09</v>
      </c>
      <c r="H71" s="20">
        <f t="shared" si="1"/>
        <v>0.25655820170289778</v>
      </c>
    </row>
    <row r="72" spans="1:8">
      <c r="H72" s="1"/>
    </row>
  </sheetData>
  <hyperlinks>
    <hyperlink ref="A2" r:id="rId1" location="/stock/1831632/3723" display="https://etportfolio.indiatimes.com/pw_companyinfo.cms - /stock/1831632/3723" xr:uid="{48913E86-95C3-4CB4-9BCD-ED8CFE5BFE04}"/>
    <hyperlink ref="A3" r:id="rId2" location="/stock/1831632/31" display="https://etportfolio.indiatimes.com/pw_companyinfo.cms - /stock/1831632/31" xr:uid="{2C1B0982-795A-468D-886B-F00804B57044}"/>
    <hyperlink ref="A4" r:id="rId3" location="/stock/1831632/34421" display="https://etportfolio.indiatimes.com/pw_companyinfo.cms - /stock/1831632/34421" xr:uid="{9F071A98-925E-4870-8699-ACDD57A1A71E}"/>
    <hyperlink ref="A5" r:id="rId4" location="/stock/1831632/15059" display="https://etportfolio.indiatimes.com/pw_companyinfo.cms - /stock/1831632/15059" xr:uid="{FFA4F582-717F-459F-9546-CEAFD5FDF0A6}"/>
    <hyperlink ref="A6" r:id="rId5" location="/stock/1831632/63" display="https://etportfolio.indiatimes.com/pw_companyinfo.cms - /stock/1831632/63" xr:uid="{23EA65F7-6BC4-47A4-BD5F-0090A4704230}"/>
    <hyperlink ref="A7" r:id="rId6" location="/stock/1831632/14034" display="https://etportfolio.indiatimes.com/pw_companyinfo.cms - /stock/1831632/14034" xr:uid="{3C86FC41-9A0C-4743-9BCA-C3924F779EB0}"/>
    <hyperlink ref="A8" r:id="rId7" location="/stock/1831632/66288" display="https://etportfolio.indiatimes.com/pw_companyinfo.cms - /stock/1831632/66288" xr:uid="{88EF28C1-A524-4F60-B950-F3D5EAC83ECC}"/>
    <hyperlink ref="A9" r:id="rId8" location="/stock/1831632/45987" display="https://etportfolio.indiatimes.com/pw_companyinfo.cms - /stock/1831632/45987" xr:uid="{4806C232-DABB-4C4A-BADA-BDCDF70DAF24}"/>
    <hyperlink ref="A10" r:id="rId9" location="/stock/1831632/9175" display="https://etportfolio.indiatimes.com/pw_companyinfo.cms - /stock/1831632/9175" xr:uid="{82D60B7D-8197-4208-A5CB-6BAC205A11C5}"/>
    <hyperlink ref="A11" r:id="rId10" location="/stock/1831632/21430" display="https://etportfolio.indiatimes.com/pw_companyinfo.cms - /stock/1831632/21430" xr:uid="{0B755237-B9B6-419B-9D22-DBD74DF23C3D}"/>
    <hyperlink ref="A12" r:id="rId11" location="/stock/1831632/31863" display="https://etportfolio.indiatimes.com/pw_companyinfo.cms - /stock/1831632/31863" xr:uid="{E88E8C41-D393-41AB-BA2C-D834F0AD43A4}"/>
    <hyperlink ref="A13" r:id="rId12" location="/stock/1831632/14013" display="https://etportfolio.indiatimes.com/pw_companyinfo.cms - /stock/1831632/14013" xr:uid="{8C55FFD0-AA42-4B71-90B5-F2E36D629D83}"/>
    <hyperlink ref="A14" r:id="rId13" location="/stock/1831632/2718" display="https://etportfolio.indiatimes.com/pw_companyinfo.cms - /stock/1831632/2718" xr:uid="{956DE752-4E35-4019-9A47-0E6DA6A72A54}"/>
    <hyperlink ref="A15" r:id="rId14" location="/stock/1831632/13934" display="https://etportfolio.indiatimes.com/pw_companyinfo.cms - /stock/1831632/13934" xr:uid="{7FC8BDE4-F839-42C9-81D0-4CA34025C37A}"/>
    <hyperlink ref="A16" r:id="rId15" location="/stock/1831632/13577" display="https://etportfolio.indiatimes.com/pw_companyinfo.cms - /stock/1831632/13577" xr:uid="{9884F41A-CEA6-4A6D-A205-FF0775CD9ECE}"/>
    <hyperlink ref="A17" r:id="rId16" location="/stock/1831632/13917" display="https://etportfolio.indiatimes.com/pw_companyinfo.cms - /stock/1831632/13917" xr:uid="{2D6F21BE-E21F-4201-BFC9-57B7D84FD9A7}"/>
    <hyperlink ref="A18" r:id="rId17" location="/stock/1831632/7749" display="https://etportfolio.indiatimes.com/pw_companyinfo.cms - /stock/1831632/7749" xr:uid="{674CCDAA-7A5E-4EC4-BD18-4EB1C50CACFE}"/>
    <hyperlink ref="A19" r:id="rId18" location="/stock/1831632/11822" display="https://etportfolio.indiatimes.com/pw_companyinfo.cms - /stock/1831632/11822" xr:uid="{6FED558B-23F1-4585-A514-987924B5B953}"/>
    <hyperlink ref="A20" r:id="rId19" location="/stock/1831632/13873" display="https://etportfolio.indiatimes.com/pw_companyinfo.cms - /stock/1831632/13873" xr:uid="{FDBC7029-1172-4052-BD2C-BD998E4D4FF1}"/>
    <hyperlink ref="A21" r:id="rId20" location="/stock/1831632/11796" display="https://etportfolio.indiatimes.com/pw_companyinfo.cms - /stock/1831632/11796" xr:uid="{85059258-4060-411C-9453-F0CB1E1F9BDA}"/>
    <hyperlink ref="A22" r:id="rId21" location="/stock/1831632/3635" display="https://etportfolio.indiatimes.com/pw_companyinfo.cms - /stock/1831632/3635" xr:uid="{0BC5BD1E-9149-45A7-A2B2-4E3E7A9DF0DF}"/>
    <hyperlink ref="A23" r:id="rId22" location="/stock/1831632/12393" display="https://etportfolio.indiatimes.com/pw_companyinfo.cms - /stock/1831632/12393" xr:uid="{12B43987-F0B3-4C2E-8E55-A55A098B3AB2}"/>
    <hyperlink ref="A24" r:id="rId23" location="/stock/1831632/13787" display="https://etportfolio.indiatimes.com/pw_companyinfo.cms - /stock/1831632/13787" xr:uid="{14817E28-4193-49CB-A660-671D545BE33F}"/>
    <hyperlink ref="A25" r:id="rId24" location="/stock/1831632/38215" display="https://etportfolio.indiatimes.com/pw_companyinfo.cms - /stock/1831632/38215" xr:uid="{B781CF35-E4B0-427B-B85C-3417D9912363}"/>
    <hyperlink ref="A26" r:id="rId25" location="/stock/1831632/13895" display="https://etportfolio.indiatimes.com/pw_companyinfo.cms - /stock/1831632/13895" xr:uid="{264AB465-1C07-4731-B176-058068AD4CFD}"/>
    <hyperlink ref="A27" r:id="rId26" location="/stock/1831632/9211" display="https://etportfolio.indiatimes.com/pw_companyinfo.cms - /stock/1831632/9211" xr:uid="{A0EDB3A1-4AF5-4ED3-B402-D906F7DC0546}"/>
    <hyperlink ref="A28" r:id="rId27" location="/stock/1831632/12266" display="https://etportfolio.indiatimes.com/pw_companyinfo.cms - /stock/1831632/12266" xr:uid="{C41A8C11-531A-4456-B6E5-320FC6FDADAC}"/>
    <hyperlink ref="A29" r:id="rId28" location="/stock/1831632/5733" display="https://etportfolio.indiatimes.com/pw_companyinfo.cms - /stock/1831632/5733" xr:uid="{37FCA572-36A7-4A93-80D1-A8780E7697ED}"/>
    <hyperlink ref="A30" r:id="rId29" location="/stock/1831632/13673" display="https://etportfolio.indiatimes.com/pw_companyinfo.cms - /stock/1831632/13673" xr:uid="{44888F29-3B92-4F8D-A196-25B58A1928B8}"/>
    <hyperlink ref="A31" r:id="rId30" location="/stock/1831632/9195" display="https://etportfolio.indiatimes.com/pw_companyinfo.cms - /stock/1831632/9195" xr:uid="{62497657-81C2-49CB-8824-EAA13944F0B4}"/>
    <hyperlink ref="A32" r:id="rId31" location="/stock/1831632/3068" display="https://etportfolio.indiatimes.com/pw_companyinfo.cms - /stock/1831632/3068" xr:uid="{D8C05018-41DD-413C-A425-09D2F4493063}"/>
    <hyperlink ref="A33" r:id="rId32" location="/stock/1831632/13636" display="https://etportfolio.indiatimes.com/pw_companyinfo.cms - /stock/1831632/13636" xr:uid="{D247EAB2-BE2E-4F29-BC83-93FC8B4E5D02}"/>
    <hyperlink ref="A34" r:id="rId33" location="/stock/1831632/13616" display="https://etportfolio.indiatimes.com/pw_companyinfo.cms - /stock/1831632/13616" xr:uid="{50E12B90-1BC3-437D-AFB6-2B3DE05B377C}"/>
    <hyperlink ref="A35" r:id="rId34" location="/stock/1831632/9194" display="https://etportfolio.indiatimes.com/pw_companyinfo.cms - /stock/1831632/9194" xr:uid="{7CBB0C23-E5E3-465F-B75A-AFE5D53BCB69}"/>
    <hyperlink ref="A36" r:id="rId35" location="/stock/1831632/1883" display="https://etportfolio.indiatimes.com/pw_companyinfo.cms - /stock/1831632/1883" xr:uid="{38E9DD41-CD40-4C26-B74B-47226FEFF36E}"/>
    <hyperlink ref="A37" r:id="rId36" location="/stock/1831632/1898" display="https://etportfolio.indiatimes.com/pw_companyinfo.cms - /stock/1831632/1898" xr:uid="{F1C0F5D9-9F5E-4831-BDC3-A839A811458A}"/>
    <hyperlink ref="A38" r:id="rId37" location="/stock/1831632/19033" display="https://etportfolio.indiatimes.com/pw_companyinfo.cms - /stock/1831632/19033" xr:uid="{2015CCA9-3EA8-4C44-8E7D-A786C405F6D4}"/>
    <hyperlink ref="A39" r:id="rId38" location="/stock/1831632/10587" display="/stock/1831632/10587" xr:uid="{BBC95E57-2CA7-4460-8510-DAA15C9C0930}"/>
    <hyperlink ref="A40" r:id="rId39" location="/stock/1831632/13554" display="https://etportfolio.indiatimes.com/pw_companyinfo.cms - /stock/1831632/13554" xr:uid="{9C6DB66B-A8A1-4031-92F1-2AAA026D5412}"/>
    <hyperlink ref="A41" r:id="rId40" location="/stock/1831632/13536" display="https://etportfolio.indiatimes.com/pw_companyinfo.cms - /stock/1831632/13536" xr:uid="{745ADB93-9938-44B7-8780-9B01360A4889}"/>
    <hyperlink ref="A42" r:id="rId41" location="/stock/1831632/16356" display="https://etportfolio.indiatimes.com/pw_companyinfo.cms - /stock/1831632/16356" xr:uid="{6A8942FD-2D84-4E59-ACFA-C388E46F6F1B}"/>
    <hyperlink ref="A43" r:id="rId42" location="/stock/1831632/12161" display="https://etportfolio.indiatimes.com/pw_companyinfo.cms - /stock/1831632/12161" xr:uid="{85DEFF45-1F37-4F21-8AA6-7176E70D39B4}"/>
    <hyperlink ref="A44" r:id="rId43" location="/stock/1831632/13447" display="https://etportfolio.indiatimes.com/pw_companyinfo.cms - /stock/1831632/13447" xr:uid="{4550672D-19C4-4AFF-9D0D-600454C9D866}"/>
    <hyperlink ref="A45" r:id="rId44" location="/stock/1831632/18545" display="https://etportfolio.indiatimes.com/pw_companyinfo.cms - /stock/1831632/18545" xr:uid="{52185107-398F-42DB-8253-093A61D6F49E}"/>
    <hyperlink ref="A46" r:id="rId45" location="/stock/1831632/11898" display="https://etportfolio.indiatimes.com/pw_companyinfo.cms - /stock/1831632/11898" xr:uid="{E50BFF2C-6755-429A-911F-185886C2E518}"/>
    <hyperlink ref="A47" r:id="rId46" location="/stock/1831632/17103" display="https://etportfolio.indiatimes.com/pw_companyinfo.cms - /stock/1831632/17103" xr:uid="{0DB6D37B-BBF7-4319-93D4-81DCCEA09C76}"/>
    <hyperlink ref="A48" r:id="rId47" location="/stock/1831632/5886" display="https://etportfolio.indiatimes.com/pw_companyinfo.cms - /stock/1831632/5886" xr:uid="{8F2CD388-A754-4B80-8103-DFA33E72B8F8}"/>
    <hyperlink ref="A49" r:id="rId48" location="/stock/1831632/5459" display="https://etportfolio.indiatimes.com/pw_companyinfo.cms - /stock/1831632/5459" xr:uid="{93493D95-D9AB-412C-B413-910074A72195}"/>
    <hyperlink ref="A50" r:id="rId49" location="/stock/1831632/10878" display="https://etportfolio.indiatimes.com/pw_companyinfo.cms - /stock/1831632/10878" xr:uid="{AC961080-451A-491F-864F-FC089AA6E083}"/>
    <hyperlink ref="A51" r:id="rId50" location="/stock/1831632/8305" display="https://etportfolio.indiatimes.com/pw_companyinfo.cms - /stock/1831632/8305" xr:uid="{CB688F1C-4341-4B50-ACA5-C32A46C21AE3}"/>
    <hyperlink ref="A52" r:id="rId51" location="/stock/1831632/32621" display="https://etportfolio.indiatimes.com/pw_companyinfo.cms - /stock/1831632/32621" xr:uid="{FB67654B-C398-46C1-9D2F-8F27BBB971D5}"/>
    <hyperlink ref="A53" r:id="rId52" location="/stock/1831632/11599" display="https://etportfolio.indiatimes.com/pw_companyinfo.cms - /stock/1831632/11599" xr:uid="{D7B64D7D-97CD-4852-82F6-3C960AAADFDD}"/>
    <hyperlink ref="A54" r:id="rId53" location="/stock/1831632/12358" display="https://etportfolio.indiatimes.com/pw_companyinfo.cms - /stock/1831632/12358" xr:uid="{A5225E2B-4FA9-4F26-B9CE-14FC2A857B3E}"/>
    <hyperlink ref="A55" r:id="rId54" location="/stock/1831632/13282" display="https://etportfolio.indiatimes.com/pw_companyinfo.cms - /stock/1831632/13282" xr:uid="{57899EFD-BE22-44B9-87E5-1F58BAE3679D}"/>
    <hyperlink ref="A56" r:id="rId55" location="/stock/1831632/2898" display="https://etportfolio.indiatimes.com/pw_companyinfo.cms - /stock/1831632/2898" xr:uid="{D7C7EA73-5B1D-4F27-9168-F39B801652CA}"/>
    <hyperlink ref="A57" r:id="rId56" location="/stock/1831632/13102" display="https://etportfolio.indiatimes.com/pw_companyinfo.cms - /stock/1831632/13102" xr:uid="{0F83AA12-576A-4F90-A6CD-9B308B4D5E96}"/>
    <hyperlink ref="A58" r:id="rId57" location="/stock/1831632/11984" display="https://etportfolio.indiatimes.com/pw_companyinfo.cms - /stock/1831632/11984" xr:uid="{FA03B06B-5A58-4B6A-8BD7-926C8912340F}"/>
    <hyperlink ref="A59" r:id="rId58" location="/stock/1831632/9134" display="https://etportfolio.indiatimes.com/pw_companyinfo.cms - /stock/1831632/9134" xr:uid="{73310B43-E5B0-4175-8C17-100A35CB64EA}"/>
    <hyperlink ref="A60" r:id="rId59" location="/stock/1831632/12962" display="https://etportfolio.indiatimes.com/pw_companyinfo.cms - /stock/1831632/12962" xr:uid="{F05D6796-29B5-45D7-A944-CCE9B9EACA9B}"/>
    <hyperlink ref="A61" r:id="rId60" location="/stock/1831632/3296" display="https://etportfolio.indiatimes.com/pw_companyinfo.cms - /stock/1831632/3296" xr:uid="{BF4111DF-E2F8-4B6C-BE98-AA5DD5849450}"/>
    <hyperlink ref="A62" r:id="rId61" location="/stock/1831632/6936" display="https://etportfolio.indiatimes.com/pw_companyinfo.cms - /stock/1831632/6936" xr:uid="{D4EAEADE-3DAF-49F8-A236-178E5A1FE026}"/>
    <hyperlink ref="A63" r:id="rId62" location="/stock/1831632/303" display="https://etportfolio.indiatimes.com/pw_companyinfo.cms - /stock/1831632/303" xr:uid="{C4B92A13-F26E-4253-8BC3-96D3879E4305}"/>
    <hyperlink ref="A64" r:id="rId63" location="/stock/1831632/12929" display="https://etportfolio.indiatimes.com/pw_companyinfo.cms - /stock/1831632/12929" xr:uid="{23CC9441-5333-4D75-A723-733071A15405}"/>
    <hyperlink ref="A65" r:id="rId64" location="/stock/1831632/129341111" display="https://etportfolio.indiatimes.com/pw_companyinfo.cms - /stock/1831632/129341111" xr:uid="{96C17C4E-48F5-4308-B46E-77F8B4B420B0}"/>
    <hyperlink ref="A66" r:id="rId65" location="/stock/1831632/12902" display="https://etportfolio.indiatimes.com/pw_companyinfo.cms - /stock/1831632/12902" xr:uid="{4D0571D2-1EFE-4235-86CA-FCDB06C604AF}"/>
    <hyperlink ref="A67" r:id="rId66" location="/stock/1831632/15493" display="https://etportfolio.indiatimes.com/pw_companyinfo.cms - /stock/1831632/15493" xr:uid="{F4180B0B-6D52-496B-B011-4ECCF66F9F43}"/>
    <hyperlink ref="A68" r:id="rId67" location="/stock/1831632/5032" display="https://etportfolio.indiatimes.com/pw_companyinfo.cms - /stock/1831632/5032" xr:uid="{DE9E7B5F-EE5F-43A8-95E8-38B5AD633D11}"/>
    <hyperlink ref="A69" r:id="rId68" location="/stock/1831632/16552" display="https://etportfolio.indiatimes.com/pw_companyinfo.cms - /stock/1831632/16552" xr:uid="{96B9C6A3-3559-484E-AD34-1878B40025FF}"/>
    <hyperlink ref="A70" r:id="rId69" location="/stock/1831632/6816" display="https://etportfolio.indiatimes.com/pw_companyinfo.cms - /stock/1831632/6816" xr:uid="{3346354D-D759-480D-A2F2-FB685CCAB87C}"/>
  </hyperlinks>
  <pageMargins left="0.7" right="0.7" top="0.75" bottom="0.75" header="0.3" footer="0.3"/>
  <pageSetup paperSize="9" orientation="portrait" r:id="rId7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AC2B-53C5-4D7C-A35B-E848651E91DF}">
  <dimension ref="A1:I11"/>
  <sheetViews>
    <sheetView workbookViewId="0">
      <selection activeCell="H11" sqref="B11:H11"/>
    </sheetView>
  </sheetViews>
  <sheetFormatPr defaultColWidth="8.7109375" defaultRowHeight="15"/>
  <cols>
    <col min="1" max="1" width="56.28515625" style="22" customWidth="1"/>
    <col min="2" max="2" width="23.85546875" style="22" customWidth="1"/>
    <col min="3" max="3" width="11.140625" style="22" bestFit="1" customWidth="1"/>
    <col min="4" max="4" width="10.140625" style="22" bestFit="1" customWidth="1"/>
    <col min="5" max="5" width="11.85546875" style="22" bestFit="1" customWidth="1"/>
    <col min="6" max="8" width="14.85546875" style="22" bestFit="1" customWidth="1"/>
    <col min="9" max="16384" width="8.7109375" style="22"/>
  </cols>
  <sheetData>
    <row r="1" spans="1:9" ht="30" thickBot="1">
      <c r="A1" s="21" t="s">
        <v>223</v>
      </c>
      <c r="B1" s="21" t="s">
        <v>224</v>
      </c>
      <c r="C1" s="21" t="s">
        <v>225</v>
      </c>
      <c r="D1" s="21" t="s">
        <v>226</v>
      </c>
      <c r="E1" s="21" t="s">
        <v>227</v>
      </c>
      <c r="F1" s="21" t="s">
        <v>228</v>
      </c>
      <c r="G1" s="21" t="s">
        <v>229</v>
      </c>
      <c r="H1" s="21" t="s">
        <v>230</v>
      </c>
      <c r="I1" s="18" t="s">
        <v>142</v>
      </c>
    </row>
    <row r="2" spans="1:9" ht="15.75" thickBot="1">
      <c r="A2" s="23" t="s">
        <v>234</v>
      </c>
      <c r="B2" s="24" t="s">
        <v>235</v>
      </c>
      <c r="C2" s="24">
        <v>692.96400000000006</v>
      </c>
      <c r="D2" s="24">
        <v>59.04</v>
      </c>
      <c r="E2" s="24">
        <v>57.720199999999998</v>
      </c>
      <c r="F2" s="25">
        <v>39998.0072</v>
      </c>
      <c r="G2" s="25">
        <v>40912.594599999997</v>
      </c>
      <c r="H2" s="24">
        <v>914.5874</v>
      </c>
      <c r="I2" s="1">
        <f>H2/F2</f>
        <v>2.2865824175360417E-2</v>
      </c>
    </row>
    <row r="3" spans="1:9" ht="15.75" thickBot="1">
      <c r="A3" s="23" t="s">
        <v>236</v>
      </c>
      <c r="B3" s="24" t="s">
        <v>237</v>
      </c>
      <c r="C3" s="25">
        <v>7507.9660000000003</v>
      </c>
      <c r="D3" s="24">
        <v>45.98</v>
      </c>
      <c r="E3" s="24">
        <v>34.628300000000003</v>
      </c>
      <c r="F3" s="25">
        <v>259987.91709999999</v>
      </c>
      <c r="G3" s="25">
        <v>345216.27669999999</v>
      </c>
      <c r="H3" s="25">
        <v>85228.359599999996</v>
      </c>
      <c r="I3" s="1">
        <f t="shared" ref="I3:I10" si="0">H3/F3</f>
        <v>0.32781661759772607</v>
      </c>
    </row>
    <row r="4" spans="1:9" ht="15.75" thickBot="1">
      <c r="A4" s="23" t="s">
        <v>454</v>
      </c>
      <c r="B4" s="24" t="s">
        <v>269</v>
      </c>
      <c r="C4" s="24">
        <v>32.451000000000001</v>
      </c>
      <c r="D4" s="25">
        <v>3083.0752000000002</v>
      </c>
      <c r="E4" s="25">
        <v>3081.4859000000001</v>
      </c>
      <c r="F4" s="25">
        <v>99997.298899999994</v>
      </c>
      <c r="G4" s="25">
        <v>100048.87330000001</v>
      </c>
      <c r="H4" s="24">
        <v>51.574399999999997</v>
      </c>
      <c r="I4" s="1">
        <f t="shared" si="0"/>
        <v>5.1575793113747793E-4</v>
      </c>
    </row>
    <row r="5" spans="1:9" ht="15.75" thickBot="1">
      <c r="A5" s="23" t="s">
        <v>441</v>
      </c>
      <c r="B5" s="24" t="s">
        <v>241</v>
      </c>
      <c r="C5" s="25">
        <v>1564.798</v>
      </c>
      <c r="D5" s="24">
        <v>445.78109999999998</v>
      </c>
      <c r="E5" s="24">
        <v>345.03590000000003</v>
      </c>
      <c r="F5" s="25">
        <v>539911.52579999994</v>
      </c>
      <c r="G5" s="25">
        <v>697557.3737</v>
      </c>
      <c r="H5" s="25">
        <v>157645.84789999999</v>
      </c>
      <c r="I5" s="1">
        <f t="shared" si="0"/>
        <v>0.29198459445075253</v>
      </c>
    </row>
    <row r="6" spans="1:9" ht="15.75" thickBot="1">
      <c r="A6" s="23" t="s">
        <v>242</v>
      </c>
      <c r="B6" s="24" t="s">
        <v>237</v>
      </c>
      <c r="C6" s="25">
        <v>5856.576</v>
      </c>
      <c r="D6" s="24">
        <v>57.097000000000001</v>
      </c>
      <c r="E6" s="24">
        <v>44.3917</v>
      </c>
      <c r="F6" s="25">
        <v>259983.36480000001</v>
      </c>
      <c r="G6" s="25">
        <v>334392.91989999998</v>
      </c>
      <c r="H6" s="25">
        <v>74409.555099999998</v>
      </c>
      <c r="I6" s="1">
        <f t="shared" si="0"/>
        <v>0.28620890862475673</v>
      </c>
    </row>
    <row r="7" spans="1:9" ht="15.75" thickBot="1">
      <c r="A7" s="23" t="s">
        <v>272</v>
      </c>
      <c r="B7" s="24" t="s">
        <v>235</v>
      </c>
      <c r="C7" s="25">
        <v>11641.498</v>
      </c>
      <c r="D7" s="24">
        <v>61.844000000000001</v>
      </c>
      <c r="E7" s="24">
        <v>41.231200000000001</v>
      </c>
      <c r="F7" s="25">
        <v>479993.46380000003</v>
      </c>
      <c r="G7" s="25">
        <v>719956.80229999998</v>
      </c>
      <c r="H7" s="25">
        <v>239963.33850000001</v>
      </c>
      <c r="I7" s="1">
        <f t="shared" si="0"/>
        <v>0.49993042946931893</v>
      </c>
    </row>
    <row r="8" spans="1:9" ht="15.75" thickBot="1">
      <c r="A8" s="23" t="s">
        <v>250</v>
      </c>
      <c r="B8" s="24" t="s">
        <v>251</v>
      </c>
      <c r="C8" s="25">
        <v>6295.0479999999998</v>
      </c>
      <c r="D8" s="24">
        <v>38.760199999999998</v>
      </c>
      <c r="E8" s="24">
        <v>31.128699999999998</v>
      </c>
      <c r="F8" s="25">
        <v>195956.50469999999</v>
      </c>
      <c r="G8" s="25">
        <v>243997.31950000001</v>
      </c>
      <c r="H8" s="25">
        <v>48040.8148</v>
      </c>
      <c r="I8" s="1">
        <f t="shared" si="0"/>
        <v>0.24516060272430448</v>
      </c>
    </row>
    <row r="9" spans="1:9" ht="15.75" thickBot="1">
      <c r="A9" s="23" t="s">
        <v>274</v>
      </c>
      <c r="B9" s="24" t="s">
        <v>233</v>
      </c>
      <c r="C9" s="25">
        <v>2178.9850000000001</v>
      </c>
      <c r="D9" s="24">
        <v>37.409999999999997</v>
      </c>
      <c r="E9" s="24">
        <v>36.712499999999999</v>
      </c>
      <c r="F9" s="25">
        <v>79996.026599999997</v>
      </c>
      <c r="G9" s="25">
        <v>81515.828800000003</v>
      </c>
      <c r="H9" s="25">
        <v>1519.8023000000001</v>
      </c>
      <c r="I9" s="1">
        <f t="shared" si="0"/>
        <v>1.8998472356625773E-2</v>
      </c>
    </row>
    <row r="10" spans="1:9" ht="15.75" thickBot="1">
      <c r="A10" s="26" t="s">
        <v>255</v>
      </c>
      <c r="B10" s="27" t="s">
        <v>241</v>
      </c>
      <c r="C10" s="28">
        <v>18996.168000000001</v>
      </c>
      <c r="D10" s="27">
        <v>12.383699999999999</v>
      </c>
      <c r="E10" s="27">
        <v>9.4700000000000006</v>
      </c>
      <c r="F10" s="28">
        <v>179893.71100000001</v>
      </c>
      <c r="G10" s="28">
        <v>235242.84570000001</v>
      </c>
      <c r="H10" s="28">
        <v>55349.134700000002</v>
      </c>
      <c r="I10" s="1">
        <f t="shared" si="0"/>
        <v>0.30767687426271395</v>
      </c>
    </row>
    <row r="11" spans="1:9">
      <c r="A11" t="s">
        <v>11</v>
      </c>
      <c r="B11" s="9"/>
      <c r="C11" s="9">
        <f>SUM(C2:C10)</f>
        <v>54766.453999999998</v>
      </c>
      <c r="D11" s="9"/>
      <c r="E11" s="9"/>
      <c r="F11" s="9">
        <f>SUM(F2:F10)</f>
        <v>2135717.8199</v>
      </c>
      <c r="G11" s="9">
        <f>SUM(G2:G10)</f>
        <v>2798840.8344999999</v>
      </c>
      <c r="H11" s="9">
        <f>SUM(H2:H10)</f>
        <v>663123.01470000006</v>
      </c>
      <c r="I11" s="1">
        <f t="shared" ref="I11" si="1">H11/F11</f>
        <v>0.31049186766210962</v>
      </c>
    </row>
  </sheetData>
  <hyperlinks>
    <hyperlink ref="A2" r:id="rId1" location="/mf/1831632/15690/NULL" display="https://etportfolio.indiatimes.com/pw_companyinfo.cms - /mf/1831632/15690/NULL" xr:uid="{1083E002-EE4E-4191-99E8-8FDB5AD719D4}"/>
    <hyperlink ref="A3" r:id="rId2" location="/mf/1831632/22335/NULL" display="https://etportfolio.indiatimes.com/pw_companyinfo.cms - /mf/1831632/22335/NULL" xr:uid="{32F612E5-9185-4C26-B6EF-15999A17F202}"/>
    <hyperlink ref="A4" r:id="rId3" location="/mf/1831632/16848/NULL" display="https://etportfolio.indiatimes.com/pw_companyinfo.cms - /mf/1831632/16848/NULL" xr:uid="{D6C8832C-8FED-415C-96E1-7A323B3A00C1}"/>
    <hyperlink ref="A5" r:id="rId4" location="/mf/1831632/16071/NULL" display="https://etportfolio.indiatimes.com/pw_companyinfo.cms - /mf/1831632/16071/NULL" xr:uid="{177779DA-AAC6-4555-8AC0-8F882FD8A6B0}"/>
    <hyperlink ref="A6" r:id="rId5" location="/mf/1831632/16617/NULL" display="https://etportfolio.indiatimes.com/pw_companyinfo.cms - /mf/1831632/16617/NULL" xr:uid="{36782E84-A172-422E-A290-D3F6D0374836}"/>
    <hyperlink ref="A7" r:id="rId6" location="/mf/1831632/17134/NULL" display="https://etportfolio.indiatimes.com/pw_companyinfo.cms - /mf/1831632/17134/NULL" xr:uid="{FE94ED2A-FB97-46C2-A881-A6C9C406B7F1}"/>
    <hyperlink ref="A8" r:id="rId7" location="/mf/1831632/19701/NULL" display="https://etportfolio.indiatimes.com/pw_companyinfo.cms - /mf/1831632/19701/NULL" xr:uid="{6829FCAD-600D-4717-921F-B430AE009A67}"/>
    <hyperlink ref="A9" r:id="rId8" location="/mf/1831632/17348/NULL" display="https://etportfolio.indiatimes.com/pw_companyinfo.cms - /mf/1831632/17348/NULL" xr:uid="{F9446BE1-ECDE-4111-A4B1-ED761CE70FED}"/>
    <hyperlink ref="A10" r:id="rId9" location="/mf/1831632/36491/NULL" display="https://etportfolio.indiatimes.com/pw_companyinfo.cms - /mf/1831632/36491/NULL" xr:uid="{33F063F0-94A4-4952-9633-F22FE1E0FC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Aritra Mitra</dc:creator>
  <cp:keywords/>
  <dc:description/>
  <cp:lastModifiedBy/>
  <cp:revision/>
  <dcterms:created xsi:type="dcterms:W3CDTF">2020-12-27T11:31:25Z</dcterms:created>
  <dcterms:modified xsi:type="dcterms:W3CDTF">2026-05-23T09:21:21Z</dcterms:modified>
  <cp:category/>
  <cp:contentStatus/>
</cp:coreProperties>
</file>