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Projects\ARK-Invest-Autonomous-Taxi-Price-Per-Mile-Model\"/>
    </mc:Choice>
  </mc:AlternateContent>
  <xr:revisionPtr revIDLastSave="0" documentId="13_ncr:1_{144EDF34-05A1-4E9F-9875-1A3E3A8143D7}" xr6:coauthVersionLast="43" xr6:coauthVersionMax="43" xr10:uidLastSave="{00000000-0000-0000-0000-000000000000}"/>
  <bookViews>
    <workbookView xWindow="-120" yWindow="-120" windowWidth="38640" windowHeight="15840" tabRatio="500" activeTab="1" xr2:uid="{00000000-000D-0000-FFFF-FFFF00000000}"/>
  </bookViews>
  <sheets>
    <sheet name="ARK Disclosure " sheetId="4" r:id="rId1"/>
    <sheet name="Price Per Mi Model" sheetId="2" r:id="rId2"/>
  </sheets>
  <externalReferences>
    <externalReference r:id="rId3"/>
  </externalReferences>
  <definedNames>
    <definedName name="Penetration">OFFSET([1]S_Curve!$B$11,0,0,COUNTA([1]S_Curve!$B$11:$B$110),1)</definedName>
    <definedName name="Saturation">OFFSET([1]S_Curve!$C$11,0,0,COUNTA([1]S_Curve!$C$11:$C$110),1)</definedName>
    <definedName name="solver_adj" localSheetId="1" hidden="1">'Price Per Mi Model'!$C$28</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opt" localSheetId="1" hidden="1">'Price Per Mi Model'!$C$67</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4</definedName>
    <definedName name="solver_ver" localSheetId="1" hidden="1">2</definedName>
    <definedName name="Year">OFFSET([1]S_Curve!$A$11,0,0,COUNTA([1]S_Curve!$A$11:$A$110),1)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46" i="2" l="1"/>
  <c r="G46" i="2"/>
  <c r="F46" i="2"/>
  <c r="E46" i="2"/>
  <c r="D46" i="2"/>
  <c r="C22" i="2"/>
  <c r="C13" i="2"/>
  <c r="C10" i="2"/>
  <c r="D40" i="2"/>
  <c r="C11" i="2"/>
  <c r="C16" i="2"/>
  <c r="D41" i="2"/>
  <c r="C17" i="2"/>
  <c r="D42" i="2"/>
  <c r="C18" i="2"/>
  <c r="D43" i="2"/>
  <c r="D44" i="2"/>
  <c r="D45" i="2"/>
  <c r="C23" i="2"/>
  <c r="D47" i="2"/>
  <c r="D48" i="2"/>
  <c r="D50" i="2"/>
  <c r="C39" i="2"/>
  <c r="C50" i="2"/>
  <c r="C31" i="2"/>
  <c r="D52" i="2"/>
  <c r="D54" i="2"/>
  <c r="D59" i="2"/>
  <c r="E42" i="2"/>
  <c r="E40" i="2"/>
  <c r="E41" i="2"/>
  <c r="E43" i="2"/>
  <c r="E44" i="2"/>
  <c r="E45" i="2"/>
  <c r="E47" i="2"/>
  <c r="E48" i="2"/>
  <c r="E50" i="2"/>
  <c r="E52" i="2"/>
  <c r="E54" i="2"/>
  <c r="E59" i="2"/>
  <c r="F42" i="2"/>
  <c r="F40" i="2"/>
  <c r="F41" i="2"/>
  <c r="F43" i="2"/>
  <c r="F44" i="2"/>
  <c r="F45" i="2"/>
  <c r="F47" i="2"/>
  <c r="F48" i="2"/>
  <c r="F50" i="2"/>
  <c r="F52" i="2"/>
  <c r="F54" i="2"/>
  <c r="F59" i="2"/>
  <c r="G42" i="2"/>
  <c r="G40" i="2"/>
  <c r="G41" i="2"/>
  <c r="G43" i="2"/>
  <c r="G44" i="2"/>
  <c r="G45" i="2"/>
  <c r="G47" i="2"/>
  <c r="G48" i="2"/>
  <c r="G50" i="2"/>
  <c r="G52" i="2"/>
  <c r="G54" i="2"/>
  <c r="G59" i="2"/>
  <c r="H42" i="2"/>
  <c r="H40" i="2"/>
  <c r="H41" i="2"/>
  <c r="H43" i="2"/>
  <c r="H44" i="2"/>
  <c r="H45" i="2"/>
  <c r="H47" i="2"/>
  <c r="H48" i="2"/>
  <c r="H50" i="2"/>
  <c r="H52" i="2"/>
  <c r="H54" i="2"/>
  <c r="H59" i="2"/>
  <c r="C54" i="2"/>
  <c r="C59" i="2"/>
  <c r="C65" i="2"/>
  <c r="D57" i="2"/>
  <c r="E57" i="2"/>
  <c r="F57" i="2"/>
  <c r="G57" i="2"/>
  <c r="H57" i="2"/>
  <c r="C69" i="2"/>
  <c r="E37" i="2"/>
  <c r="F37" i="2"/>
  <c r="G37" i="2"/>
  <c r="H37" i="2"/>
  <c r="C61" i="2"/>
  <c r="G61" i="2"/>
  <c r="E61" i="2"/>
  <c r="D61" i="2"/>
  <c r="F61" i="2"/>
  <c r="H61" i="2"/>
  <c r="C67" i="2"/>
</calcChain>
</file>

<file path=xl/sharedStrings.xml><?xml version="1.0" encoding="utf-8"?>
<sst xmlns="http://schemas.openxmlformats.org/spreadsheetml/2006/main" count="97" uniqueCount="86">
  <si>
    <t>Key:</t>
  </si>
  <si>
    <t xml:space="preserve">   Blue text indicates assumptions that can be altered</t>
  </si>
  <si>
    <t xml:space="preserve">   Black text indicates cells with formulas</t>
  </si>
  <si>
    <t>ASSUMPTIONS</t>
  </si>
  <si>
    <t>Notes</t>
  </si>
  <si>
    <t>http://sustainablemobility.ei.columbia.edu/files/2012/12/Transforming-Personal-Mobility-Jan-27-20132.pdf</t>
  </si>
  <si>
    <t>Passenger utilization rate (% of day occupied)</t>
  </si>
  <si>
    <t>Total utilization rate (% of day driving)</t>
  </si>
  <si>
    <t>Total possible miles in a given year</t>
  </si>
  <si>
    <t>Expected % accident reduction</t>
  </si>
  <si>
    <t>Units</t>
  </si>
  <si>
    <t>USD/year</t>
  </si>
  <si>
    <t>http://www.smbiz.com/sbrl003.html#lct14</t>
  </si>
  <si>
    <t>https://turbotax.intuit.com/tax-tools/tax-tips/Small-Business-Taxes/Business-Use-of-Vehicles/INF12071.html</t>
  </si>
  <si>
    <t>Insurance</t>
  </si>
  <si>
    <t>Avg taxi insurance is $5,000-10,000 per year, avg taxi drives 70,000 miles a year - assume about $0.11 cents per mile. Multiply this by the number of miles the SAV drives in a year and adjust 83% downward for accident reduction.</t>
  </si>
  <si>
    <t>https://www.trustedchoice.com/commercial-vehicle-insurance/compare-coverage/rate-cost/</t>
  </si>
  <si>
    <t>Fuel (electric)</t>
  </si>
  <si>
    <t>USD/mile</t>
  </si>
  <si>
    <t>Maintenance &amp; Repair</t>
  </si>
  <si>
    <t>35% of the ICE maintenance cost</t>
  </si>
  <si>
    <t>Tire costs per mile</t>
  </si>
  <si>
    <t>Remote operator network cost</t>
  </si>
  <si>
    <t>Cost of parking</t>
  </si>
  <si>
    <t>Depreciation</t>
  </si>
  <si>
    <t>$ PER MILE</t>
  </si>
  <si>
    <t>Manually change:</t>
  </si>
  <si>
    <t xml:space="preserve">Cost to consumer for SAV </t>
  </si>
  <si>
    <t>Cost to consumer for average US taxi</t>
  </si>
  <si>
    <t>Cost to consumer for personal vehicle</t>
  </si>
  <si>
    <t>Cost for NPV = 0 at given hurdle rate</t>
  </si>
  <si>
    <t>MODEL</t>
  </si>
  <si>
    <t>(units in USD)</t>
  </si>
  <si>
    <t>Year</t>
  </si>
  <si>
    <t>Cost of Car</t>
  </si>
  <si>
    <t>Labor</t>
  </si>
  <si>
    <t>Energy</t>
  </si>
  <si>
    <t>Maintenance</t>
  </si>
  <si>
    <t>Tires</t>
  </si>
  <si>
    <t>Remote Operator Telecom Expense</t>
  </si>
  <si>
    <t>Parking</t>
  </si>
  <si>
    <t>Total Costs</t>
  </si>
  <si>
    <t>Revenue</t>
  </si>
  <si>
    <t>Net</t>
  </si>
  <si>
    <t>taxes</t>
  </si>
  <si>
    <t>Corporate Tax Rate</t>
  </si>
  <si>
    <t>Cash Flow</t>
  </si>
  <si>
    <t>Cumulative Cashflow</t>
  </si>
  <si>
    <t>Discount Rate</t>
  </si>
  <si>
    <t>NPV</t>
  </si>
  <si>
    <t>Payback period (years)</t>
  </si>
  <si>
    <t>IRR</t>
  </si>
  <si>
    <t>Price of 250 mile range EV in 2019</t>
  </si>
  <si>
    <t>Based on ARK's EV cost decline model. Figure is rounded.</t>
  </si>
  <si>
    <t>Based on ARK's cost decline model for autonomous hardware</t>
  </si>
  <si>
    <t>Based on ARK's accident rate model</t>
  </si>
  <si>
    <t>Average MPH of AV</t>
  </si>
  <si>
    <t>Price of Autonomous Technology 2019</t>
  </si>
  <si>
    <t>Remote operator labor cost</t>
  </si>
  <si>
    <t>Based on ARK's analysis for 40% of a commercial parking spot</t>
  </si>
  <si>
    <t>Based on ARK's model for remote operator network</t>
  </si>
  <si>
    <t>passenger miles utilization + empty miles utilization based on ARK's estimates</t>
  </si>
  <si>
    <t>NYC average is ~18mph, LA average is ~27mph</t>
  </si>
  <si>
    <t>http://infinitemonkeycorps.net/projects/cityspeed/</t>
  </si>
  <si>
    <t>using average mph</t>
  </si>
  <si>
    <t>Based on ARK's analysis</t>
  </si>
  <si>
    <t>Same as a conventional car</t>
  </si>
  <si>
    <t>Autonomous Taxi Inputs</t>
  </si>
  <si>
    <t>straight line over 5 years</t>
  </si>
  <si>
    <t>Taxes</t>
  </si>
  <si>
    <t>Useful sources:</t>
  </si>
  <si>
    <t>https://exchange.aaa.com/wp-content/uploads/2018/09/18-0090_2018-Your-Driving-Costs-Brochure_FNL-Lo-5-2.pdf</t>
  </si>
  <si>
    <t>https://www1.nyc.gov/site/tlc/about/fact-book.page</t>
  </si>
  <si>
    <t>http://insideevs.com/ev-vs-ice-maintenance-the-first-100000-miles/</t>
  </si>
  <si>
    <t>This work is licensed under a Creative Commons Attribution-NonCommercial 4.0 International License.</t>
  </si>
  <si>
    <t>You may not use the material for commercial purposes without  first obtaining written permission.</t>
  </si>
  <si>
    <t xml:space="preserve">2018-2019, ARK Investment Management LLC. All content is original and has been researched and produced by ARK Investment Management LLC (“ARK”) unless otherwise stated herein. </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</si>
  <si>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</si>
  <si>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r>
      <t>ARK's statements are not an endorsement of any company or a recommendation to buy, sell or hold any security. For a list of all purchases and sales made by ARK for client accounts during the past year that could be considered by the SEC as recommendations, </t>
    </r>
    <r>
      <rPr>
        <b/>
        <u/>
        <sz val="11"/>
        <rFont val="Calibri"/>
        <family val="2"/>
      </rPr>
      <t>click here</t>
    </r>
    <r>
      <rPr>
        <b/>
        <sz val="11"/>
        <rFont val="Calibri"/>
        <family val="2"/>
      </rPr>
      <t>. It should not be assumed that recommendations made in the future will be profitable or will equal the performance of the securities in this list. For full disclosures, </t>
    </r>
    <r>
      <rPr>
        <b/>
        <u/>
        <sz val="11"/>
        <rFont val="Calibri"/>
        <family val="2"/>
      </rPr>
      <t>click here</t>
    </r>
    <r>
      <rPr>
        <b/>
        <sz val="11"/>
        <rFont val="Calibri"/>
        <family val="2"/>
      </rPr>
      <t>.</t>
    </r>
  </si>
  <si>
    <t>All statements made herein are strictly beliefs and points of view held by ARK. ARK assumes no obligation to update any forward-looking information contained herein. Although ARK has taken reasonable care to ensure that the information contained herein is accurate, no representation or warranty (including liability towards third parties), expressed or implied, is made by ARK as to its accuracy, reliability or completeness.</t>
  </si>
  <si>
    <t>Autonomous Taxi Price Per Mile</t>
  </si>
  <si>
    <t>Assume $0.10 per kWh, battery is 75kWh which lasts for 325 miles (like Tesla)</t>
  </si>
  <si>
    <t>Each autonomous car can accomodate 8.6 people @ 13,500 miles per year per car / 219,000 total possible autonomous miles possible per car per year (asuming 25MPH x 24 hrs/day x 365 days/year). Formula subject to updates.</t>
  </si>
  <si>
    <t xml:space="preserve">Cleaning </t>
  </si>
  <si>
    <t>Cleaning</t>
  </si>
  <si>
    <t>65USD Cleaning / Week (Exterior &amp; Interial manual cleaning price in 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</si>
</sst>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00_-;\-* #,##0.00_-;_-* &quot;-&quot;??_-;_-@_-"/>
    <numFmt numFmtId="166" formatCode="_-* #,##0_-;\-* #,##0_-;_-* &quot;-&quot;??_-;_-@_-"/>
    <numFmt numFmtId="167" formatCode="_-&quot;$&quot;* #,##0.00_-;\-&quot;$&quot;* #,##0.00_-;_-&quot;$&quot;* &quot;-&quot;??_-;_-@_-"/>
  </numFmts>
  <fonts count="29">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theme="1" tint="0.499984740745262"/>
      <name val="Calibri"/>
      <family val="2"/>
      <scheme val="minor"/>
    </font>
    <font>
      <sz val="12"/>
      <color rgb="FF0000FF"/>
      <name val="Calibri"/>
      <family val="2"/>
      <scheme val="minor"/>
    </font>
    <font>
      <sz val="12"/>
      <name val="Calibri"/>
      <family val="2"/>
      <scheme val="minor"/>
    </font>
    <font>
      <b/>
      <sz val="20"/>
      <color theme="1"/>
      <name val="Calibri"/>
      <family val="2"/>
      <scheme val="minor"/>
    </font>
    <font>
      <b/>
      <u/>
      <sz val="12"/>
      <color theme="1" tint="0.499984740745262"/>
      <name val="Calibri"/>
      <family val="2"/>
      <scheme val="minor"/>
    </font>
    <font>
      <i/>
      <sz val="11"/>
      <color theme="1"/>
      <name val="Calibri"/>
      <family val="2"/>
      <scheme val="minor"/>
    </font>
    <font>
      <sz val="12"/>
      <color theme="0" tint="-0.14999847407452621"/>
      <name val="Calibri"/>
      <family val="2"/>
      <scheme val="minor"/>
    </font>
    <font>
      <b/>
      <sz val="12"/>
      <color theme="0" tint="-0.14999847407452621"/>
      <name val="Calibri"/>
      <family val="2"/>
      <scheme val="minor"/>
    </font>
    <font>
      <b/>
      <sz val="15"/>
      <color theme="1"/>
      <name val="Calibri"/>
      <family val="2"/>
      <scheme val="minor"/>
    </font>
    <font>
      <sz val="12"/>
      <color theme="0" tint="-0.34998626667073579"/>
      <name val="Calibri"/>
      <family val="2"/>
      <scheme val="minor"/>
    </font>
    <font>
      <sz val="12"/>
      <color rgb="FF3366FF"/>
      <name val="Calibri"/>
      <family val="2"/>
      <scheme val="minor"/>
    </font>
    <font>
      <sz val="12"/>
      <color theme="2" tint="-9.9978637043366805E-2"/>
      <name val="Calibri"/>
      <family val="2"/>
      <scheme val="minor"/>
    </font>
    <font>
      <b/>
      <sz val="10"/>
      <name val="Arial"/>
      <family val="2"/>
    </font>
    <font>
      <sz val="11"/>
      <color theme="1"/>
      <name val="Calibri"/>
      <family val="2"/>
      <scheme val="minor"/>
    </font>
    <font>
      <sz val="18"/>
      <name val="P-AVGARD"/>
    </font>
    <font>
      <b/>
      <sz val="12"/>
      <name val="Helv"/>
    </font>
    <font>
      <u/>
      <sz val="12"/>
      <color theme="10"/>
      <name val="Calibri"/>
      <family val="2"/>
      <scheme val="minor"/>
    </font>
    <font>
      <u/>
      <sz val="12"/>
      <color theme="11"/>
      <name val="Calibri"/>
      <family val="2"/>
      <scheme val="minor"/>
    </font>
    <font>
      <u/>
      <sz val="10"/>
      <color theme="10"/>
      <name val="Calibri"/>
      <family val="2"/>
      <scheme val="minor"/>
    </font>
    <font>
      <b/>
      <sz val="10"/>
      <name val="Calibri"/>
      <family val="2"/>
      <scheme val="minor"/>
    </font>
    <font>
      <b/>
      <sz val="11"/>
      <color rgb="FF000000"/>
      <name val="Calibri"/>
      <family val="2"/>
    </font>
    <font>
      <sz val="11"/>
      <color rgb="FF000000"/>
      <name val="Calibri"/>
      <family val="2"/>
    </font>
    <font>
      <b/>
      <sz val="11"/>
      <name val="Calibri"/>
      <family val="2"/>
    </font>
    <font>
      <b/>
      <u/>
      <sz val="11"/>
      <name val="Calibri"/>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00FF"/>
        <bgColor indexed="64"/>
      </patternFill>
    </fill>
    <fill>
      <patternFill patternType="solid">
        <fgColor theme="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FF"/>
        <bgColor rgb="FF000000"/>
      </patternFill>
    </fill>
    <fill>
      <patternFill patternType="solid">
        <fgColor rgb="FFFFFF00"/>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bottom/>
      <diagonal/>
    </border>
    <border>
      <left style="thin">
        <color auto="1"/>
      </left>
      <right/>
      <top/>
      <bottom/>
      <diagonal/>
    </border>
  </borders>
  <cellStyleXfs count="29">
    <xf numFmtId="0" fontId="0" fillId="0" borderId="0"/>
    <xf numFmtId="9"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0" fontId="17" fillId="0" borderId="0" applyNumberFormat="0" applyFill="0" applyBorder="0" applyProtection="0"/>
    <xf numFmtId="165" fontId="18"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0" fontId="19" fillId="0" borderId="0"/>
    <xf numFmtId="0" fontId="18"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alignment horizontal="left"/>
    </xf>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cellStyleXfs>
  <cellXfs count="97">
    <xf numFmtId="0" fontId="0" fillId="0" borderId="0" xfId="0"/>
    <xf numFmtId="0" fontId="0" fillId="2" borderId="0" xfId="0" applyFill="1" applyAlignment="1">
      <alignment horizontal="right"/>
    </xf>
    <xf numFmtId="0" fontId="3" fillId="2" borderId="1" xfId="0" applyFont="1" applyFill="1" applyBorder="1" applyAlignment="1">
      <alignment horizontal="left"/>
    </xf>
    <xf numFmtId="0" fontId="0" fillId="2" borderId="0" xfId="0" applyFill="1"/>
    <xf numFmtId="0" fontId="5" fillId="2" borderId="0" xfId="0" applyFont="1" applyFill="1"/>
    <xf numFmtId="0" fontId="6" fillId="2" borderId="2" xfId="0" applyFont="1" applyFill="1" applyBorder="1" applyAlignment="1">
      <alignment horizontal="left"/>
    </xf>
    <xf numFmtId="0" fontId="7" fillId="2" borderId="3" xfId="0" applyFont="1" applyFill="1" applyBorder="1" applyAlignment="1">
      <alignment horizontal="left"/>
    </xf>
    <xf numFmtId="0" fontId="7" fillId="2" borderId="0" xfId="0" applyFont="1" applyFill="1" applyBorder="1" applyAlignment="1">
      <alignment horizontal="right"/>
    </xf>
    <xf numFmtId="0" fontId="0" fillId="2" borderId="0" xfId="0" applyFill="1" applyBorder="1"/>
    <xf numFmtId="0" fontId="8" fillId="2" borderId="0" xfId="0" applyFont="1" applyFill="1"/>
    <xf numFmtId="0" fontId="9" fillId="2" borderId="0" xfId="0" applyFont="1" applyFill="1"/>
    <xf numFmtId="0" fontId="5" fillId="2" borderId="0" xfId="0" applyFont="1" applyFill="1" applyBorder="1"/>
    <xf numFmtId="0" fontId="5" fillId="2" borderId="0" xfId="0" applyFont="1" applyFill="1" applyBorder="1" applyAlignment="1">
      <alignment horizontal="left" vertical="center"/>
    </xf>
    <xf numFmtId="3" fontId="0" fillId="2" borderId="0" xfId="0" applyNumberFormat="1" applyFill="1"/>
    <xf numFmtId="0" fontId="2" fillId="4" borderId="10" xfId="0" applyFont="1" applyFill="1" applyBorder="1"/>
    <xf numFmtId="0" fontId="4" fillId="4" borderId="5" xfId="0" applyFont="1" applyFill="1" applyBorder="1"/>
    <xf numFmtId="0" fontId="11" fillId="4" borderId="6" xfId="0" applyFont="1" applyFill="1" applyBorder="1"/>
    <xf numFmtId="0" fontId="0" fillId="2" borderId="12" xfId="0" applyFill="1" applyBorder="1"/>
    <xf numFmtId="3" fontId="6" fillId="2" borderId="0" xfId="0" applyNumberFormat="1" applyFont="1" applyFill="1" applyBorder="1"/>
    <xf numFmtId="0" fontId="0" fillId="2" borderId="11" xfId="0" applyFill="1" applyBorder="1"/>
    <xf numFmtId="2" fontId="6" fillId="2" borderId="0" xfId="0" applyNumberFormat="1" applyFont="1" applyFill="1" applyBorder="1"/>
    <xf numFmtId="0" fontId="0" fillId="2" borderId="12" xfId="0" applyFill="1" applyBorder="1" applyAlignment="1">
      <alignment wrapText="1"/>
    </xf>
    <xf numFmtId="0" fontId="0" fillId="2" borderId="7" xfId="0" applyFill="1" applyBorder="1" applyAlignment="1">
      <alignment wrapText="1"/>
    </xf>
    <xf numFmtId="3" fontId="6" fillId="2" borderId="9" xfId="0" applyNumberFormat="1" applyFont="1" applyFill="1" applyBorder="1" applyAlignment="1">
      <alignment vertical="center"/>
    </xf>
    <xf numFmtId="0" fontId="0" fillId="2" borderId="8" xfId="0" applyFill="1" applyBorder="1" applyAlignment="1">
      <alignment vertical="center"/>
    </xf>
    <xf numFmtId="0" fontId="7" fillId="2" borderId="12" xfId="0" applyFont="1" applyFill="1" applyBorder="1"/>
    <xf numFmtId="0" fontId="0" fillId="2" borderId="8" xfId="0" applyFill="1" applyBorder="1"/>
    <xf numFmtId="0" fontId="3" fillId="2" borderId="0" xfId="0" applyFont="1" applyFill="1"/>
    <xf numFmtId="2" fontId="5" fillId="2" borderId="0" xfId="0" applyNumberFormat="1" applyFont="1" applyFill="1" applyBorder="1"/>
    <xf numFmtId="0" fontId="10" fillId="3" borderId="4" xfId="0" applyFont="1" applyFill="1" applyBorder="1" applyAlignment="1">
      <alignment vertical="center"/>
    </xf>
    <xf numFmtId="0" fontId="3" fillId="2" borderId="4" xfId="0" applyFont="1" applyFill="1" applyBorder="1"/>
    <xf numFmtId="3" fontId="0" fillId="2" borderId="0" xfId="0" applyNumberFormat="1" applyFill="1" applyBorder="1"/>
    <xf numFmtId="0" fontId="11" fillId="2" borderId="0" xfId="0" applyFont="1" applyFill="1"/>
    <xf numFmtId="3" fontId="5" fillId="2" borderId="0" xfId="0" applyNumberFormat="1" applyFont="1" applyFill="1"/>
    <xf numFmtId="0" fontId="11" fillId="2" borderId="0" xfId="0" applyFont="1" applyFill="1" applyAlignment="1">
      <alignment horizontal="right"/>
    </xf>
    <xf numFmtId="3" fontId="11" fillId="2" borderId="0" xfId="0" applyNumberFormat="1" applyFont="1" applyFill="1" applyBorder="1"/>
    <xf numFmtId="0" fontId="12" fillId="2" borderId="0" xfId="0" applyFont="1" applyFill="1" applyBorder="1"/>
    <xf numFmtId="164" fontId="11" fillId="2" borderId="0" xfId="3" applyFont="1" applyFill="1"/>
    <xf numFmtId="0" fontId="13" fillId="2" borderId="0" xfId="0" applyFont="1" applyFill="1"/>
    <xf numFmtId="0" fontId="0" fillId="2" borderId="0" xfId="0" applyFont="1" applyFill="1"/>
    <xf numFmtId="0" fontId="2" fillId="6" borderId="10" xfId="0" applyFont="1" applyFill="1" applyBorder="1"/>
    <xf numFmtId="1" fontId="2" fillId="6" borderId="5" xfId="0" applyNumberFormat="1" applyFont="1" applyFill="1" applyBorder="1" applyAlignment="1">
      <alignment horizontal="center"/>
    </xf>
    <xf numFmtId="1" fontId="2" fillId="6" borderId="6" xfId="0" applyNumberFormat="1" applyFont="1" applyFill="1" applyBorder="1" applyAlignment="1">
      <alignment horizontal="center"/>
    </xf>
    <xf numFmtId="164" fontId="0" fillId="2" borderId="0" xfId="0" applyNumberFormat="1" applyFill="1"/>
    <xf numFmtId="0" fontId="2" fillId="2" borderId="12" xfId="0" applyFont="1" applyFill="1" applyBorder="1"/>
    <xf numFmtId="1" fontId="2" fillId="2" borderId="0" xfId="0" applyNumberFormat="1" applyFont="1" applyFill="1" applyBorder="1" applyAlignment="1">
      <alignment horizontal="center"/>
    </xf>
    <xf numFmtId="1" fontId="2" fillId="2" borderId="11" xfId="0" applyNumberFormat="1" applyFont="1" applyFill="1" applyBorder="1" applyAlignment="1">
      <alignment horizontal="center"/>
    </xf>
    <xf numFmtId="164" fontId="5" fillId="2" borderId="0" xfId="0" applyNumberFormat="1" applyFont="1" applyFill="1"/>
    <xf numFmtId="9" fontId="5" fillId="2" borderId="0" xfId="2" applyFont="1" applyFill="1"/>
    <xf numFmtId="3" fontId="0" fillId="2" borderId="11" xfId="0" applyNumberFormat="1" applyFill="1" applyBorder="1"/>
    <xf numFmtId="9" fontId="5" fillId="2" borderId="0" xfId="0" applyNumberFormat="1" applyFont="1" applyFill="1"/>
    <xf numFmtId="0" fontId="3" fillId="7" borderId="12" xfId="0" applyFont="1" applyFill="1" applyBorder="1"/>
    <xf numFmtId="3" fontId="0" fillId="7" borderId="0" xfId="0" applyNumberFormat="1" applyFill="1" applyBorder="1"/>
    <xf numFmtId="3" fontId="0" fillId="7" borderId="11" xfId="0" applyNumberFormat="1" applyFill="1" applyBorder="1"/>
    <xf numFmtId="3" fontId="14" fillId="2" borderId="0" xfId="0" applyNumberFormat="1" applyFont="1" applyFill="1" applyBorder="1"/>
    <xf numFmtId="0" fontId="0" fillId="8" borderId="12" xfId="0" applyFont="1" applyFill="1" applyBorder="1"/>
    <xf numFmtId="9" fontId="15" fillId="2" borderId="4" xfId="0" applyNumberFormat="1" applyFont="1" applyFill="1" applyBorder="1"/>
    <xf numFmtId="166" fontId="14" fillId="2" borderId="0" xfId="4" applyNumberFormat="1" applyFont="1" applyFill="1" applyBorder="1"/>
    <xf numFmtId="9" fontId="5" fillId="2" borderId="0" xfId="1" applyFont="1" applyFill="1"/>
    <xf numFmtId="38" fontId="0" fillId="7" borderId="0" xfId="0" applyNumberFormat="1" applyFill="1" applyBorder="1"/>
    <xf numFmtId="0" fontId="0" fillId="7" borderId="0" xfId="0" applyFill="1" applyBorder="1"/>
    <xf numFmtId="0" fontId="3" fillId="7" borderId="7" xfId="0" applyFont="1" applyFill="1" applyBorder="1"/>
    <xf numFmtId="9" fontId="0" fillId="7" borderId="9" xfId="0" applyNumberFormat="1" applyFill="1" applyBorder="1" applyAlignment="1">
      <alignment horizontal="right"/>
    </xf>
    <xf numFmtId="0" fontId="0" fillId="2" borderId="9" xfId="0" applyFill="1" applyBorder="1"/>
    <xf numFmtId="0" fontId="16" fillId="2" borderId="0" xfId="0" applyFont="1" applyFill="1"/>
    <xf numFmtId="0" fontId="16" fillId="9" borderId="0" xfId="0" applyFont="1" applyFill="1"/>
    <xf numFmtId="0" fontId="5" fillId="2" borderId="0" xfId="0" applyFont="1" applyFill="1" applyBorder="1" applyAlignment="1">
      <alignment vertical="center" wrapText="1"/>
    </xf>
    <xf numFmtId="9" fontId="6" fillId="2" borderId="0" xfId="1" applyFont="1" applyFill="1" applyBorder="1"/>
    <xf numFmtId="0" fontId="9" fillId="2" borderId="0" xfId="0" applyFont="1" applyFill="1" applyBorder="1"/>
    <xf numFmtId="0" fontId="5" fillId="2" borderId="0" xfId="0" applyFont="1" applyFill="1" applyBorder="1" applyAlignment="1">
      <alignment vertical="center"/>
    </xf>
    <xf numFmtId="3" fontId="6" fillId="2" borderId="0" xfId="0" applyNumberFormat="1" applyFont="1" applyFill="1" applyBorder="1" applyAlignment="1">
      <alignment horizontal="right"/>
    </xf>
    <xf numFmtId="0" fontId="5" fillId="0" borderId="0" xfId="0" applyFont="1" applyFill="1" applyBorder="1" applyAlignment="1">
      <alignment horizontal="left" vertical="center"/>
    </xf>
    <xf numFmtId="166" fontId="14" fillId="2" borderId="11" xfId="4" applyNumberFormat="1" applyFont="1" applyFill="1" applyBorder="1"/>
    <xf numFmtId="3" fontId="0" fillId="2" borderId="0" xfId="0" applyNumberFormat="1" applyFont="1" applyFill="1" applyBorder="1"/>
    <xf numFmtId="0" fontId="0" fillId="2" borderId="0" xfId="0" applyFont="1" applyFill="1" applyBorder="1"/>
    <xf numFmtId="0" fontId="5" fillId="0" borderId="0" xfId="0" applyFont="1" applyFill="1" applyBorder="1" applyAlignment="1">
      <alignment vertical="center" wrapText="1"/>
    </xf>
    <xf numFmtId="0" fontId="5" fillId="0" borderId="0" xfId="0" applyFont="1" applyFill="1" applyBorder="1"/>
    <xf numFmtId="9" fontId="15" fillId="2" borderId="0" xfId="0" applyNumberFormat="1" applyFont="1" applyFill="1" applyBorder="1"/>
    <xf numFmtId="0" fontId="5" fillId="2" borderId="0" xfId="0" applyFont="1" applyFill="1" applyBorder="1" applyAlignment="1"/>
    <xf numFmtId="164" fontId="4" fillId="5" borderId="4" xfId="3" applyNumberFormat="1" applyFont="1" applyFill="1" applyBorder="1"/>
    <xf numFmtId="164" fontId="0" fillId="2" borderId="0" xfId="0" applyNumberFormat="1" applyFont="1" applyFill="1" applyBorder="1"/>
    <xf numFmtId="0" fontId="23" fillId="0" borderId="0" xfId="28" applyFont="1" applyAlignment="1">
      <alignment vertical="center"/>
    </xf>
    <xf numFmtId="0" fontId="24" fillId="0" borderId="0" xfId="28" applyFont="1" applyAlignment="1">
      <alignment vertical="center"/>
    </xf>
    <xf numFmtId="0" fontId="0" fillId="0" borderId="0" xfId="0" applyAlignment="1">
      <alignment vertical="center"/>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vertical="center" wrapText="1"/>
    </xf>
    <xf numFmtId="0" fontId="3" fillId="2" borderId="0" xfId="0" applyFont="1" applyFill="1" applyBorder="1"/>
    <xf numFmtId="164" fontId="3" fillId="2" borderId="0" xfId="0" applyNumberFormat="1" applyFont="1" applyFill="1" applyBorder="1"/>
    <xf numFmtId="0" fontId="0" fillId="10" borderId="12" xfId="0" applyFill="1" applyBorder="1" applyAlignment="1">
      <alignment wrapText="1"/>
    </xf>
    <xf numFmtId="1" fontId="6" fillId="10" borderId="0" xfId="0" applyNumberFormat="1" applyFont="1" applyFill="1" applyBorder="1"/>
    <xf numFmtId="0" fontId="0" fillId="10" borderId="11" xfId="0" applyFill="1" applyBorder="1"/>
    <xf numFmtId="0" fontId="5" fillId="10" borderId="0" xfId="0" applyFont="1" applyFill="1" applyBorder="1" applyAlignment="1">
      <alignment horizontal="left" vertical="center"/>
    </xf>
    <xf numFmtId="0" fontId="5" fillId="10" borderId="0" xfId="0" applyFont="1" applyFill="1" applyBorder="1"/>
    <xf numFmtId="0" fontId="0" fillId="10" borderId="12" xfId="0" applyFill="1" applyBorder="1"/>
    <xf numFmtId="3" fontId="0" fillId="10" borderId="0" xfId="0" applyNumberFormat="1" applyFill="1" applyBorder="1"/>
    <xf numFmtId="3" fontId="0" fillId="10" borderId="11" xfId="0" applyNumberFormat="1" applyFill="1" applyBorder="1"/>
  </cellXfs>
  <cellStyles count="29">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old" xfId="5" xr:uid="{00000000-0005-0000-0000-000000000000}"/>
    <cellStyle name="Comma 2" xfId="4" xr:uid="{00000000-0005-0000-0000-000001000000}"/>
    <cellStyle name="Comma 2 2" xfId="6" xr:uid="{00000000-0005-0000-0000-000002000000}"/>
    <cellStyle name="Comma 2 3" xfId="7" xr:uid="{00000000-0005-0000-0000-000003000000}"/>
    <cellStyle name="Comma 3" xfId="3" xr:uid="{00000000-0005-0000-0000-000004000000}"/>
    <cellStyle name="Comma 4" xfId="8" xr:uid="{00000000-0005-0000-0000-000005000000}"/>
    <cellStyle name="Currency 2" xfId="9" xr:uid="{00000000-0005-0000-0000-000006000000}"/>
    <cellStyle name="Link" xfId="18" builtinId="8" hidden="1"/>
    <cellStyle name="Link" xfId="20" builtinId="8" hidden="1"/>
    <cellStyle name="Link" xfId="22" builtinId="8" hidden="1"/>
    <cellStyle name="Link" xfId="24" builtinId="8" hidden="1"/>
    <cellStyle name="Link" xfId="26" builtinId="8" hidden="1"/>
    <cellStyle name="Link" xfId="28" builtinId="8"/>
    <cellStyle name="Normal 2" xfId="10" xr:uid="{00000000-0005-0000-0000-000013000000}"/>
    <cellStyle name="Normal 2 2" xfId="11" xr:uid="{00000000-0005-0000-0000-000014000000}"/>
    <cellStyle name="Normal 3" xfId="12" xr:uid="{00000000-0005-0000-0000-000015000000}"/>
    <cellStyle name="Percent 2" xfId="13" xr:uid="{00000000-0005-0000-0000-000017000000}"/>
    <cellStyle name="Percent 2 2" xfId="14" xr:uid="{00000000-0005-0000-0000-000018000000}"/>
    <cellStyle name="Percent 2 3" xfId="15" xr:uid="{00000000-0005-0000-0000-000019000000}"/>
    <cellStyle name="Percent 3" xfId="2" xr:uid="{00000000-0005-0000-0000-00001A000000}"/>
    <cellStyle name="Percent 4" xfId="16" xr:uid="{00000000-0005-0000-0000-00001B000000}"/>
    <cellStyle name="Prozent" xfId="1" builtinId="5"/>
    <cellStyle name="Standard" xfId="0" builtinId="0"/>
    <cellStyle name="Title-2" xfId="17" xr:uid="{00000000-0005-0000-0000-00001C000000}"/>
  </cellStyles>
  <dxfs count="0"/>
  <tableStyles count="0" defaultTableStyle="TableStyleMedium9" defaultPivotStyle="PivotStyleMedium7"/>
  <colors>
    <mruColors>
      <color rgb="FFF1BB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4.0/" TargetMode="External"/><Relationship Id="rId2" Type="http://schemas.openxmlformats.org/officeDocument/2006/relationships/image" Target="../media/image1.png"/><Relationship Id="rId1" Type="http://schemas.openxmlformats.org/officeDocument/2006/relationships/hyperlink" Target="https://ark-invest.com" TargetMode="External"/><Relationship Id="rId4" Type="http://schemas.openxmlformats.org/officeDocument/2006/relationships/image" Target="../media/image2.im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88900</xdr:rowOff>
    </xdr:from>
    <xdr:to>
      <xdr:col>0</xdr:col>
      <xdr:colOff>1595044</xdr:colOff>
      <xdr:row>0</xdr:row>
      <xdr:rowOff>673100</xdr:rowOff>
    </xdr:to>
    <xdr:pic>
      <xdr:nvPicPr>
        <xdr:cNvPr id="2" name="Picture 1">
          <a:hlinkClick xmlns:r="http://schemas.openxmlformats.org/officeDocument/2006/relationships" r:id="rId1"/>
          <a:extLst>
            <a:ext uri="{FF2B5EF4-FFF2-40B4-BE49-F238E27FC236}">
              <a16:creationId xmlns:a16="http://schemas.microsoft.com/office/drawing/2014/main" id="{EAAFB6BF-00C5-484E-912C-F879ACBF6F70}"/>
            </a:ext>
          </a:extLst>
        </xdr:cNvPr>
        <xdr:cNvPicPr>
          <a:picLocks noChangeAspect="1"/>
        </xdr:cNvPicPr>
      </xdr:nvPicPr>
      <xdr:blipFill>
        <a:blip xmlns:r="http://schemas.openxmlformats.org/officeDocument/2006/relationships" r:embed="rId2"/>
        <a:stretch>
          <a:fillRect/>
        </a:stretch>
      </xdr:blipFill>
      <xdr:spPr>
        <a:xfrm>
          <a:off x="114299" y="88900"/>
          <a:ext cx="1480745" cy="584200"/>
        </a:xfrm>
        <a:prstGeom prst="rect">
          <a:avLst/>
        </a:prstGeom>
      </xdr:spPr>
    </xdr:pic>
    <xdr:clientData/>
  </xdr:twoCellAnchor>
  <xdr:twoCellAnchor editAs="oneCell">
    <xdr:from>
      <xdr:col>0</xdr:col>
      <xdr:colOff>4533900</xdr:colOff>
      <xdr:row>0</xdr:row>
      <xdr:rowOff>152400</xdr:rowOff>
    </xdr:from>
    <xdr:to>
      <xdr:col>0</xdr:col>
      <xdr:colOff>5842000</xdr:colOff>
      <xdr:row>0</xdr:row>
      <xdr:rowOff>617388</xdr:rowOff>
    </xdr:to>
    <xdr:pic>
      <xdr:nvPicPr>
        <xdr:cNvPr id="3" name="Picture 2">
          <a:hlinkClick xmlns:r="http://schemas.openxmlformats.org/officeDocument/2006/relationships" r:id="rId3"/>
          <a:extLst>
            <a:ext uri="{FF2B5EF4-FFF2-40B4-BE49-F238E27FC236}">
              <a16:creationId xmlns:a16="http://schemas.microsoft.com/office/drawing/2014/main" id="{01437F55-F667-724E-B448-6EEB2DCFC319}"/>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533900" y="152400"/>
          <a:ext cx="1308100" cy="4649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3" sqref="A3"/>
    </sheetView>
  </sheetViews>
  <sheetFormatPr baseColWidth="10" defaultRowHeight="15.75"/>
  <cols>
    <col min="1" max="1" width="78.375" customWidth="1"/>
  </cols>
  <sheetData>
    <row r="1" spans="1:1" ht="56.1" customHeight="1"/>
    <row r="2" spans="1:1">
      <c r="A2" s="81" t="s">
        <v>74</v>
      </c>
    </row>
    <row r="3" spans="1:1">
      <c r="A3" s="82" t="s">
        <v>75</v>
      </c>
    </row>
    <row r="4" spans="1:1">
      <c r="A4" s="83"/>
    </row>
    <row r="5" spans="1:1" ht="30">
      <c r="A5" s="84" t="s">
        <v>76</v>
      </c>
    </row>
    <row r="6" spans="1:1">
      <c r="A6" s="85"/>
    </row>
    <row r="7" spans="1:1" ht="84" customHeight="1">
      <c r="A7" s="84" t="s">
        <v>77</v>
      </c>
    </row>
    <row r="8" spans="1:1">
      <c r="A8" s="84"/>
    </row>
    <row r="9" spans="1:1" ht="81.95" customHeight="1">
      <c r="A9" s="86" t="s">
        <v>78</v>
      </c>
    </row>
    <row r="10" spans="1:1">
      <c r="A10" s="85"/>
    </row>
    <row r="11" spans="1:1" ht="78" customHeight="1">
      <c r="A11" s="84" t="s">
        <v>79</v>
      </c>
    </row>
  </sheetData>
  <sheetProtection algorithmName="SHA-512" hashValue="Jp2NPGDxq4ipKSvZio8u5uepMuatkqRKF2qMIacR4bE5gWPmZT21uodFWqY5BWjSr4pWny6SqQj/aPP07qNQwA==" saltValue="0YkILgcRRcpUdMz8SnZf+w==" spinCount="100000" sheet="1" objects="1" scenarios="1"/>
  <hyperlinks>
    <hyperlink ref="A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P103"/>
  <sheetViews>
    <sheetView tabSelected="1" topLeftCell="A34" zoomScale="114" zoomScaleNormal="114" workbookViewId="0">
      <selection activeCell="C22" sqref="C22"/>
    </sheetView>
  </sheetViews>
  <sheetFormatPr baseColWidth="10" defaultColWidth="10.875" defaultRowHeight="15.75"/>
  <cols>
    <col min="1" max="1" width="6.125" style="1" customWidth="1"/>
    <col min="2" max="2" width="55.125" style="3" customWidth="1"/>
    <col min="3" max="3" width="21.875" style="3" customWidth="1"/>
    <col min="4" max="4" width="13.875" style="3" customWidth="1"/>
    <col min="5" max="5" width="19.375" style="3" customWidth="1"/>
    <col min="6" max="8" width="13.875" style="3" customWidth="1"/>
    <col min="9" max="9" width="17.125" style="3" customWidth="1"/>
    <col min="10" max="10" width="14" style="3" customWidth="1"/>
    <col min="11" max="14" width="10.875" style="3"/>
    <col min="15" max="16" width="10.875" style="4"/>
    <col min="17" max="16384" width="10.875" style="3"/>
  </cols>
  <sheetData>
    <row r="1" spans="1:16">
      <c r="B1" s="2" t="s">
        <v>0</v>
      </c>
    </row>
    <row r="2" spans="1:16" s="4" customFormat="1">
      <c r="A2" s="1"/>
      <c r="B2" s="5" t="s">
        <v>1</v>
      </c>
      <c r="C2" s="3"/>
      <c r="D2" s="3"/>
      <c r="E2" s="3"/>
      <c r="F2" s="3"/>
      <c r="G2" s="3"/>
      <c r="H2" s="3"/>
      <c r="I2" s="3"/>
      <c r="J2" s="3"/>
      <c r="K2" s="3"/>
      <c r="L2" s="3"/>
      <c r="M2" s="3"/>
      <c r="N2" s="3"/>
    </row>
    <row r="3" spans="1:16" s="4" customFormat="1">
      <c r="A3" s="1"/>
      <c r="B3" s="6" t="s">
        <v>2</v>
      </c>
      <c r="C3" s="3"/>
      <c r="D3" s="3"/>
      <c r="E3" s="3"/>
      <c r="F3" s="3"/>
      <c r="G3" s="3"/>
      <c r="H3" s="3"/>
      <c r="I3" s="3"/>
      <c r="J3" s="3"/>
      <c r="K3" s="3"/>
      <c r="L3" s="3"/>
      <c r="M3" s="3"/>
      <c r="N3" s="3"/>
    </row>
    <row r="4" spans="1:16" s="4" customFormat="1">
      <c r="A4" s="7"/>
      <c r="B4" s="8"/>
      <c r="C4" s="3"/>
      <c r="D4" s="3"/>
      <c r="E4" s="3"/>
      <c r="F4" s="3"/>
      <c r="G4" s="3"/>
      <c r="H4" s="3"/>
      <c r="I4" s="3"/>
      <c r="J4" s="3"/>
      <c r="K4" s="3"/>
      <c r="L4" s="3"/>
      <c r="M4" s="3"/>
      <c r="N4" s="3"/>
    </row>
    <row r="5" spans="1:16" s="4" customFormat="1" ht="26.25">
      <c r="A5" s="1"/>
      <c r="B5" s="9" t="s">
        <v>3</v>
      </c>
      <c r="C5" s="3"/>
      <c r="D5" s="3"/>
      <c r="E5" s="76"/>
      <c r="F5" s="3"/>
      <c r="G5" s="3"/>
      <c r="H5" s="3"/>
      <c r="I5" s="3"/>
      <c r="J5" s="3"/>
      <c r="K5" s="3"/>
      <c r="L5" s="3"/>
      <c r="M5" s="3"/>
      <c r="N5" s="3"/>
    </row>
    <row r="6" spans="1:16" ht="6.95" customHeight="1">
      <c r="G6" s="13"/>
    </row>
    <row r="7" spans="1:16">
      <c r="B7" s="14" t="s">
        <v>67</v>
      </c>
      <c r="C7" s="15"/>
      <c r="D7" s="16" t="s">
        <v>10</v>
      </c>
      <c r="E7" s="10" t="s">
        <v>4</v>
      </c>
      <c r="F7" s="10"/>
      <c r="G7" s="10"/>
      <c r="H7" s="10"/>
      <c r="I7" s="10"/>
      <c r="J7" s="10"/>
      <c r="K7" s="10"/>
      <c r="L7" s="10"/>
      <c r="M7" s="10"/>
      <c r="N7" s="10"/>
      <c r="O7" s="10"/>
      <c r="P7" s="10"/>
    </row>
    <row r="8" spans="1:16" ht="15.95" customHeight="1">
      <c r="B8" s="17" t="s">
        <v>52</v>
      </c>
      <c r="C8" s="18">
        <v>45000</v>
      </c>
      <c r="D8" s="19"/>
      <c r="E8" s="69" t="s">
        <v>53</v>
      </c>
      <c r="F8" s="66"/>
      <c r="G8" s="66"/>
      <c r="H8" s="66"/>
      <c r="I8" s="66"/>
      <c r="J8" s="66"/>
      <c r="K8" s="66"/>
      <c r="L8" s="66"/>
      <c r="M8" s="66"/>
      <c r="N8" s="66"/>
      <c r="O8" s="66"/>
      <c r="P8" s="10"/>
    </row>
    <row r="9" spans="1:16" ht="15.95" customHeight="1">
      <c r="B9" s="17" t="s">
        <v>57</v>
      </c>
      <c r="C9" s="18">
        <v>5000</v>
      </c>
      <c r="D9" s="19"/>
      <c r="E9" s="69" t="s">
        <v>54</v>
      </c>
      <c r="F9" s="66"/>
      <c r="G9" s="66"/>
      <c r="H9" s="66"/>
      <c r="I9" s="66"/>
      <c r="J9" s="66"/>
      <c r="K9" s="66"/>
      <c r="L9" s="66"/>
      <c r="M9" s="66"/>
      <c r="N9" s="66"/>
    </row>
    <row r="10" spans="1:16" ht="15.95" customHeight="1">
      <c r="B10" s="17" t="s">
        <v>6</v>
      </c>
      <c r="C10" s="67">
        <f>13500*8.6/(25*24*365)</f>
        <v>0.53013698630136985</v>
      </c>
      <c r="D10" s="19"/>
      <c r="E10" s="69" t="s">
        <v>82</v>
      </c>
      <c r="F10" s="66"/>
      <c r="G10" s="75"/>
      <c r="H10" s="66"/>
      <c r="I10" s="66"/>
      <c r="J10" s="66"/>
      <c r="K10" s="66"/>
      <c r="L10" s="66"/>
      <c r="M10" s="66"/>
      <c r="N10" s="66"/>
    </row>
    <row r="11" spans="1:16" ht="15.95" customHeight="1">
      <c r="B11" s="17" t="s">
        <v>7</v>
      </c>
      <c r="C11" s="67">
        <f>C10+(C10/0.91-C10)</f>
        <v>0.58256811681469212</v>
      </c>
      <c r="D11" s="19"/>
      <c r="E11" s="71" t="s">
        <v>61</v>
      </c>
      <c r="F11" s="11"/>
      <c r="G11" s="66"/>
      <c r="H11" s="66"/>
      <c r="I11" s="66"/>
      <c r="J11" s="66"/>
      <c r="K11" s="66"/>
      <c r="L11" s="66"/>
      <c r="M11" s="66"/>
      <c r="N11" s="66"/>
    </row>
    <row r="12" spans="1:16" ht="15.95" customHeight="1">
      <c r="B12" s="17" t="s">
        <v>56</v>
      </c>
      <c r="C12" s="18">
        <v>25</v>
      </c>
      <c r="D12" s="19"/>
      <c r="E12" s="69" t="s">
        <v>62</v>
      </c>
      <c r="F12" s="11"/>
      <c r="G12" s="66"/>
      <c r="H12" s="66"/>
      <c r="I12" s="66"/>
      <c r="J12" s="66"/>
      <c r="K12" s="66"/>
      <c r="L12" s="66"/>
      <c r="M12" s="66"/>
      <c r="N12" s="66"/>
    </row>
    <row r="13" spans="1:16" ht="15.95" customHeight="1">
      <c r="B13" s="17" t="s">
        <v>8</v>
      </c>
      <c r="C13" s="73">
        <f>C12*24*365</f>
        <v>219000</v>
      </c>
      <c r="D13" s="19"/>
      <c r="E13" s="69" t="s">
        <v>64</v>
      </c>
      <c r="F13" s="11"/>
      <c r="G13" s="66"/>
      <c r="H13" s="66"/>
      <c r="I13" s="66"/>
      <c r="J13" s="66"/>
      <c r="K13" s="66"/>
      <c r="L13" s="66"/>
      <c r="M13" s="66"/>
      <c r="N13" s="66"/>
    </row>
    <row r="14" spans="1:16" ht="15.95" customHeight="1">
      <c r="B14" s="17" t="s">
        <v>9</v>
      </c>
      <c r="C14" s="67">
        <v>0.83</v>
      </c>
      <c r="D14" s="19"/>
      <c r="E14" s="12" t="s">
        <v>55</v>
      </c>
      <c r="F14" s="66"/>
      <c r="G14" s="66"/>
      <c r="H14" s="66"/>
      <c r="I14" s="66"/>
      <c r="J14" s="66"/>
      <c r="K14" s="66"/>
      <c r="L14" s="66"/>
      <c r="M14" s="66"/>
      <c r="N14" s="66"/>
    </row>
    <row r="15" spans="1:16">
      <c r="B15" s="17" t="s">
        <v>24</v>
      </c>
      <c r="C15" s="70" t="s">
        <v>68</v>
      </c>
      <c r="D15" s="19"/>
      <c r="E15" s="78"/>
      <c r="F15" s="11"/>
      <c r="G15" s="11"/>
      <c r="H15" s="11"/>
      <c r="I15" s="11"/>
      <c r="J15" s="11"/>
      <c r="K15" s="11"/>
      <c r="L15" s="11"/>
      <c r="M15" s="11"/>
      <c r="N15" s="11"/>
    </row>
    <row r="16" spans="1:16">
      <c r="B16" s="17" t="s">
        <v>14</v>
      </c>
      <c r="C16" s="20">
        <f>7500/70000*(1-C14)</f>
        <v>1.8214285714285718E-2</v>
      </c>
      <c r="D16" s="19" t="s">
        <v>18</v>
      </c>
      <c r="E16" s="78" t="s">
        <v>15</v>
      </c>
      <c r="F16" s="11"/>
      <c r="G16" s="11"/>
      <c r="H16" s="11"/>
      <c r="I16" s="11"/>
      <c r="J16" s="11"/>
      <c r="K16" s="11"/>
      <c r="L16" s="11"/>
      <c r="M16" s="11"/>
      <c r="N16" s="11"/>
    </row>
    <row r="17" spans="1:14">
      <c r="B17" s="17" t="s">
        <v>17</v>
      </c>
      <c r="C17" s="20">
        <f>0.1/(325/75)</f>
        <v>2.3076923076923078E-2</v>
      </c>
      <c r="D17" s="19" t="s">
        <v>18</v>
      </c>
      <c r="E17" s="78" t="s">
        <v>81</v>
      </c>
      <c r="F17" s="11"/>
      <c r="G17" s="11"/>
      <c r="H17" s="11"/>
      <c r="I17" s="11"/>
      <c r="J17" s="11"/>
      <c r="K17" s="11"/>
      <c r="L17" s="11"/>
      <c r="M17" s="11"/>
      <c r="N17" s="11"/>
    </row>
    <row r="18" spans="1:14">
      <c r="B18" s="17" t="s">
        <v>19</v>
      </c>
      <c r="C18" s="20">
        <f>0.063111481*0.35</f>
        <v>2.2089018349999996E-2</v>
      </c>
      <c r="D18" s="19" t="s">
        <v>18</v>
      </c>
      <c r="E18" s="78" t="s">
        <v>20</v>
      </c>
      <c r="F18" s="4"/>
      <c r="G18" s="11"/>
      <c r="H18" s="11"/>
      <c r="I18" s="11"/>
      <c r="J18" s="11"/>
      <c r="K18" s="11"/>
      <c r="L18" s="11"/>
      <c r="M18" s="11"/>
      <c r="N18" s="11"/>
    </row>
    <row r="19" spans="1:14">
      <c r="B19" s="17" t="s">
        <v>21</v>
      </c>
      <c r="C19" s="20">
        <v>8.518518518518519E-3</v>
      </c>
      <c r="D19" s="19" t="s">
        <v>18</v>
      </c>
      <c r="E19" s="78" t="s">
        <v>66</v>
      </c>
      <c r="F19" s="4"/>
      <c r="G19" s="11"/>
      <c r="H19" s="11"/>
      <c r="I19" s="11"/>
      <c r="J19" s="11"/>
      <c r="K19" s="11"/>
      <c r="L19" s="11"/>
      <c r="M19" s="11"/>
      <c r="N19" s="11"/>
    </row>
    <row r="20" spans="1:14" ht="16.5" customHeight="1">
      <c r="B20" s="21" t="s">
        <v>22</v>
      </c>
      <c r="C20" s="20">
        <v>0.04</v>
      </c>
      <c r="D20" s="19" t="s">
        <v>18</v>
      </c>
      <c r="E20" s="69" t="s">
        <v>60</v>
      </c>
      <c r="F20" s="11"/>
      <c r="G20" s="11"/>
      <c r="H20" s="11"/>
      <c r="I20" s="11"/>
      <c r="J20" s="11"/>
      <c r="K20" s="11"/>
      <c r="L20" s="11"/>
      <c r="M20" s="11"/>
      <c r="N20" s="11"/>
    </row>
    <row r="21" spans="1:14">
      <c r="B21" s="21" t="s">
        <v>58</v>
      </c>
      <c r="C21" s="20">
        <v>1.2999999999999999E-2</v>
      </c>
      <c r="D21" s="19" t="s">
        <v>18</v>
      </c>
      <c r="E21" s="12" t="s">
        <v>60</v>
      </c>
      <c r="F21" s="11"/>
      <c r="G21" s="11"/>
      <c r="H21" s="11"/>
      <c r="I21" s="11"/>
      <c r="J21" s="11"/>
      <c r="K21" s="11"/>
      <c r="L21" s="11"/>
      <c r="M21" s="11"/>
      <c r="N21" s="11"/>
    </row>
    <row r="22" spans="1:14">
      <c r="B22" s="89" t="s">
        <v>83</v>
      </c>
      <c r="C22" s="90">
        <f>65*52</f>
        <v>3380</v>
      </c>
      <c r="D22" s="91" t="s">
        <v>11</v>
      </c>
      <c r="E22" s="92" t="s">
        <v>85</v>
      </c>
      <c r="F22" s="93"/>
      <c r="G22" s="93"/>
      <c r="H22" s="93"/>
      <c r="I22" s="11"/>
      <c r="J22" s="11"/>
      <c r="K22" s="11"/>
      <c r="L22" s="11"/>
      <c r="M22" s="11"/>
      <c r="N22" s="11"/>
    </row>
    <row r="23" spans="1:14">
      <c r="B23" s="22" t="s">
        <v>23</v>
      </c>
      <c r="C23" s="23">
        <f>1799.86133487637*0.4</f>
        <v>719.94453395054802</v>
      </c>
      <c r="D23" s="24" t="s">
        <v>11</v>
      </c>
      <c r="E23" s="78" t="s">
        <v>59</v>
      </c>
      <c r="F23" s="11"/>
      <c r="G23" s="11"/>
      <c r="H23" s="11"/>
      <c r="I23" s="11"/>
      <c r="J23" s="11"/>
      <c r="K23" s="11"/>
      <c r="L23" s="11"/>
      <c r="M23" s="11"/>
      <c r="N23" s="11"/>
    </row>
    <row r="24" spans="1:14" ht="8.1" customHeight="1">
      <c r="E24" s="11"/>
      <c r="F24" s="11"/>
      <c r="G24" s="11"/>
      <c r="H24" s="11"/>
      <c r="I24" s="11"/>
      <c r="J24" s="11"/>
      <c r="K24" s="11"/>
      <c r="L24" s="11"/>
      <c r="M24" s="11"/>
      <c r="N24" s="11"/>
    </row>
    <row r="25" spans="1:14" ht="8.1" customHeight="1">
      <c r="E25" s="4"/>
      <c r="F25" s="4"/>
      <c r="G25" s="4"/>
      <c r="H25" s="4"/>
      <c r="I25" s="4"/>
      <c r="J25" s="4"/>
      <c r="K25" s="4"/>
      <c r="L25" s="4"/>
      <c r="M25" s="4"/>
      <c r="N25" s="4"/>
    </row>
    <row r="26" spans="1:14">
      <c r="C26" s="27" t="s">
        <v>25</v>
      </c>
      <c r="D26" s="35"/>
      <c r="E26" s="68" t="s">
        <v>4</v>
      </c>
      <c r="F26" s="4"/>
      <c r="G26" s="4"/>
      <c r="H26" s="4"/>
      <c r="I26" s="4"/>
      <c r="J26" s="4"/>
      <c r="K26" s="4"/>
      <c r="L26" s="4"/>
      <c r="M26" s="4"/>
      <c r="N26" s="4"/>
    </row>
    <row r="27" spans="1:14">
      <c r="C27" s="29" t="s">
        <v>26</v>
      </c>
      <c r="D27" s="35"/>
      <c r="E27" s="68"/>
      <c r="F27" s="4"/>
      <c r="G27" s="4"/>
      <c r="H27" s="4"/>
      <c r="I27" s="4"/>
      <c r="J27" s="4"/>
      <c r="K27" s="4"/>
      <c r="L27" s="4"/>
      <c r="M27" s="4"/>
      <c r="N27" s="4"/>
    </row>
    <row r="28" spans="1:14">
      <c r="B28" s="30" t="s">
        <v>27</v>
      </c>
      <c r="C28" s="79">
        <v>0.2591220979029773</v>
      </c>
      <c r="D28" s="35"/>
      <c r="E28" s="28"/>
      <c r="F28" s="4"/>
      <c r="G28" s="4"/>
      <c r="H28" s="4"/>
      <c r="I28" s="4"/>
      <c r="J28" s="4"/>
      <c r="K28" s="4"/>
      <c r="L28" s="4"/>
      <c r="M28" s="4"/>
      <c r="N28" s="4"/>
    </row>
    <row r="29" spans="1:14">
      <c r="B29" s="74" t="s">
        <v>29</v>
      </c>
      <c r="C29" s="80">
        <v>0.72295897177081381</v>
      </c>
      <c r="D29" s="35"/>
      <c r="E29" s="4" t="s">
        <v>65</v>
      </c>
      <c r="F29" s="32"/>
      <c r="G29" s="4"/>
      <c r="H29" s="33"/>
      <c r="I29" s="33"/>
      <c r="J29" s="4"/>
      <c r="K29" s="4"/>
      <c r="L29" s="4"/>
      <c r="M29" s="4"/>
      <c r="N29" s="4"/>
    </row>
    <row r="30" spans="1:14">
      <c r="B30" s="74" t="s">
        <v>28</v>
      </c>
      <c r="C30" s="80">
        <v>3.47</v>
      </c>
      <c r="D30" s="35"/>
      <c r="E30" s="4" t="s">
        <v>65</v>
      </c>
      <c r="J30" s="4"/>
      <c r="K30" s="4"/>
      <c r="L30" s="4"/>
      <c r="M30" s="4"/>
      <c r="N30" s="4"/>
    </row>
    <row r="31" spans="1:14" s="32" customFormat="1">
      <c r="A31" s="34"/>
      <c r="B31" s="87" t="s">
        <v>30</v>
      </c>
      <c r="C31" s="88">
        <f>((-C50/(1/(1+C63)+1/((1+C63)^2)+1/((1+C63)^3)+1/((1+C63)^4)+1/((1+C63)^5))+D48)/(1-C56)-D50)/(C10*C13)</f>
        <v>0.28823493166697389</v>
      </c>
      <c r="D31" s="35"/>
    </row>
    <row r="32" spans="1:14" s="32" customFormat="1">
      <c r="A32" s="34"/>
      <c r="B32" s="36"/>
      <c r="C32" s="8"/>
      <c r="D32" s="35"/>
      <c r="E32" s="8"/>
      <c r="G32" s="37"/>
    </row>
    <row r="33" spans="2:16" ht="26.25">
      <c r="B33" s="9" t="s">
        <v>31</v>
      </c>
      <c r="C33" s="8"/>
      <c r="D33" s="8"/>
    </row>
    <row r="35" spans="2:16" ht="19.5">
      <c r="B35" s="38" t="s">
        <v>80</v>
      </c>
      <c r="I35" s="4"/>
    </row>
    <row r="36" spans="2:16">
      <c r="B36" s="39" t="s">
        <v>32</v>
      </c>
      <c r="C36" s="13"/>
      <c r="I36" s="4"/>
      <c r="J36" s="13"/>
    </row>
    <row r="37" spans="2:16">
      <c r="B37" s="40" t="s">
        <v>33</v>
      </c>
      <c r="C37" s="41">
        <v>0</v>
      </c>
      <c r="D37" s="41">
        <v>1</v>
      </c>
      <c r="E37" s="41">
        <f>D37+1</f>
        <v>2</v>
      </c>
      <c r="F37" s="41">
        <f>E37+1</f>
        <v>3</v>
      </c>
      <c r="G37" s="41">
        <f>F37+1</f>
        <v>4</v>
      </c>
      <c r="H37" s="42">
        <f>G37+1</f>
        <v>5</v>
      </c>
      <c r="I37" s="4"/>
      <c r="J37" s="4"/>
      <c r="K37" s="4"/>
      <c r="M37" s="43"/>
      <c r="O37" s="3"/>
      <c r="P37" s="3"/>
    </row>
    <row r="38" spans="2:16" ht="9" customHeight="1">
      <c r="B38" s="44"/>
      <c r="C38" s="45"/>
      <c r="D38" s="45"/>
      <c r="E38" s="45"/>
      <c r="F38" s="45"/>
      <c r="G38" s="45"/>
      <c r="H38" s="46"/>
      <c r="I38" s="4"/>
      <c r="J38" s="47"/>
      <c r="K38" s="4"/>
      <c r="O38" s="3"/>
      <c r="P38" s="3"/>
    </row>
    <row r="39" spans="2:16" ht="17.100000000000001" customHeight="1">
      <c r="B39" s="25" t="s">
        <v>34</v>
      </c>
      <c r="C39" s="31">
        <f>-SUM(C8:C9)</f>
        <v>-50000</v>
      </c>
      <c r="D39" s="45"/>
      <c r="E39" s="45"/>
      <c r="F39" s="45"/>
      <c r="G39" s="45"/>
      <c r="H39" s="46"/>
      <c r="I39" s="4"/>
      <c r="J39" s="48"/>
      <c r="K39" s="4"/>
      <c r="O39" s="3"/>
      <c r="P39" s="3"/>
    </row>
    <row r="40" spans="2:16" ht="17.100000000000001" customHeight="1">
      <c r="B40" s="25" t="s">
        <v>35</v>
      </c>
      <c r="C40" s="31"/>
      <c r="D40" s="31">
        <f>-$C$21*$C$13*$C$10</f>
        <v>-1509.3</v>
      </c>
      <c r="E40" s="31">
        <f>-$C$21*$C$13*$C$10</f>
        <v>-1509.3</v>
      </c>
      <c r="F40" s="31">
        <f>-$C$21*$C$13*$C$10</f>
        <v>-1509.3</v>
      </c>
      <c r="G40" s="31">
        <f>-$C$21*$C$13*$C$10</f>
        <v>-1509.3</v>
      </c>
      <c r="H40" s="49">
        <f>-$C$21*$C$13*$C$10</f>
        <v>-1509.3</v>
      </c>
      <c r="I40" s="4"/>
      <c r="J40" s="48"/>
      <c r="K40" s="4"/>
      <c r="O40" s="3"/>
      <c r="P40" s="3"/>
    </row>
    <row r="41" spans="2:16">
      <c r="B41" s="17" t="s">
        <v>14</v>
      </c>
      <c r="C41" s="31"/>
      <c r="D41" s="31">
        <f>-$C16*$C$11*$C$13</f>
        <v>-2323.8226059654635</v>
      </c>
      <c r="E41" s="31">
        <f>-$C16*$C$11*$C$13</f>
        <v>-2323.8226059654635</v>
      </c>
      <c r="F41" s="31">
        <f>-$C16*$C$11*$C$13</f>
        <v>-2323.8226059654635</v>
      </c>
      <c r="G41" s="31">
        <f>-$C16*$C$11*$C$13</f>
        <v>-2323.8226059654635</v>
      </c>
      <c r="H41" s="49">
        <f>-$C16*$C$11*$C$13</f>
        <v>-2323.8226059654635</v>
      </c>
      <c r="I41" s="4"/>
      <c r="J41" s="48"/>
      <c r="K41" s="4"/>
      <c r="O41" s="3"/>
      <c r="P41" s="3"/>
    </row>
    <row r="42" spans="2:16">
      <c r="B42" s="17" t="s">
        <v>36</v>
      </c>
      <c r="C42" s="31"/>
      <c r="D42" s="31">
        <f>-($C17*$C13*$C11)</f>
        <v>-2944.2096365173288</v>
      </c>
      <c r="E42" s="31">
        <f>-($C17*$C13*$C11)</f>
        <v>-2944.2096365173288</v>
      </c>
      <c r="F42" s="31">
        <f>-($C17*$C13*$C11)</f>
        <v>-2944.2096365173288</v>
      </c>
      <c r="G42" s="31">
        <f>-($C17*$C13*$C11)</f>
        <v>-2944.2096365173288</v>
      </c>
      <c r="H42" s="49">
        <f>-($C17*$C13*$C11)</f>
        <v>-2944.2096365173288</v>
      </c>
      <c r="I42" s="4"/>
      <c r="J42" s="48"/>
      <c r="K42" s="4"/>
      <c r="O42" s="3"/>
      <c r="P42" s="3"/>
    </row>
    <row r="43" spans="2:16">
      <c r="B43" s="17" t="s">
        <v>37</v>
      </c>
      <c r="C43" s="31"/>
      <c r="D43" s="31">
        <f>-($C18*$C13*$C11)</f>
        <v>-2818.1703631153837</v>
      </c>
      <c r="E43" s="31">
        <f>-($C18*$C13*$C11)</f>
        <v>-2818.1703631153837</v>
      </c>
      <c r="F43" s="31">
        <f>-($C18*$C13*$C11)</f>
        <v>-2818.1703631153837</v>
      </c>
      <c r="G43" s="31">
        <f>-($C18*$C13*$C11)</f>
        <v>-2818.1703631153837</v>
      </c>
      <c r="H43" s="49">
        <f>-($C18*$C13*$C11)</f>
        <v>-2818.1703631153837</v>
      </c>
      <c r="I43" s="4"/>
      <c r="J43" s="48"/>
      <c r="K43" s="4"/>
      <c r="O43" s="3"/>
      <c r="P43" s="3"/>
    </row>
    <row r="44" spans="2:16">
      <c r="B44" s="17" t="s">
        <v>38</v>
      </c>
      <c r="C44" s="31"/>
      <c r="D44" s="31">
        <f>-$C19*$C13*$C11</f>
        <v>-1086.8131868131868</v>
      </c>
      <c r="E44" s="31">
        <f>-$C19*$C13*$C11</f>
        <v>-1086.8131868131868</v>
      </c>
      <c r="F44" s="31">
        <f>-$C19*$C13*$C11</f>
        <v>-1086.8131868131868</v>
      </c>
      <c r="G44" s="31">
        <f>-$C19*$C13*$C11</f>
        <v>-1086.8131868131868</v>
      </c>
      <c r="H44" s="49">
        <f>-$C19*$C13*$C11</f>
        <v>-1086.8131868131868</v>
      </c>
      <c r="I44" s="4"/>
      <c r="J44" s="48"/>
      <c r="K44" s="4"/>
      <c r="O44" s="3"/>
      <c r="P44" s="3"/>
    </row>
    <row r="45" spans="2:16">
      <c r="B45" s="17" t="s">
        <v>39</v>
      </c>
      <c r="C45" s="31"/>
      <c r="D45" s="31">
        <f>-$C20*$C$10*$C$13</f>
        <v>-4644</v>
      </c>
      <c r="E45" s="31">
        <f>-$C20*$C$10*$C$13</f>
        <v>-4644</v>
      </c>
      <c r="F45" s="31">
        <f>-$C20*$C$10*$C$13</f>
        <v>-4644</v>
      </c>
      <c r="G45" s="31">
        <f>-$C20*$C$10*$C$13</f>
        <v>-4644</v>
      </c>
      <c r="H45" s="49">
        <f>-$C20*$C$10*$C$13</f>
        <v>-4644</v>
      </c>
      <c r="I45" s="4"/>
      <c r="J45" s="48"/>
      <c r="K45" s="50"/>
      <c r="O45" s="3"/>
      <c r="P45" s="3"/>
    </row>
    <row r="46" spans="2:16">
      <c r="B46" s="94" t="s">
        <v>84</v>
      </c>
      <c r="C46" s="95"/>
      <c r="D46" s="95">
        <f>-$C$22</f>
        <v>-3380</v>
      </c>
      <c r="E46" s="95">
        <f>-$C$22</f>
        <v>-3380</v>
      </c>
      <c r="F46" s="95">
        <f>-$C$22</f>
        <v>-3380</v>
      </c>
      <c r="G46" s="95">
        <f>-$C$22</f>
        <v>-3380</v>
      </c>
      <c r="H46" s="96">
        <f>-$C$22</f>
        <v>-3380</v>
      </c>
      <c r="I46" s="4"/>
      <c r="J46" s="48"/>
      <c r="K46" s="50"/>
      <c r="O46" s="3"/>
      <c r="P46" s="3"/>
    </row>
    <row r="47" spans="2:16">
      <c r="B47" s="17" t="s">
        <v>40</v>
      </c>
      <c r="C47" s="31"/>
      <c r="D47" s="31">
        <f>-$C$23</f>
        <v>-719.94453395054802</v>
      </c>
      <c r="E47" s="31">
        <f>-$C$23</f>
        <v>-719.94453395054802</v>
      </c>
      <c r="F47" s="31">
        <f>-$C$23</f>
        <v>-719.94453395054802</v>
      </c>
      <c r="G47" s="31">
        <f>-$C$23</f>
        <v>-719.94453395054802</v>
      </c>
      <c r="H47" s="49">
        <f>-$C$23</f>
        <v>-719.94453395054802</v>
      </c>
      <c r="I47" s="4"/>
      <c r="J47" s="48"/>
      <c r="K47" s="4"/>
      <c r="O47" s="3"/>
      <c r="P47" s="3"/>
    </row>
    <row r="48" spans="2:16">
      <c r="B48" s="17" t="s">
        <v>24</v>
      </c>
      <c r="C48" s="31"/>
      <c r="D48" s="31">
        <f>-($C$9+$C$8)/5</f>
        <v>-10000</v>
      </c>
      <c r="E48" s="31">
        <f t="shared" ref="E48:H48" si="0">-($C$9+$C$8)/5</f>
        <v>-10000</v>
      </c>
      <c r="F48" s="31">
        <f t="shared" si="0"/>
        <v>-10000</v>
      </c>
      <c r="G48" s="31">
        <f t="shared" si="0"/>
        <v>-10000</v>
      </c>
      <c r="H48" s="49">
        <f t="shared" si="0"/>
        <v>-10000</v>
      </c>
      <c r="I48" s="4"/>
      <c r="J48" s="48"/>
      <c r="K48" s="4"/>
      <c r="O48" s="3"/>
      <c r="P48" s="3"/>
    </row>
    <row r="49" spans="2:16" ht="9" customHeight="1">
      <c r="B49" s="17"/>
      <c r="C49" s="31"/>
      <c r="D49" s="31"/>
      <c r="E49" s="31"/>
      <c r="F49" s="31"/>
      <c r="G49" s="31"/>
      <c r="H49" s="49"/>
      <c r="I49" s="4"/>
      <c r="J49" s="4"/>
      <c r="K49" s="4"/>
      <c r="O49" s="3"/>
      <c r="P49" s="3"/>
    </row>
    <row r="50" spans="2:16">
      <c r="B50" s="51" t="s">
        <v>41</v>
      </c>
      <c r="C50" s="52">
        <f t="shared" ref="C50:H50" si="1">SUM(C39:C48)</f>
        <v>-50000</v>
      </c>
      <c r="D50" s="52">
        <f>SUM(D39:D48)</f>
        <v>-29426.260326361909</v>
      </c>
      <c r="E50" s="52">
        <f t="shared" si="1"/>
        <v>-29426.260326361909</v>
      </c>
      <c r="F50" s="52">
        <f t="shared" si="1"/>
        <v>-29426.260326361909</v>
      </c>
      <c r="G50" s="52">
        <f t="shared" si="1"/>
        <v>-29426.260326361909</v>
      </c>
      <c r="H50" s="53">
        <f t="shared" si="1"/>
        <v>-29426.260326361909</v>
      </c>
      <c r="I50" s="4"/>
      <c r="J50" s="4"/>
      <c r="K50" s="4"/>
      <c r="O50" s="3"/>
      <c r="P50" s="3"/>
    </row>
    <row r="51" spans="2:16" ht="9" customHeight="1">
      <c r="B51" s="17"/>
      <c r="C51" s="31"/>
      <c r="D51" s="31"/>
      <c r="E51" s="31"/>
      <c r="F51" s="31"/>
      <c r="G51" s="31"/>
      <c r="H51" s="49"/>
      <c r="I51" s="4"/>
      <c r="J51" s="4"/>
      <c r="K51" s="4"/>
      <c r="O51" s="3"/>
      <c r="P51" s="3"/>
    </row>
    <row r="52" spans="2:16">
      <c r="B52" s="51" t="s">
        <v>42</v>
      </c>
      <c r="C52" s="52"/>
      <c r="D52" s="52">
        <f>$C28*$C10*$C13</f>
        <v>30084.075566535666</v>
      </c>
      <c r="E52" s="52">
        <f>$C28*$C10*$C13</f>
        <v>30084.075566535666</v>
      </c>
      <c r="F52" s="52">
        <f>$C28*$C10*$C13</f>
        <v>30084.075566535666</v>
      </c>
      <c r="G52" s="52">
        <f>$C28*$C10*$C13</f>
        <v>30084.075566535666</v>
      </c>
      <c r="H52" s="53">
        <f>$C28*$C10*$C13</f>
        <v>30084.075566535666</v>
      </c>
      <c r="I52" s="4"/>
      <c r="J52" s="4"/>
      <c r="K52" s="4"/>
      <c r="O52" s="3"/>
      <c r="P52" s="3"/>
    </row>
    <row r="53" spans="2:16" ht="9" customHeight="1">
      <c r="B53" s="17"/>
      <c r="C53" s="31"/>
      <c r="D53" s="31"/>
      <c r="E53" s="31"/>
      <c r="F53" s="31"/>
      <c r="G53" s="31"/>
      <c r="H53" s="49"/>
      <c r="I53" s="4"/>
      <c r="J53" s="4"/>
      <c r="K53" s="4"/>
      <c r="O53" s="3"/>
      <c r="P53" s="3"/>
    </row>
    <row r="54" spans="2:16">
      <c r="B54" s="51" t="s">
        <v>43</v>
      </c>
      <c r="C54" s="52">
        <f t="shared" ref="C54:H54" si="2">C50+C52</f>
        <v>-50000</v>
      </c>
      <c r="D54" s="52">
        <f t="shared" si="2"/>
        <v>657.81524017375705</v>
      </c>
      <c r="E54" s="52">
        <f>E50+E52</f>
        <v>657.81524017375705</v>
      </c>
      <c r="F54" s="52">
        <f t="shared" si="2"/>
        <v>657.81524017375705</v>
      </c>
      <c r="G54" s="52">
        <f t="shared" si="2"/>
        <v>657.81524017375705</v>
      </c>
      <c r="H54" s="53">
        <f t="shared" si="2"/>
        <v>657.81524017375705</v>
      </c>
      <c r="I54" s="4"/>
      <c r="J54" s="4"/>
      <c r="K54" s="4"/>
      <c r="O54" s="3"/>
      <c r="P54" s="3"/>
    </row>
    <row r="55" spans="2:16" ht="12.95" customHeight="1">
      <c r="B55" s="17"/>
      <c r="C55" s="31"/>
      <c r="D55" s="54" t="s">
        <v>44</v>
      </c>
      <c r="E55" s="31"/>
      <c r="F55" s="31"/>
      <c r="G55" s="31"/>
      <c r="H55" s="49"/>
      <c r="I55" s="4"/>
      <c r="J55" s="4"/>
      <c r="K55" s="4"/>
      <c r="O55" s="3"/>
      <c r="P55" s="3"/>
    </row>
    <row r="56" spans="2:16" ht="14.1" customHeight="1">
      <c r="B56" s="55" t="s">
        <v>45</v>
      </c>
      <c r="C56" s="56">
        <v>0.21</v>
      </c>
      <c r="I56" s="4"/>
      <c r="J56" s="58"/>
      <c r="K56" s="4"/>
      <c r="O56" s="3"/>
      <c r="P56" s="3"/>
    </row>
    <row r="57" spans="2:16" ht="14.1" customHeight="1">
      <c r="B57" s="55" t="s">
        <v>69</v>
      </c>
      <c r="C57" s="77"/>
      <c r="D57" s="57">
        <f>-$C$56*D54</f>
        <v>-138.14120043648899</v>
      </c>
      <c r="E57" s="57">
        <f>-$C$56*E54</f>
        <v>-138.14120043648899</v>
      </c>
      <c r="F57" s="57">
        <f>-$C$56*F54</f>
        <v>-138.14120043648899</v>
      </c>
      <c r="G57" s="57">
        <f>-$C$56*G54</f>
        <v>-138.14120043648899</v>
      </c>
      <c r="H57" s="72">
        <f>-$C$56*H54</f>
        <v>-138.14120043648899</v>
      </c>
      <c r="I57" s="4"/>
      <c r="J57" s="58"/>
      <c r="K57" s="4"/>
      <c r="O57" s="3"/>
      <c r="P57" s="3"/>
    </row>
    <row r="58" spans="2:16" ht="9" customHeight="1">
      <c r="B58" s="17"/>
      <c r="C58" s="31"/>
      <c r="D58" s="31"/>
      <c r="E58" s="31"/>
      <c r="F58" s="31"/>
      <c r="G58" s="31"/>
      <c r="H58" s="49"/>
      <c r="I58" s="4"/>
      <c r="J58" s="4"/>
      <c r="K58" s="4"/>
      <c r="O58" s="3"/>
      <c r="P58" s="3"/>
    </row>
    <row r="59" spans="2:16">
      <c r="B59" s="51" t="s">
        <v>46</v>
      </c>
      <c r="C59" s="52">
        <f>C54</f>
        <v>-50000</v>
      </c>
      <c r="D59" s="52">
        <f>D54*(1-$C$56)-D48</f>
        <v>10519.674039737269</v>
      </c>
      <c r="E59" s="52">
        <f t="shared" ref="E59:H59" si="3">E54*(1-$C$56)-E48</f>
        <v>10519.674039737269</v>
      </c>
      <c r="F59" s="52">
        <f t="shared" si="3"/>
        <v>10519.674039737269</v>
      </c>
      <c r="G59" s="52">
        <f t="shared" si="3"/>
        <v>10519.674039737269</v>
      </c>
      <c r="H59" s="53">
        <f t="shared" si="3"/>
        <v>10519.674039737269</v>
      </c>
      <c r="I59" s="4"/>
      <c r="J59" s="4"/>
      <c r="K59" s="4"/>
      <c r="O59" s="3"/>
      <c r="P59" s="3"/>
    </row>
    <row r="60" spans="2:16" ht="9" customHeight="1">
      <c r="B60" s="17"/>
      <c r="C60" s="31"/>
      <c r="D60" s="31"/>
      <c r="E60" s="31"/>
      <c r="F60" s="31"/>
      <c r="G60" s="31"/>
      <c r="H60" s="49"/>
      <c r="I60" s="4"/>
      <c r="J60" s="4"/>
      <c r="K60" s="4"/>
      <c r="O60" s="3"/>
      <c r="P60" s="3"/>
    </row>
    <row r="61" spans="2:16">
      <c r="B61" s="51" t="s">
        <v>47</v>
      </c>
      <c r="C61" s="52">
        <f>C59</f>
        <v>-50000</v>
      </c>
      <c r="D61" s="52">
        <f>SUM($C59:D59)</f>
        <v>-39480.325960262729</v>
      </c>
      <c r="E61" s="52">
        <f>SUM($C59:E59)</f>
        <v>-28960.651920525459</v>
      </c>
      <c r="F61" s="52">
        <f>SUM($C59:F59)</f>
        <v>-18440.977880788188</v>
      </c>
      <c r="G61" s="52">
        <f>SUM($C59:G59)</f>
        <v>-7921.3038410509198</v>
      </c>
      <c r="H61" s="53">
        <f>SUM($C59:H59)</f>
        <v>2598.3701986863489</v>
      </c>
      <c r="I61" s="4"/>
      <c r="J61" s="4"/>
      <c r="K61" s="4"/>
      <c r="O61" s="3"/>
      <c r="P61" s="3"/>
    </row>
    <row r="62" spans="2:16" ht="9" customHeight="1">
      <c r="B62" s="17"/>
      <c r="C62" s="8"/>
      <c r="D62" s="8"/>
      <c r="E62" s="8"/>
      <c r="F62" s="8"/>
      <c r="G62" s="8"/>
      <c r="H62" s="19"/>
      <c r="I62" s="4"/>
      <c r="J62" s="4"/>
      <c r="K62" s="4"/>
      <c r="O62" s="3"/>
      <c r="P62" s="3"/>
    </row>
    <row r="63" spans="2:16" ht="14.1" customHeight="1">
      <c r="B63" s="55" t="s">
        <v>48</v>
      </c>
      <c r="C63" s="56">
        <v>0.1</v>
      </c>
      <c r="D63" s="8"/>
      <c r="E63" s="8"/>
      <c r="F63" s="8"/>
      <c r="G63" s="8"/>
      <c r="H63" s="19"/>
      <c r="I63" s="4"/>
      <c r="J63" s="4"/>
      <c r="K63" s="4"/>
      <c r="O63" s="3"/>
      <c r="P63" s="3"/>
    </row>
    <row r="64" spans="2:16" ht="9" customHeight="1">
      <c r="B64" s="17"/>
      <c r="C64" s="8"/>
      <c r="D64" s="8"/>
      <c r="E64" s="8"/>
      <c r="F64" s="8"/>
      <c r="G64" s="8"/>
      <c r="H64" s="19"/>
      <c r="I64" s="4"/>
      <c r="J64" s="4"/>
      <c r="K64" s="4"/>
      <c r="O64" s="3"/>
      <c r="P64" s="3"/>
    </row>
    <row r="65" spans="2:16">
      <c r="B65" s="51" t="s">
        <v>49</v>
      </c>
      <c r="C65" s="59">
        <f>C59+NPV(C63,D59:H59)</f>
        <v>-10122.158831674446</v>
      </c>
      <c r="D65" s="8"/>
      <c r="E65" s="8"/>
      <c r="F65" s="8"/>
      <c r="G65" s="8"/>
      <c r="H65" s="19"/>
      <c r="I65" s="4"/>
      <c r="J65" s="4"/>
      <c r="K65" s="4"/>
      <c r="O65" s="3"/>
      <c r="P65" s="3"/>
    </row>
    <row r="66" spans="2:16" ht="9" customHeight="1">
      <c r="B66" s="17"/>
      <c r="C66" s="8"/>
      <c r="D66" s="8"/>
      <c r="E66" s="8"/>
      <c r="F66" s="8"/>
      <c r="G66" s="8"/>
      <c r="H66" s="19"/>
      <c r="J66" s="4"/>
      <c r="K66" s="4"/>
      <c r="O66" s="3"/>
      <c r="P66" s="3"/>
    </row>
    <row r="67" spans="2:16">
      <c r="B67" s="51" t="s">
        <v>50</v>
      </c>
      <c r="C67" s="60">
        <f>COUNTIF(C61:H61,"&lt;0")</f>
        <v>5</v>
      </c>
      <c r="D67" s="8"/>
      <c r="E67" s="8"/>
      <c r="F67" s="8"/>
      <c r="G67" s="8"/>
      <c r="H67" s="19"/>
      <c r="J67" s="4"/>
      <c r="K67" s="4"/>
      <c r="O67" s="3"/>
      <c r="P67" s="3"/>
    </row>
    <row r="68" spans="2:16" ht="9" customHeight="1">
      <c r="B68" s="17"/>
      <c r="C68" s="8"/>
      <c r="D68" s="8"/>
      <c r="E68" s="8"/>
      <c r="F68" s="8"/>
      <c r="G68" s="8"/>
      <c r="H68" s="19"/>
      <c r="J68" s="4"/>
      <c r="K68" s="4"/>
      <c r="O68" s="3"/>
      <c r="P68" s="3"/>
    </row>
    <row r="69" spans="2:16">
      <c r="B69" s="61" t="s">
        <v>51</v>
      </c>
      <c r="C69" s="62">
        <f>IRR(C59:H59)</f>
        <v>1.712855680413683E-2</v>
      </c>
      <c r="D69" s="63"/>
      <c r="E69" s="63"/>
      <c r="F69" s="63"/>
      <c r="G69" s="63"/>
      <c r="H69" s="26"/>
      <c r="J69" s="4"/>
      <c r="K69" s="4"/>
      <c r="O69" s="3"/>
      <c r="P69" s="3"/>
    </row>
    <row r="70" spans="2:16">
      <c r="J70" s="4"/>
      <c r="K70" s="4"/>
      <c r="O70" s="3"/>
      <c r="P70" s="3"/>
    </row>
    <row r="71" spans="2:16">
      <c r="J71" s="4"/>
      <c r="K71" s="4"/>
      <c r="O71" s="3"/>
      <c r="P71" s="3"/>
    </row>
    <row r="72" spans="2:16">
      <c r="B72" s="27" t="s">
        <v>70</v>
      </c>
    </row>
    <row r="73" spans="2:16">
      <c r="B73" s="11" t="s">
        <v>5</v>
      </c>
      <c r="C73" s="64"/>
    </row>
    <row r="74" spans="2:16">
      <c r="B74" s="11" t="s">
        <v>63</v>
      </c>
      <c r="C74" s="65"/>
      <c r="D74" s="65"/>
      <c r="E74" s="65"/>
      <c r="F74" s="64"/>
    </row>
    <row r="75" spans="2:16">
      <c r="B75" s="11" t="s">
        <v>12</v>
      </c>
      <c r="C75" s="64"/>
      <c r="D75" s="64"/>
      <c r="E75" s="64"/>
      <c r="F75" s="64"/>
    </row>
    <row r="76" spans="2:16">
      <c r="B76" s="11" t="s">
        <v>16</v>
      </c>
      <c r="C76" s="64"/>
      <c r="D76" s="64"/>
      <c r="E76" s="64"/>
      <c r="F76" s="64"/>
    </row>
    <row r="77" spans="2:16">
      <c r="B77" s="4" t="s">
        <v>13</v>
      </c>
      <c r="C77" s="64"/>
      <c r="D77" s="64"/>
      <c r="E77" s="64"/>
      <c r="F77" s="64"/>
    </row>
    <row r="78" spans="2:16">
      <c r="B78" s="4" t="s">
        <v>72</v>
      </c>
      <c r="C78" s="64"/>
      <c r="D78" s="64"/>
      <c r="E78" s="64"/>
      <c r="F78" s="64"/>
    </row>
    <row r="79" spans="2:16">
      <c r="B79" s="4" t="s">
        <v>71</v>
      </c>
      <c r="C79" s="64"/>
      <c r="D79" s="64"/>
      <c r="E79" s="64"/>
      <c r="F79" s="64"/>
    </row>
    <row r="80" spans="2:16">
      <c r="B80" s="4" t="s">
        <v>73</v>
      </c>
      <c r="C80" s="64"/>
      <c r="D80" s="64"/>
      <c r="E80" s="64"/>
      <c r="F80" s="64"/>
    </row>
    <row r="81" spans="2:6">
      <c r="C81" s="64"/>
      <c r="D81" s="64"/>
      <c r="E81" s="64"/>
      <c r="F81" s="64"/>
    </row>
    <row r="83" spans="2:6">
      <c r="B83" s="4"/>
    </row>
    <row r="84" spans="2:6">
      <c r="B84" s="4"/>
    </row>
    <row r="85" spans="2:6">
      <c r="B85" s="4"/>
    </row>
    <row r="86" spans="2:6">
      <c r="B86" s="4"/>
    </row>
    <row r="87" spans="2:6">
      <c r="B87" s="4"/>
    </row>
    <row r="88" spans="2:6">
      <c r="B88" s="4"/>
    </row>
    <row r="89" spans="2:6">
      <c r="B89" s="4"/>
    </row>
    <row r="90" spans="2:6">
      <c r="B90" s="4"/>
    </row>
    <row r="91" spans="2:6">
      <c r="B91" s="4"/>
    </row>
    <row r="92" spans="2:6">
      <c r="B92" s="4"/>
    </row>
    <row r="93" spans="2:6">
      <c r="B93" s="4"/>
    </row>
    <row r="94" spans="2:6">
      <c r="B94" s="4"/>
    </row>
    <row r="95" spans="2:6">
      <c r="B95" s="4"/>
    </row>
    <row r="96" spans="2:6">
      <c r="B96" s="4"/>
    </row>
    <row r="97" spans="2:2">
      <c r="B97" s="4"/>
    </row>
    <row r="98" spans="2:2">
      <c r="B98" s="4"/>
    </row>
    <row r="99" spans="2:2">
      <c r="B99" s="4"/>
    </row>
    <row r="100" spans="2:2">
      <c r="B100" s="4"/>
    </row>
    <row r="101" spans="2:2">
      <c r="B101" s="4"/>
    </row>
    <row r="102" spans="2:2">
      <c r="B102" s="4"/>
    </row>
    <row r="103" spans="2:2">
      <c r="B103" s="4"/>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ARK Disclosure </vt:lpstr>
      <vt:lpstr>Price Per Mi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François Zbinden</cp:lastModifiedBy>
  <dcterms:created xsi:type="dcterms:W3CDTF">2018-08-29T15:16:43Z</dcterms:created>
  <dcterms:modified xsi:type="dcterms:W3CDTF">2019-05-23T22:31:53Z</dcterms:modified>
</cp:coreProperties>
</file>