
<file path=[Content_Types].xml><?xml version="1.0" encoding="utf-8"?>
<Types xmlns="http://schemas.openxmlformats.org/package/2006/content-types">
  <Default Extension="img" ContentType="image/pn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9"/>
  <workbookPr/>
  <mc:AlternateContent xmlns:mc="http://schemas.openxmlformats.org/markup-compatibility/2006">
    <mc:Choice Requires="x15">
      <x15ac:absPath xmlns:x15ac="http://schemas.microsoft.com/office/spreadsheetml/2010/11/ac" url="https://arkinvestmentmanagement-my.sharepoint.com/personal/skorus_ark-invest_com/Documents/Desktop/"/>
    </mc:Choice>
  </mc:AlternateContent>
  <xr:revisionPtr revIDLastSave="4" documentId="8_{D4E1A5E7-FC8F-9040-B7A9-D3201D2091A0}" xr6:coauthVersionLast="47" xr6:coauthVersionMax="47" xr10:uidLastSave="{1EFD428E-348D-5140-8AF7-0104D2D340D0}"/>
  <bookViews>
    <workbookView xWindow="0" yWindow="760" windowWidth="34560" windowHeight="21100" xr2:uid="{AC91272A-CEE7-D540-818D-3C797C7E25A3}"/>
  </bookViews>
  <sheets>
    <sheet name="ARK Disclosure" sheetId="4" r:id="rId1"/>
    <sheet name="Model" sheetId="1" r:id="rId2"/>
    <sheet name="Charts" sheetId="3" r:id="rId3"/>
    <sheet name="Resources" sheetId="2" r:id="rId4"/>
  </sheets>
  <externalReferences>
    <externalReference r:id="rId5"/>
  </externalReferences>
  <definedNames>
    <definedName name="IQ_CH">110000</definedName>
    <definedName name="IQ_CQ">5000</definedName>
    <definedName name="IQ_CY">10000</definedName>
    <definedName name="IQ_DAILY">500000</definedName>
    <definedName name="IQ_DNTM" hidden="1">700000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MTD" hidden="1">800000</definedName>
    <definedName name="IQ_NAMES_REVISION_DATE_" hidden="1">44168.252025463</definedName>
    <definedName name="IQ_NTM">6000</definedName>
    <definedName name="IQ_QTD" hidden="1">750000</definedName>
    <definedName name="IQ_TODAY" hidden="1">0</definedName>
    <definedName name="IQ_WEEK">50000</definedName>
    <definedName name="IQ_YTD">3000</definedName>
    <definedName name="IQ_YTDMONTH" hidden="1">130000</definedName>
    <definedName name="Penetration">OFFSET([1]S_Curve!$B$11,0,0,COUNTA([1]S_Curve!$B$11:$B$110),1)</definedName>
    <definedName name="Saturation">OFFSET([1]S_Curve!$C$11,0,0,COUNTA([1]S_Curve!$C$11:$C$110),1)</definedName>
    <definedName name="Year">OFFSET([1]S_Curve!$A$11,0,0,COUNTA([1]S_Curve!$A$11:$A$110),1)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9" i="1" l="1"/>
  <c r="Q13" i="1" l="1"/>
  <c r="P13" i="1"/>
  <c r="F38" i="3"/>
  <c r="F37" i="3"/>
  <c r="D5" i="1"/>
  <c r="Q12" i="1"/>
  <c r="P12" i="1"/>
  <c r="C21" i="1" l="1"/>
  <c r="C25" i="1"/>
  <c r="E43" i="1"/>
  <c r="C40" i="1"/>
  <c r="D52" i="1"/>
  <c r="E44" i="1"/>
  <c r="E45" i="1"/>
  <c r="E46" i="1"/>
  <c r="E47" i="1"/>
  <c r="E48" i="1"/>
  <c r="E49" i="1"/>
  <c r="E50" i="1"/>
  <c r="E51" i="1"/>
  <c r="E52" i="1"/>
  <c r="C42" i="1"/>
  <c r="F42" i="1" s="1"/>
  <c r="D51" i="1" l="1"/>
  <c r="F51" i="1" s="1"/>
  <c r="D50" i="1"/>
  <c r="F50" i="1" s="1"/>
  <c r="D49" i="1"/>
  <c r="F49" i="1" s="1"/>
  <c r="D48" i="1"/>
  <c r="F48" i="1" s="1"/>
  <c r="D47" i="1"/>
  <c r="F47" i="1" s="1"/>
  <c r="D46" i="1"/>
  <c r="F46" i="1" s="1"/>
  <c r="D45" i="1"/>
  <c r="F45" i="1" s="1"/>
  <c r="D44" i="1"/>
  <c r="F44" i="1" s="1"/>
  <c r="D43" i="1"/>
  <c r="F52" i="1"/>
  <c r="C27" i="1"/>
  <c r="C11" i="1" l="1"/>
  <c r="Q8" i="1"/>
  <c r="Q10" i="1" s="1"/>
  <c r="Q7" i="1"/>
  <c r="P8" i="1"/>
  <c r="P7" i="1"/>
  <c r="P9" i="1"/>
  <c r="P10" i="1" s="1"/>
  <c r="C29" i="1"/>
  <c r="D14" i="1"/>
  <c r="E14" i="1" s="1"/>
  <c r="D16" i="1"/>
  <c r="D17" i="1"/>
  <c r="E17" i="1" s="1"/>
  <c r="D15" i="1"/>
  <c r="E15" i="1" s="1"/>
  <c r="C6" i="1"/>
  <c r="D12" i="1" s="1"/>
  <c r="C57" i="1"/>
  <c r="C61" i="1" s="1"/>
  <c r="C63" i="1" s="1"/>
  <c r="D10" i="1"/>
  <c r="E10" i="1" s="1"/>
  <c r="D11" i="1" l="1"/>
  <c r="E11" i="1" s="1"/>
  <c r="C30" i="1"/>
  <c r="E12" i="1"/>
  <c r="D13" i="1"/>
  <c r="E13" i="1" s="1"/>
  <c r="C32" i="1" l="1"/>
  <c r="F36" i="3"/>
  <c r="Q73" i="1" l="1"/>
  <c r="R8" i="1"/>
  <c r="D18" i="1" l="1"/>
  <c r="E16" i="1" l="1"/>
  <c r="E18" i="1" s="1"/>
  <c r="Q64" i="1" s="1"/>
  <c r="R7" i="1" l="1"/>
  <c r="R10" i="1" s="1"/>
  <c r="R13" i="1" s="1"/>
  <c r="F43" i="1"/>
  <c r="G42" i="1" s="1"/>
  <c r="R12" i="1" l="1"/>
</calcChain>
</file>

<file path=xl/sharedStrings.xml><?xml version="1.0" encoding="utf-8"?>
<sst xmlns="http://schemas.openxmlformats.org/spreadsheetml/2006/main" count="139" uniqueCount="111">
  <si>
    <t>Annual flight hours</t>
  </si>
  <si>
    <t xml:space="preserve"> </t>
  </si>
  <si>
    <t>Annualized</t>
  </si>
  <si>
    <t>Per Hour</t>
  </si>
  <si>
    <t>Aircraft ownership/lease</t>
  </si>
  <si>
    <t>Insurance</t>
  </si>
  <si>
    <t>Pilot training</t>
  </si>
  <si>
    <t>Maintenance tech</t>
  </si>
  <si>
    <t>Hangar</t>
  </si>
  <si>
    <t>Avionics</t>
  </si>
  <si>
    <t>Parts</t>
  </si>
  <si>
    <t>Total</t>
  </si>
  <si>
    <t>Traditional Rotorcraft</t>
  </si>
  <si>
    <t>Fixed Costs</t>
  </si>
  <si>
    <t>per hour</t>
  </si>
  <si>
    <t>Flight duration</t>
  </si>
  <si>
    <t>hours</t>
  </si>
  <si>
    <t>Flight cost</t>
  </si>
  <si>
    <t>Landing Fee</t>
  </si>
  <si>
    <t>Direct Operating Costs</t>
  </si>
  <si>
    <t>Implied flights</t>
  </si>
  <si>
    <t>Note</t>
  </si>
  <si>
    <t>of aircraft value</t>
  </si>
  <si>
    <t>Pilot salaries</t>
  </si>
  <si>
    <t>FlightSafety tuition 2x per year per pilot</t>
  </si>
  <si>
    <t>Pilots needed</t>
  </si>
  <si>
    <t>partial use of salaried maintenance tech</t>
  </si>
  <si>
    <t>per month hangar lease near Manhattan</t>
  </si>
  <si>
    <t>monthly commercial avionics subsciption</t>
  </si>
  <si>
    <t>per month given limited moving parts</t>
  </si>
  <si>
    <t xml:space="preserve">Bell 407 Gxi </t>
  </si>
  <si>
    <t>kWh</t>
  </si>
  <si>
    <t>per kWh</t>
  </si>
  <si>
    <t>Cycles</t>
  </si>
  <si>
    <t>Maintenance Reserve</t>
  </si>
  <si>
    <t>https://robinsonheli.com/wp-content/uploads/2021/01/r66_eoc_jan_2021.pdf</t>
  </si>
  <si>
    <t>https://www.researchgate.net/figure/Energy-efficiency-different-EVTOL-aircraft-and-terrestrial-vehicles-The-diamond-markers_fig1_352505370</t>
  </si>
  <si>
    <t>https://d1io3yog0oux5.cloudfront.net/_8fee3735c77bf5895238fc00194fd5a2/blade/db/1311/11990/pdf/2023.05+BLADE+-+Investor+Deck+vF+%281%29.pdf</t>
  </si>
  <si>
    <t>Fixed Cost</t>
  </si>
  <si>
    <t>Operating Cost</t>
  </si>
  <si>
    <t>Blade Assumptions</t>
  </si>
  <si>
    <t>per year per IFR rated pilot, need 2 for ~1000 hours</t>
  </si>
  <si>
    <t>Electricity cost</t>
  </si>
  <si>
    <t>Energy used per trip</t>
  </si>
  <si>
    <t>Battery cost</t>
  </si>
  <si>
    <t>Total battery cost</t>
  </si>
  <si>
    <t>Battery replacements needed annually</t>
  </si>
  <si>
    <t>Maintenance reserve</t>
  </si>
  <si>
    <t>Direct operating costs</t>
  </si>
  <si>
    <t>Fixed costs</t>
  </si>
  <si>
    <t>Hourly rate</t>
  </si>
  <si>
    <t>Landing fee</t>
  </si>
  <si>
    <t>Total cost</t>
  </si>
  <si>
    <t>https://www.futureflight.aero/news-article/2022-11-18/archer-details-motor-and-battery-design-midnight-evtol-air-taxi</t>
  </si>
  <si>
    <t>Illustrative Flight from Manhattan to JFK</t>
  </si>
  <si>
    <t>Battery Size</t>
  </si>
  <si>
    <t>Aircraft Cost</t>
  </si>
  <si>
    <t>Annual Flight Hours</t>
  </si>
  <si>
    <t>Battery Lifespan (cycles)</t>
  </si>
  <si>
    <t>Battery lifespan</t>
  </si>
  <si>
    <t>Blade Investor Presentation</t>
  </si>
  <si>
    <t>Uber Elevate WhitePaper</t>
  </si>
  <si>
    <t>https://d1nyezh1ys8wfo.cloudfront.net/static/PDFs/Elevate%2BWhitepaper.pdf?uclick_id=cc38feb1-087f-4cd5-b759-46b67fe81c45</t>
  </si>
  <si>
    <t>Robinson Helicopter</t>
  </si>
  <si>
    <t>The Promise of Energy-Efficient Battery-Powered Urban Aircraft</t>
  </si>
  <si>
    <t>Archer Details Motor and Battery Design</t>
  </si>
  <si>
    <t>Joby Presentation</t>
  </si>
  <si>
    <t>https://www.sec.gov/Archives/edgar/data/1819848/000119312521053631/d135823dex992.htm</t>
  </si>
  <si>
    <t>Heliport upfront cost</t>
  </si>
  <si>
    <t>Heliport operating cost</t>
  </si>
  <si>
    <t>Annual Flights</t>
  </si>
  <si>
    <t>Year</t>
  </si>
  <si>
    <t>Upfront Cost</t>
  </si>
  <si>
    <t>Revenue</t>
  </si>
  <si>
    <t>Cash Flow</t>
  </si>
  <si>
    <t>NPV</t>
  </si>
  <si>
    <t>Heliports and Their Importance to NYC</t>
  </si>
  <si>
    <t>https://helenrosenthal.com/wp-content/uploads/2015/11/Industry-Report-Mitchell-Moss-NYU.pdf</t>
  </si>
  <si>
    <t xml:space="preserve">Roundtrip </t>
  </si>
  <si>
    <t>Discount Rate</t>
  </si>
  <si>
    <t>Landing Fees</t>
  </si>
  <si>
    <t>Operating Costs</t>
  </si>
  <si>
    <t>Need to Adjust Landing Fee So NPV = 0</t>
  </si>
  <si>
    <t>Battery replacement cost per hour</t>
  </si>
  <si>
    <t>Seats</t>
  </si>
  <si>
    <t>Cost per Ticket</t>
  </si>
  <si>
    <t>Total Cost</t>
  </si>
  <si>
    <t>Potential Price Per Ticket</t>
  </si>
  <si>
    <t>assume higher than standard retail electricity prices of ~$0.12</t>
  </si>
  <si>
    <t>battery prices should decline below this price https://ark-invest.com/articles/analyst-research/wrights-law-2/</t>
  </si>
  <si>
    <t>this will vary based on depth of discharge during each trip; https://www.futureflight.aero/news-article/2022-11-18/archer-details-motor-and-battery-design-midnight-evtol-air-taxi</t>
  </si>
  <si>
    <t>comparing to the parts portion of the Robinson R66 https://robinsonheli.com/wp-content/uploads/2021/01/r66_eoc_jan_2021.pdf as the battery replacement costs should cover the other portion of the typical maintenance reserve</t>
  </si>
  <si>
    <t>this will vary by geography https://helenrosenthal.com/wp-content/uploads/2015/11/Industry-Report-Mitchell-Moss-NYU.pdf</t>
  </si>
  <si>
    <t>Robinson R66</t>
  </si>
  <si>
    <t>2000 Hour Engine Periodic Maintenance Interval</t>
  </si>
  <si>
    <t>2000 Hour Aircraft Overhaul Parts Kit</t>
  </si>
  <si>
    <t>Fuel @ $5.60 per gallon and 22 gallons per hour</t>
  </si>
  <si>
    <t>Electric Air Taxi</t>
  </si>
  <si>
    <t>Battery Replacement Cost</t>
  </si>
  <si>
    <t>Maintenance Reserve for Parts</t>
  </si>
  <si>
    <t>Electricity</t>
  </si>
  <si>
    <t>Modeled Electric Air Taxi</t>
  </si>
  <si>
    <t>Electric Air Taxi Calculation</t>
  </si>
  <si>
    <t>While ARK’s current assessment of the subject company may be positive, please note that it may be necessary for ARK to liquidate or reduce position sizes prior to the company attaining any indicated valuation prices due to a variety of conditions including, but not limited to, client specific guidelines, changing market conditions, investor activity, fundamental changes in the company’s business model and competitive landscape, headline risk, and government/regulatory activity.  Additionally, ARK does not have investment banking, consulting, or any type of fee-paying relationship with the subject company.</t>
  </si>
  <si>
    <r>
      <t xml:space="preserve">ARK's statements are not an endorsement of any company or a recommendation to buy,sell, or hold any security. For a list of all purchases and sales made by ARK for client accounts during the past year that could be considered by the SEC as recommendations, please contact ARK at info@ark-invest.com. It should not be assumed that recommendations made in the future will be profitable or will equal the performance of the securities in this list. For full disclosures, please go to </t>
    </r>
    <r>
      <rPr>
        <b/>
        <u/>
        <sz val="11"/>
        <color theme="1"/>
        <rFont val="Brother 1816"/>
        <family val="2"/>
        <scheme val="minor"/>
      </rPr>
      <t>https://ark-invest.com/terms-of-use</t>
    </r>
    <r>
      <rPr>
        <b/>
        <sz val="11"/>
        <color theme="1"/>
        <rFont val="Brother 1816"/>
        <family val="2"/>
        <scheme val="minor"/>
      </rPr>
      <t>.</t>
    </r>
  </si>
  <si>
    <t xml:space="preserve">This material is intended only to provide observations and views of the author(s) at the time of writing, both of which are subject to change at any time without prior notice. Certain of the statements contained herein are statements of future expectations and other forward-looking statements that are based on ARK's current views and assumptions and involve known and unknown risks and uncertainties that could cause actual results, performance or events to differ materially from those expressed or implied in such statements. Past performance is no guarantee of future results. Equities may decline in value due to both real and perceived general market, economic, and industry conditions. </t>
  </si>
  <si>
    <t>This material is for informational purposes only and does not constitute, either explicitly or implicitly, any provision of services or products by ARK. Nothing contained herein constitutes investment, legal, tax or other advice and is not to be relied on in making an investment or other decision. Investors should determine for themselves whether a particular service or product is suitable for their investment needs or should seek such professional advice for their particular situation.</t>
  </si>
  <si>
    <t>In this tool, you can investigate the assumptions (e.g., values in blue), criteria and methodology used in this Monte Carlo simulation to determine the value of a single security in five years. A Monte Carlo simulation is intended to assist in understanding the impact of risk and uncertainty in forecasting or predicting a future event. The simulation works by assigning multiple values to a set of variables to achieve multiple results, and then averaging those results to obtain an estimate; here, this simulation is being used to predict the price of a single security in five years. The tool is inherently limited by its nature, including the assumption of perfectly efficient markets. ARK has used its research to determine what it believes are reasonable ranges for variables modelled as well as which business lines will have the biggest determination on the security’s future value. The tool is designed to forecast the price of a single security over time. Please refer to the [Tesla blog] for additional information on the assumptions, criteria and methodology used, and the limitations of this tool. The results may vary with each use and over time. This tool relies on historical information of the modelled security, including publicly available financial data sources, and analysis of that data by ARK and by third-parties, combined with ARK’s research to forecast over a five year time horizon. Please note that key inputs are included in the Tesla Valuation and Monte Carlo Inputs worksheets of this GitHub document. The reader is urged to use extreme caution when considering the forecasted performance, as it is inherently subjective and reflects ARK’s long term positive view of the company. There is no guarantee that any results will align with the forecasted performance, and they might not be predictive. This tool is intended to analyze a single security, and we note that other investments were not considered that may have characteristics similar or superior to those being analyzed. This tool generates outcomes that are hypothetical in nature</t>
  </si>
  <si>
    <t xml:space="preserve">2023, ARK Investment Management LLC. All content is original and has been researched and produced by ARK Investment Management LLC (“ARK”) unless otherwise stated herein. </t>
  </si>
  <si>
    <t>You may not use the material for commercial purposes without first obtaining written permission.</t>
  </si>
  <si>
    <t>This work is licensed under a Creative Commons Attribution-Non-Commercial 4.0 International License.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</si>
</sst>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6" formatCode="&quot;$&quot;#,##0_);[Red]\(&quot;$&quot;#,##0\)"/>
    <numFmt numFmtId="44" formatCode="_(&quot;$&quot;* #,##0.00_);_(&quot;$&quot;* \(#,##0.00\);_(&quot;$&quot;* &quot;-&quot;??_);_(@_)"/>
    <numFmt numFmtId="43" formatCode="_(* #,##0.00_);_(* \(#,##0.00\);_(* &quot;-&quot;??_);_(@_)"/>
    <numFmt numFmtId="164" formatCode="_(* #,##0_);_(* \(#,##0\);_(* &quot;-&quot;??_);_(@_)"/>
    <numFmt numFmtId="165" formatCode="_(&quot;$&quot;* #,##0_);_(&quot;$&quot;* \(#,##0\);_(&quot;$&quot;* &quot;-&quot;??_);_(@_)"/>
    <numFmt numFmtId="166" formatCode="_-&quot;$&quot;* #,##0_-;\-&quot;$&quot;* #,##0_-;_-&quot;$&quot;* &quot;-&quot;??_-;_-@_-"/>
  </numFmts>
  <fonts count="17">
    <font>
      <sz val="12"/>
      <color theme="1"/>
      <name val="Brother 1816"/>
      <family val="2"/>
      <scheme val="minor"/>
    </font>
    <font>
      <sz val="12"/>
      <color theme="1"/>
      <name val="Brother 1816"/>
      <family val="2"/>
      <scheme val="minor"/>
    </font>
    <font>
      <b/>
      <sz val="12"/>
      <color theme="1"/>
      <name val="Brother 1816"/>
      <family val="2"/>
      <scheme val="minor"/>
    </font>
    <font>
      <sz val="12"/>
      <color theme="8"/>
      <name val="Brother 1816"/>
      <family val="2"/>
      <scheme val="minor"/>
    </font>
    <font>
      <sz val="12"/>
      <color rgb="FF000000"/>
      <name val="Brother 1816"/>
      <family val="2"/>
      <scheme val="minor"/>
    </font>
    <font>
      <b/>
      <sz val="12"/>
      <color theme="1"/>
      <name val="Brother 1816"/>
      <scheme val="minor"/>
    </font>
    <font>
      <sz val="12"/>
      <color theme="1"/>
      <name val="Brother 1816"/>
      <scheme val="minor"/>
    </font>
    <font>
      <sz val="12"/>
      <color theme="0" tint="-0.499984740745262"/>
      <name val="Brother 1816"/>
      <family val="2"/>
      <scheme val="minor"/>
    </font>
    <font>
      <b/>
      <sz val="11"/>
      <color theme="1"/>
      <name val="Brother 1816"/>
      <family val="2"/>
      <scheme val="minor"/>
    </font>
    <font>
      <sz val="12"/>
      <color indexed="8"/>
      <name val="Verdana"/>
      <family val="2"/>
    </font>
    <font>
      <b/>
      <u/>
      <sz val="11"/>
      <color theme="1"/>
      <name val="Brother 1816"/>
      <family val="2"/>
      <scheme val="minor"/>
    </font>
    <font>
      <sz val="11"/>
      <color rgb="FF000000"/>
      <name val="Calibri"/>
      <family val="2"/>
    </font>
    <font>
      <b/>
      <sz val="11"/>
      <color rgb="FF000000"/>
      <name val="Calibri"/>
      <family val="2"/>
    </font>
    <font>
      <b/>
      <sz val="11"/>
      <color rgb="FF000000"/>
      <name val="Brother 1816"/>
      <family val="2"/>
      <scheme val="minor"/>
    </font>
    <font>
      <sz val="11"/>
      <color rgb="FF000000"/>
      <name val="Brother 1816"/>
      <family val="2"/>
      <scheme val="minor"/>
    </font>
    <font>
      <sz val="11"/>
      <color theme="1"/>
      <name val="Brother 1816"/>
      <family val="2"/>
      <scheme val="minor"/>
    </font>
    <font>
      <u/>
      <sz val="12"/>
      <color theme="10"/>
      <name val="Brother 1816"/>
      <family val="2"/>
      <scheme val="minor"/>
    </font>
  </fonts>
  <fills count="2">
    <fill>
      <patternFill patternType="none"/>
    </fill>
    <fill>
      <patternFill patternType="gray125"/>
    </fill>
  </fills>
  <borders count="4">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7">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1" fillId="0" borderId="0"/>
    <xf numFmtId="9" fontId="9" fillId="0" borderId="0" applyFont="0" applyFill="0" applyBorder="0" applyAlignment="0" applyProtection="0"/>
    <xf numFmtId="0" fontId="16" fillId="0" borderId="0" applyNumberFormat="0" applyFill="0" applyBorder="0" applyAlignment="0" applyProtection="0"/>
  </cellStyleXfs>
  <cellXfs count="49">
    <xf numFmtId="0" fontId="0" fillId="0" borderId="0" xfId="0"/>
    <xf numFmtId="0" fontId="2" fillId="0" borderId="0" xfId="0" applyFont="1"/>
    <xf numFmtId="164" fontId="0" fillId="0" borderId="0" xfId="1" applyNumberFormat="1" applyFont="1"/>
    <xf numFmtId="165" fontId="0" fillId="0" borderId="0" xfId="2" applyNumberFormat="1" applyFont="1"/>
    <xf numFmtId="9" fontId="0" fillId="0" borderId="0" xfId="3" applyFont="1"/>
    <xf numFmtId="9" fontId="0" fillId="0" borderId="0" xfId="0" applyNumberFormat="1"/>
    <xf numFmtId="164" fontId="0" fillId="0" borderId="0" xfId="0" applyNumberFormat="1"/>
    <xf numFmtId="165" fontId="0" fillId="0" borderId="0" xfId="0" applyNumberFormat="1"/>
    <xf numFmtId="44" fontId="0" fillId="0" borderId="0" xfId="2" applyFont="1"/>
    <xf numFmtId="6" fontId="0" fillId="0" borderId="0" xfId="0" applyNumberFormat="1"/>
    <xf numFmtId="44" fontId="0" fillId="0" borderId="0" xfId="0" applyNumberFormat="1"/>
    <xf numFmtId="0" fontId="3" fillId="0" borderId="0" xfId="0" applyFont="1"/>
    <xf numFmtId="165" fontId="3" fillId="0" borderId="0" xfId="2" applyNumberFormat="1" applyFont="1"/>
    <xf numFmtId="9" fontId="3" fillId="0" borderId="0" xfId="3" applyFont="1"/>
    <xf numFmtId="44" fontId="3" fillId="0" borderId="0" xfId="2" applyFont="1"/>
    <xf numFmtId="6" fontId="3" fillId="0" borderId="0" xfId="0" applyNumberFormat="1" applyFont="1"/>
    <xf numFmtId="0" fontId="4" fillId="0" borderId="0" xfId="0" applyFont="1"/>
    <xf numFmtId="0" fontId="5" fillId="0" borderId="0" xfId="0" applyFont="1"/>
    <xf numFmtId="166" fontId="0" fillId="0" borderId="0" xfId="2" applyNumberFormat="1" applyFont="1" applyFill="1" applyBorder="1"/>
    <xf numFmtId="166" fontId="0" fillId="0" borderId="0" xfId="0" applyNumberFormat="1"/>
    <xf numFmtId="166" fontId="3" fillId="0" borderId="0" xfId="2" applyNumberFormat="1" applyFont="1" applyFill="1" applyBorder="1"/>
    <xf numFmtId="9" fontId="3" fillId="0" borderId="0" xfId="3" applyFont="1" applyFill="1" applyBorder="1"/>
    <xf numFmtId="164" fontId="3" fillId="0" borderId="0" xfId="1" applyNumberFormat="1" applyFont="1" applyFill="1" applyBorder="1"/>
    <xf numFmtId="165" fontId="1" fillId="0" borderId="0" xfId="2" applyNumberFormat="1" applyFont="1" applyFill="1" applyBorder="1"/>
    <xf numFmtId="0" fontId="6" fillId="0" borderId="0" xfId="0" applyFont="1"/>
    <xf numFmtId="0" fontId="7" fillId="0" borderId="0" xfId="0" applyFont="1"/>
    <xf numFmtId="164" fontId="7" fillId="0" borderId="0" xfId="1" applyNumberFormat="1" applyFont="1" applyFill="1"/>
    <xf numFmtId="165" fontId="7" fillId="0" borderId="0" xfId="2" applyNumberFormat="1" applyFont="1" applyFill="1"/>
    <xf numFmtId="165" fontId="7" fillId="0" borderId="0" xfId="0" applyNumberFormat="1" applyFont="1"/>
    <xf numFmtId="164" fontId="3" fillId="0" borderId="0" xfId="1" applyNumberFormat="1" applyFont="1"/>
    <xf numFmtId="165" fontId="1" fillId="0" borderId="0" xfId="2" applyNumberFormat="1" applyFont="1" applyFill="1"/>
    <xf numFmtId="0" fontId="0" fillId="0" borderId="1" xfId="0" applyBorder="1"/>
    <xf numFmtId="0" fontId="0" fillId="0" borderId="2" xfId="0" applyBorder="1"/>
    <xf numFmtId="165" fontId="0" fillId="0" borderId="2" xfId="2" applyNumberFormat="1" applyFont="1" applyBorder="1"/>
    <xf numFmtId="165" fontId="0" fillId="0" borderId="3" xfId="2" applyNumberFormat="1" applyFont="1" applyBorder="1"/>
    <xf numFmtId="165" fontId="1" fillId="0" borderId="3" xfId="2" applyNumberFormat="1" applyFont="1" applyFill="1" applyBorder="1"/>
    <xf numFmtId="43" fontId="0" fillId="0" borderId="0" xfId="0" applyNumberFormat="1"/>
    <xf numFmtId="43" fontId="0" fillId="0" borderId="0" xfId="1" applyFont="1"/>
    <xf numFmtId="0" fontId="0" fillId="0" borderId="0" xfId="0" applyAlignment="1">
      <alignment horizontal="center"/>
    </xf>
    <xf numFmtId="0" fontId="1" fillId="0" borderId="0" xfId="4"/>
    <xf numFmtId="0" fontId="8" fillId="0" borderId="0" xfId="0" applyFont="1" applyAlignment="1">
      <alignment horizontal="justify" vertical="center"/>
    </xf>
    <xf numFmtId="9" fontId="1" fillId="0" borderId="0" xfId="5" applyFont="1"/>
    <xf numFmtId="0" fontId="11" fillId="0" borderId="0" xfId="4" applyFont="1" applyAlignment="1">
      <alignment vertical="center" wrapText="1"/>
    </xf>
    <xf numFmtId="0" fontId="12" fillId="0" borderId="0" xfId="4" applyFont="1" applyAlignment="1">
      <alignment vertical="center" wrapText="1"/>
    </xf>
    <xf numFmtId="0" fontId="13" fillId="0" borderId="0" xfId="0" applyFont="1" applyAlignment="1">
      <alignment horizontal="justify" vertical="center"/>
    </xf>
    <xf numFmtId="0" fontId="14" fillId="0" borderId="0" xfId="0" applyFont="1" applyAlignment="1">
      <alignment horizontal="justify" vertical="center"/>
    </xf>
    <xf numFmtId="0" fontId="1" fillId="0" borderId="0" xfId="4" applyAlignment="1">
      <alignment vertical="center"/>
    </xf>
    <xf numFmtId="0" fontId="15" fillId="0" borderId="0" xfId="0" applyFont="1" applyAlignment="1">
      <alignment horizontal="justify" vertical="center"/>
    </xf>
    <xf numFmtId="0" fontId="16" fillId="0" borderId="0" xfId="6" applyAlignment="1">
      <alignment horizontal="justify" vertical="center"/>
    </xf>
  </cellXfs>
  <cellStyles count="7">
    <cellStyle name="Comma" xfId="1" builtinId="3"/>
    <cellStyle name="Currency" xfId="2" builtinId="4"/>
    <cellStyle name="Hyperlink" xfId="6" builtinId="8"/>
    <cellStyle name="Normal" xfId="0" builtinId="0"/>
    <cellStyle name="Normal 2" xfId="4" xr:uid="{BB2FE2C8-69DA-B84E-AD06-95F91FD9951E}"/>
    <cellStyle name="Percent" xfId="3" builtinId="5"/>
    <cellStyle name="Percent 2" xfId="5" xr:uid="{DBE34862-A2A5-4149-967B-6BEBCD1F23D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Illustrative Flight From Manhattan to JFK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2"/>
          <c:order val="0"/>
          <c:tx>
            <c:strRef>
              <c:f>Model!$O$9</c:f>
              <c:strCache>
                <c:ptCount val="1"/>
                <c:pt idx="0">
                  <c:v> Landing Fee </c:v>
                </c:pt>
              </c:strCache>
            </c:strRef>
          </c:tx>
          <c:spPr>
            <a:solidFill>
              <a:schemeClr val="accent5"/>
            </a:solidFill>
            <a:ln>
              <a:noFill/>
            </a:ln>
            <a:effectLst/>
          </c:spPr>
          <c:invertIfNegative val="0"/>
          <c:cat>
            <c:strRef>
              <c:f>Model!$P$6:$R$6</c:f>
              <c:strCache>
                <c:ptCount val="3"/>
                <c:pt idx="0">
                  <c:v>Traditional Rotorcraft</c:v>
                </c:pt>
                <c:pt idx="1">
                  <c:v>Blade Assumptions</c:v>
                </c:pt>
                <c:pt idx="2">
                  <c:v>Modeled Electric Air Taxi</c:v>
                </c:pt>
              </c:strCache>
            </c:strRef>
          </c:cat>
          <c:val>
            <c:numRef>
              <c:f>Model!$P$9:$R$9</c:f>
              <c:numCache>
                <c:formatCode>_("$"* #,##0_);_("$"* \(#,##0\);_("$"* "-"??_);_(@_)</c:formatCode>
                <c:ptCount val="3"/>
                <c:pt idx="0">
                  <c:v>200</c:v>
                </c:pt>
                <c:pt idx="1">
                  <c:v>200</c:v>
                </c:pt>
                <c:pt idx="2">
                  <c:v>63.844718191532067</c:v>
                </c:pt>
              </c:numCache>
            </c:numRef>
          </c:val>
          <c:extLst>
            <c:ext xmlns:c16="http://schemas.microsoft.com/office/drawing/2014/chart" uri="{C3380CC4-5D6E-409C-BE32-E72D297353CC}">
              <c16:uniqueId val="{00000002-60A1-294B-A9A2-0F2121F3EBFF}"/>
            </c:ext>
          </c:extLst>
        </c:ser>
        <c:ser>
          <c:idx val="0"/>
          <c:order val="1"/>
          <c:tx>
            <c:strRef>
              <c:f>Model!$O$7</c:f>
              <c:strCache>
                <c:ptCount val="1"/>
                <c:pt idx="0">
                  <c:v>Fixed Cost</c:v>
                </c:pt>
              </c:strCache>
            </c:strRef>
          </c:tx>
          <c:spPr>
            <a:solidFill>
              <a:schemeClr val="accent1"/>
            </a:solidFill>
            <a:ln>
              <a:noFill/>
            </a:ln>
            <a:effectLst/>
          </c:spPr>
          <c:invertIfNegative val="0"/>
          <c:cat>
            <c:strRef>
              <c:f>Model!$P$6:$R$6</c:f>
              <c:strCache>
                <c:ptCount val="3"/>
                <c:pt idx="0">
                  <c:v>Traditional Rotorcraft</c:v>
                </c:pt>
                <c:pt idx="1">
                  <c:v>Blade Assumptions</c:v>
                </c:pt>
                <c:pt idx="2">
                  <c:v>Modeled Electric Air Taxi</c:v>
                </c:pt>
              </c:strCache>
            </c:strRef>
          </c:cat>
          <c:val>
            <c:numRef>
              <c:f>Model!$P$7:$R$7</c:f>
              <c:numCache>
                <c:formatCode>_("$"* #,##0_);_("$"* \(#,##0\);_("$"* "-"??_);_(@_)</c:formatCode>
                <c:ptCount val="3"/>
                <c:pt idx="0">
                  <c:v>180</c:v>
                </c:pt>
                <c:pt idx="1">
                  <c:v>150</c:v>
                </c:pt>
                <c:pt idx="2">
                  <c:v>81.784000000000006</c:v>
                </c:pt>
              </c:numCache>
            </c:numRef>
          </c:val>
          <c:extLst>
            <c:ext xmlns:c16="http://schemas.microsoft.com/office/drawing/2014/chart" uri="{C3380CC4-5D6E-409C-BE32-E72D297353CC}">
              <c16:uniqueId val="{00000000-60A1-294B-A9A2-0F2121F3EBFF}"/>
            </c:ext>
          </c:extLst>
        </c:ser>
        <c:ser>
          <c:idx val="1"/>
          <c:order val="2"/>
          <c:tx>
            <c:strRef>
              <c:f>Model!$O$8</c:f>
              <c:strCache>
                <c:ptCount val="1"/>
                <c:pt idx="0">
                  <c:v> Operating Cost </c:v>
                </c:pt>
              </c:strCache>
            </c:strRef>
          </c:tx>
          <c:spPr>
            <a:solidFill>
              <a:schemeClr val="accent2"/>
            </a:solidFill>
            <a:ln>
              <a:noFill/>
            </a:ln>
            <a:effectLst/>
          </c:spPr>
          <c:invertIfNegative val="0"/>
          <c:cat>
            <c:strRef>
              <c:f>Model!$P$6:$R$6</c:f>
              <c:strCache>
                <c:ptCount val="3"/>
                <c:pt idx="0">
                  <c:v>Traditional Rotorcraft</c:v>
                </c:pt>
                <c:pt idx="1">
                  <c:v>Blade Assumptions</c:v>
                </c:pt>
                <c:pt idx="2">
                  <c:v>Modeled Electric Air Taxi</c:v>
                </c:pt>
              </c:strCache>
            </c:strRef>
          </c:cat>
          <c:val>
            <c:numRef>
              <c:f>Model!$P$8:$R$8</c:f>
              <c:numCache>
                <c:formatCode>_("$"* #,##0_);_("$"* \(#,##0\);_("$"* "-"??_);_(@_)</c:formatCode>
                <c:ptCount val="3"/>
                <c:pt idx="0">
                  <c:v>117.86199999999999</c:v>
                </c:pt>
                <c:pt idx="1">
                  <c:v>80</c:v>
                </c:pt>
                <c:pt idx="2">
                  <c:v>37.75</c:v>
                </c:pt>
              </c:numCache>
            </c:numRef>
          </c:val>
          <c:extLst>
            <c:ext xmlns:c16="http://schemas.microsoft.com/office/drawing/2014/chart" uri="{C3380CC4-5D6E-409C-BE32-E72D297353CC}">
              <c16:uniqueId val="{00000001-60A1-294B-A9A2-0F2121F3EBFF}"/>
            </c:ext>
          </c:extLst>
        </c:ser>
        <c:dLbls>
          <c:showLegendKey val="0"/>
          <c:showVal val="0"/>
          <c:showCatName val="0"/>
          <c:showSerName val="0"/>
          <c:showPercent val="0"/>
          <c:showBubbleSize val="0"/>
        </c:dLbls>
        <c:gapWidth val="150"/>
        <c:overlap val="100"/>
        <c:axId val="1348019072"/>
        <c:axId val="157094847"/>
      </c:barChart>
      <c:catAx>
        <c:axId val="1348019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094847"/>
        <c:crosses val="autoZero"/>
        <c:auto val="1"/>
        <c:lblAlgn val="ctr"/>
        <c:lblOffset val="100"/>
        <c:noMultiLvlLbl val="0"/>
      </c:catAx>
      <c:valAx>
        <c:axId val="1570948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Cost to Operator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801907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Modeled Landing Fee By Upfront Cost and Number of Annual Flights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Charts!$E$26</c:f>
              <c:strCache>
                <c:ptCount val="1"/>
                <c:pt idx="0">
                  <c:v> 5,000 </c:v>
                </c:pt>
              </c:strCache>
            </c:strRef>
          </c:tx>
          <c:spPr>
            <a:solidFill>
              <a:schemeClr val="accent1"/>
            </a:solidFill>
            <a:ln>
              <a:noFill/>
            </a:ln>
            <a:effectLst/>
          </c:spPr>
          <c:invertIfNegative val="0"/>
          <c:cat>
            <c:numRef>
              <c:f>Charts!$D$27:$D$30</c:f>
              <c:numCache>
                <c:formatCode>_("$"* #,##0_);_("$"* \(#,##0\);_("$"* "-"??_);_(@_)</c:formatCode>
                <c:ptCount val="4"/>
                <c:pt idx="0">
                  <c:v>6000000</c:v>
                </c:pt>
                <c:pt idx="1">
                  <c:v>3000000</c:v>
                </c:pt>
                <c:pt idx="2">
                  <c:v>1500000</c:v>
                </c:pt>
                <c:pt idx="3">
                  <c:v>750000</c:v>
                </c:pt>
              </c:numCache>
            </c:numRef>
          </c:cat>
          <c:val>
            <c:numRef>
              <c:f>Charts!$E$27:$E$30</c:f>
              <c:numCache>
                <c:formatCode>_("$"* #,##0_);_("$"* \(#,##0\);_("$"* "-"??_);_(@_)</c:formatCode>
                <c:ptCount val="4"/>
                <c:pt idx="0">
                  <c:v>278.83538643649058</c:v>
                </c:pt>
                <c:pt idx="1">
                  <c:v>189.41769321824529</c:v>
                </c:pt>
                <c:pt idx="2">
                  <c:v>144.70884660912259</c:v>
                </c:pt>
                <c:pt idx="3">
                  <c:v>122.35442330456132</c:v>
                </c:pt>
              </c:numCache>
            </c:numRef>
          </c:val>
          <c:extLst>
            <c:ext xmlns:c16="http://schemas.microsoft.com/office/drawing/2014/chart" uri="{C3380CC4-5D6E-409C-BE32-E72D297353CC}">
              <c16:uniqueId val="{00000000-5661-3743-9593-0541E1D773D7}"/>
            </c:ext>
          </c:extLst>
        </c:ser>
        <c:ser>
          <c:idx val="1"/>
          <c:order val="1"/>
          <c:tx>
            <c:strRef>
              <c:f>Charts!$F$26</c:f>
              <c:strCache>
                <c:ptCount val="1"/>
                <c:pt idx="0">
                  <c:v> 10,000 </c:v>
                </c:pt>
              </c:strCache>
            </c:strRef>
          </c:tx>
          <c:spPr>
            <a:solidFill>
              <a:schemeClr val="accent2"/>
            </a:solidFill>
            <a:ln>
              <a:noFill/>
            </a:ln>
            <a:effectLst/>
          </c:spPr>
          <c:invertIfNegative val="0"/>
          <c:cat>
            <c:numRef>
              <c:f>Charts!$D$27:$D$30</c:f>
              <c:numCache>
                <c:formatCode>_("$"* #,##0_);_("$"* \(#,##0\);_("$"* "-"??_);_(@_)</c:formatCode>
                <c:ptCount val="4"/>
                <c:pt idx="0">
                  <c:v>6000000</c:v>
                </c:pt>
                <c:pt idx="1">
                  <c:v>3000000</c:v>
                </c:pt>
                <c:pt idx="2">
                  <c:v>1500000</c:v>
                </c:pt>
                <c:pt idx="3">
                  <c:v>750000</c:v>
                </c:pt>
              </c:numCache>
            </c:numRef>
          </c:cat>
          <c:val>
            <c:numRef>
              <c:f>Charts!$F$27:$F$30</c:f>
              <c:numCache>
                <c:formatCode>_("$"* #,##0_);_("$"* \(#,##0\);_("$"* "-"??_);_(@_)</c:formatCode>
                <c:ptCount val="4"/>
                <c:pt idx="0">
                  <c:v>139.41769321824529</c:v>
                </c:pt>
                <c:pt idx="1">
                  <c:v>94.708846609122645</c:v>
                </c:pt>
                <c:pt idx="2">
                  <c:v>72.354423304561308</c:v>
                </c:pt>
                <c:pt idx="3">
                  <c:v>61.177211652280661</c:v>
                </c:pt>
              </c:numCache>
            </c:numRef>
          </c:val>
          <c:extLst>
            <c:ext xmlns:c16="http://schemas.microsoft.com/office/drawing/2014/chart" uri="{C3380CC4-5D6E-409C-BE32-E72D297353CC}">
              <c16:uniqueId val="{00000001-5661-3743-9593-0541E1D773D7}"/>
            </c:ext>
          </c:extLst>
        </c:ser>
        <c:ser>
          <c:idx val="2"/>
          <c:order val="2"/>
          <c:tx>
            <c:strRef>
              <c:f>Charts!$G$26</c:f>
              <c:strCache>
                <c:ptCount val="1"/>
                <c:pt idx="0">
                  <c:v> 20,000 </c:v>
                </c:pt>
              </c:strCache>
            </c:strRef>
          </c:tx>
          <c:spPr>
            <a:solidFill>
              <a:schemeClr val="accent3"/>
            </a:solidFill>
            <a:ln>
              <a:noFill/>
            </a:ln>
            <a:effectLst/>
          </c:spPr>
          <c:invertIfNegative val="0"/>
          <c:cat>
            <c:numRef>
              <c:f>Charts!$D$27:$D$30</c:f>
              <c:numCache>
                <c:formatCode>_("$"* #,##0_);_("$"* \(#,##0\);_("$"* "-"??_);_(@_)</c:formatCode>
                <c:ptCount val="4"/>
                <c:pt idx="0">
                  <c:v>6000000</c:v>
                </c:pt>
                <c:pt idx="1">
                  <c:v>3000000</c:v>
                </c:pt>
                <c:pt idx="2">
                  <c:v>1500000</c:v>
                </c:pt>
                <c:pt idx="3">
                  <c:v>750000</c:v>
                </c:pt>
              </c:numCache>
            </c:numRef>
          </c:cat>
          <c:val>
            <c:numRef>
              <c:f>Charts!$G$27:$G$30</c:f>
              <c:numCache>
                <c:formatCode>_("$"* #,##0_);_("$"* \(#,##0\);_("$"* "-"??_);_(@_)</c:formatCode>
                <c:ptCount val="4"/>
                <c:pt idx="0">
                  <c:v>69.708846609122645</c:v>
                </c:pt>
                <c:pt idx="1">
                  <c:v>47.354423304561323</c:v>
                </c:pt>
                <c:pt idx="2">
                  <c:v>36.177211652280647</c:v>
                </c:pt>
                <c:pt idx="3">
                  <c:v>30.588605826140331</c:v>
                </c:pt>
              </c:numCache>
            </c:numRef>
          </c:val>
          <c:extLst>
            <c:ext xmlns:c16="http://schemas.microsoft.com/office/drawing/2014/chart" uri="{C3380CC4-5D6E-409C-BE32-E72D297353CC}">
              <c16:uniqueId val="{00000002-5661-3743-9593-0541E1D773D7}"/>
            </c:ext>
          </c:extLst>
        </c:ser>
        <c:ser>
          <c:idx val="3"/>
          <c:order val="3"/>
          <c:tx>
            <c:strRef>
              <c:f>Charts!$H$26</c:f>
              <c:strCache>
                <c:ptCount val="1"/>
                <c:pt idx="0">
                  <c:v> 40,000 </c:v>
                </c:pt>
              </c:strCache>
            </c:strRef>
          </c:tx>
          <c:spPr>
            <a:solidFill>
              <a:schemeClr val="accent4"/>
            </a:solidFill>
            <a:ln>
              <a:noFill/>
            </a:ln>
            <a:effectLst/>
          </c:spPr>
          <c:invertIfNegative val="0"/>
          <c:cat>
            <c:numRef>
              <c:f>Charts!$D$27:$D$30</c:f>
              <c:numCache>
                <c:formatCode>_("$"* #,##0_);_("$"* \(#,##0\);_("$"* "-"??_);_(@_)</c:formatCode>
                <c:ptCount val="4"/>
                <c:pt idx="0">
                  <c:v>6000000</c:v>
                </c:pt>
                <c:pt idx="1">
                  <c:v>3000000</c:v>
                </c:pt>
                <c:pt idx="2">
                  <c:v>1500000</c:v>
                </c:pt>
                <c:pt idx="3">
                  <c:v>750000</c:v>
                </c:pt>
              </c:numCache>
            </c:numRef>
          </c:cat>
          <c:val>
            <c:numRef>
              <c:f>Charts!$H$27:$H$30</c:f>
              <c:numCache>
                <c:formatCode>_("$"* #,##0_);_("$"* \(#,##0\);_("$"* "-"??_);_(@_)</c:formatCode>
                <c:ptCount val="4"/>
                <c:pt idx="0">
                  <c:v>34.854423304561323</c:v>
                </c:pt>
                <c:pt idx="1">
                  <c:v>23.677211652280665</c:v>
                </c:pt>
                <c:pt idx="2">
                  <c:v>18.088605826140327</c:v>
                </c:pt>
                <c:pt idx="3">
                  <c:v>15.294302913070167</c:v>
                </c:pt>
              </c:numCache>
            </c:numRef>
          </c:val>
          <c:extLst>
            <c:ext xmlns:c16="http://schemas.microsoft.com/office/drawing/2014/chart" uri="{C3380CC4-5D6E-409C-BE32-E72D297353CC}">
              <c16:uniqueId val="{00000003-5661-3743-9593-0541E1D773D7}"/>
            </c:ext>
          </c:extLst>
        </c:ser>
        <c:dLbls>
          <c:showLegendKey val="0"/>
          <c:showVal val="0"/>
          <c:showCatName val="0"/>
          <c:showSerName val="0"/>
          <c:showPercent val="0"/>
          <c:showBubbleSize val="0"/>
        </c:dLbls>
        <c:gapWidth val="150"/>
        <c:axId val="2114337647"/>
        <c:axId val="895181840"/>
      </c:barChart>
      <c:catAx>
        <c:axId val="211433764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Upfront Cost of Heliport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5181840"/>
        <c:crosses val="autoZero"/>
        <c:auto val="1"/>
        <c:lblAlgn val="ctr"/>
        <c:lblOffset val="100"/>
        <c:noMultiLvlLbl val="0"/>
      </c:catAx>
      <c:valAx>
        <c:axId val="8951818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Landing Fee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433764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Modeled </a:t>
            </a:r>
            <a:r>
              <a:rPr lang="en-US"/>
              <a:t>Hourly Operating</a:t>
            </a:r>
            <a:r>
              <a:rPr lang="en-US" baseline="0"/>
              <a:t> Cost By Maintenance Reserve Cost and Battery Lifespan (Cycles)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Charts!$D$18</c:f>
              <c:strCache>
                <c:ptCount val="1"/>
                <c:pt idx="0">
                  <c:v> 500 </c:v>
                </c:pt>
              </c:strCache>
            </c:strRef>
          </c:tx>
          <c:spPr>
            <a:solidFill>
              <a:schemeClr val="accent1"/>
            </a:solidFill>
            <a:ln>
              <a:noFill/>
            </a:ln>
            <a:effectLst/>
          </c:spPr>
          <c:invertIfNegative val="0"/>
          <c:cat>
            <c:numRef>
              <c:f>Charts!$E$17:$H$17</c:f>
              <c:numCache>
                <c:formatCode>_("$"* #,##0_);_("$"* \(#,##0\);_("$"* "-"??_);_(@_)</c:formatCode>
                <c:ptCount val="4"/>
                <c:pt idx="0">
                  <c:v>400</c:v>
                </c:pt>
                <c:pt idx="1">
                  <c:v>300</c:v>
                </c:pt>
                <c:pt idx="2">
                  <c:v>200</c:v>
                </c:pt>
                <c:pt idx="3">
                  <c:v>100</c:v>
                </c:pt>
              </c:numCache>
            </c:numRef>
          </c:cat>
          <c:val>
            <c:numRef>
              <c:f>Charts!$E$18:$H$18</c:f>
              <c:numCache>
                <c:formatCode>_("$"* #,##0_);_("$"* \(#,##0\);_("$"* "-"??_);_(@_)</c:formatCode>
                <c:ptCount val="4"/>
                <c:pt idx="0">
                  <c:v>540</c:v>
                </c:pt>
                <c:pt idx="1">
                  <c:v>440</c:v>
                </c:pt>
                <c:pt idx="2">
                  <c:v>340</c:v>
                </c:pt>
                <c:pt idx="3">
                  <c:v>240</c:v>
                </c:pt>
              </c:numCache>
            </c:numRef>
          </c:val>
          <c:extLst>
            <c:ext xmlns:c16="http://schemas.microsoft.com/office/drawing/2014/chart" uri="{C3380CC4-5D6E-409C-BE32-E72D297353CC}">
              <c16:uniqueId val="{00000000-4984-7940-83CD-57E089D0F117}"/>
            </c:ext>
          </c:extLst>
        </c:ser>
        <c:ser>
          <c:idx val="1"/>
          <c:order val="1"/>
          <c:tx>
            <c:strRef>
              <c:f>Charts!$D$19</c:f>
              <c:strCache>
                <c:ptCount val="1"/>
                <c:pt idx="0">
                  <c:v> 1,000 </c:v>
                </c:pt>
              </c:strCache>
            </c:strRef>
          </c:tx>
          <c:spPr>
            <a:solidFill>
              <a:schemeClr val="accent2"/>
            </a:solidFill>
            <a:ln>
              <a:noFill/>
            </a:ln>
            <a:effectLst/>
          </c:spPr>
          <c:invertIfNegative val="0"/>
          <c:cat>
            <c:numRef>
              <c:f>Charts!$E$17:$H$17</c:f>
              <c:numCache>
                <c:formatCode>_("$"* #,##0_);_("$"* \(#,##0\);_("$"* "-"??_);_(@_)</c:formatCode>
                <c:ptCount val="4"/>
                <c:pt idx="0">
                  <c:v>400</c:v>
                </c:pt>
                <c:pt idx="1">
                  <c:v>300</c:v>
                </c:pt>
                <c:pt idx="2">
                  <c:v>200</c:v>
                </c:pt>
                <c:pt idx="3">
                  <c:v>100</c:v>
                </c:pt>
              </c:numCache>
            </c:numRef>
          </c:cat>
          <c:val>
            <c:numRef>
              <c:f>Charts!$E$19:$H$19</c:f>
              <c:numCache>
                <c:formatCode>_("$"* #,##0_);_("$"* \(#,##0\);_("$"* "-"??_);_(@_)</c:formatCode>
                <c:ptCount val="4"/>
                <c:pt idx="0">
                  <c:v>340</c:v>
                </c:pt>
                <c:pt idx="1">
                  <c:v>290</c:v>
                </c:pt>
                <c:pt idx="2">
                  <c:v>240</c:v>
                </c:pt>
                <c:pt idx="3">
                  <c:v>190</c:v>
                </c:pt>
              </c:numCache>
            </c:numRef>
          </c:val>
          <c:extLst>
            <c:ext xmlns:c16="http://schemas.microsoft.com/office/drawing/2014/chart" uri="{C3380CC4-5D6E-409C-BE32-E72D297353CC}">
              <c16:uniqueId val="{00000001-4984-7940-83CD-57E089D0F117}"/>
            </c:ext>
          </c:extLst>
        </c:ser>
        <c:ser>
          <c:idx val="2"/>
          <c:order val="2"/>
          <c:tx>
            <c:strRef>
              <c:f>Charts!$D$20</c:f>
              <c:strCache>
                <c:ptCount val="1"/>
                <c:pt idx="0">
                  <c:v> 2,000 </c:v>
                </c:pt>
              </c:strCache>
            </c:strRef>
          </c:tx>
          <c:spPr>
            <a:solidFill>
              <a:schemeClr val="accent3"/>
            </a:solidFill>
            <a:ln>
              <a:noFill/>
            </a:ln>
            <a:effectLst/>
          </c:spPr>
          <c:invertIfNegative val="0"/>
          <c:cat>
            <c:numRef>
              <c:f>Charts!$E$17:$H$17</c:f>
              <c:numCache>
                <c:formatCode>_("$"* #,##0_);_("$"* \(#,##0\);_("$"* "-"??_);_(@_)</c:formatCode>
                <c:ptCount val="4"/>
                <c:pt idx="0">
                  <c:v>400</c:v>
                </c:pt>
                <c:pt idx="1">
                  <c:v>300</c:v>
                </c:pt>
                <c:pt idx="2">
                  <c:v>200</c:v>
                </c:pt>
                <c:pt idx="3">
                  <c:v>100</c:v>
                </c:pt>
              </c:numCache>
            </c:numRef>
          </c:cat>
          <c:val>
            <c:numRef>
              <c:f>Charts!$E$20:$H$20</c:f>
              <c:numCache>
                <c:formatCode>_("$"* #,##0_);_("$"* \(#,##0\);_("$"* "-"??_);_(@_)</c:formatCode>
                <c:ptCount val="4"/>
                <c:pt idx="0">
                  <c:v>240</c:v>
                </c:pt>
                <c:pt idx="1">
                  <c:v>215</c:v>
                </c:pt>
                <c:pt idx="2">
                  <c:v>190</c:v>
                </c:pt>
                <c:pt idx="3">
                  <c:v>165</c:v>
                </c:pt>
              </c:numCache>
            </c:numRef>
          </c:val>
          <c:extLst>
            <c:ext xmlns:c16="http://schemas.microsoft.com/office/drawing/2014/chart" uri="{C3380CC4-5D6E-409C-BE32-E72D297353CC}">
              <c16:uniqueId val="{00000002-4984-7940-83CD-57E089D0F117}"/>
            </c:ext>
          </c:extLst>
        </c:ser>
        <c:ser>
          <c:idx val="3"/>
          <c:order val="3"/>
          <c:tx>
            <c:strRef>
              <c:f>Charts!$D$21</c:f>
              <c:strCache>
                <c:ptCount val="1"/>
                <c:pt idx="0">
                  <c:v> 5,000 </c:v>
                </c:pt>
              </c:strCache>
            </c:strRef>
          </c:tx>
          <c:spPr>
            <a:solidFill>
              <a:schemeClr val="accent4"/>
            </a:solidFill>
            <a:ln>
              <a:noFill/>
            </a:ln>
            <a:effectLst/>
          </c:spPr>
          <c:invertIfNegative val="0"/>
          <c:cat>
            <c:numRef>
              <c:f>Charts!$E$17:$H$17</c:f>
              <c:numCache>
                <c:formatCode>_("$"* #,##0_);_("$"* \(#,##0\);_("$"* "-"??_);_(@_)</c:formatCode>
                <c:ptCount val="4"/>
                <c:pt idx="0">
                  <c:v>400</c:v>
                </c:pt>
                <c:pt idx="1">
                  <c:v>300</c:v>
                </c:pt>
                <c:pt idx="2">
                  <c:v>200</c:v>
                </c:pt>
                <c:pt idx="3">
                  <c:v>100</c:v>
                </c:pt>
              </c:numCache>
            </c:numRef>
          </c:cat>
          <c:val>
            <c:numRef>
              <c:f>Charts!$E$21:$H$21</c:f>
              <c:numCache>
                <c:formatCode>_("$"* #,##0_);_("$"* \(#,##0\);_("$"* "-"??_);_(@_)</c:formatCode>
                <c:ptCount val="4"/>
                <c:pt idx="0">
                  <c:v>180</c:v>
                </c:pt>
                <c:pt idx="1">
                  <c:v>170</c:v>
                </c:pt>
                <c:pt idx="2">
                  <c:v>160</c:v>
                </c:pt>
                <c:pt idx="3">
                  <c:v>150</c:v>
                </c:pt>
              </c:numCache>
            </c:numRef>
          </c:val>
          <c:extLst>
            <c:ext xmlns:c16="http://schemas.microsoft.com/office/drawing/2014/chart" uri="{C3380CC4-5D6E-409C-BE32-E72D297353CC}">
              <c16:uniqueId val="{00000003-4984-7940-83CD-57E089D0F117}"/>
            </c:ext>
          </c:extLst>
        </c:ser>
        <c:ser>
          <c:idx val="4"/>
          <c:order val="4"/>
          <c:tx>
            <c:strRef>
              <c:f>Charts!$D$22</c:f>
              <c:strCache>
                <c:ptCount val="1"/>
                <c:pt idx="0">
                  <c:v> 10,000 </c:v>
                </c:pt>
              </c:strCache>
            </c:strRef>
          </c:tx>
          <c:spPr>
            <a:solidFill>
              <a:schemeClr val="accent5"/>
            </a:solidFill>
            <a:ln>
              <a:noFill/>
            </a:ln>
            <a:effectLst/>
          </c:spPr>
          <c:invertIfNegative val="0"/>
          <c:cat>
            <c:numRef>
              <c:f>Charts!$E$17:$H$17</c:f>
              <c:numCache>
                <c:formatCode>_("$"* #,##0_);_("$"* \(#,##0\);_("$"* "-"??_);_(@_)</c:formatCode>
                <c:ptCount val="4"/>
                <c:pt idx="0">
                  <c:v>400</c:v>
                </c:pt>
                <c:pt idx="1">
                  <c:v>300</c:v>
                </c:pt>
                <c:pt idx="2">
                  <c:v>200</c:v>
                </c:pt>
                <c:pt idx="3">
                  <c:v>100</c:v>
                </c:pt>
              </c:numCache>
            </c:numRef>
          </c:cat>
          <c:val>
            <c:numRef>
              <c:f>Charts!$E$22:$H$22</c:f>
              <c:numCache>
                <c:formatCode>_("$"* #,##0_);_("$"* \(#,##0\);_("$"* "-"??_);_(@_)</c:formatCode>
                <c:ptCount val="4"/>
                <c:pt idx="0">
                  <c:v>160</c:v>
                </c:pt>
                <c:pt idx="1">
                  <c:v>155</c:v>
                </c:pt>
                <c:pt idx="2">
                  <c:v>150</c:v>
                </c:pt>
                <c:pt idx="3">
                  <c:v>145</c:v>
                </c:pt>
              </c:numCache>
            </c:numRef>
          </c:val>
          <c:extLst>
            <c:ext xmlns:c16="http://schemas.microsoft.com/office/drawing/2014/chart" uri="{C3380CC4-5D6E-409C-BE32-E72D297353CC}">
              <c16:uniqueId val="{00000004-4984-7940-83CD-57E089D0F117}"/>
            </c:ext>
          </c:extLst>
        </c:ser>
        <c:dLbls>
          <c:showLegendKey val="0"/>
          <c:showVal val="0"/>
          <c:showCatName val="0"/>
          <c:showSerName val="0"/>
          <c:showPercent val="0"/>
          <c:showBubbleSize val="0"/>
        </c:dLbls>
        <c:gapWidth val="150"/>
        <c:axId val="481606000"/>
        <c:axId val="429156032"/>
      </c:barChart>
      <c:catAx>
        <c:axId val="4816060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Maintenance</a:t>
                </a:r>
                <a:r>
                  <a:rPr lang="en-US" baseline="0"/>
                  <a:t> Reserve Cost</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9156032"/>
        <c:crosses val="autoZero"/>
        <c:auto val="1"/>
        <c:lblAlgn val="ctr"/>
        <c:lblOffset val="100"/>
        <c:noMultiLvlLbl val="0"/>
      </c:catAx>
      <c:valAx>
        <c:axId val="4291560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Operating Cost Per Hour in Flight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16060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Modeled</a:t>
            </a:r>
            <a:r>
              <a:rPr lang="en-US" baseline="0"/>
              <a:t> </a:t>
            </a:r>
            <a:r>
              <a:rPr lang="en-US"/>
              <a:t>Hourly Fixed Cost</a:t>
            </a:r>
            <a:r>
              <a:rPr lang="en-US" baseline="0"/>
              <a:t> By Vehicle Price and Annual Flight Hours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Charts!$D$9</c:f>
              <c:strCache>
                <c:ptCount val="1"/>
                <c:pt idx="0">
                  <c:v> 500 </c:v>
                </c:pt>
              </c:strCache>
            </c:strRef>
          </c:tx>
          <c:spPr>
            <a:solidFill>
              <a:schemeClr val="accent1"/>
            </a:solidFill>
            <a:ln>
              <a:noFill/>
            </a:ln>
            <a:effectLst/>
          </c:spPr>
          <c:invertIfNegative val="0"/>
          <c:cat>
            <c:numRef>
              <c:f>Charts!$E$8:$H$8</c:f>
              <c:numCache>
                <c:formatCode>_("$"* #,##0_);_("$"* \(#,##0\);_("$"* "-"??_);_(@_)</c:formatCode>
                <c:ptCount val="4"/>
                <c:pt idx="0">
                  <c:v>4000000</c:v>
                </c:pt>
                <c:pt idx="1">
                  <c:v>1300000</c:v>
                </c:pt>
                <c:pt idx="2">
                  <c:v>600000</c:v>
                </c:pt>
                <c:pt idx="3">
                  <c:v>200000</c:v>
                </c:pt>
              </c:numCache>
            </c:numRef>
          </c:cat>
          <c:val>
            <c:numRef>
              <c:f>Charts!$E$9:$H$9</c:f>
              <c:numCache>
                <c:formatCode>_("$"* #,##0_);_("$"* \(#,##0\);_("$"* "-"??_);_(@_)</c:formatCode>
                <c:ptCount val="4"/>
                <c:pt idx="0">
                  <c:v>1623.92</c:v>
                </c:pt>
                <c:pt idx="1">
                  <c:v>813.92</c:v>
                </c:pt>
                <c:pt idx="2">
                  <c:v>603.91999999999996</c:v>
                </c:pt>
                <c:pt idx="3">
                  <c:v>483.92</c:v>
                </c:pt>
              </c:numCache>
            </c:numRef>
          </c:val>
          <c:extLst>
            <c:ext xmlns:c16="http://schemas.microsoft.com/office/drawing/2014/chart" uri="{C3380CC4-5D6E-409C-BE32-E72D297353CC}">
              <c16:uniqueId val="{00000000-E2A5-084E-A3FA-8784DACAA30E}"/>
            </c:ext>
          </c:extLst>
        </c:ser>
        <c:ser>
          <c:idx val="1"/>
          <c:order val="1"/>
          <c:tx>
            <c:strRef>
              <c:f>Charts!$D$10</c:f>
              <c:strCache>
                <c:ptCount val="1"/>
                <c:pt idx="0">
                  <c:v> 1,000 </c:v>
                </c:pt>
              </c:strCache>
            </c:strRef>
          </c:tx>
          <c:spPr>
            <a:solidFill>
              <a:schemeClr val="accent2"/>
            </a:solidFill>
            <a:ln>
              <a:noFill/>
            </a:ln>
            <a:effectLst/>
          </c:spPr>
          <c:invertIfNegative val="0"/>
          <c:cat>
            <c:numRef>
              <c:f>Charts!$E$8:$H$8</c:f>
              <c:numCache>
                <c:formatCode>_("$"* #,##0_);_("$"* \(#,##0\);_("$"* "-"??_);_(@_)</c:formatCode>
                <c:ptCount val="4"/>
                <c:pt idx="0">
                  <c:v>4000000</c:v>
                </c:pt>
                <c:pt idx="1">
                  <c:v>1300000</c:v>
                </c:pt>
                <c:pt idx="2">
                  <c:v>600000</c:v>
                </c:pt>
                <c:pt idx="3">
                  <c:v>200000</c:v>
                </c:pt>
              </c:numCache>
            </c:numRef>
          </c:cat>
          <c:val>
            <c:numRef>
              <c:f>Charts!$E$10:$H$10</c:f>
              <c:numCache>
                <c:formatCode>_("$"* #,##0_);_("$"* \(#,##0\);_("$"* "-"??_);_(@_)</c:formatCode>
                <c:ptCount val="4"/>
                <c:pt idx="0">
                  <c:v>938.92</c:v>
                </c:pt>
                <c:pt idx="1">
                  <c:v>533.91999999999996</c:v>
                </c:pt>
                <c:pt idx="2">
                  <c:v>428.92</c:v>
                </c:pt>
                <c:pt idx="3">
                  <c:v>368.92</c:v>
                </c:pt>
              </c:numCache>
            </c:numRef>
          </c:val>
          <c:extLst>
            <c:ext xmlns:c16="http://schemas.microsoft.com/office/drawing/2014/chart" uri="{C3380CC4-5D6E-409C-BE32-E72D297353CC}">
              <c16:uniqueId val="{00000001-E2A5-084E-A3FA-8784DACAA30E}"/>
            </c:ext>
          </c:extLst>
        </c:ser>
        <c:ser>
          <c:idx val="2"/>
          <c:order val="2"/>
          <c:tx>
            <c:strRef>
              <c:f>Charts!$D$11</c:f>
              <c:strCache>
                <c:ptCount val="1"/>
                <c:pt idx="0">
                  <c:v> 1,500 </c:v>
                </c:pt>
              </c:strCache>
            </c:strRef>
          </c:tx>
          <c:spPr>
            <a:solidFill>
              <a:schemeClr val="accent3"/>
            </a:solidFill>
            <a:ln>
              <a:noFill/>
            </a:ln>
            <a:effectLst/>
          </c:spPr>
          <c:invertIfNegative val="0"/>
          <c:cat>
            <c:numRef>
              <c:f>Charts!$E$8:$H$8</c:f>
              <c:numCache>
                <c:formatCode>_("$"* #,##0_);_("$"* \(#,##0\);_("$"* "-"??_);_(@_)</c:formatCode>
                <c:ptCount val="4"/>
                <c:pt idx="0">
                  <c:v>4000000</c:v>
                </c:pt>
                <c:pt idx="1">
                  <c:v>1300000</c:v>
                </c:pt>
                <c:pt idx="2">
                  <c:v>600000</c:v>
                </c:pt>
                <c:pt idx="3">
                  <c:v>200000</c:v>
                </c:pt>
              </c:numCache>
            </c:numRef>
          </c:cat>
          <c:val>
            <c:numRef>
              <c:f>Charts!$E$11:$H$11</c:f>
              <c:numCache>
                <c:formatCode>_("$"* #,##0_);_("$"* \(#,##0\);_("$"* "-"??_);_(@_)</c:formatCode>
                <c:ptCount val="4"/>
                <c:pt idx="0">
                  <c:v>710.58666666666659</c:v>
                </c:pt>
                <c:pt idx="1">
                  <c:v>440.5866666666667</c:v>
                </c:pt>
                <c:pt idx="2">
                  <c:v>370.5866666666667</c:v>
                </c:pt>
                <c:pt idx="3">
                  <c:v>330.5866666666667</c:v>
                </c:pt>
              </c:numCache>
            </c:numRef>
          </c:val>
          <c:extLst>
            <c:ext xmlns:c16="http://schemas.microsoft.com/office/drawing/2014/chart" uri="{C3380CC4-5D6E-409C-BE32-E72D297353CC}">
              <c16:uniqueId val="{00000002-E2A5-084E-A3FA-8784DACAA30E}"/>
            </c:ext>
          </c:extLst>
        </c:ser>
        <c:ser>
          <c:idx val="3"/>
          <c:order val="3"/>
          <c:tx>
            <c:strRef>
              <c:f>Charts!$D$12</c:f>
              <c:strCache>
                <c:ptCount val="1"/>
                <c:pt idx="0">
                  <c:v> 2,000 </c:v>
                </c:pt>
              </c:strCache>
            </c:strRef>
          </c:tx>
          <c:spPr>
            <a:solidFill>
              <a:schemeClr val="accent4"/>
            </a:solidFill>
            <a:ln>
              <a:noFill/>
            </a:ln>
            <a:effectLst/>
          </c:spPr>
          <c:invertIfNegative val="0"/>
          <c:cat>
            <c:numRef>
              <c:f>Charts!$E$8:$H$8</c:f>
              <c:numCache>
                <c:formatCode>_("$"* #,##0_);_("$"* \(#,##0\);_("$"* "-"??_);_(@_)</c:formatCode>
                <c:ptCount val="4"/>
                <c:pt idx="0">
                  <c:v>4000000</c:v>
                </c:pt>
                <c:pt idx="1">
                  <c:v>1300000</c:v>
                </c:pt>
                <c:pt idx="2">
                  <c:v>600000</c:v>
                </c:pt>
                <c:pt idx="3">
                  <c:v>200000</c:v>
                </c:pt>
              </c:numCache>
            </c:numRef>
          </c:cat>
          <c:val>
            <c:numRef>
              <c:f>Charts!$E$12:$H$12</c:f>
              <c:numCache>
                <c:formatCode>_("$"* #,##0_);_("$"* \(#,##0\);_("$"* "-"??_);_(@_)</c:formatCode>
                <c:ptCount val="4"/>
                <c:pt idx="0">
                  <c:v>596.41999999999996</c:v>
                </c:pt>
                <c:pt idx="1">
                  <c:v>393.92</c:v>
                </c:pt>
                <c:pt idx="2">
                  <c:v>341.42</c:v>
                </c:pt>
                <c:pt idx="3">
                  <c:v>311.42</c:v>
                </c:pt>
              </c:numCache>
            </c:numRef>
          </c:val>
          <c:extLst>
            <c:ext xmlns:c16="http://schemas.microsoft.com/office/drawing/2014/chart" uri="{C3380CC4-5D6E-409C-BE32-E72D297353CC}">
              <c16:uniqueId val="{00000003-E2A5-084E-A3FA-8784DACAA30E}"/>
            </c:ext>
          </c:extLst>
        </c:ser>
        <c:ser>
          <c:idx val="4"/>
          <c:order val="4"/>
          <c:tx>
            <c:strRef>
              <c:f>Charts!$D$13</c:f>
              <c:strCache>
                <c:ptCount val="1"/>
                <c:pt idx="0">
                  <c:v> 2,500 </c:v>
                </c:pt>
              </c:strCache>
            </c:strRef>
          </c:tx>
          <c:spPr>
            <a:solidFill>
              <a:schemeClr val="accent5"/>
            </a:solidFill>
            <a:ln>
              <a:noFill/>
            </a:ln>
            <a:effectLst/>
          </c:spPr>
          <c:invertIfNegative val="0"/>
          <c:cat>
            <c:numRef>
              <c:f>Charts!$E$8:$H$8</c:f>
              <c:numCache>
                <c:formatCode>_("$"* #,##0_);_("$"* \(#,##0\);_("$"* "-"??_);_(@_)</c:formatCode>
                <c:ptCount val="4"/>
                <c:pt idx="0">
                  <c:v>4000000</c:v>
                </c:pt>
                <c:pt idx="1">
                  <c:v>1300000</c:v>
                </c:pt>
                <c:pt idx="2">
                  <c:v>600000</c:v>
                </c:pt>
                <c:pt idx="3">
                  <c:v>200000</c:v>
                </c:pt>
              </c:numCache>
            </c:numRef>
          </c:cat>
          <c:val>
            <c:numRef>
              <c:f>Charts!$E$13:$H$13</c:f>
              <c:numCache>
                <c:formatCode>_("$"* #,##0_);_("$"* \(#,##0\);_("$"* "-"??_);_(@_)</c:formatCode>
                <c:ptCount val="4"/>
                <c:pt idx="0">
                  <c:v>527.91999999999996</c:v>
                </c:pt>
                <c:pt idx="1">
                  <c:v>365.92</c:v>
                </c:pt>
                <c:pt idx="2">
                  <c:v>323.92</c:v>
                </c:pt>
                <c:pt idx="3">
                  <c:v>299.92</c:v>
                </c:pt>
              </c:numCache>
            </c:numRef>
          </c:val>
          <c:extLst>
            <c:ext xmlns:c16="http://schemas.microsoft.com/office/drawing/2014/chart" uri="{C3380CC4-5D6E-409C-BE32-E72D297353CC}">
              <c16:uniqueId val="{00000004-E2A5-084E-A3FA-8784DACAA30E}"/>
            </c:ext>
          </c:extLst>
        </c:ser>
        <c:dLbls>
          <c:showLegendKey val="0"/>
          <c:showVal val="0"/>
          <c:showCatName val="0"/>
          <c:showSerName val="0"/>
          <c:showPercent val="0"/>
          <c:showBubbleSize val="0"/>
        </c:dLbls>
        <c:gapWidth val="219"/>
        <c:overlap val="-27"/>
        <c:axId val="645791152"/>
        <c:axId val="483362528"/>
      </c:barChart>
      <c:catAx>
        <c:axId val="6457911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Vehicle</a:t>
                </a:r>
                <a:r>
                  <a:rPr lang="en-US" baseline="0"/>
                  <a:t> Price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362528"/>
        <c:crosses val="autoZero"/>
        <c:auto val="1"/>
        <c:lblAlgn val="ctr"/>
        <c:lblOffset val="100"/>
        <c:noMultiLvlLbl val="0"/>
      </c:catAx>
      <c:valAx>
        <c:axId val="4833625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Fixed Cost Per Hour in Flight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7911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Robinson R66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Charts!$C$36</c:f>
              <c:strCache>
                <c:ptCount val="1"/>
                <c:pt idx="0">
                  <c:v>2000 Hour Engine Periodic Maintenance Interval</c:v>
                </c:pt>
              </c:strCache>
            </c:strRef>
          </c:tx>
          <c:spPr>
            <a:solidFill>
              <a:schemeClr val="accent1"/>
            </a:solidFill>
            <a:ln>
              <a:noFill/>
            </a:ln>
            <a:effectLst/>
          </c:spPr>
          <c:invertIfNegative val="0"/>
          <c:cat>
            <c:strRef>
              <c:f>Charts!$D$35</c:f>
              <c:strCache>
                <c:ptCount val="1"/>
                <c:pt idx="0">
                  <c:v>Robinson R66</c:v>
                </c:pt>
              </c:strCache>
            </c:strRef>
          </c:cat>
          <c:val>
            <c:numRef>
              <c:f>Charts!$D$36</c:f>
              <c:numCache>
                <c:formatCode>_("$"* #,##0_);_("$"* \(#,##0\);_("$"* "-"??_);_(@_)</c:formatCode>
                <c:ptCount val="1"/>
                <c:pt idx="0">
                  <c:v>88.53</c:v>
                </c:pt>
              </c:numCache>
            </c:numRef>
          </c:val>
          <c:extLst>
            <c:ext xmlns:c16="http://schemas.microsoft.com/office/drawing/2014/chart" uri="{C3380CC4-5D6E-409C-BE32-E72D297353CC}">
              <c16:uniqueId val="{00000001-57E9-4446-874D-E0352FC97726}"/>
            </c:ext>
          </c:extLst>
        </c:ser>
        <c:ser>
          <c:idx val="1"/>
          <c:order val="1"/>
          <c:tx>
            <c:strRef>
              <c:f>Charts!$C$37</c:f>
              <c:strCache>
                <c:ptCount val="1"/>
                <c:pt idx="0">
                  <c:v>2000 Hour Aircraft Overhaul Parts Kit</c:v>
                </c:pt>
              </c:strCache>
            </c:strRef>
          </c:tx>
          <c:spPr>
            <a:solidFill>
              <a:schemeClr val="accent2"/>
            </a:solidFill>
            <a:ln>
              <a:noFill/>
            </a:ln>
            <a:effectLst/>
          </c:spPr>
          <c:invertIfNegative val="0"/>
          <c:cat>
            <c:strRef>
              <c:f>Charts!$D$35</c:f>
              <c:strCache>
                <c:ptCount val="1"/>
                <c:pt idx="0">
                  <c:v>Robinson R66</c:v>
                </c:pt>
              </c:strCache>
            </c:strRef>
          </c:cat>
          <c:val>
            <c:numRef>
              <c:f>Charts!$D$37</c:f>
              <c:numCache>
                <c:formatCode>_("$"* #,##0_);_("$"* \(#,##0\);_("$"* "-"??_);_(@_)</c:formatCode>
                <c:ptCount val="1"/>
                <c:pt idx="0">
                  <c:v>94</c:v>
                </c:pt>
              </c:numCache>
            </c:numRef>
          </c:val>
          <c:extLst>
            <c:ext xmlns:c16="http://schemas.microsoft.com/office/drawing/2014/chart" uri="{C3380CC4-5D6E-409C-BE32-E72D297353CC}">
              <c16:uniqueId val="{00000002-57E9-4446-874D-E0352FC97726}"/>
            </c:ext>
          </c:extLst>
        </c:ser>
        <c:ser>
          <c:idx val="2"/>
          <c:order val="2"/>
          <c:tx>
            <c:strRef>
              <c:f>Charts!$C$38</c:f>
              <c:strCache>
                <c:ptCount val="1"/>
                <c:pt idx="0">
                  <c:v>Fuel @ $5.60 per gallon and 22 gallons per hour</c:v>
                </c:pt>
              </c:strCache>
            </c:strRef>
          </c:tx>
          <c:spPr>
            <a:solidFill>
              <a:schemeClr val="accent3"/>
            </a:solidFill>
            <a:ln>
              <a:noFill/>
            </a:ln>
            <a:effectLst/>
          </c:spPr>
          <c:invertIfNegative val="0"/>
          <c:cat>
            <c:strRef>
              <c:f>Charts!$D$35</c:f>
              <c:strCache>
                <c:ptCount val="1"/>
                <c:pt idx="0">
                  <c:v>Robinson R66</c:v>
                </c:pt>
              </c:strCache>
            </c:strRef>
          </c:cat>
          <c:val>
            <c:numRef>
              <c:f>Charts!$D$38</c:f>
              <c:numCache>
                <c:formatCode>_("$"* #,##0_);_("$"* \(#,##0\);_("$"* "-"??_);_(@_)</c:formatCode>
                <c:ptCount val="1"/>
                <c:pt idx="0">
                  <c:v>123.2</c:v>
                </c:pt>
              </c:numCache>
            </c:numRef>
          </c:val>
          <c:extLst>
            <c:ext xmlns:c16="http://schemas.microsoft.com/office/drawing/2014/chart" uri="{C3380CC4-5D6E-409C-BE32-E72D297353CC}">
              <c16:uniqueId val="{00000003-57E9-4446-874D-E0352FC97726}"/>
            </c:ext>
          </c:extLst>
        </c:ser>
        <c:dLbls>
          <c:showLegendKey val="0"/>
          <c:showVal val="0"/>
          <c:showCatName val="0"/>
          <c:showSerName val="0"/>
          <c:showPercent val="0"/>
          <c:showBubbleSize val="0"/>
        </c:dLbls>
        <c:gapWidth val="150"/>
        <c:overlap val="100"/>
        <c:axId val="541535072"/>
        <c:axId val="541638288"/>
      </c:barChart>
      <c:catAx>
        <c:axId val="54153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638288"/>
        <c:crosses val="autoZero"/>
        <c:auto val="1"/>
        <c:lblAlgn val="ctr"/>
        <c:lblOffset val="100"/>
        <c:noMultiLvlLbl val="0"/>
      </c:catAx>
      <c:valAx>
        <c:axId val="54163828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53507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Modeled Electric Air Taxi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Charts!$E$36</c:f>
              <c:strCache>
                <c:ptCount val="1"/>
                <c:pt idx="0">
                  <c:v>Battery Replacement Cost</c:v>
                </c:pt>
              </c:strCache>
            </c:strRef>
          </c:tx>
          <c:spPr>
            <a:solidFill>
              <a:schemeClr val="accent1"/>
            </a:solidFill>
            <a:ln>
              <a:noFill/>
            </a:ln>
            <a:effectLst/>
          </c:spPr>
          <c:invertIfNegative val="0"/>
          <c:cat>
            <c:strRef>
              <c:f>Charts!$F$35</c:f>
              <c:strCache>
                <c:ptCount val="1"/>
                <c:pt idx="0">
                  <c:v>Electric Air Taxi</c:v>
                </c:pt>
              </c:strCache>
            </c:strRef>
          </c:cat>
          <c:val>
            <c:numRef>
              <c:f>Charts!$F$36</c:f>
              <c:numCache>
                <c:formatCode>_("$"* #,##0_);_("$"* \(#,##0\);_("$"* "-"??_);_(@_)</c:formatCode>
                <c:ptCount val="1"/>
                <c:pt idx="0">
                  <c:v>48.75</c:v>
                </c:pt>
              </c:numCache>
            </c:numRef>
          </c:val>
          <c:extLst>
            <c:ext xmlns:c16="http://schemas.microsoft.com/office/drawing/2014/chart" uri="{C3380CC4-5D6E-409C-BE32-E72D297353CC}">
              <c16:uniqueId val="{00000000-BE36-C942-9B22-77F4A6312F96}"/>
            </c:ext>
          </c:extLst>
        </c:ser>
        <c:ser>
          <c:idx val="1"/>
          <c:order val="1"/>
          <c:tx>
            <c:strRef>
              <c:f>Charts!$E$37</c:f>
              <c:strCache>
                <c:ptCount val="1"/>
                <c:pt idx="0">
                  <c:v>Maintenance Reserve for Parts</c:v>
                </c:pt>
              </c:strCache>
            </c:strRef>
          </c:tx>
          <c:spPr>
            <a:solidFill>
              <a:schemeClr val="accent2"/>
            </a:solidFill>
            <a:ln>
              <a:noFill/>
            </a:ln>
            <a:effectLst/>
          </c:spPr>
          <c:invertIfNegative val="0"/>
          <c:cat>
            <c:strRef>
              <c:f>Charts!$F$35</c:f>
              <c:strCache>
                <c:ptCount val="1"/>
                <c:pt idx="0">
                  <c:v>Electric Air Taxi</c:v>
                </c:pt>
              </c:strCache>
            </c:strRef>
          </c:cat>
          <c:val>
            <c:numRef>
              <c:f>Charts!$F$37</c:f>
              <c:numCache>
                <c:formatCode>"$"#,##0_);[Red]\("$"#,##0\)</c:formatCode>
                <c:ptCount val="1"/>
                <c:pt idx="0">
                  <c:v>70</c:v>
                </c:pt>
              </c:numCache>
            </c:numRef>
          </c:val>
          <c:extLst>
            <c:ext xmlns:c16="http://schemas.microsoft.com/office/drawing/2014/chart" uri="{C3380CC4-5D6E-409C-BE32-E72D297353CC}">
              <c16:uniqueId val="{00000001-BE36-C942-9B22-77F4A6312F96}"/>
            </c:ext>
          </c:extLst>
        </c:ser>
        <c:ser>
          <c:idx val="2"/>
          <c:order val="2"/>
          <c:tx>
            <c:strRef>
              <c:f>Charts!$E$38</c:f>
              <c:strCache>
                <c:ptCount val="1"/>
                <c:pt idx="0">
                  <c:v>Electricity</c:v>
                </c:pt>
              </c:strCache>
            </c:strRef>
          </c:tx>
          <c:spPr>
            <a:solidFill>
              <a:schemeClr val="accent3"/>
            </a:solidFill>
            <a:ln>
              <a:noFill/>
            </a:ln>
            <a:effectLst/>
          </c:spPr>
          <c:invertIfNegative val="0"/>
          <c:cat>
            <c:strRef>
              <c:f>Charts!$F$35</c:f>
              <c:strCache>
                <c:ptCount val="1"/>
                <c:pt idx="0">
                  <c:v>Electric Air Taxi</c:v>
                </c:pt>
              </c:strCache>
            </c:strRef>
          </c:cat>
          <c:val>
            <c:numRef>
              <c:f>Charts!$F$38</c:f>
              <c:numCache>
                <c:formatCode>_("$"* #,##0.00_);_("$"* \(#,##0.00\);_("$"* "-"??_);_(@_)</c:formatCode>
                <c:ptCount val="1"/>
                <c:pt idx="0">
                  <c:v>70</c:v>
                </c:pt>
              </c:numCache>
            </c:numRef>
          </c:val>
          <c:extLst>
            <c:ext xmlns:c16="http://schemas.microsoft.com/office/drawing/2014/chart" uri="{C3380CC4-5D6E-409C-BE32-E72D297353CC}">
              <c16:uniqueId val="{00000002-BE36-C942-9B22-77F4A6312F96}"/>
            </c:ext>
          </c:extLst>
        </c:ser>
        <c:dLbls>
          <c:showLegendKey val="0"/>
          <c:showVal val="0"/>
          <c:showCatName val="0"/>
          <c:showSerName val="0"/>
          <c:showPercent val="0"/>
          <c:showBubbleSize val="0"/>
        </c:dLbls>
        <c:gapWidth val="150"/>
        <c:overlap val="100"/>
        <c:axId val="541535072"/>
        <c:axId val="541638288"/>
      </c:barChart>
      <c:catAx>
        <c:axId val="54153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638288"/>
        <c:crosses val="autoZero"/>
        <c:auto val="1"/>
        <c:lblAlgn val="ctr"/>
        <c:lblOffset val="100"/>
        <c:noMultiLvlLbl val="0"/>
      </c:catAx>
      <c:valAx>
        <c:axId val="541638288"/>
        <c:scaling>
          <c:orientation val="minMax"/>
          <c:max val="350"/>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53507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https://ark-invest.com/" TargetMode="External"/><Relationship Id="rId2" Type="http://schemas.openxmlformats.org/officeDocument/2006/relationships/image" Target="../media/image1.img"/><Relationship Id="rId1" Type="http://schemas.openxmlformats.org/officeDocument/2006/relationships/hyperlink" Target="http://creativecommons.org/licenses/by-nc/4.0/" TargetMode="External"/><Relationship Id="rId4"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6.xml"/><Relationship Id="rId4" Type="http://schemas.openxmlformats.org/officeDocument/2006/relationships/chart" Target="../charts/chart5.xml"/></Relationships>
</file>

<file path=xl/drawings/_rels/drawing4.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 Id="rId9"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oneCellAnchor>
    <xdr:from>
      <xdr:col>0</xdr:col>
      <xdr:colOff>4533900</xdr:colOff>
      <xdr:row>0</xdr:row>
      <xdr:rowOff>152400</xdr:rowOff>
    </xdr:from>
    <xdr:ext cx="1308100" cy="464988"/>
    <xdr:pic>
      <xdr:nvPicPr>
        <xdr:cNvPr id="2" name="Picture 1">
          <a:hlinkClick xmlns:r="http://schemas.openxmlformats.org/officeDocument/2006/relationships" r:id="rId1"/>
          <a:extLst>
            <a:ext uri="{FF2B5EF4-FFF2-40B4-BE49-F238E27FC236}">
              <a16:creationId xmlns:a16="http://schemas.microsoft.com/office/drawing/2014/main" id="{A530F68F-A1F6-074C-BF87-E9803635DF61}"/>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a:ext>
          </a:extLst>
        </a:blip>
        <a:stretch>
          <a:fillRect/>
        </a:stretch>
      </xdr:blipFill>
      <xdr:spPr>
        <a:xfrm>
          <a:off x="825500" y="152400"/>
          <a:ext cx="1308100" cy="464988"/>
        </a:xfrm>
        <a:prstGeom prst="rect">
          <a:avLst/>
        </a:prstGeom>
      </xdr:spPr>
    </xdr:pic>
    <xdr:clientData/>
  </xdr:oneCellAnchor>
  <xdr:oneCellAnchor>
    <xdr:from>
      <xdr:col>0</xdr:col>
      <xdr:colOff>63500</xdr:colOff>
      <xdr:row>0</xdr:row>
      <xdr:rowOff>76200</xdr:rowOff>
    </xdr:from>
    <xdr:ext cx="1574800" cy="526838"/>
    <xdr:pic>
      <xdr:nvPicPr>
        <xdr:cNvPr id="3" name="Picture 2" descr="ARK Investment Management">
          <a:hlinkClick xmlns:r="http://schemas.openxmlformats.org/officeDocument/2006/relationships" r:id="rId3"/>
          <a:extLst>
            <a:ext uri="{FF2B5EF4-FFF2-40B4-BE49-F238E27FC236}">
              <a16:creationId xmlns:a16="http://schemas.microsoft.com/office/drawing/2014/main" id="{0165ED53-D981-3149-BE3E-1649DAC0DAC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a:ext>
          </a:extLst>
        </a:blip>
        <a:srcRect/>
        <a:stretch>
          <a:fillRect/>
        </a:stretch>
      </xdr:blipFill>
      <xdr:spPr bwMode="auto">
        <a:xfrm>
          <a:off x="63500" y="76200"/>
          <a:ext cx="1574800" cy="5268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xml><?xml version="1.0" encoding="utf-8"?>
<xdr:wsDr xmlns:xdr="http://schemas.openxmlformats.org/drawingml/2006/spreadsheetDrawing" xmlns:a="http://schemas.openxmlformats.org/drawingml/2006/main">
  <xdr:twoCellAnchor>
    <xdr:from>
      <xdr:col>12</xdr:col>
      <xdr:colOff>800100</xdr:colOff>
      <xdr:row>17</xdr:row>
      <xdr:rowOff>148737</xdr:rowOff>
    </xdr:from>
    <xdr:to>
      <xdr:col>18</xdr:col>
      <xdr:colOff>254000</xdr:colOff>
      <xdr:row>45</xdr:row>
      <xdr:rowOff>12700</xdr:rowOff>
    </xdr:to>
    <xdr:graphicFrame macro="">
      <xdr:nvGraphicFramePr>
        <xdr:cNvPr id="8" name="Chart 7">
          <a:extLst>
            <a:ext uri="{FF2B5EF4-FFF2-40B4-BE49-F238E27FC236}">
              <a16:creationId xmlns:a16="http://schemas.microsoft.com/office/drawing/2014/main" id="{16ACD3E8-2BAD-C0FB-5BB8-D145AA769B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330200</xdr:colOff>
      <xdr:row>34</xdr:row>
      <xdr:rowOff>139700</xdr:rowOff>
    </xdr:from>
    <xdr:to>
      <xdr:col>14</xdr:col>
      <xdr:colOff>533400</xdr:colOff>
      <xdr:row>51</xdr:row>
      <xdr:rowOff>0</xdr:rowOff>
    </xdr:to>
    <xdr:graphicFrame macro="">
      <xdr:nvGraphicFramePr>
        <xdr:cNvPr id="2" name="Chart 1">
          <a:extLst>
            <a:ext uri="{FF2B5EF4-FFF2-40B4-BE49-F238E27FC236}">
              <a16:creationId xmlns:a16="http://schemas.microsoft.com/office/drawing/2014/main" id="{8F7088D3-9150-4846-AAFC-30610F64D3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355600</xdr:colOff>
      <xdr:row>17</xdr:row>
      <xdr:rowOff>152400</xdr:rowOff>
    </xdr:from>
    <xdr:to>
      <xdr:col>14</xdr:col>
      <xdr:colOff>482600</xdr:colOff>
      <xdr:row>34</xdr:row>
      <xdr:rowOff>76200</xdr:rowOff>
    </xdr:to>
    <xdr:graphicFrame macro="">
      <xdr:nvGraphicFramePr>
        <xdr:cNvPr id="3" name="Chart 2">
          <a:extLst>
            <a:ext uri="{FF2B5EF4-FFF2-40B4-BE49-F238E27FC236}">
              <a16:creationId xmlns:a16="http://schemas.microsoft.com/office/drawing/2014/main" id="{7287FB50-4033-0D4A-BB20-0A9DBD5FC1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330200</xdr:colOff>
      <xdr:row>0</xdr:row>
      <xdr:rowOff>114300</xdr:rowOff>
    </xdr:from>
    <xdr:to>
      <xdr:col>14</xdr:col>
      <xdr:colOff>463550</xdr:colOff>
      <xdr:row>17</xdr:row>
      <xdr:rowOff>127000</xdr:rowOff>
    </xdr:to>
    <xdr:graphicFrame macro="">
      <xdr:nvGraphicFramePr>
        <xdr:cNvPr id="4" name="Chart 3">
          <a:extLst>
            <a:ext uri="{FF2B5EF4-FFF2-40B4-BE49-F238E27FC236}">
              <a16:creationId xmlns:a16="http://schemas.microsoft.com/office/drawing/2014/main" id="{8B9F767F-DA55-C74D-B4F4-60D2E2EFC1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628650</xdr:colOff>
      <xdr:row>42</xdr:row>
      <xdr:rowOff>88900</xdr:rowOff>
    </xdr:from>
    <xdr:to>
      <xdr:col>4</xdr:col>
      <xdr:colOff>63500</xdr:colOff>
      <xdr:row>64</xdr:row>
      <xdr:rowOff>12700</xdr:rowOff>
    </xdr:to>
    <xdr:graphicFrame macro="">
      <xdr:nvGraphicFramePr>
        <xdr:cNvPr id="6" name="Chart 5">
          <a:extLst>
            <a:ext uri="{FF2B5EF4-FFF2-40B4-BE49-F238E27FC236}">
              <a16:creationId xmlns:a16="http://schemas.microsoft.com/office/drawing/2014/main" id="{3EA345C0-FC42-9BE2-21D6-350A21A0D9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127000</xdr:colOff>
      <xdr:row>42</xdr:row>
      <xdr:rowOff>63500</xdr:rowOff>
    </xdr:from>
    <xdr:to>
      <xdr:col>7</xdr:col>
      <xdr:colOff>107950</xdr:colOff>
      <xdr:row>63</xdr:row>
      <xdr:rowOff>190500</xdr:rowOff>
    </xdr:to>
    <xdr:graphicFrame macro="">
      <xdr:nvGraphicFramePr>
        <xdr:cNvPr id="7" name="Chart 6">
          <a:extLst>
            <a:ext uri="{FF2B5EF4-FFF2-40B4-BE49-F238E27FC236}">
              <a16:creationId xmlns:a16="http://schemas.microsoft.com/office/drawing/2014/main" id="{07ADB9E2-5E11-C947-94F8-ECD296A73C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14166</xdr:colOff>
      <xdr:row>4</xdr:row>
      <xdr:rowOff>139700</xdr:rowOff>
    </xdr:from>
    <xdr:to>
      <xdr:col>8</xdr:col>
      <xdr:colOff>782027</xdr:colOff>
      <xdr:row>26</xdr:row>
      <xdr:rowOff>153159</xdr:rowOff>
    </xdr:to>
    <xdr:pic>
      <xdr:nvPicPr>
        <xdr:cNvPr id="2" name="Picture 1">
          <a:extLst>
            <a:ext uri="{FF2B5EF4-FFF2-40B4-BE49-F238E27FC236}">
              <a16:creationId xmlns:a16="http://schemas.microsoft.com/office/drawing/2014/main" id="{37824117-A65C-E548-ADCB-069222A32042}"/>
            </a:ext>
          </a:extLst>
        </xdr:cNvPr>
        <xdr:cNvPicPr>
          <a:picLocks noChangeAspect="1"/>
        </xdr:cNvPicPr>
      </xdr:nvPicPr>
      <xdr:blipFill>
        <a:blip xmlns:r="http://schemas.openxmlformats.org/officeDocument/2006/relationships" r:embed="rId1"/>
        <a:stretch>
          <a:fillRect/>
        </a:stretch>
      </xdr:blipFill>
      <xdr:spPr>
        <a:xfrm>
          <a:off x="839666" y="952500"/>
          <a:ext cx="7816361" cy="4483859"/>
        </a:xfrm>
        <a:prstGeom prst="rect">
          <a:avLst/>
        </a:prstGeom>
      </xdr:spPr>
    </xdr:pic>
    <xdr:clientData/>
  </xdr:twoCellAnchor>
  <xdr:twoCellAnchor editAs="oneCell">
    <xdr:from>
      <xdr:col>9</xdr:col>
      <xdr:colOff>25400</xdr:colOff>
      <xdr:row>4</xdr:row>
      <xdr:rowOff>62036</xdr:rowOff>
    </xdr:from>
    <xdr:to>
      <xdr:col>18</xdr:col>
      <xdr:colOff>412261</xdr:colOff>
      <xdr:row>26</xdr:row>
      <xdr:rowOff>46329</xdr:rowOff>
    </xdr:to>
    <xdr:pic>
      <xdr:nvPicPr>
        <xdr:cNvPr id="3" name="Picture 2">
          <a:extLst>
            <a:ext uri="{FF2B5EF4-FFF2-40B4-BE49-F238E27FC236}">
              <a16:creationId xmlns:a16="http://schemas.microsoft.com/office/drawing/2014/main" id="{96AB3FBF-B528-A24C-A451-697A13401792}"/>
            </a:ext>
          </a:extLst>
        </xdr:cNvPr>
        <xdr:cNvPicPr>
          <a:picLocks noChangeAspect="1"/>
        </xdr:cNvPicPr>
      </xdr:nvPicPr>
      <xdr:blipFill>
        <a:blip xmlns:r="http://schemas.openxmlformats.org/officeDocument/2006/relationships" r:embed="rId2"/>
        <a:stretch>
          <a:fillRect/>
        </a:stretch>
      </xdr:blipFill>
      <xdr:spPr>
        <a:xfrm>
          <a:off x="8724900" y="874836"/>
          <a:ext cx="7816361" cy="4454693"/>
        </a:xfrm>
        <a:prstGeom prst="rect">
          <a:avLst/>
        </a:prstGeom>
      </xdr:spPr>
    </xdr:pic>
    <xdr:clientData/>
  </xdr:twoCellAnchor>
  <xdr:twoCellAnchor editAs="oneCell">
    <xdr:from>
      <xdr:col>1</xdr:col>
      <xdr:colOff>38100</xdr:colOff>
      <xdr:row>30</xdr:row>
      <xdr:rowOff>12700</xdr:rowOff>
    </xdr:from>
    <xdr:to>
      <xdr:col>5</xdr:col>
      <xdr:colOff>235941</xdr:colOff>
      <xdr:row>48</xdr:row>
      <xdr:rowOff>16100</xdr:rowOff>
    </xdr:to>
    <xdr:pic>
      <xdr:nvPicPr>
        <xdr:cNvPr id="4" name="Picture 3">
          <a:extLst>
            <a:ext uri="{FF2B5EF4-FFF2-40B4-BE49-F238E27FC236}">
              <a16:creationId xmlns:a16="http://schemas.microsoft.com/office/drawing/2014/main" id="{7FE930A6-9989-1B4E-B00A-06BE1E0F80F8}"/>
            </a:ext>
          </a:extLst>
        </xdr:cNvPr>
        <xdr:cNvPicPr>
          <a:picLocks noChangeAspect="1"/>
        </xdr:cNvPicPr>
      </xdr:nvPicPr>
      <xdr:blipFill>
        <a:blip xmlns:r="http://schemas.openxmlformats.org/officeDocument/2006/relationships" r:embed="rId3"/>
        <a:stretch>
          <a:fillRect/>
        </a:stretch>
      </xdr:blipFill>
      <xdr:spPr>
        <a:xfrm>
          <a:off x="863600" y="6108700"/>
          <a:ext cx="4769841" cy="3661000"/>
        </a:xfrm>
        <a:prstGeom prst="rect">
          <a:avLst/>
        </a:prstGeom>
      </xdr:spPr>
    </xdr:pic>
    <xdr:clientData/>
  </xdr:twoCellAnchor>
  <xdr:twoCellAnchor editAs="oneCell">
    <xdr:from>
      <xdr:col>1</xdr:col>
      <xdr:colOff>0</xdr:colOff>
      <xdr:row>52</xdr:row>
      <xdr:rowOff>0</xdr:rowOff>
    </xdr:from>
    <xdr:to>
      <xdr:col>5</xdr:col>
      <xdr:colOff>503719</xdr:colOff>
      <xdr:row>85</xdr:row>
      <xdr:rowOff>12700</xdr:rowOff>
    </xdr:to>
    <xdr:pic>
      <xdr:nvPicPr>
        <xdr:cNvPr id="5" name="Picture 4">
          <a:extLst>
            <a:ext uri="{FF2B5EF4-FFF2-40B4-BE49-F238E27FC236}">
              <a16:creationId xmlns:a16="http://schemas.microsoft.com/office/drawing/2014/main" id="{2382ADA3-F55A-F04C-9375-824C927134BE}"/>
            </a:ext>
          </a:extLst>
        </xdr:cNvPr>
        <xdr:cNvPicPr>
          <a:picLocks noChangeAspect="1"/>
        </xdr:cNvPicPr>
      </xdr:nvPicPr>
      <xdr:blipFill>
        <a:blip xmlns:r="http://schemas.openxmlformats.org/officeDocument/2006/relationships" r:embed="rId4"/>
        <a:stretch>
          <a:fillRect/>
        </a:stretch>
      </xdr:blipFill>
      <xdr:spPr>
        <a:xfrm>
          <a:off x="825500" y="10566400"/>
          <a:ext cx="5075719" cy="6718300"/>
        </a:xfrm>
        <a:prstGeom prst="rect">
          <a:avLst/>
        </a:prstGeom>
      </xdr:spPr>
    </xdr:pic>
    <xdr:clientData/>
  </xdr:twoCellAnchor>
  <xdr:twoCellAnchor editAs="oneCell">
    <xdr:from>
      <xdr:col>1</xdr:col>
      <xdr:colOff>0</xdr:colOff>
      <xdr:row>89</xdr:row>
      <xdr:rowOff>1</xdr:rowOff>
    </xdr:from>
    <xdr:to>
      <xdr:col>4</xdr:col>
      <xdr:colOff>163395</xdr:colOff>
      <xdr:row>111</xdr:row>
      <xdr:rowOff>88901</xdr:rowOff>
    </xdr:to>
    <xdr:pic>
      <xdr:nvPicPr>
        <xdr:cNvPr id="6" name="Picture 5">
          <a:extLst>
            <a:ext uri="{FF2B5EF4-FFF2-40B4-BE49-F238E27FC236}">
              <a16:creationId xmlns:a16="http://schemas.microsoft.com/office/drawing/2014/main" id="{ED775C2D-5CCC-D04C-922E-72502B000D2C}"/>
            </a:ext>
          </a:extLst>
        </xdr:cNvPr>
        <xdr:cNvPicPr>
          <a:picLocks noChangeAspect="1"/>
        </xdr:cNvPicPr>
      </xdr:nvPicPr>
      <xdr:blipFill>
        <a:blip xmlns:r="http://schemas.openxmlformats.org/officeDocument/2006/relationships" r:embed="rId5"/>
        <a:stretch>
          <a:fillRect/>
        </a:stretch>
      </xdr:blipFill>
      <xdr:spPr>
        <a:xfrm>
          <a:off x="825500" y="18084801"/>
          <a:ext cx="3909895" cy="4559300"/>
        </a:xfrm>
        <a:prstGeom prst="rect">
          <a:avLst/>
        </a:prstGeom>
      </xdr:spPr>
    </xdr:pic>
    <xdr:clientData/>
  </xdr:twoCellAnchor>
  <xdr:twoCellAnchor editAs="oneCell">
    <xdr:from>
      <xdr:col>0</xdr:col>
      <xdr:colOff>812800</xdr:colOff>
      <xdr:row>116</xdr:row>
      <xdr:rowOff>50800</xdr:rowOff>
    </xdr:from>
    <xdr:to>
      <xdr:col>8</xdr:col>
      <xdr:colOff>711200</xdr:colOff>
      <xdr:row>121</xdr:row>
      <xdr:rowOff>180998</xdr:rowOff>
    </xdr:to>
    <xdr:pic>
      <xdr:nvPicPr>
        <xdr:cNvPr id="7" name="Picture 6">
          <a:extLst>
            <a:ext uri="{FF2B5EF4-FFF2-40B4-BE49-F238E27FC236}">
              <a16:creationId xmlns:a16="http://schemas.microsoft.com/office/drawing/2014/main" id="{0B1DF299-E6CB-277F-3E6A-8FEF0A026D3D}"/>
            </a:ext>
          </a:extLst>
        </xdr:cNvPr>
        <xdr:cNvPicPr>
          <a:picLocks noChangeAspect="1"/>
        </xdr:cNvPicPr>
      </xdr:nvPicPr>
      <xdr:blipFill>
        <a:blip xmlns:r="http://schemas.openxmlformats.org/officeDocument/2006/relationships" r:embed="rId6"/>
        <a:stretch>
          <a:fillRect/>
        </a:stretch>
      </xdr:blipFill>
      <xdr:spPr>
        <a:xfrm>
          <a:off x="812800" y="23622000"/>
          <a:ext cx="7772400" cy="1146198"/>
        </a:xfrm>
        <a:prstGeom prst="rect">
          <a:avLst/>
        </a:prstGeom>
      </xdr:spPr>
    </xdr:pic>
    <xdr:clientData/>
  </xdr:twoCellAnchor>
  <xdr:twoCellAnchor editAs="oneCell">
    <xdr:from>
      <xdr:col>0</xdr:col>
      <xdr:colOff>800100</xdr:colOff>
      <xdr:row>125</xdr:row>
      <xdr:rowOff>50801</xdr:rowOff>
    </xdr:from>
    <xdr:to>
      <xdr:col>5</xdr:col>
      <xdr:colOff>797521</xdr:colOff>
      <xdr:row>140</xdr:row>
      <xdr:rowOff>25401</xdr:rowOff>
    </xdr:to>
    <xdr:pic>
      <xdr:nvPicPr>
        <xdr:cNvPr id="8" name="Picture 7">
          <a:extLst>
            <a:ext uri="{FF2B5EF4-FFF2-40B4-BE49-F238E27FC236}">
              <a16:creationId xmlns:a16="http://schemas.microsoft.com/office/drawing/2014/main" id="{31143D89-9A58-CC92-CCEF-93C69EFE7FEC}"/>
            </a:ext>
          </a:extLst>
        </xdr:cNvPr>
        <xdr:cNvPicPr>
          <a:picLocks noChangeAspect="1"/>
        </xdr:cNvPicPr>
      </xdr:nvPicPr>
      <xdr:blipFill>
        <a:blip xmlns:r="http://schemas.openxmlformats.org/officeDocument/2006/relationships" r:embed="rId7"/>
        <a:stretch>
          <a:fillRect/>
        </a:stretch>
      </xdr:blipFill>
      <xdr:spPr>
        <a:xfrm>
          <a:off x="800100" y="25450801"/>
          <a:ext cx="5394921" cy="3022600"/>
        </a:xfrm>
        <a:prstGeom prst="rect">
          <a:avLst/>
        </a:prstGeom>
      </xdr:spPr>
    </xdr:pic>
    <xdr:clientData/>
  </xdr:twoCellAnchor>
  <xdr:twoCellAnchor editAs="oneCell">
    <xdr:from>
      <xdr:col>18</xdr:col>
      <xdr:colOff>685800</xdr:colOff>
      <xdr:row>5</xdr:row>
      <xdr:rowOff>114300</xdr:rowOff>
    </xdr:from>
    <xdr:to>
      <xdr:col>24</xdr:col>
      <xdr:colOff>317500</xdr:colOff>
      <xdr:row>22</xdr:row>
      <xdr:rowOff>141950</xdr:rowOff>
    </xdr:to>
    <xdr:pic>
      <xdr:nvPicPr>
        <xdr:cNvPr id="10" name="Picture 9">
          <a:extLst>
            <a:ext uri="{FF2B5EF4-FFF2-40B4-BE49-F238E27FC236}">
              <a16:creationId xmlns:a16="http://schemas.microsoft.com/office/drawing/2014/main" id="{5AD1543D-BF9D-5644-99EC-9714B040B323}"/>
            </a:ext>
          </a:extLst>
        </xdr:cNvPr>
        <xdr:cNvPicPr>
          <a:picLocks noChangeAspect="1"/>
        </xdr:cNvPicPr>
      </xdr:nvPicPr>
      <xdr:blipFill>
        <a:blip xmlns:r="http://schemas.openxmlformats.org/officeDocument/2006/relationships" r:embed="rId8"/>
        <a:stretch>
          <a:fillRect/>
        </a:stretch>
      </xdr:blipFill>
      <xdr:spPr>
        <a:xfrm>
          <a:off x="16814800" y="1130300"/>
          <a:ext cx="4584700" cy="3482050"/>
        </a:xfrm>
        <a:prstGeom prst="rect">
          <a:avLst/>
        </a:prstGeom>
      </xdr:spPr>
    </xdr:pic>
    <xdr:clientData/>
  </xdr:twoCellAnchor>
  <xdr:twoCellAnchor editAs="oneCell">
    <xdr:from>
      <xdr:col>1</xdr:col>
      <xdr:colOff>76200</xdr:colOff>
      <xdr:row>143</xdr:row>
      <xdr:rowOff>139700</xdr:rowOff>
    </xdr:from>
    <xdr:to>
      <xdr:col>9</xdr:col>
      <xdr:colOff>647700</xdr:colOff>
      <xdr:row>160</xdr:row>
      <xdr:rowOff>115384</xdr:rowOff>
    </xdr:to>
    <xdr:pic>
      <xdr:nvPicPr>
        <xdr:cNvPr id="11" name="Picture 10">
          <a:extLst>
            <a:ext uri="{FF2B5EF4-FFF2-40B4-BE49-F238E27FC236}">
              <a16:creationId xmlns:a16="http://schemas.microsoft.com/office/drawing/2014/main" id="{24A6C7D1-C27F-0B0D-99EF-50BBA7467FCC}"/>
            </a:ext>
          </a:extLst>
        </xdr:cNvPr>
        <xdr:cNvPicPr>
          <a:picLocks noChangeAspect="1"/>
        </xdr:cNvPicPr>
      </xdr:nvPicPr>
      <xdr:blipFill>
        <a:blip xmlns:r="http://schemas.openxmlformats.org/officeDocument/2006/relationships" r:embed="rId9"/>
        <a:stretch>
          <a:fillRect/>
        </a:stretch>
      </xdr:blipFill>
      <xdr:spPr>
        <a:xfrm>
          <a:off x="901700" y="29197300"/>
          <a:ext cx="8445500" cy="343008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Volumes/TASHA%20K/personal/ARK/simple-s-curv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_Curve (2)"/>
      <sheetName val="S_Curve"/>
      <sheetName val="Sales Graphs"/>
    </sheetNames>
    <sheetDataSet>
      <sheetData sheetId="0"/>
      <sheetData sheetId="1">
        <row r="11">
          <cell r="A11">
            <v>2011</v>
          </cell>
          <cell r="B11">
            <v>0.12328767123287669</v>
          </cell>
          <cell r="C11">
            <v>90</v>
          </cell>
        </row>
        <row r="12">
          <cell r="A12">
            <v>2012</v>
          </cell>
          <cell r="B12">
            <v>0.17770393402630352</v>
          </cell>
          <cell r="C12">
            <v>90</v>
          </cell>
        </row>
        <row r="13">
          <cell r="A13">
            <v>2013</v>
          </cell>
          <cell r="B13">
            <v>0.25606981809120444</v>
          </cell>
          <cell r="C13">
            <v>90</v>
          </cell>
        </row>
        <row r="14">
          <cell r="A14">
            <v>2014</v>
          </cell>
          <cell r="B14">
            <v>0.36885245901639319</v>
          </cell>
          <cell r="C14">
            <v>90</v>
          </cell>
        </row>
        <row r="15">
          <cell r="A15">
            <v>2015</v>
          </cell>
          <cell r="B15">
            <v>0.53101483706617747</v>
          </cell>
          <cell r="C15">
            <v>90</v>
          </cell>
        </row>
        <row r="16">
          <cell r="A16">
            <v>2016</v>
          </cell>
          <cell r="B16">
            <v>0.76386273888267209</v>
          </cell>
          <cell r="C16">
            <v>90</v>
          </cell>
        </row>
        <row r="17">
          <cell r="A17">
            <v>2017</v>
          </cell>
          <cell r="B17">
            <v>1.0975609756097562</v>
          </cell>
          <cell r="C17">
            <v>90</v>
          </cell>
        </row>
        <row r="18">
          <cell r="A18">
            <v>2018</v>
          </cell>
          <cell r="B18">
            <v>1.5744653015195824</v>
          </cell>
          <cell r="C18">
            <v>90</v>
          </cell>
        </row>
        <row r="19">
          <cell r="A19">
            <v>2019</v>
          </cell>
          <cell r="B19">
            <v>2.2533384110853234</v>
          </cell>
          <cell r="C19">
            <v>90</v>
          </cell>
        </row>
        <row r="20">
          <cell r="A20">
            <v>2020</v>
          </cell>
          <cell r="B20">
            <v>3.2142857142857144</v>
          </cell>
          <cell r="C20">
            <v>90</v>
          </cell>
        </row>
        <row r="21">
          <cell r="A21">
            <v>2021</v>
          </cell>
          <cell r="B21">
            <v>4.5637199338541574</v>
          </cell>
          <cell r="C21">
            <v>90</v>
          </cell>
        </row>
        <row r="22">
          <cell r="A22">
            <v>2022</v>
          </cell>
          <cell r="B22">
            <v>6.4376548985828963</v>
          </cell>
          <cell r="C22">
            <v>90</v>
          </cell>
        </row>
        <row r="23">
          <cell r="A23">
            <v>2023</v>
          </cell>
          <cell r="B23">
            <v>9</v>
          </cell>
          <cell r="C23">
            <v>90</v>
          </cell>
        </row>
        <row r="24">
          <cell r="A24">
            <v>2024</v>
          </cell>
          <cell r="B24">
            <v>12.430507473864703</v>
          </cell>
          <cell r="C24">
            <v>90</v>
          </cell>
        </row>
        <row r="25">
          <cell r="A25">
            <v>2025</v>
          </cell>
          <cell r="B25">
            <v>16.895859910841978</v>
          </cell>
          <cell r="C25">
            <v>90</v>
          </cell>
        </row>
        <row r="26">
          <cell r="A26">
            <v>2026</v>
          </cell>
          <cell r="B26">
            <v>22.5</v>
          </cell>
          <cell r="C26">
            <v>90</v>
          </cell>
        </row>
        <row r="27">
          <cell r="A27">
            <v>2027</v>
          </cell>
          <cell r="B27">
            <v>29.21998399083289</v>
          </cell>
          <cell r="C27">
            <v>90</v>
          </cell>
        </row>
        <row r="28">
          <cell r="A28">
            <v>2028</v>
          </cell>
          <cell r="B28">
            <v>36.851270686751157</v>
          </cell>
          <cell r="C28">
            <v>90</v>
          </cell>
        </row>
        <row r="29">
          <cell r="A29">
            <v>2029</v>
          </cell>
          <cell r="B29">
            <v>45</v>
          </cell>
          <cell r="C29">
            <v>90</v>
          </cell>
        </row>
        <row r="30">
          <cell r="A30">
            <v>2030</v>
          </cell>
          <cell r="B30">
            <v>53.148729313248843</v>
          </cell>
          <cell r="C30">
            <v>90</v>
          </cell>
        </row>
        <row r="31">
          <cell r="A31">
            <v>2031</v>
          </cell>
          <cell r="B31">
            <v>60.780016009167106</v>
          </cell>
          <cell r="C31">
            <v>90</v>
          </cell>
        </row>
        <row r="32">
          <cell r="A32">
            <v>2032</v>
          </cell>
          <cell r="B32">
            <v>67.5</v>
          </cell>
          <cell r="C32">
            <v>90</v>
          </cell>
        </row>
        <row r="33">
          <cell r="A33">
            <v>2033</v>
          </cell>
          <cell r="B33">
            <v>73.104140089158022</v>
          </cell>
          <cell r="C33">
            <v>90</v>
          </cell>
        </row>
        <row r="34">
          <cell r="A34">
            <v>2034</v>
          </cell>
          <cell r="B34">
            <v>77.569492526135292</v>
          </cell>
          <cell r="C34">
            <v>90</v>
          </cell>
        </row>
        <row r="35">
          <cell r="A35">
            <v>2035</v>
          </cell>
          <cell r="B35">
            <v>81</v>
          </cell>
          <cell r="C35">
            <v>90</v>
          </cell>
        </row>
        <row r="36">
          <cell r="A36">
            <v>2036</v>
          </cell>
          <cell r="B36">
            <v>83.562345101417094</v>
          </cell>
          <cell r="C36">
            <v>90</v>
          </cell>
        </row>
        <row r="37">
          <cell r="A37">
            <v>2037</v>
          </cell>
          <cell r="B37">
            <v>85.436280066145841</v>
          </cell>
          <cell r="C37">
            <v>90</v>
          </cell>
        </row>
        <row r="38">
          <cell r="A38">
            <v>2038</v>
          </cell>
          <cell r="B38">
            <v>86.785714285714292</v>
          </cell>
          <cell r="C38">
            <v>90</v>
          </cell>
        </row>
        <row r="39">
          <cell r="A39">
            <v>2039</v>
          </cell>
          <cell r="B39">
            <v>87.746661588914662</v>
          </cell>
          <cell r="C39">
            <v>90</v>
          </cell>
        </row>
        <row r="40">
          <cell r="A40">
            <v>2040</v>
          </cell>
          <cell r="B40">
            <v>88.425534698480405</v>
          </cell>
          <cell r="C40">
            <v>90</v>
          </cell>
        </row>
        <row r="41">
          <cell r="A41">
            <v>2041</v>
          </cell>
          <cell r="B41">
            <v>88.902439024390233</v>
          </cell>
          <cell r="C41">
            <v>90</v>
          </cell>
        </row>
      </sheetData>
      <sheetData sheetId="2" refreshError="1"/>
    </sheetDataSet>
  </externalBook>
</externalLink>
</file>

<file path=xl/theme/theme1.xml><?xml version="1.0" encoding="utf-8"?>
<a:theme xmlns:a="http://schemas.openxmlformats.org/drawingml/2006/main" name="ARKK 2022 Big Ideas">
  <a:themeElements>
    <a:clrScheme name="ARK Invest Template Colors">
      <a:dk1>
        <a:sysClr val="windowText" lastClr="000000"/>
      </a:dk1>
      <a:lt1>
        <a:sysClr val="window" lastClr="FFFFFF"/>
      </a:lt1>
      <a:dk2>
        <a:srgbClr val="000000"/>
      </a:dk2>
      <a:lt2>
        <a:srgbClr val="E7E6E6"/>
      </a:lt2>
      <a:accent1>
        <a:srgbClr val="8264FF"/>
      </a:accent1>
      <a:accent2>
        <a:srgbClr val="38D996"/>
      </a:accent2>
      <a:accent3>
        <a:srgbClr val="F74870"/>
      </a:accent3>
      <a:accent4>
        <a:srgbClr val="FCC049"/>
      </a:accent4>
      <a:accent5>
        <a:srgbClr val="4598AB"/>
      </a:accent5>
      <a:accent6>
        <a:srgbClr val="88BF57"/>
      </a:accent6>
      <a:hlink>
        <a:srgbClr val="737887"/>
      </a:hlink>
      <a:folHlink>
        <a:srgbClr val="737887"/>
      </a:folHlink>
    </a:clrScheme>
    <a:fontScheme name="ARK Invest Template Fonts (Option 1)">
      <a:majorFont>
        <a:latin typeface="Brother 1816"/>
        <a:ea typeface=""/>
        <a:cs typeface=""/>
      </a:majorFont>
      <a:minorFont>
        <a:latin typeface="Brother 1816"/>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txDef>
      <a:spPr>
        <a:noFill/>
      </a:spPr>
      <a:bodyPr wrap="square" rtlCol="0">
        <a:spAutoFit/>
      </a:bodyPr>
      <a:lstStyle>
        <a:defPPr>
          <a:defRPr sz="2400" dirty="0" smtClean="0">
            <a:latin typeface="Tw Cen MT" charset="0"/>
            <a:ea typeface="Tw Cen MT" charset="0"/>
            <a:cs typeface="Tw Cen MT" charset="0"/>
          </a:defRPr>
        </a:defPPr>
      </a:lstStyle>
    </a:txDef>
  </a:objectDefaults>
  <a:extraClrSchemeLst/>
  <a:extLst>
    <a:ext uri="{05A4C25C-085E-4340-85A3-A5531E510DB2}">
      <thm15:themeFamily xmlns:thm15="http://schemas.microsoft.com/office/thememl/2012/main" name="ARK2020" id="{8BF9F1BA-DD73-FF45-85C4-E41F37B82A27}" vid="{760CB7DB-6F04-A547-86B6-ED9297FECE6C}"/>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creativecommons.org/licenses/by-nc/4.0/"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9CCBFD-0BC6-1F4B-B829-EDB194062C8C}">
  <sheetPr>
    <tabColor theme="6"/>
  </sheetPr>
  <dimension ref="A1:H20"/>
  <sheetViews>
    <sheetView showGridLines="0" tabSelected="1" zoomScale="85" zoomScaleNormal="85" workbookViewId="0">
      <selection activeCell="A23" sqref="A23"/>
    </sheetView>
  </sheetViews>
  <sheetFormatPr baseColWidth="10" defaultColWidth="9.28515625" defaultRowHeight="16"/>
  <cols>
    <col min="1" max="1" width="185.140625" style="39" customWidth="1"/>
    <col min="2" max="16384" width="9.28515625" style="39"/>
  </cols>
  <sheetData>
    <row r="1" spans="1:8" ht="56.25" customHeight="1"/>
    <row r="2" spans="1:8" ht="17">
      <c r="A2" s="48" t="s">
        <v>110</v>
      </c>
    </row>
    <row r="3" spans="1:8">
      <c r="A3" s="47" t="s">
        <v>109</v>
      </c>
    </row>
    <row r="4" spans="1:8">
      <c r="A4" s="46"/>
    </row>
    <row r="5" spans="1:8">
      <c r="A5" s="45" t="s">
        <v>108</v>
      </c>
    </row>
    <row r="6" spans="1:8">
      <c r="A6" s="42"/>
    </row>
    <row r="7" spans="1:8" ht="144">
      <c r="A7" s="44" t="s">
        <v>107</v>
      </c>
    </row>
    <row r="8" spans="1:8">
      <c r="A8" s="42"/>
    </row>
    <row r="9" spans="1:8" ht="48">
      <c r="A9" s="44" t="s">
        <v>106</v>
      </c>
      <c r="C9"/>
      <c r="G9"/>
    </row>
    <row r="10" spans="1:8">
      <c r="A10" s="43"/>
    </row>
    <row r="11" spans="1:8" ht="48">
      <c r="A11" s="40" t="s">
        <v>105</v>
      </c>
    </row>
    <row r="12" spans="1:8">
      <c r="A12" s="42"/>
    </row>
    <row r="13" spans="1:8" ht="48">
      <c r="A13" s="40" t="s">
        <v>104</v>
      </c>
      <c r="H13" s="41"/>
    </row>
    <row r="15" spans="1:8" ht="48">
      <c r="A15" s="40" t="s">
        <v>103</v>
      </c>
    </row>
    <row r="20" spans="1:1">
      <c r="A20"/>
    </row>
  </sheetData>
  <sheetProtection algorithmName="SHA-512" hashValue="Fx8+qRtsGgFx8pt/zhFISKK+b2RKVieBGXNxh3RxqC+3pC88Ly4OseFVPB+yGZRGOJ3b2G6Wcvkf+JcN2rUDKQ==" saltValue="f2D8jrAkXJZXcvaSDKdpGw==" spinCount="100000" sheet="1" objects="1" scenarios="1" selectLockedCells="1" selectUnlockedCells="1"/>
  <hyperlinks>
    <hyperlink ref="A2" r:id="rId1" display="http://creativecommons.org/licenses/by-nc/4.0/" xr:uid="{9F222D8D-37E6-EB41-83B6-87C59A1A9DEC}"/>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35BE41-838C-6841-9438-CDF01B062108}">
  <dimension ref="B2:AA119"/>
  <sheetViews>
    <sheetView zoomScaleNormal="100" workbookViewId="0">
      <selection activeCell="J17" sqref="J17"/>
    </sheetView>
  </sheetViews>
  <sheetFormatPr baseColWidth="10" defaultRowHeight="16"/>
  <cols>
    <col min="2" max="2" width="24.85546875" customWidth="1"/>
    <col min="3" max="3" width="17.7109375" customWidth="1"/>
    <col min="4" max="4" width="14.28515625" customWidth="1"/>
    <col min="5" max="5" width="13" customWidth="1"/>
    <col min="6" max="6" width="13.42578125" bestFit="1" customWidth="1"/>
    <col min="7" max="7" width="12.42578125" customWidth="1"/>
    <col min="8" max="8" width="11.42578125" customWidth="1"/>
    <col min="9" max="9" width="14" bestFit="1" customWidth="1"/>
    <col min="10" max="10" width="12.28515625" customWidth="1"/>
    <col min="11" max="11" width="12" customWidth="1"/>
    <col min="15" max="15" width="20.85546875" customWidth="1"/>
    <col min="16" max="16" width="21.85546875" bestFit="1" customWidth="1"/>
    <col min="17" max="17" width="20" bestFit="1" customWidth="1"/>
    <col min="18" max="18" width="25.140625" bestFit="1" customWidth="1"/>
    <col min="19" max="19" width="11.42578125" bestFit="1" customWidth="1"/>
    <col min="20" max="21" width="11" bestFit="1" customWidth="1"/>
  </cols>
  <sheetData>
    <row r="2" spans="2:27">
      <c r="R2" t="s">
        <v>1</v>
      </c>
      <c r="AA2" t="s">
        <v>1</v>
      </c>
    </row>
    <row r="4" spans="2:27">
      <c r="B4" s="1" t="s">
        <v>102</v>
      </c>
    </row>
    <row r="5" spans="2:27">
      <c r="B5" t="s">
        <v>0</v>
      </c>
      <c r="C5" s="29">
        <v>2000</v>
      </c>
      <c r="D5" s="4">
        <f>C5/(365*24)</f>
        <v>0.22831050228310501</v>
      </c>
      <c r="G5" s="16" t="s">
        <v>37</v>
      </c>
      <c r="H5" t="s">
        <v>1</v>
      </c>
    </row>
    <row r="6" spans="2:27">
      <c r="B6" t="s">
        <v>25</v>
      </c>
      <c r="C6">
        <f>C5/500</f>
        <v>4</v>
      </c>
      <c r="P6" s="17" t="s">
        <v>12</v>
      </c>
      <c r="Q6" s="17" t="s">
        <v>40</v>
      </c>
      <c r="R6" s="17" t="s">
        <v>101</v>
      </c>
    </row>
    <row r="7" spans="2:27">
      <c r="O7" t="s">
        <v>38</v>
      </c>
      <c r="P7" s="7">
        <f>C55*0.2</f>
        <v>180</v>
      </c>
      <c r="Q7" s="7">
        <f>(600+900)/2*0.2</f>
        <v>150</v>
      </c>
      <c r="R7" s="7">
        <f>E18*0.2</f>
        <v>81.784000000000006</v>
      </c>
    </row>
    <row r="8" spans="2:27">
      <c r="B8" s="1" t="s">
        <v>13</v>
      </c>
      <c r="O8" s="7" t="s">
        <v>39</v>
      </c>
      <c r="P8" s="7">
        <f>C56*0.2</f>
        <v>117.86199999999999</v>
      </c>
      <c r="Q8" s="7">
        <f>(300+500)/2*0.2</f>
        <v>80</v>
      </c>
      <c r="R8" s="7">
        <f>C32*0.2</f>
        <v>37.75</v>
      </c>
    </row>
    <row r="9" spans="2:27">
      <c r="D9" t="s">
        <v>2</v>
      </c>
      <c r="E9" t="s">
        <v>3</v>
      </c>
      <c r="F9" s="38" t="s">
        <v>21</v>
      </c>
      <c r="G9" s="38"/>
      <c r="O9" s="10" t="s">
        <v>18</v>
      </c>
      <c r="P9" s="7">
        <f>C62</f>
        <v>200</v>
      </c>
      <c r="Q9" s="3">
        <v>200</v>
      </c>
      <c r="R9" s="3">
        <f>C40</f>
        <v>63.844718191532067</v>
      </c>
    </row>
    <row r="10" spans="2:27">
      <c r="B10" t="s">
        <v>4</v>
      </c>
      <c r="C10" s="12">
        <v>1500000</v>
      </c>
      <c r="D10" s="3">
        <f>C10*F10</f>
        <v>180000</v>
      </c>
      <c r="E10" s="3">
        <f>D10/C5</f>
        <v>90</v>
      </c>
      <c r="F10" s="13">
        <v>0.12</v>
      </c>
      <c r="G10" t="s">
        <v>22</v>
      </c>
      <c r="O10" s="10" t="s">
        <v>86</v>
      </c>
      <c r="P10" s="7">
        <f>SUM(P7:P9)</f>
        <v>497.86199999999997</v>
      </c>
      <c r="Q10" s="7">
        <f>SUM(Q7:Q9)</f>
        <v>430</v>
      </c>
      <c r="R10" s="7">
        <f>SUM(R7:R9)</f>
        <v>183.37871819153207</v>
      </c>
    </row>
    <row r="11" spans="2:27">
      <c r="B11" t="s">
        <v>5</v>
      </c>
      <c r="C11" s="3">
        <f>C10</f>
        <v>1500000</v>
      </c>
      <c r="D11" s="3">
        <f>C11*F11</f>
        <v>45000</v>
      </c>
      <c r="E11" s="3">
        <f>D11/C5</f>
        <v>22.5</v>
      </c>
      <c r="F11" s="13">
        <v>0.03</v>
      </c>
      <c r="G11" t="s">
        <v>22</v>
      </c>
      <c r="O11" t="s">
        <v>84</v>
      </c>
      <c r="P11" s="29">
        <v>6</v>
      </c>
      <c r="Q11" s="29">
        <v>4</v>
      </c>
      <c r="R11" s="29">
        <v>4</v>
      </c>
    </row>
    <row r="12" spans="2:27">
      <c r="B12" t="s">
        <v>23</v>
      </c>
      <c r="C12" s="12">
        <v>100000</v>
      </c>
      <c r="D12" s="3">
        <f>C12*C6</f>
        <v>400000</v>
      </c>
      <c r="E12" s="3">
        <f>D12/C5</f>
        <v>200</v>
      </c>
      <c r="G12" t="s">
        <v>41</v>
      </c>
      <c r="O12" t="s">
        <v>85</v>
      </c>
      <c r="P12" s="7">
        <f>P10/P11</f>
        <v>82.97699999999999</v>
      </c>
      <c r="Q12" s="7">
        <f t="shared" ref="Q12:R12" si="0">Q10/Q11</f>
        <v>107.5</v>
      </c>
      <c r="R12" s="7">
        <f t="shared" si="0"/>
        <v>45.844679547883018</v>
      </c>
    </row>
    <row r="13" spans="2:27">
      <c r="B13" t="s">
        <v>6</v>
      </c>
      <c r="C13" s="12">
        <v>10000</v>
      </c>
      <c r="D13" s="3">
        <f>C13*2*C6</f>
        <v>80000</v>
      </c>
      <c r="E13" s="3">
        <f>D13/C5</f>
        <v>40</v>
      </c>
      <c r="G13" t="s">
        <v>24</v>
      </c>
      <c r="O13" t="s">
        <v>87</v>
      </c>
      <c r="P13" s="7">
        <f>195</f>
        <v>195</v>
      </c>
      <c r="Q13" s="7">
        <f>P13/P10*Q10</f>
        <v>168.42016462393195</v>
      </c>
      <c r="R13" s="7">
        <f>P13/P10*R10</f>
        <v>71.824823038008034</v>
      </c>
    </row>
    <row r="14" spans="2:27">
      <c r="B14" t="s">
        <v>7</v>
      </c>
      <c r="C14" s="12">
        <v>55000</v>
      </c>
      <c r="D14" s="3">
        <f>C14</f>
        <v>55000</v>
      </c>
      <c r="E14" s="3">
        <f>D14/C5</f>
        <v>27.5</v>
      </c>
      <c r="F14" s="3"/>
      <c r="G14" t="s">
        <v>26</v>
      </c>
      <c r="R14" s="10"/>
    </row>
    <row r="15" spans="2:27">
      <c r="B15" t="s">
        <v>8</v>
      </c>
      <c r="C15" s="12">
        <v>2000</v>
      </c>
      <c r="D15" s="3">
        <f>C15*12</f>
        <v>24000</v>
      </c>
      <c r="E15" s="3">
        <f>D15/C5</f>
        <v>12</v>
      </c>
      <c r="G15" t="s">
        <v>27</v>
      </c>
      <c r="P15" s="10"/>
    </row>
    <row r="16" spans="2:27">
      <c r="B16" t="s">
        <v>9</v>
      </c>
      <c r="C16" s="12">
        <v>1160</v>
      </c>
      <c r="D16" s="3">
        <f>C16*12</f>
        <v>13920</v>
      </c>
      <c r="E16" s="3">
        <f>D16/1000</f>
        <v>13.92</v>
      </c>
      <c r="F16" s="3"/>
      <c r="G16" t="s">
        <v>28</v>
      </c>
    </row>
    <row r="17" spans="2:13">
      <c r="B17" t="s">
        <v>10</v>
      </c>
      <c r="C17" s="12">
        <v>500</v>
      </c>
      <c r="D17" s="3">
        <f>C17*12</f>
        <v>6000</v>
      </c>
      <c r="E17" s="3">
        <f>D17/C5</f>
        <v>3</v>
      </c>
      <c r="G17" t="s">
        <v>29</v>
      </c>
    </row>
    <row r="18" spans="2:13">
      <c r="B18" s="31" t="s">
        <v>11</v>
      </c>
      <c r="C18" s="32"/>
      <c r="D18" s="33">
        <f>SUM(D10:D17)</f>
        <v>803920</v>
      </c>
      <c r="E18" s="34">
        <f>SUM(E10:E17)</f>
        <v>408.92</v>
      </c>
    </row>
    <row r="20" spans="2:13">
      <c r="B20" s="1" t="s">
        <v>19</v>
      </c>
    </row>
    <row r="21" spans="2:13">
      <c r="B21" t="s">
        <v>20</v>
      </c>
      <c r="C21" s="6">
        <f>C5/C60</f>
        <v>10000</v>
      </c>
      <c r="E21" s="36"/>
    </row>
    <row r="22" spans="2:13">
      <c r="B22" t="s">
        <v>42</v>
      </c>
      <c r="C22" s="14">
        <v>0.2</v>
      </c>
      <c r="D22" t="s">
        <v>32</v>
      </c>
      <c r="E22" s="36"/>
      <c r="F22" s="36"/>
      <c r="G22" t="s">
        <v>88</v>
      </c>
    </row>
    <row r="23" spans="2:13">
      <c r="B23" t="s">
        <v>43</v>
      </c>
      <c r="C23" s="11">
        <v>70</v>
      </c>
      <c r="D23" t="s">
        <v>31</v>
      </c>
      <c r="E23" s="10"/>
      <c r="G23" t="s">
        <v>36</v>
      </c>
      <c r="H23" t="s">
        <v>1</v>
      </c>
    </row>
    <row r="24" spans="2:13">
      <c r="B24" t="s">
        <v>55</v>
      </c>
      <c r="C24" s="11">
        <v>150</v>
      </c>
      <c r="D24" t="s">
        <v>31</v>
      </c>
    </row>
    <row r="25" spans="2:13">
      <c r="B25" t="s">
        <v>42</v>
      </c>
      <c r="C25" s="10">
        <f>C22*C23/C60</f>
        <v>70</v>
      </c>
      <c r="D25" t="s">
        <v>14</v>
      </c>
      <c r="M25" s="10"/>
    </row>
    <row r="26" spans="2:13">
      <c r="B26" t="s">
        <v>44</v>
      </c>
      <c r="C26" s="15">
        <v>130</v>
      </c>
      <c r="D26" t="s">
        <v>32</v>
      </c>
      <c r="G26" t="s">
        <v>89</v>
      </c>
      <c r="L26" s="10"/>
    </row>
    <row r="27" spans="2:13">
      <c r="B27" t="s">
        <v>45</v>
      </c>
      <c r="C27" s="9">
        <f>C26*C24</f>
        <v>19500</v>
      </c>
      <c r="G27" t="s">
        <v>1</v>
      </c>
      <c r="H27" s="10"/>
    </row>
    <row r="28" spans="2:13">
      <c r="B28" t="s">
        <v>59</v>
      </c>
      <c r="C28" s="11">
        <v>2000</v>
      </c>
      <c r="D28" t="s">
        <v>33</v>
      </c>
      <c r="G28" t="s">
        <v>90</v>
      </c>
      <c r="H28" s="10"/>
      <c r="I28" s="3"/>
    </row>
    <row r="29" spans="2:13">
      <c r="B29" t="s">
        <v>46</v>
      </c>
      <c r="C29" s="2">
        <f>C21/C28</f>
        <v>5</v>
      </c>
      <c r="H29" s="10"/>
      <c r="I29" s="7"/>
    </row>
    <row r="30" spans="2:13">
      <c r="B30" t="s">
        <v>83</v>
      </c>
      <c r="C30" s="3">
        <f>C27*C29/C5</f>
        <v>48.75</v>
      </c>
      <c r="H30" s="10"/>
      <c r="I30" s="3"/>
    </row>
    <row r="31" spans="2:13">
      <c r="B31" t="s">
        <v>47</v>
      </c>
      <c r="C31" s="15">
        <v>70</v>
      </c>
      <c r="D31" t="s">
        <v>14</v>
      </c>
      <c r="G31" t="s">
        <v>91</v>
      </c>
    </row>
    <row r="32" spans="2:13">
      <c r="B32" s="31" t="s">
        <v>48</v>
      </c>
      <c r="C32" s="34">
        <f>C25+C30+C31</f>
        <v>188.75</v>
      </c>
    </row>
    <row r="34" spans="2:13">
      <c r="B34" s="17" t="s">
        <v>80</v>
      </c>
    </row>
    <row r="35" spans="2:13">
      <c r="B35" t="s">
        <v>68</v>
      </c>
      <c r="C35" s="20">
        <v>2000000</v>
      </c>
      <c r="G35" t="s">
        <v>92</v>
      </c>
    </row>
    <row r="36" spans="2:13">
      <c r="B36" t="s">
        <v>69</v>
      </c>
      <c r="C36" s="20">
        <v>500000</v>
      </c>
      <c r="G36" t="s">
        <v>77</v>
      </c>
    </row>
    <row r="37" spans="2:13">
      <c r="B37" t="s">
        <v>70</v>
      </c>
      <c r="C37" s="22">
        <v>25000</v>
      </c>
      <c r="F37" s="19"/>
      <c r="G37" t="s">
        <v>77</v>
      </c>
    </row>
    <row r="38" spans="2:13">
      <c r="B38" t="s">
        <v>79</v>
      </c>
      <c r="C38" s="21">
        <v>0.08</v>
      </c>
    </row>
    <row r="39" spans="2:13">
      <c r="B39" t="s">
        <v>18</v>
      </c>
      <c r="C39" s="23">
        <v>31.922359095766033</v>
      </c>
      <c r="G39" t="s">
        <v>82</v>
      </c>
    </row>
    <row r="40" spans="2:13">
      <c r="B40" s="31" t="s">
        <v>78</v>
      </c>
      <c r="C40" s="35">
        <f>C39*2</f>
        <v>63.844718191532067</v>
      </c>
      <c r="E40" t="s">
        <v>1</v>
      </c>
    </row>
    <row r="41" spans="2:13">
      <c r="B41" t="s">
        <v>71</v>
      </c>
      <c r="C41" t="s">
        <v>72</v>
      </c>
      <c r="D41" t="s">
        <v>39</v>
      </c>
      <c r="E41" t="s">
        <v>73</v>
      </c>
      <c r="F41" t="s">
        <v>74</v>
      </c>
      <c r="G41" t="s">
        <v>75</v>
      </c>
    </row>
    <row r="42" spans="2:13">
      <c r="B42">
        <v>0</v>
      </c>
      <c r="C42" s="19">
        <f>-C35</f>
        <v>-2000000</v>
      </c>
      <c r="F42" s="19">
        <f>SUM(C42:E42)</f>
        <v>-2000000</v>
      </c>
      <c r="G42" s="19">
        <f>F42+NPV(C38,F43:F52)</f>
        <v>0</v>
      </c>
      <c r="H42" s="7"/>
    </row>
    <row r="43" spans="2:13">
      <c r="B43">
        <v>1</v>
      </c>
      <c r="D43" s="19">
        <f t="shared" ref="D43:D52" si="1">-$C$36</f>
        <v>-500000</v>
      </c>
      <c r="E43" s="18">
        <f t="shared" ref="E43:E52" si="2">$C$37*$C$39</f>
        <v>798058.9773941508</v>
      </c>
      <c r="F43" s="19">
        <f t="shared" ref="F43:F52" si="3">SUM(C43:E43)</f>
        <v>298058.9773941508</v>
      </c>
      <c r="G43" s="7"/>
      <c r="I43" s="10"/>
      <c r="J43" s="2"/>
    </row>
    <row r="44" spans="2:13">
      <c r="B44">
        <v>2</v>
      </c>
      <c r="D44" s="19">
        <f t="shared" si="1"/>
        <v>-500000</v>
      </c>
      <c r="E44" s="18">
        <f t="shared" si="2"/>
        <v>798058.9773941508</v>
      </c>
      <c r="F44" s="19">
        <f t="shared" si="3"/>
        <v>298058.9773941508</v>
      </c>
      <c r="G44" s="7"/>
      <c r="H44" s="7"/>
      <c r="I44" s="10"/>
      <c r="J44" s="2"/>
    </row>
    <row r="45" spans="2:13">
      <c r="B45">
        <v>3</v>
      </c>
      <c r="D45" s="19">
        <f t="shared" si="1"/>
        <v>-500000</v>
      </c>
      <c r="E45" s="18">
        <f t="shared" si="2"/>
        <v>798058.9773941508</v>
      </c>
      <c r="F45" s="19">
        <f t="shared" si="3"/>
        <v>298058.9773941508</v>
      </c>
      <c r="G45" s="7"/>
      <c r="I45" s="10"/>
      <c r="J45" s="2"/>
    </row>
    <row r="46" spans="2:13">
      <c r="B46">
        <v>4</v>
      </c>
      <c r="D46" s="19">
        <f t="shared" si="1"/>
        <v>-500000</v>
      </c>
      <c r="E46" s="18">
        <f t="shared" si="2"/>
        <v>798058.9773941508</v>
      </c>
      <c r="F46" s="19">
        <f t="shared" si="3"/>
        <v>298058.9773941508</v>
      </c>
      <c r="G46" s="7"/>
      <c r="J46" s="2"/>
    </row>
    <row r="47" spans="2:13">
      <c r="B47">
        <v>5</v>
      </c>
      <c r="D47" s="19">
        <f t="shared" si="1"/>
        <v>-500000</v>
      </c>
      <c r="E47" s="18">
        <f t="shared" si="2"/>
        <v>798058.9773941508</v>
      </c>
      <c r="F47" s="19">
        <f t="shared" si="3"/>
        <v>298058.9773941508</v>
      </c>
      <c r="G47" s="7"/>
      <c r="I47" s="37"/>
      <c r="J47" s="2"/>
      <c r="K47" s="5"/>
      <c r="L47" s="3"/>
      <c r="M47" s="3"/>
    </row>
    <row r="48" spans="2:13">
      <c r="B48">
        <v>6</v>
      </c>
      <c r="D48" s="19">
        <f t="shared" si="1"/>
        <v>-500000</v>
      </c>
      <c r="E48" s="18">
        <f t="shared" si="2"/>
        <v>798058.9773941508</v>
      </c>
      <c r="F48" s="19">
        <f t="shared" si="3"/>
        <v>298058.9773941508</v>
      </c>
      <c r="G48" s="7"/>
      <c r="J48" s="2"/>
      <c r="K48" s="5"/>
      <c r="L48" s="3"/>
      <c r="M48" s="3"/>
    </row>
    <row r="49" spans="2:21">
      <c r="B49">
        <v>7</v>
      </c>
      <c r="D49" s="19">
        <f t="shared" si="1"/>
        <v>-500000</v>
      </c>
      <c r="E49" s="18">
        <f t="shared" si="2"/>
        <v>798058.9773941508</v>
      </c>
      <c r="F49" s="19">
        <f t="shared" si="3"/>
        <v>298058.9773941508</v>
      </c>
      <c r="G49" s="7"/>
      <c r="J49" s="2"/>
      <c r="L49" s="3"/>
      <c r="M49" s="3"/>
    </row>
    <row r="50" spans="2:21">
      <c r="B50">
        <v>8</v>
      </c>
      <c r="D50" s="19">
        <f t="shared" si="1"/>
        <v>-500000</v>
      </c>
      <c r="E50" s="18">
        <f t="shared" si="2"/>
        <v>798058.9773941508</v>
      </c>
      <c r="F50" s="19">
        <f t="shared" si="3"/>
        <v>298058.9773941508</v>
      </c>
      <c r="G50" s="7"/>
      <c r="J50" s="2"/>
      <c r="L50" s="3"/>
      <c r="M50" s="3"/>
    </row>
    <row r="51" spans="2:21">
      <c r="B51">
        <v>9</v>
      </c>
      <c r="D51" s="19">
        <f t="shared" si="1"/>
        <v>-500000</v>
      </c>
      <c r="E51" s="18">
        <f t="shared" si="2"/>
        <v>798058.9773941508</v>
      </c>
      <c r="F51" s="19">
        <f t="shared" si="3"/>
        <v>298058.9773941508</v>
      </c>
      <c r="G51" s="7"/>
      <c r="J51" s="2"/>
      <c r="L51" s="3"/>
      <c r="M51" s="3"/>
    </row>
    <row r="52" spans="2:21">
      <c r="B52">
        <v>10</v>
      </c>
      <c r="D52" s="19">
        <f t="shared" si="1"/>
        <v>-500000</v>
      </c>
      <c r="E52" s="18">
        <f t="shared" si="2"/>
        <v>798058.9773941508</v>
      </c>
      <c r="F52" s="19">
        <f t="shared" si="3"/>
        <v>298058.9773941508</v>
      </c>
      <c r="G52" s="7"/>
      <c r="J52" s="2"/>
      <c r="L52" s="3"/>
      <c r="M52" s="3"/>
    </row>
    <row r="53" spans="2:21">
      <c r="J53" s="3"/>
      <c r="L53" s="3"/>
      <c r="M53" s="3"/>
    </row>
    <row r="54" spans="2:21">
      <c r="B54" s="1" t="s">
        <v>12</v>
      </c>
      <c r="J54" s="3"/>
      <c r="L54" s="3"/>
      <c r="M54" s="3"/>
    </row>
    <row r="55" spans="2:21">
      <c r="B55" t="s">
        <v>49</v>
      </c>
      <c r="C55" s="8">
        <v>900</v>
      </c>
      <c r="D55" t="s">
        <v>14</v>
      </c>
      <c r="L55" s="3"/>
      <c r="M55" s="3"/>
      <c r="O55" s="1"/>
    </row>
    <row r="56" spans="2:21">
      <c r="B56" t="s">
        <v>48</v>
      </c>
      <c r="C56" s="3">
        <v>589.30999999999995</v>
      </c>
      <c r="D56" t="s">
        <v>14</v>
      </c>
      <c r="E56" t="s">
        <v>30</v>
      </c>
    </row>
    <row r="57" spans="2:21">
      <c r="B57" t="s">
        <v>50</v>
      </c>
      <c r="C57" s="3">
        <f>C55+C56</f>
        <v>1489.31</v>
      </c>
      <c r="L57" s="6"/>
    </row>
    <row r="58" spans="2:21">
      <c r="C58" s="3"/>
    </row>
    <row r="59" spans="2:21">
      <c r="B59" s="1" t="s">
        <v>54</v>
      </c>
    </row>
    <row r="60" spans="2:21">
      <c r="B60" t="s">
        <v>15</v>
      </c>
      <c r="C60">
        <v>0.2</v>
      </c>
      <c r="D60" t="s">
        <v>16</v>
      </c>
    </row>
    <row r="61" spans="2:21">
      <c r="B61" t="s">
        <v>17</v>
      </c>
      <c r="C61" s="3">
        <f>C57*C60</f>
        <v>297.86200000000002</v>
      </c>
    </row>
    <row r="62" spans="2:21">
      <c r="B62" t="s">
        <v>51</v>
      </c>
      <c r="C62" s="3">
        <v>200</v>
      </c>
    </row>
    <row r="63" spans="2:21">
      <c r="B63" t="s">
        <v>52</v>
      </c>
      <c r="C63" s="3">
        <f>C61+C62</f>
        <v>497.86200000000002</v>
      </c>
      <c r="P63" s="25"/>
      <c r="Q63" s="25"/>
      <c r="R63" s="25" t="s">
        <v>56</v>
      </c>
      <c r="S63" s="25"/>
      <c r="T63" s="25"/>
      <c r="U63" s="25"/>
    </row>
    <row r="64" spans="2:21">
      <c r="P64" s="25"/>
      <c r="Q64" s="26">
        <f>E18</f>
        <v>408.92</v>
      </c>
      <c r="R64" s="27">
        <v>4000000</v>
      </c>
      <c r="S64" s="27">
        <v>1300000</v>
      </c>
      <c r="T64" s="27">
        <v>600000</v>
      </c>
      <c r="U64" s="27">
        <v>200000</v>
      </c>
    </row>
    <row r="65" spans="2:22">
      <c r="B65" s="1"/>
      <c r="P65" s="25" t="s">
        <v>57</v>
      </c>
      <c r="Q65" s="26">
        <v>500</v>
      </c>
      <c r="R65" s="27">
        <f t="dataTable" ref="R65:U69" dt2D="1" dtr="1" r1="C10" r2="C5"/>
        <v>1623.92</v>
      </c>
      <c r="S65" s="27">
        <v>813.92</v>
      </c>
      <c r="T65" s="27">
        <v>603.91999999999996</v>
      </c>
      <c r="U65" s="27">
        <v>483.92</v>
      </c>
    </row>
    <row r="66" spans="2:22">
      <c r="C66" s="7"/>
      <c r="P66" s="25"/>
      <c r="Q66" s="26">
        <v>1000</v>
      </c>
      <c r="R66" s="27">
        <v>938.92</v>
      </c>
      <c r="S66" s="27">
        <v>533.91999999999996</v>
      </c>
      <c r="T66" s="27">
        <v>428.92</v>
      </c>
      <c r="U66" s="27">
        <v>368.92</v>
      </c>
    </row>
    <row r="67" spans="2:22">
      <c r="C67" s="3"/>
      <c r="P67" s="25"/>
      <c r="Q67" s="26">
        <v>1500</v>
      </c>
      <c r="R67" s="27">
        <v>710.58666666666659</v>
      </c>
      <c r="S67" s="27">
        <v>440.5866666666667</v>
      </c>
      <c r="T67" s="27">
        <v>370.5866666666667</v>
      </c>
      <c r="U67" s="27">
        <v>330.5866666666667</v>
      </c>
    </row>
    <row r="68" spans="2:22">
      <c r="C68" s="3"/>
      <c r="P68" s="25"/>
      <c r="Q68" s="26">
        <v>2000</v>
      </c>
      <c r="R68" s="27">
        <v>596.41999999999996</v>
      </c>
      <c r="S68" s="27">
        <v>393.92</v>
      </c>
      <c r="T68" s="27">
        <v>341.42</v>
      </c>
      <c r="U68" s="27">
        <v>311.42</v>
      </c>
    </row>
    <row r="69" spans="2:22">
      <c r="C69" s="3"/>
      <c r="P69" s="25"/>
      <c r="Q69" s="26">
        <v>2500</v>
      </c>
      <c r="R69" s="27">
        <v>527.91999999999996</v>
      </c>
      <c r="S69" s="27">
        <v>365.92</v>
      </c>
      <c r="T69" s="27">
        <v>323.92</v>
      </c>
      <c r="U69" s="27">
        <v>299.92</v>
      </c>
    </row>
    <row r="70" spans="2:22">
      <c r="B70" s="1"/>
      <c r="P70" s="25"/>
      <c r="Q70" s="25"/>
      <c r="R70" s="25"/>
      <c r="S70" s="25"/>
      <c r="T70" s="25"/>
      <c r="U70" s="25"/>
    </row>
    <row r="71" spans="2:22">
      <c r="P71" s="25"/>
      <c r="Q71" s="25"/>
      <c r="R71" s="25"/>
      <c r="S71" s="25"/>
      <c r="T71" s="25"/>
      <c r="U71" s="25"/>
    </row>
    <row r="72" spans="2:22">
      <c r="C72" s="3"/>
      <c r="P72" s="25"/>
      <c r="Q72" s="25"/>
      <c r="R72" s="25" t="s">
        <v>34</v>
      </c>
      <c r="S72" s="25"/>
      <c r="T72" s="25"/>
      <c r="U72" s="25"/>
    </row>
    <row r="73" spans="2:22">
      <c r="C73" s="3"/>
      <c r="P73" s="25"/>
      <c r="Q73" s="28">
        <f>C32</f>
        <v>188.75</v>
      </c>
      <c r="R73" s="27">
        <v>400</v>
      </c>
      <c r="S73" s="27">
        <v>300</v>
      </c>
      <c r="T73" s="27">
        <v>200</v>
      </c>
      <c r="U73" s="27">
        <v>100</v>
      </c>
    </row>
    <row r="74" spans="2:22">
      <c r="C74" s="3"/>
      <c r="P74" s="25" t="s">
        <v>58</v>
      </c>
      <c r="Q74" s="25">
        <v>500</v>
      </c>
      <c r="R74" s="27">
        <f t="dataTable" ref="R74:U78" dt2D="1" dtr="1" r1="C26" r2="C28"/>
        <v>740</v>
      </c>
      <c r="S74" s="27">
        <v>590</v>
      </c>
      <c r="T74" s="27">
        <v>440</v>
      </c>
      <c r="U74" s="27">
        <v>290</v>
      </c>
    </row>
    <row r="75" spans="2:22">
      <c r="P75" s="25"/>
      <c r="Q75" s="25">
        <v>1000</v>
      </c>
      <c r="R75" s="27">
        <v>440</v>
      </c>
      <c r="S75" s="27">
        <v>365</v>
      </c>
      <c r="T75" s="27">
        <v>290</v>
      </c>
      <c r="U75" s="27">
        <v>215</v>
      </c>
      <c r="V75" s="7"/>
    </row>
    <row r="76" spans="2:22">
      <c r="P76" s="25"/>
      <c r="Q76" s="25">
        <v>2000</v>
      </c>
      <c r="R76" s="27">
        <v>290</v>
      </c>
      <c r="S76" s="27">
        <v>252.5</v>
      </c>
      <c r="T76" s="27">
        <v>215</v>
      </c>
      <c r="U76" s="27">
        <v>177.5</v>
      </c>
    </row>
    <row r="77" spans="2:22">
      <c r="P77" s="25"/>
      <c r="Q77" s="25">
        <v>5000</v>
      </c>
      <c r="R77" s="27">
        <v>200</v>
      </c>
      <c r="S77" s="27">
        <v>185</v>
      </c>
      <c r="T77" s="27">
        <v>170</v>
      </c>
      <c r="U77" s="27">
        <v>155</v>
      </c>
      <c r="V77" s="7"/>
    </row>
    <row r="78" spans="2:22">
      <c r="P78" s="25"/>
      <c r="Q78" s="25">
        <v>10000</v>
      </c>
      <c r="R78" s="27">
        <v>170</v>
      </c>
      <c r="S78" s="27">
        <v>162.5</v>
      </c>
      <c r="T78" s="27">
        <v>155</v>
      </c>
      <c r="U78" s="27">
        <v>147.5</v>
      </c>
    </row>
    <row r="80" spans="2:22">
      <c r="Q80" s="7"/>
      <c r="V80" s="7"/>
    </row>
    <row r="81" spans="6:22">
      <c r="T81" s="7"/>
    </row>
    <row r="82" spans="6:22">
      <c r="Q82" s="7"/>
      <c r="R82" s="7"/>
      <c r="S82" s="7"/>
      <c r="T82" s="7"/>
      <c r="V82" s="7"/>
    </row>
    <row r="83" spans="6:22">
      <c r="Q83" s="3"/>
      <c r="R83" s="3"/>
      <c r="S83" s="3"/>
      <c r="T83" s="7"/>
    </row>
    <row r="84" spans="6:22">
      <c r="Q84" s="7"/>
      <c r="R84" s="7"/>
      <c r="S84" s="7"/>
      <c r="T84" s="7"/>
      <c r="V84" s="6"/>
    </row>
    <row r="85" spans="6:22">
      <c r="Q85" s="7"/>
      <c r="R85" s="7"/>
      <c r="S85" s="7"/>
      <c r="T85" s="7"/>
    </row>
    <row r="86" spans="6:22">
      <c r="F86" s="10"/>
      <c r="Q86" s="7"/>
      <c r="R86" s="7"/>
      <c r="S86" s="7"/>
      <c r="V86" s="7"/>
    </row>
    <row r="115" spans="4:6">
      <c r="D115" s="19"/>
      <c r="E115" s="18"/>
      <c r="F115" s="19"/>
    </row>
    <row r="116" spans="4:6">
      <c r="D116" s="19"/>
      <c r="E116" s="18"/>
      <c r="F116" s="19"/>
    </row>
    <row r="117" spans="4:6">
      <c r="D117" s="19"/>
      <c r="E117" s="18"/>
      <c r="F117" s="19"/>
    </row>
    <row r="118" spans="4:6">
      <c r="D118" s="19"/>
      <c r="E118" s="18"/>
      <c r="F118" s="19"/>
    </row>
    <row r="119" spans="4:6">
      <c r="D119" s="19"/>
      <c r="E119" s="18"/>
      <c r="F119" s="19"/>
    </row>
  </sheetData>
  <mergeCells count="1">
    <mergeCell ref="F9:G9"/>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EF238-4FCC-FC4B-8808-DC74701A1C38}">
  <dimension ref="C6:H38"/>
  <sheetViews>
    <sheetView workbookViewId="0">
      <selection activeCell="H38" sqref="H38"/>
    </sheetView>
  </sheetViews>
  <sheetFormatPr baseColWidth="10" defaultRowHeight="16"/>
  <cols>
    <col min="3" max="3" width="21" bestFit="1" customWidth="1"/>
    <col min="4" max="4" width="12" customWidth="1"/>
    <col min="5" max="5" width="12.7109375" customWidth="1"/>
    <col min="6" max="6" width="13.140625" customWidth="1"/>
  </cols>
  <sheetData>
    <row r="6" spans="3:8">
      <c r="C6" s="17" t="s">
        <v>13</v>
      </c>
    </row>
    <row r="7" spans="3:8">
      <c r="E7" s="24" t="s">
        <v>56</v>
      </c>
    </row>
    <row r="8" spans="3:8">
      <c r="D8" s="6"/>
      <c r="E8" s="7">
        <v>4000000</v>
      </c>
      <c r="F8" s="7">
        <v>1300000</v>
      </c>
      <c r="G8" s="7">
        <v>600000</v>
      </c>
      <c r="H8" s="7">
        <v>200000</v>
      </c>
    </row>
    <row r="9" spans="3:8">
      <c r="C9" t="s">
        <v>57</v>
      </c>
      <c r="D9" s="6">
        <v>500</v>
      </c>
      <c r="E9" s="7">
        <v>1623.92</v>
      </c>
      <c r="F9" s="7">
        <v>813.92</v>
      </c>
      <c r="G9" s="7">
        <v>603.91999999999996</v>
      </c>
      <c r="H9" s="7">
        <v>483.92</v>
      </c>
    </row>
    <row r="10" spans="3:8">
      <c r="D10" s="6">
        <v>1000</v>
      </c>
      <c r="E10" s="7">
        <v>938.92</v>
      </c>
      <c r="F10" s="7">
        <v>533.91999999999996</v>
      </c>
      <c r="G10" s="7">
        <v>428.92</v>
      </c>
      <c r="H10" s="7">
        <v>368.92</v>
      </c>
    </row>
    <row r="11" spans="3:8">
      <c r="D11" s="6">
        <v>1500</v>
      </c>
      <c r="E11" s="7">
        <v>710.58666666666659</v>
      </c>
      <c r="F11" s="7">
        <v>440.5866666666667</v>
      </c>
      <c r="G11" s="7">
        <v>370.5866666666667</v>
      </c>
      <c r="H11" s="7">
        <v>330.5866666666667</v>
      </c>
    </row>
    <row r="12" spans="3:8">
      <c r="D12" s="6">
        <v>2000</v>
      </c>
      <c r="E12" s="7">
        <v>596.41999999999996</v>
      </c>
      <c r="F12" s="7">
        <v>393.92</v>
      </c>
      <c r="G12" s="7">
        <v>341.42</v>
      </c>
      <c r="H12" s="7">
        <v>311.42</v>
      </c>
    </row>
    <row r="13" spans="3:8">
      <c r="D13" s="6">
        <v>2500</v>
      </c>
      <c r="E13" s="7">
        <v>527.91999999999996</v>
      </c>
      <c r="F13" s="7">
        <v>365.92</v>
      </c>
      <c r="G13" s="7">
        <v>323.92</v>
      </c>
      <c r="H13" s="7">
        <v>299.92</v>
      </c>
    </row>
    <row r="15" spans="3:8">
      <c r="C15" s="17" t="s">
        <v>81</v>
      </c>
    </row>
    <row r="16" spans="3:8">
      <c r="E16" t="s">
        <v>34</v>
      </c>
    </row>
    <row r="17" spans="3:8">
      <c r="D17" s="7"/>
      <c r="E17" s="7">
        <v>400</v>
      </c>
      <c r="F17" s="7">
        <v>300</v>
      </c>
      <c r="G17" s="7">
        <v>200</v>
      </c>
      <c r="H17" s="7">
        <v>100</v>
      </c>
    </row>
    <row r="18" spans="3:8">
      <c r="C18" t="s">
        <v>58</v>
      </c>
      <c r="D18" s="2">
        <v>500</v>
      </c>
      <c r="E18" s="30">
        <v>540</v>
      </c>
      <c r="F18" s="30">
        <v>440</v>
      </c>
      <c r="G18" s="30">
        <v>340</v>
      </c>
      <c r="H18" s="30">
        <v>240</v>
      </c>
    </row>
    <row r="19" spans="3:8">
      <c r="D19" s="2">
        <v>1000</v>
      </c>
      <c r="E19" s="30">
        <v>340</v>
      </c>
      <c r="F19" s="30">
        <v>290</v>
      </c>
      <c r="G19" s="30">
        <v>240</v>
      </c>
      <c r="H19" s="30">
        <v>190</v>
      </c>
    </row>
    <row r="20" spans="3:8">
      <c r="D20" s="2">
        <v>2000</v>
      </c>
      <c r="E20" s="30">
        <v>240</v>
      </c>
      <c r="F20" s="30">
        <v>215</v>
      </c>
      <c r="G20" s="30">
        <v>190</v>
      </c>
      <c r="H20" s="30">
        <v>165</v>
      </c>
    </row>
    <row r="21" spans="3:8">
      <c r="D21" s="2">
        <v>5000</v>
      </c>
      <c r="E21" s="30">
        <v>180</v>
      </c>
      <c r="F21" s="30">
        <v>170</v>
      </c>
      <c r="G21" s="30">
        <v>160</v>
      </c>
      <c r="H21" s="30">
        <v>150</v>
      </c>
    </row>
    <row r="22" spans="3:8">
      <c r="D22" s="2">
        <v>10000</v>
      </c>
      <c r="E22" s="30">
        <v>160</v>
      </c>
      <c r="F22" s="30">
        <v>155</v>
      </c>
      <c r="G22" s="30">
        <v>150</v>
      </c>
      <c r="H22" s="30">
        <v>145</v>
      </c>
    </row>
    <row r="24" spans="3:8">
      <c r="C24" s="17" t="s">
        <v>80</v>
      </c>
    </row>
    <row r="25" spans="3:8">
      <c r="E25" t="s">
        <v>70</v>
      </c>
    </row>
    <row r="26" spans="3:8">
      <c r="C26" t="s">
        <v>72</v>
      </c>
      <c r="E26" s="2">
        <v>5000</v>
      </c>
      <c r="F26" s="2">
        <v>10000</v>
      </c>
      <c r="G26" s="2">
        <v>20000</v>
      </c>
      <c r="H26" s="2">
        <v>40000</v>
      </c>
    </row>
    <row r="27" spans="3:8">
      <c r="D27" s="3">
        <v>6000000</v>
      </c>
      <c r="E27" s="23">
        <v>278.83538643649058</v>
      </c>
      <c r="F27" s="23">
        <v>139.41769321824529</v>
      </c>
      <c r="G27" s="23">
        <v>69.708846609122645</v>
      </c>
      <c r="H27" s="23">
        <v>34.854423304561323</v>
      </c>
    </row>
    <row r="28" spans="3:8">
      <c r="D28" s="3">
        <v>3000000</v>
      </c>
      <c r="E28" s="23">
        <v>189.41769321824529</v>
      </c>
      <c r="F28" s="23">
        <v>94.708846609122645</v>
      </c>
      <c r="G28" s="23">
        <v>47.354423304561323</v>
      </c>
      <c r="H28" s="23">
        <v>23.677211652280665</v>
      </c>
    </row>
    <row r="29" spans="3:8">
      <c r="D29" s="3">
        <v>1500000</v>
      </c>
      <c r="E29" s="23">
        <v>144.70884660912259</v>
      </c>
      <c r="F29" s="23">
        <v>72.354423304561308</v>
      </c>
      <c r="G29" s="23">
        <v>36.177211652280647</v>
      </c>
      <c r="H29" s="23">
        <v>18.088605826140327</v>
      </c>
    </row>
    <row r="30" spans="3:8">
      <c r="D30" s="3">
        <v>750000</v>
      </c>
      <c r="E30" s="23">
        <v>122.35442330456132</v>
      </c>
      <c r="F30" s="23">
        <v>61.177211652280661</v>
      </c>
      <c r="G30" s="23">
        <v>30.588605826140331</v>
      </c>
      <c r="H30" s="23">
        <v>15.294302913070167</v>
      </c>
    </row>
    <row r="35" spans="3:6">
      <c r="D35" t="s">
        <v>93</v>
      </c>
      <c r="F35" t="s">
        <v>97</v>
      </c>
    </row>
    <row r="36" spans="3:6">
      <c r="C36" t="s">
        <v>94</v>
      </c>
      <c r="D36" s="3">
        <v>88.53</v>
      </c>
      <c r="E36" t="s">
        <v>98</v>
      </c>
      <c r="F36" s="3">
        <f>Model!C30</f>
        <v>48.75</v>
      </c>
    </row>
    <row r="37" spans="3:6">
      <c r="C37" t="s">
        <v>95</v>
      </c>
      <c r="D37" s="3">
        <v>94</v>
      </c>
      <c r="E37" t="s">
        <v>99</v>
      </c>
      <c r="F37" s="9">
        <f>Model!C31</f>
        <v>70</v>
      </c>
    </row>
    <row r="38" spans="3:6">
      <c r="C38" t="s">
        <v>96</v>
      </c>
      <c r="D38" s="3">
        <v>123.2</v>
      </c>
      <c r="E38" t="s">
        <v>100</v>
      </c>
      <c r="F38" s="10">
        <f>Model!C25</f>
        <v>70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6D8314-A41E-EA47-96E1-328465FD3682}">
  <dimension ref="B3:B143"/>
  <sheetViews>
    <sheetView workbookViewId="0">
      <selection activeCell="J41" sqref="J41"/>
    </sheetView>
  </sheetViews>
  <sheetFormatPr baseColWidth="10" defaultRowHeight="16"/>
  <cols>
    <col min="2" max="2" width="27.42578125" customWidth="1"/>
  </cols>
  <sheetData>
    <row r="3" spans="2:2">
      <c r="B3" s="17" t="s">
        <v>60</v>
      </c>
    </row>
    <row r="4" spans="2:2">
      <c r="B4" s="16" t="s">
        <v>37</v>
      </c>
    </row>
    <row r="29" spans="2:2">
      <c r="B29" s="17" t="s">
        <v>61</v>
      </c>
    </row>
    <row r="30" spans="2:2">
      <c r="B30" t="s">
        <v>62</v>
      </c>
    </row>
    <row r="51" spans="2:2">
      <c r="B51" s="17" t="s">
        <v>63</v>
      </c>
    </row>
    <row r="52" spans="2:2">
      <c r="B52" t="s">
        <v>35</v>
      </c>
    </row>
    <row r="88" spans="2:2">
      <c r="B88" s="17" t="s">
        <v>64</v>
      </c>
    </row>
    <row r="89" spans="2:2">
      <c r="B89" t="s">
        <v>36</v>
      </c>
    </row>
    <row r="114" spans="2:2">
      <c r="B114" s="17" t="s">
        <v>65</v>
      </c>
    </row>
    <row r="115" spans="2:2">
      <c r="B115" s="16" t="s">
        <v>53</v>
      </c>
    </row>
    <row r="124" spans="2:2">
      <c r="B124" s="17" t="s">
        <v>66</v>
      </c>
    </row>
    <row r="125" spans="2:2">
      <c r="B125" t="s">
        <v>67</v>
      </c>
    </row>
    <row r="142" spans="2:2">
      <c r="B142" s="17" t="s">
        <v>76</v>
      </c>
    </row>
    <row r="143" spans="2:2">
      <c r="B143" t="s">
        <v>77</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ARK Disclosure</vt:lpstr>
      <vt:lpstr>Model</vt:lpstr>
      <vt:lpstr>Charts</vt:lpstr>
      <vt:lpstr>Resources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Sam Korus</cp:lastModifiedBy>
  <dcterms:created xsi:type="dcterms:W3CDTF">2023-05-23T15:43:25Z</dcterms:created>
  <dcterms:modified xsi:type="dcterms:W3CDTF">2023-08-09T19:47:57Z</dcterms:modified>
</cp:coreProperties>
</file>