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simonbarnett/Desktop/"/>
    </mc:Choice>
  </mc:AlternateContent>
  <xr:revisionPtr revIDLastSave="0" documentId="8_{515AA37A-87B2-814E-B4A2-2EF93C24AC18}" xr6:coauthVersionLast="47" xr6:coauthVersionMax="47" xr10:uidLastSave="{00000000-0000-0000-0000-000000000000}"/>
  <bookViews>
    <workbookView xWindow="0" yWindow="0" windowWidth="28800" windowHeight="18000" tabRatio="581" activeTab="1" xr2:uid="{C06FD8CF-1C98-C042-99B9-534AADBB8CE3}"/>
  </bookViews>
  <sheets>
    <sheet name="ARK DISCLOSURE" sheetId="21" r:id="rId1"/>
    <sheet name="DASHBOARD" sheetId="20" r:id="rId2"/>
    <sheet name="MODEL INPUT" sheetId="19" r:id="rId3"/>
    <sheet name="PREVENTION &amp; SCREENING" sheetId="16" r:id="rId4"/>
    <sheet name="PROGNOSTICS &amp; MRD" sheetId="18" r:id="rId5"/>
    <sheet name="THERAPY SELECTION" sheetId="1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0" i="20" l="1"/>
  <c r="H40" i="20"/>
  <c r="I40" i="20"/>
  <c r="J40" i="20"/>
  <c r="K40" i="20"/>
  <c r="L40" i="20"/>
  <c r="F40" i="20"/>
  <c r="M46" i="20" l="1"/>
  <c r="M44" i="20"/>
  <c r="M42" i="20"/>
  <c r="N41" i="20"/>
  <c r="O41" i="20" s="1"/>
  <c r="O42" i="20" s="1"/>
  <c r="T59" i="20"/>
  <c r="U59" i="20"/>
  <c r="S59" i="20"/>
  <c r="R59" i="20"/>
  <c r="Q59" i="20"/>
  <c r="P59" i="20"/>
  <c r="M64" i="20"/>
  <c r="N43" i="20"/>
  <c r="O43" i="20" s="1"/>
  <c r="P43" i="20" s="1"/>
  <c r="Q43" i="20" s="1"/>
  <c r="R43" i="20" s="1"/>
  <c r="S43" i="20" s="1"/>
  <c r="T43" i="20" s="1"/>
  <c r="U43" i="20" s="1"/>
  <c r="U44" i="20" s="1"/>
  <c r="N45" i="20"/>
  <c r="O45" i="20" s="1"/>
  <c r="P45" i="20" s="1"/>
  <c r="Q45" i="20" s="1"/>
  <c r="R45" i="20" s="1"/>
  <c r="S45" i="20" s="1"/>
  <c r="T45" i="20" s="1"/>
  <c r="U45" i="20" s="1"/>
  <c r="U46" i="20" s="1"/>
  <c r="G47" i="20"/>
  <c r="H47" i="20"/>
  <c r="I47" i="20"/>
  <c r="J47" i="20"/>
  <c r="K47" i="20"/>
  <c r="L47" i="20"/>
  <c r="F47" i="20"/>
  <c r="G39" i="20"/>
  <c r="H39" i="20"/>
  <c r="I39" i="20"/>
  <c r="J39" i="20"/>
  <c r="K39" i="20"/>
  <c r="L39" i="20"/>
  <c r="F39" i="20"/>
  <c r="M37" i="20"/>
  <c r="N46" i="20" l="1"/>
  <c r="N42" i="20"/>
  <c r="T44" i="20"/>
  <c r="N44" i="20"/>
  <c r="S44" i="20"/>
  <c r="T46" i="20"/>
  <c r="Q46" i="20"/>
  <c r="O46" i="20"/>
  <c r="S46" i="20"/>
  <c r="R46" i="20"/>
  <c r="P46" i="20"/>
  <c r="N40" i="20"/>
  <c r="R44" i="20"/>
  <c r="Q44" i="20"/>
  <c r="P44" i="20"/>
  <c r="O44" i="20"/>
  <c r="O40" i="20" s="1"/>
  <c r="M40" i="20"/>
  <c r="P41" i="20"/>
  <c r="P42" i="20" s="1"/>
  <c r="M38" i="20"/>
  <c r="U148" i="20"/>
  <c r="U146" i="20"/>
  <c r="U145" i="20"/>
  <c r="U144" i="20"/>
  <c r="U143" i="20"/>
  <c r="U139" i="20"/>
  <c r="L138" i="20"/>
  <c r="U138" i="20"/>
  <c r="L137" i="20"/>
  <c r="U140" i="20"/>
  <c r="L136" i="20"/>
  <c r="U135" i="20"/>
  <c r="L32" i="20"/>
  <c r="K32" i="20"/>
  <c r="J32" i="20"/>
  <c r="I32" i="20"/>
  <c r="H32" i="20"/>
  <c r="G32" i="20"/>
  <c r="F32" i="20"/>
  <c r="K31" i="20"/>
  <c r="J31" i="20"/>
  <c r="I31" i="20"/>
  <c r="H31" i="20"/>
  <c r="G31" i="20"/>
  <c r="F31" i="20"/>
  <c r="N30" i="20"/>
  <c r="M30" i="20"/>
  <c r="L30" i="20"/>
  <c r="K30" i="20"/>
  <c r="J30" i="20"/>
  <c r="I30" i="20"/>
  <c r="H30" i="20"/>
  <c r="G30" i="20"/>
  <c r="F30" i="20"/>
  <c r="N29" i="20"/>
  <c r="M29" i="20"/>
  <c r="L29" i="20"/>
  <c r="K29" i="20"/>
  <c r="J29" i="20"/>
  <c r="I29" i="20"/>
  <c r="H29" i="20"/>
  <c r="G29" i="20"/>
  <c r="F29" i="20"/>
  <c r="M28" i="20"/>
  <c r="L28" i="20"/>
  <c r="K28" i="20"/>
  <c r="K27" i="20"/>
  <c r="J27" i="20"/>
  <c r="I27" i="20"/>
  <c r="H27" i="20"/>
  <c r="G27" i="20"/>
  <c r="F27" i="20"/>
  <c r="M26" i="20"/>
  <c r="L26" i="20"/>
  <c r="K26" i="20"/>
  <c r="J26" i="20"/>
  <c r="I26" i="20"/>
  <c r="H26" i="20"/>
  <c r="G26" i="20"/>
  <c r="F26" i="20"/>
  <c r="L25" i="20"/>
  <c r="K25" i="20"/>
  <c r="J25" i="20"/>
  <c r="I25" i="20"/>
  <c r="H25" i="20"/>
  <c r="G25" i="20"/>
  <c r="F25" i="20"/>
  <c r="L24" i="20"/>
  <c r="K24" i="20"/>
  <c r="J24" i="20"/>
  <c r="I24" i="20"/>
  <c r="H24" i="20"/>
  <c r="G24" i="20"/>
  <c r="F24" i="20"/>
  <c r="G32" i="19"/>
  <c r="N61" i="20" s="1"/>
  <c r="O61" i="20" s="1"/>
  <c r="P61" i="20" s="1"/>
  <c r="M71" i="18"/>
  <c r="G31" i="19"/>
  <c r="G13" i="19"/>
  <c r="G14" i="19"/>
  <c r="G15" i="19"/>
  <c r="G16" i="19"/>
  <c r="G17" i="19"/>
  <c r="G18" i="19"/>
  <c r="G19" i="19"/>
  <c r="G20" i="19"/>
  <c r="G21" i="19"/>
  <c r="G22" i="19"/>
  <c r="G23" i="19"/>
  <c r="G24" i="19"/>
  <c r="G25" i="19"/>
  <c r="G26" i="19"/>
  <c r="G27" i="19"/>
  <c r="G28" i="19"/>
  <c r="G29" i="19"/>
  <c r="G30" i="19"/>
  <c r="M47" i="20" l="1"/>
  <c r="P40" i="20"/>
  <c r="Q41" i="20"/>
  <c r="Q42" i="20" s="1"/>
  <c r="Q40" i="20" s="1"/>
  <c r="K33" i="20"/>
  <c r="M67" i="18"/>
  <c r="M68" i="18" s="1"/>
  <c r="R41" i="20" l="1"/>
  <c r="R42" i="20" s="1"/>
  <c r="R40" i="20" s="1"/>
  <c r="L43" i="18"/>
  <c r="M43" i="18" s="1"/>
  <c r="N43" i="18" s="1"/>
  <c r="O43" i="18" s="1"/>
  <c r="P43" i="18" s="1"/>
  <c r="Q43" i="18" s="1"/>
  <c r="R43" i="18" s="1"/>
  <c r="S43" i="18" s="1"/>
  <c r="T43" i="18" s="1"/>
  <c r="M37" i="18"/>
  <c r="E64" i="18"/>
  <c r="E36" i="18" s="1"/>
  <c r="F28" i="20" s="1"/>
  <c r="F33" i="20" s="1"/>
  <c r="F64" i="18"/>
  <c r="F36" i="18" s="1"/>
  <c r="G28" i="20" s="1"/>
  <c r="G33" i="20" s="1"/>
  <c r="G64" i="18"/>
  <c r="G36" i="18" s="1"/>
  <c r="H28" i="20" s="1"/>
  <c r="H33" i="20" s="1"/>
  <c r="H64" i="18"/>
  <c r="H36" i="18" s="1"/>
  <c r="I28" i="20" s="1"/>
  <c r="I33" i="20" s="1"/>
  <c r="I64" i="18"/>
  <c r="J64" i="18"/>
  <c r="J36" i="18" s="1"/>
  <c r="K64" i="18"/>
  <c r="K36" i="18" s="1"/>
  <c r="D64" i="18"/>
  <c r="D36" i="18" s="1"/>
  <c r="O102" i="18"/>
  <c r="P102" i="18" s="1"/>
  <c r="N91" i="18"/>
  <c r="O91" i="18" s="1"/>
  <c r="P91" i="18" s="1"/>
  <c r="Q91" i="18" s="1"/>
  <c r="R91" i="18" s="1"/>
  <c r="S91" i="18" s="1"/>
  <c r="T91" i="18" s="1"/>
  <c r="N83" i="18"/>
  <c r="O83" i="18" s="1"/>
  <c r="P83" i="18" s="1"/>
  <c r="Q83" i="18" s="1"/>
  <c r="R83" i="18" s="1"/>
  <c r="S83" i="18" s="1"/>
  <c r="T83" i="18" s="1"/>
  <c r="N71" i="18"/>
  <c r="O71" i="18" s="1"/>
  <c r="P71" i="18" s="1"/>
  <c r="Q71" i="18" s="1"/>
  <c r="R71" i="18" s="1"/>
  <c r="S71" i="18" s="1"/>
  <c r="T71" i="18" s="1"/>
  <c r="D59" i="18"/>
  <c r="E59" i="18" s="1"/>
  <c r="E58" i="18"/>
  <c r="F58" i="18"/>
  <c r="G58" i="18"/>
  <c r="H58" i="18"/>
  <c r="I58" i="18"/>
  <c r="J58" i="18"/>
  <c r="K58" i="18"/>
  <c r="L58" i="18"/>
  <c r="L61" i="18" s="1"/>
  <c r="M58" i="18"/>
  <c r="M61" i="18" s="1"/>
  <c r="N58" i="18"/>
  <c r="N61" i="18" s="1"/>
  <c r="O58" i="18"/>
  <c r="O61" i="18" s="1"/>
  <c r="P58" i="18"/>
  <c r="P61" i="18" s="1"/>
  <c r="Q58" i="18"/>
  <c r="Q61" i="18" s="1"/>
  <c r="R58" i="18"/>
  <c r="R61" i="18" s="1"/>
  <c r="S58" i="18"/>
  <c r="S61" i="18" s="1"/>
  <c r="T58" i="18"/>
  <c r="T61" i="18" s="1"/>
  <c r="D58" i="18"/>
  <c r="D49" i="18"/>
  <c r="E49" i="18" s="1"/>
  <c r="F49" i="18" s="1"/>
  <c r="G49" i="18" s="1"/>
  <c r="H49" i="18" s="1"/>
  <c r="I49" i="18" s="1"/>
  <c r="J49" i="18" s="1"/>
  <c r="E48" i="18"/>
  <c r="E52" i="18" s="1"/>
  <c r="F48" i="18"/>
  <c r="F52" i="18" s="1"/>
  <c r="G48" i="18"/>
  <c r="G52" i="18" s="1"/>
  <c r="H48" i="18"/>
  <c r="H52" i="18" s="1"/>
  <c r="I48" i="18"/>
  <c r="I52" i="18" s="1"/>
  <c r="J48" i="18"/>
  <c r="J52" i="18" s="1"/>
  <c r="K48" i="18"/>
  <c r="K52" i="18" s="1"/>
  <c r="L48" i="18"/>
  <c r="L52" i="18" s="1"/>
  <c r="M48" i="18"/>
  <c r="M52" i="18" s="1"/>
  <c r="N48" i="18"/>
  <c r="N52" i="18" s="1"/>
  <c r="O48" i="18"/>
  <c r="O52" i="18" s="1"/>
  <c r="P48" i="18"/>
  <c r="P52" i="18" s="1"/>
  <c r="Q48" i="18"/>
  <c r="Q52" i="18" s="1"/>
  <c r="R48" i="18"/>
  <c r="R52" i="18" s="1"/>
  <c r="S48" i="18"/>
  <c r="S52" i="18" s="1"/>
  <c r="T48" i="18"/>
  <c r="T52" i="18" s="1"/>
  <c r="D48" i="18"/>
  <c r="D52" i="18" s="1"/>
  <c r="K35" i="17"/>
  <c r="L35" i="17" s="1"/>
  <c r="F31" i="17"/>
  <c r="G31" i="17"/>
  <c r="E29" i="17"/>
  <c r="F29" i="17"/>
  <c r="G29" i="17"/>
  <c r="H29" i="17"/>
  <c r="H31" i="17" s="1"/>
  <c r="I29" i="17"/>
  <c r="I31" i="17" s="1"/>
  <c r="J29" i="17"/>
  <c r="J31" i="17" s="1"/>
  <c r="D29" i="17"/>
  <c r="D31" i="17" s="1"/>
  <c r="E30" i="17"/>
  <c r="E31" i="17" s="1"/>
  <c r="F30" i="17"/>
  <c r="G30" i="17"/>
  <c r="H30" i="17"/>
  <c r="I30" i="17"/>
  <c r="J30" i="17"/>
  <c r="D30" i="17"/>
  <c r="K47" i="17"/>
  <c r="K30" i="17" s="1"/>
  <c r="K42" i="16"/>
  <c r="L43" i="17"/>
  <c r="M43" i="17" s="1"/>
  <c r="N43" i="17" s="1"/>
  <c r="O43" i="17" s="1"/>
  <c r="P43" i="17" s="1"/>
  <c r="Q43" i="17" s="1"/>
  <c r="R43" i="17" s="1"/>
  <c r="S43" i="17" s="1"/>
  <c r="T43" i="17" s="1"/>
  <c r="L42" i="17"/>
  <c r="L44" i="17" s="1"/>
  <c r="M42" i="17"/>
  <c r="M44" i="17" s="1"/>
  <c r="N42" i="17"/>
  <c r="N44" i="17" s="1"/>
  <c r="O42" i="17"/>
  <c r="O44" i="17" s="1"/>
  <c r="P42" i="17"/>
  <c r="P44" i="17" s="1"/>
  <c r="Q42" i="17"/>
  <c r="Q44" i="17" s="1"/>
  <c r="R42" i="17"/>
  <c r="R44" i="17" s="1"/>
  <c r="S42" i="17"/>
  <c r="S44" i="17" s="1"/>
  <c r="T42" i="17"/>
  <c r="T44" i="17" s="1"/>
  <c r="L34" i="17"/>
  <c r="L36" i="17" s="1"/>
  <c r="M34" i="17"/>
  <c r="M36" i="17" s="1"/>
  <c r="N34" i="17"/>
  <c r="N36" i="17" s="1"/>
  <c r="O34" i="17"/>
  <c r="O36" i="17" s="1"/>
  <c r="P34" i="17"/>
  <c r="P36" i="17" s="1"/>
  <c r="Q34" i="17"/>
  <c r="Q36" i="17" s="1"/>
  <c r="R34" i="17"/>
  <c r="R36" i="17" s="1"/>
  <c r="S34" i="17"/>
  <c r="S36" i="17" s="1"/>
  <c r="T34" i="17"/>
  <c r="T36" i="17" s="1"/>
  <c r="K34" i="17"/>
  <c r="K36" i="17" s="1"/>
  <c r="E38" i="18"/>
  <c r="F38" i="18"/>
  <c r="G38" i="18"/>
  <c r="H38" i="18"/>
  <c r="I38" i="18"/>
  <c r="J38" i="18"/>
  <c r="K38" i="18"/>
  <c r="L38" i="18"/>
  <c r="D38" i="18"/>
  <c r="E37" i="18"/>
  <c r="F37" i="18"/>
  <c r="G37" i="18"/>
  <c r="H37" i="18"/>
  <c r="I37" i="18"/>
  <c r="J37" i="18"/>
  <c r="K37" i="18"/>
  <c r="L37" i="18"/>
  <c r="D37" i="18"/>
  <c r="I36" i="18"/>
  <c r="J28" i="20" s="1"/>
  <c r="J33" i="20" s="1"/>
  <c r="D62" i="18" l="1"/>
  <c r="E62" i="18"/>
  <c r="L42" i="18"/>
  <c r="L44" i="18" s="1"/>
  <c r="L45" i="18" s="1"/>
  <c r="S41" i="20"/>
  <c r="S42" i="20" s="1"/>
  <c r="S40" i="20" s="1"/>
  <c r="K37" i="17"/>
  <c r="K39" i="17" s="1"/>
  <c r="Q102" i="18"/>
  <c r="H39" i="18"/>
  <c r="F39" i="18"/>
  <c r="H51" i="18"/>
  <c r="D51" i="18"/>
  <c r="I51" i="18"/>
  <c r="E51" i="18"/>
  <c r="D39" i="18"/>
  <c r="E39" i="18"/>
  <c r="G51" i="18"/>
  <c r="F51" i="18"/>
  <c r="J39" i="18"/>
  <c r="K39" i="18"/>
  <c r="K49" i="18"/>
  <c r="J51" i="18"/>
  <c r="E61" i="18"/>
  <c r="F59" i="18"/>
  <c r="F62" i="18" s="1"/>
  <c r="D61" i="18"/>
  <c r="G39" i="18"/>
  <c r="I39" i="18"/>
  <c r="T45" i="17"/>
  <c r="T47" i="17" s="1"/>
  <c r="T30" i="17" s="1"/>
  <c r="S45" i="17"/>
  <c r="R45" i="17"/>
  <c r="R47" i="17" s="1"/>
  <c r="R30" i="17" s="1"/>
  <c r="Q45" i="17"/>
  <c r="Q47" i="17" s="1"/>
  <c r="Q30" i="17" s="1"/>
  <c r="P45" i="17"/>
  <c r="P47" i="17" s="1"/>
  <c r="P30" i="17" s="1"/>
  <c r="M45" i="17"/>
  <c r="M47" i="17" s="1"/>
  <c r="M30" i="17" s="1"/>
  <c r="L45" i="17"/>
  <c r="M35" i="17"/>
  <c r="N35" i="17" s="1"/>
  <c r="O35" i="17" s="1"/>
  <c r="P35" i="17" s="1"/>
  <c r="Q35" i="17" s="1"/>
  <c r="R35" i="17" s="1"/>
  <c r="S35" i="17" s="1"/>
  <c r="T35" i="17" s="1"/>
  <c r="O45" i="17"/>
  <c r="O47" i="17" s="1"/>
  <c r="O30" i="17" s="1"/>
  <c r="N45" i="17"/>
  <c r="N47" i="17" s="1"/>
  <c r="N30" i="17" s="1"/>
  <c r="L37" i="17"/>
  <c r="D33" i="16"/>
  <c r="E33" i="16"/>
  <c r="F33" i="16"/>
  <c r="F37" i="16" s="1"/>
  <c r="G33" i="16"/>
  <c r="H33" i="16"/>
  <c r="H37" i="16" s="1"/>
  <c r="I33" i="16"/>
  <c r="J33" i="16"/>
  <c r="D35" i="16"/>
  <c r="E35" i="16"/>
  <c r="F35" i="16"/>
  <c r="G35" i="16"/>
  <c r="H35" i="16"/>
  <c r="I35" i="16"/>
  <c r="J35" i="16"/>
  <c r="D36" i="16"/>
  <c r="E36" i="16"/>
  <c r="F36" i="16"/>
  <c r="G36" i="16"/>
  <c r="H36" i="16"/>
  <c r="I36" i="16"/>
  <c r="J36" i="16"/>
  <c r="K36" i="16"/>
  <c r="D34" i="16"/>
  <c r="E34" i="16"/>
  <c r="F34" i="16"/>
  <c r="G34" i="16"/>
  <c r="H34" i="16"/>
  <c r="I34" i="16"/>
  <c r="J34" i="16"/>
  <c r="C36" i="16"/>
  <c r="C35" i="16"/>
  <c r="C34" i="16"/>
  <c r="C33" i="16"/>
  <c r="I49" i="16"/>
  <c r="J49" i="16"/>
  <c r="C51" i="16"/>
  <c r="D51" i="16"/>
  <c r="E51" i="16"/>
  <c r="F51" i="16"/>
  <c r="G51" i="16"/>
  <c r="H51" i="16"/>
  <c r="K52" i="16"/>
  <c r="K53" i="16" s="1"/>
  <c r="L52" i="16"/>
  <c r="M52" i="16"/>
  <c r="N52" i="16"/>
  <c r="O52" i="16"/>
  <c r="P52" i="16"/>
  <c r="Q52" i="16"/>
  <c r="R52" i="16"/>
  <c r="S52" i="16"/>
  <c r="C53" i="16"/>
  <c r="C54" i="16" s="1"/>
  <c r="D53" i="16"/>
  <c r="E53" i="16"/>
  <c r="E54" i="16" s="1"/>
  <c r="F53" i="16"/>
  <c r="F54" i="16" s="1"/>
  <c r="G53" i="16"/>
  <c r="G54" i="16" s="1"/>
  <c r="H53" i="16"/>
  <c r="H54" i="16" s="1"/>
  <c r="I53" i="16"/>
  <c r="J53" i="16"/>
  <c r="D54" i="16"/>
  <c r="L42" i="16"/>
  <c r="M42" i="16" s="1"/>
  <c r="N42" i="16" s="1"/>
  <c r="O42" i="16" s="1"/>
  <c r="P42" i="16" s="1"/>
  <c r="Q42" i="16" s="1"/>
  <c r="R42" i="16" s="1"/>
  <c r="S42" i="16" s="1"/>
  <c r="O88" i="16"/>
  <c r="P88" i="16"/>
  <c r="Q88" i="16"/>
  <c r="R88" i="16"/>
  <c r="S88" i="16"/>
  <c r="N88" i="16"/>
  <c r="M84" i="16"/>
  <c r="N84" i="16"/>
  <c r="O84" i="16"/>
  <c r="P84" i="16"/>
  <c r="Q84" i="16"/>
  <c r="R84" i="16"/>
  <c r="S84" i="16"/>
  <c r="L84" i="16"/>
  <c r="L66" i="16"/>
  <c r="M66" i="16"/>
  <c r="N66" i="16"/>
  <c r="O66" i="16"/>
  <c r="P66" i="16"/>
  <c r="Q66" i="16"/>
  <c r="R66" i="16"/>
  <c r="S66" i="16"/>
  <c r="K66" i="16"/>
  <c r="L55" i="16"/>
  <c r="M55" i="16"/>
  <c r="N55" i="16"/>
  <c r="O55" i="16"/>
  <c r="P55" i="16"/>
  <c r="Q55" i="16"/>
  <c r="R55" i="16"/>
  <c r="S55" i="16"/>
  <c r="K55" i="16"/>
  <c r="S82" i="16"/>
  <c r="K68" i="16"/>
  <c r="L68" i="16" s="1"/>
  <c r="G58" i="16"/>
  <c r="T41" i="20" l="1"/>
  <c r="T42" i="20" s="1"/>
  <c r="T40" i="20" s="1"/>
  <c r="R32" i="20"/>
  <c r="S32" i="20"/>
  <c r="O32" i="20"/>
  <c r="N32" i="20"/>
  <c r="P32" i="20"/>
  <c r="U32" i="20"/>
  <c r="Q32" i="20"/>
  <c r="L53" i="16"/>
  <c r="R67" i="18"/>
  <c r="R68" i="18" s="1"/>
  <c r="S67" i="18"/>
  <c r="S68" i="18" s="1"/>
  <c r="T67" i="18"/>
  <c r="T68" i="18" s="1"/>
  <c r="N67" i="18"/>
  <c r="N68" i="18" s="1"/>
  <c r="O67" i="18"/>
  <c r="O68" i="18" s="1"/>
  <c r="P67" i="18"/>
  <c r="P68" i="18" s="1"/>
  <c r="Q67" i="18"/>
  <c r="Q68" i="18" s="1"/>
  <c r="S89" i="18"/>
  <c r="S90" i="18" s="1"/>
  <c r="O89" i="18"/>
  <c r="O90" i="18" s="1"/>
  <c r="P89" i="18"/>
  <c r="P90" i="18" s="1"/>
  <c r="N89" i="18"/>
  <c r="N90" i="18" s="1"/>
  <c r="Q89" i="18"/>
  <c r="Q90" i="18" s="1"/>
  <c r="R89" i="18"/>
  <c r="R90" i="18" s="1"/>
  <c r="T89" i="18"/>
  <c r="T90" i="18" s="1"/>
  <c r="R102" i="18"/>
  <c r="L49" i="18"/>
  <c r="K51" i="18"/>
  <c r="G59" i="18"/>
  <c r="G62" i="18" s="1"/>
  <c r="F61" i="18"/>
  <c r="L38" i="17"/>
  <c r="L39" i="17"/>
  <c r="L29" i="17" s="1"/>
  <c r="M46" i="17"/>
  <c r="L47" i="17"/>
  <c r="L30" i="17" s="1"/>
  <c r="T46" i="17"/>
  <c r="S47" i="17"/>
  <c r="S30" i="17" s="1"/>
  <c r="K29" i="17"/>
  <c r="L31" i="20" s="1"/>
  <c r="L33" i="20" s="1"/>
  <c r="S46" i="17"/>
  <c r="Q46" i="17"/>
  <c r="R46" i="17"/>
  <c r="N37" i="17"/>
  <c r="N39" i="17" s="1"/>
  <c r="N29" i="17" s="1"/>
  <c r="O31" i="20" s="1"/>
  <c r="O46" i="17"/>
  <c r="P46" i="17"/>
  <c r="N46" i="17"/>
  <c r="M37" i="17"/>
  <c r="M53" i="16"/>
  <c r="J37" i="16"/>
  <c r="P70" i="16"/>
  <c r="P71" i="16" s="1"/>
  <c r="P86" i="16"/>
  <c r="P87" i="16" s="1"/>
  <c r="P89" i="16" s="1"/>
  <c r="O67" i="16"/>
  <c r="O86" i="16"/>
  <c r="O87" i="16" s="1"/>
  <c r="O89" i="16" s="1"/>
  <c r="R82" i="16"/>
  <c r="R83" i="16" s="1"/>
  <c r="R85" i="16" s="1"/>
  <c r="I37" i="16"/>
  <c r="E37" i="16"/>
  <c r="M74" i="16"/>
  <c r="M75" i="16" s="1"/>
  <c r="O82" i="16"/>
  <c r="O83" i="16" s="1"/>
  <c r="O85" i="16" s="1"/>
  <c r="J58" i="16"/>
  <c r="S74" i="16"/>
  <c r="S75" i="16" s="1"/>
  <c r="I58" i="16"/>
  <c r="R74" i="16"/>
  <c r="R75" i="16" s="1"/>
  <c r="P74" i="16"/>
  <c r="P75" i="16" s="1"/>
  <c r="O74" i="16"/>
  <c r="O75" i="16" s="1"/>
  <c r="O70" i="16"/>
  <c r="O71" i="16" s="1"/>
  <c r="S83" i="16"/>
  <c r="S85" i="16" s="1"/>
  <c r="M70" i="16"/>
  <c r="M71" i="16" s="1"/>
  <c r="N74" i="16"/>
  <c r="N75" i="16" s="1"/>
  <c r="N67" i="16"/>
  <c r="Q82" i="16"/>
  <c r="Q83" i="16" s="1"/>
  <c r="Q85" i="16" s="1"/>
  <c r="K67" i="16"/>
  <c r="K69" i="16" s="1"/>
  <c r="K78" i="16" s="1"/>
  <c r="K35" i="16" s="1"/>
  <c r="M67" i="16"/>
  <c r="N70" i="16"/>
  <c r="N71" i="16" s="1"/>
  <c r="P82" i="16"/>
  <c r="P83" i="16" s="1"/>
  <c r="P85" i="16" s="1"/>
  <c r="S86" i="16"/>
  <c r="S87" i="16" s="1"/>
  <c r="S89" i="16" s="1"/>
  <c r="M72" i="16"/>
  <c r="N72" i="16" s="1"/>
  <c r="O72" i="16" s="1"/>
  <c r="P72" i="16" s="1"/>
  <c r="Q72" i="16" s="1"/>
  <c r="R72" i="16" s="1"/>
  <c r="S72" i="16" s="1"/>
  <c r="R86" i="16"/>
  <c r="R87" i="16" s="1"/>
  <c r="Q86" i="16"/>
  <c r="Q87" i="16" s="1"/>
  <c r="Q89" i="16" s="1"/>
  <c r="L67" i="16"/>
  <c r="L69" i="16" s="1"/>
  <c r="L78" i="16" s="1"/>
  <c r="L35" i="16" s="1"/>
  <c r="S67" i="16"/>
  <c r="M76" i="16"/>
  <c r="N76" i="16" s="1"/>
  <c r="O76" i="16" s="1"/>
  <c r="P76" i="16" s="1"/>
  <c r="Q76" i="16" s="1"/>
  <c r="R76" i="16" s="1"/>
  <c r="S76" i="16" s="1"/>
  <c r="N82" i="16"/>
  <c r="N83" i="16" s="1"/>
  <c r="N85" i="16" s="1"/>
  <c r="R67" i="16"/>
  <c r="S70" i="16"/>
  <c r="S71" i="16" s="1"/>
  <c r="L82" i="16"/>
  <c r="L83" i="16" s="1"/>
  <c r="L85" i="16" s="1"/>
  <c r="L91" i="16" s="1"/>
  <c r="L36" i="16" s="1"/>
  <c r="M82" i="16"/>
  <c r="M83" i="16" s="1"/>
  <c r="M90" i="16" s="1"/>
  <c r="Q67" i="16"/>
  <c r="R70" i="16"/>
  <c r="R71" i="16" s="1"/>
  <c r="P67" i="16"/>
  <c r="Q70" i="16"/>
  <c r="Q71" i="16" s="1"/>
  <c r="Q74" i="16"/>
  <c r="Q75" i="16" s="1"/>
  <c r="N86" i="16"/>
  <c r="N87" i="16" s="1"/>
  <c r="N89" i="16" s="1"/>
  <c r="N53" i="16"/>
  <c r="J54" i="16"/>
  <c r="G37" i="16"/>
  <c r="D37" i="16"/>
  <c r="C37" i="16"/>
  <c r="P53" i="16"/>
  <c r="I54" i="16"/>
  <c r="Q53" i="16"/>
  <c r="R53" i="16"/>
  <c r="O53" i="16"/>
  <c r="S53" i="16"/>
  <c r="R58" i="16"/>
  <c r="R59" i="16" s="1"/>
  <c r="R60" i="16" s="1"/>
  <c r="R54" i="16"/>
  <c r="L54" i="16"/>
  <c r="M54" i="16"/>
  <c r="N54" i="16"/>
  <c r="S54" i="16"/>
  <c r="K58" i="16"/>
  <c r="K59" i="16" s="1"/>
  <c r="K60" i="16" s="1"/>
  <c r="M68" i="16"/>
  <c r="C58" i="16"/>
  <c r="P58" i="16"/>
  <c r="P59" i="16" s="1"/>
  <c r="P60" i="16" s="1"/>
  <c r="H58" i="16"/>
  <c r="F58" i="16"/>
  <c r="N58" i="16"/>
  <c r="N59" i="16" s="1"/>
  <c r="N60" i="16" s="1"/>
  <c r="E58" i="16"/>
  <c r="M58" i="16"/>
  <c r="M59" i="16" s="1"/>
  <c r="D58" i="16"/>
  <c r="L58" i="16"/>
  <c r="L59" i="16" s="1"/>
  <c r="L60" i="16" s="1"/>
  <c r="S58" i="16"/>
  <c r="S59" i="16" s="1"/>
  <c r="S60" i="16" s="1"/>
  <c r="U41" i="20" l="1"/>
  <c r="U42" i="20" s="1"/>
  <c r="U40" i="20" s="1"/>
  <c r="N25" i="20"/>
  <c r="M25" i="20"/>
  <c r="T32" i="20"/>
  <c r="M31" i="20"/>
  <c r="N26" i="20"/>
  <c r="M32" i="20"/>
  <c r="N31" i="17"/>
  <c r="K31" i="17"/>
  <c r="Q98" i="18" a="1"/>
  <c r="Q98" i="18" s="1"/>
  <c r="R98" i="18" a="1"/>
  <c r="R98" i="18" s="1"/>
  <c r="O98" i="18" a="1"/>
  <c r="O98" i="18" s="1"/>
  <c r="R92" i="18"/>
  <c r="S98" i="18" a="1"/>
  <c r="S98" i="18" s="1"/>
  <c r="T98" i="18" a="1"/>
  <c r="T98" i="18" s="1"/>
  <c r="P98" i="18" a="1"/>
  <c r="P98" i="18" s="1"/>
  <c r="Q97" i="18" a="1"/>
  <c r="Q97" i="18" s="1"/>
  <c r="S97" i="18" a="1"/>
  <c r="S97" i="18" s="1"/>
  <c r="T97" i="18" a="1"/>
  <c r="T97" i="18" s="1"/>
  <c r="R97" i="18" a="1"/>
  <c r="R97" i="18" s="1"/>
  <c r="O97" i="18" a="1"/>
  <c r="O97" i="18" s="1"/>
  <c r="P97" i="18" a="1"/>
  <c r="P97" i="18" s="1"/>
  <c r="Q92" i="18"/>
  <c r="O96" i="18" a="1"/>
  <c r="O96" i="18" s="1"/>
  <c r="Q96" i="18" a="1"/>
  <c r="Q96" i="18" s="1"/>
  <c r="R96" i="18" a="1"/>
  <c r="R96" i="18" s="1"/>
  <c r="T96" i="18" a="1"/>
  <c r="T96" i="18" s="1"/>
  <c r="S96" i="18" a="1"/>
  <c r="S96" i="18" s="1"/>
  <c r="P96" i="18" a="1"/>
  <c r="P96" i="18" s="1"/>
  <c r="P92" i="18"/>
  <c r="O95" i="18" a="1"/>
  <c r="O95" i="18" s="1"/>
  <c r="R95" i="18" a="1"/>
  <c r="R95" i="18" s="1"/>
  <c r="Q95" i="18" a="1"/>
  <c r="Q95" i="18" s="1"/>
  <c r="P95" i="18" a="1"/>
  <c r="P95" i="18" s="1"/>
  <c r="T95" i="18" a="1"/>
  <c r="T95" i="18" s="1"/>
  <c r="O92" i="18"/>
  <c r="S95" i="18" a="1"/>
  <c r="S95" i="18" s="1"/>
  <c r="S99" i="18" a="1"/>
  <c r="S99" i="18" s="1"/>
  <c r="R99" i="18" a="1"/>
  <c r="R99" i="18" s="1"/>
  <c r="T99" i="18" a="1"/>
  <c r="T99" i="18" s="1"/>
  <c r="S92" i="18"/>
  <c r="P99" i="18" a="1"/>
  <c r="P99" i="18" s="1"/>
  <c r="O99" i="18" a="1"/>
  <c r="O99" i="18" s="1"/>
  <c r="Q99" i="18" a="1"/>
  <c r="Q99" i="18" s="1"/>
  <c r="Q42" i="18"/>
  <c r="Q44" i="18" s="1"/>
  <c r="Q45" i="18" s="1"/>
  <c r="P42" i="18"/>
  <c r="P44" i="18" s="1"/>
  <c r="P45" i="18" s="1"/>
  <c r="O42" i="18"/>
  <c r="O44" i="18" s="1"/>
  <c r="O45" i="18" s="1"/>
  <c r="Q94" i="18" a="1"/>
  <c r="Q94" i="18" s="1"/>
  <c r="N92" i="18"/>
  <c r="N105" i="18" s="1"/>
  <c r="N113" i="18" s="1"/>
  <c r="N37" i="18" s="1"/>
  <c r="R94" i="18" a="1"/>
  <c r="R94" i="18" s="1"/>
  <c r="O94" i="18" a="1"/>
  <c r="O94" i="18" s="1"/>
  <c r="O101" i="18" s="1"/>
  <c r="S94" i="18" a="1"/>
  <c r="S94" i="18" s="1"/>
  <c r="T94" i="18" a="1"/>
  <c r="T94" i="18" s="1"/>
  <c r="N104" i="18"/>
  <c r="N109" i="18" s="1"/>
  <c r="P94" i="18" a="1"/>
  <c r="P94" i="18" s="1"/>
  <c r="N42" i="18"/>
  <c r="N44" i="18" s="1"/>
  <c r="N45" i="18" s="1"/>
  <c r="T42" i="18"/>
  <c r="T44" i="18" s="1"/>
  <c r="T45" i="18" s="1"/>
  <c r="S42" i="18"/>
  <c r="S44" i="18" s="1"/>
  <c r="S45" i="18" s="1"/>
  <c r="M108" i="18"/>
  <c r="M110" i="18" s="1"/>
  <c r="M42" i="18"/>
  <c r="M44" i="18" s="1"/>
  <c r="M45" i="18" s="1"/>
  <c r="Q100" i="18" a="1"/>
  <c r="Q100" i="18" s="1"/>
  <c r="O100" i="18" a="1"/>
  <c r="O100" i="18" s="1"/>
  <c r="R100" i="18" a="1"/>
  <c r="R100" i="18" s="1"/>
  <c r="S100" i="18" a="1"/>
  <c r="S100" i="18" s="1"/>
  <c r="T100" i="18" a="1"/>
  <c r="T100" i="18" s="1"/>
  <c r="T92" i="18"/>
  <c r="P100" i="18" a="1"/>
  <c r="P100" i="18" s="1"/>
  <c r="R42" i="18"/>
  <c r="R44" i="18" s="1"/>
  <c r="R45" i="18" s="1"/>
  <c r="S102" i="18"/>
  <c r="M49" i="18"/>
  <c r="L51" i="18"/>
  <c r="H59" i="18"/>
  <c r="H62" i="18" s="1"/>
  <c r="G61" i="18"/>
  <c r="L31" i="17"/>
  <c r="M39" i="17"/>
  <c r="M29" i="17" s="1"/>
  <c r="N31" i="20" s="1"/>
  <c r="M38" i="17"/>
  <c r="N38" i="17"/>
  <c r="O37" i="17"/>
  <c r="O39" i="17" s="1"/>
  <c r="O29" i="17" s="1"/>
  <c r="P31" i="20" s="1"/>
  <c r="P77" i="16"/>
  <c r="R90" i="16"/>
  <c r="Q77" i="16"/>
  <c r="P90" i="16"/>
  <c r="O90" i="16"/>
  <c r="N77" i="16"/>
  <c r="N56" i="16"/>
  <c r="N61" i="16" s="1"/>
  <c r="Q90" i="16"/>
  <c r="L90" i="16"/>
  <c r="R89" i="16"/>
  <c r="R91" i="16" s="1"/>
  <c r="R36" i="16" s="1"/>
  <c r="Q91" i="16"/>
  <c r="Q36" i="16" s="1"/>
  <c r="S73" i="16"/>
  <c r="S91" i="16"/>
  <c r="S36" i="16" s="1"/>
  <c r="M85" i="16"/>
  <c r="M91" i="16" s="1"/>
  <c r="M36" i="16" s="1"/>
  <c r="Q73" i="16"/>
  <c r="S77" i="16"/>
  <c r="N73" i="16"/>
  <c r="O73" i="16"/>
  <c r="N90" i="16"/>
  <c r="S90" i="16"/>
  <c r="M73" i="16"/>
  <c r="N91" i="16"/>
  <c r="N36" i="16" s="1"/>
  <c r="P73" i="16"/>
  <c r="O77" i="16"/>
  <c r="M77" i="16"/>
  <c r="O91" i="16"/>
  <c r="O36" i="16" s="1"/>
  <c r="P91" i="16"/>
  <c r="P36" i="16" s="1"/>
  <c r="S56" i="16"/>
  <c r="S57" i="16" s="1"/>
  <c r="S62" i="16" s="1"/>
  <c r="S34" i="16" s="1"/>
  <c r="O54" i="16"/>
  <c r="O58" i="16"/>
  <c r="O59" i="16" s="1"/>
  <c r="O60" i="16" s="1"/>
  <c r="L56" i="16"/>
  <c r="L57" i="16" s="1"/>
  <c r="L62" i="16" s="1"/>
  <c r="L34" i="16" s="1"/>
  <c r="P54" i="16"/>
  <c r="R56" i="16"/>
  <c r="K54" i="16"/>
  <c r="M56" i="16"/>
  <c r="M57" i="16" s="1"/>
  <c r="Q54" i="16"/>
  <c r="Q56" i="16" s="1"/>
  <c r="Q58" i="16"/>
  <c r="Q59" i="16" s="1"/>
  <c r="Q60" i="16" s="1"/>
  <c r="M69" i="16"/>
  <c r="N68" i="16"/>
  <c r="R77" i="16"/>
  <c r="M60" i="16"/>
  <c r="R73" i="16"/>
  <c r="N24" i="20" l="1"/>
  <c r="R26" i="20"/>
  <c r="M52" i="20"/>
  <c r="M53" i="20" s="1"/>
  <c r="O26" i="20"/>
  <c r="U24" i="20"/>
  <c r="S26" i="20"/>
  <c r="O30" i="20"/>
  <c r="Q26" i="20"/>
  <c r="T26" i="20"/>
  <c r="P26" i="20"/>
  <c r="U26" i="20"/>
  <c r="O69" i="18"/>
  <c r="O70" i="18" s="1"/>
  <c r="O53" i="18"/>
  <c r="O31" i="17"/>
  <c r="M31" i="17"/>
  <c r="P101" i="18"/>
  <c r="P103" i="18" s="1"/>
  <c r="P105" i="18" s="1"/>
  <c r="R101" i="18"/>
  <c r="Q101" i="18"/>
  <c r="T101" i="18"/>
  <c r="T104" i="18" s="1"/>
  <c r="T109" i="18" s="1"/>
  <c r="S101" i="18"/>
  <c r="S104" i="18" s="1"/>
  <c r="S109" i="18" s="1"/>
  <c r="O103" i="18"/>
  <c r="O105" i="18" s="1"/>
  <c r="O104" i="18"/>
  <c r="O109" i="18" s="1"/>
  <c r="T102" i="18"/>
  <c r="N49" i="18"/>
  <c r="M51" i="18"/>
  <c r="I59" i="18"/>
  <c r="I62" i="18" s="1"/>
  <c r="H61" i="18"/>
  <c r="O38" i="17"/>
  <c r="P37" i="17"/>
  <c r="P39" i="17" s="1"/>
  <c r="P29" i="17" s="1"/>
  <c r="Q31" i="20" s="1"/>
  <c r="N57" i="16"/>
  <c r="N62" i="16" s="1"/>
  <c r="N34" i="16" s="1"/>
  <c r="S61" i="16"/>
  <c r="T69" i="18" s="1"/>
  <c r="T70" i="18" s="1"/>
  <c r="M78" i="16"/>
  <c r="M35" i="16" s="1"/>
  <c r="M62" i="16"/>
  <c r="M34" i="16" s="1"/>
  <c r="L61" i="16"/>
  <c r="M69" i="18" s="1"/>
  <c r="M70" i="18" s="1"/>
  <c r="M61" i="16"/>
  <c r="N69" i="18" s="1"/>
  <c r="N70" i="18" s="1"/>
  <c r="K56" i="16"/>
  <c r="R61" i="16"/>
  <c r="S69" i="18" s="1"/>
  <c r="S70" i="18" s="1"/>
  <c r="R57" i="16"/>
  <c r="R62" i="16" s="1"/>
  <c r="R34" i="16" s="1"/>
  <c r="Q61" i="16"/>
  <c r="R69" i="18" s="1"/>
  <c r="R70" i="18" s="1"/>
  <c r="Q57" i="16"/>
  <c r="Q62" i="16" s="1"/>
  <c r="Q34" i="16" s="1"/>
  <c r="P56" i="16"/>
  <c r="O56" i="16"/>
  <c r="O68" i="16"/>
  <c r="N69" i="16"/>
  <c r="N78" i="16" s="1"/>
  <c r="N35" i="16" s="1"/>
  <c r="O24" i="20" l="1"/>
  <c r="S24" i="20"/>
  <c r="T24" i="20"/>
  <c r="O25" i="20"/>
  <c r="P24" i="20"/>
  <c r="P25" i="20"/>
  <c r="N41" i="16"/>
  <c r="N43" i="16" s="1"/>
  <c r="N44" i="16" s="1"/>
  <c r="N33" i="16" s="1"/>
  <c r="T53" i="18"/>
  <c r="S53" i="18"/>
  <c r="N53" i="18"/>
  <c r="M53" i="18"/>
  <c r="M72" i="18" s="1"/>
  <c r="R53" i="18"/>
  <c r="P31" i="17"/>
  <c r="P104" i="18"/>
  <c r="P109" i="18" s="1"/>
  <c r="S103" i="18"/>
  <c r="S105" i="18" s="1"/>
  <c r="S113" i="18" s="1"/>
  <c r="T103" i="18"/>
  <c r="T105" i="18" s="1"/>
  <c r="T113" i="18" s="1"/>
  <c r="O113" i="18"/>
  <c r="O37" i="18" s="1"/>
  <c r="O106" i="18"/>
  <c r="P113" i="18"/>
  <c r="P37" i="18" s="1"/>
  <c r="P106" i="18"/>
  <c r="T76" i="18" a="1"/>
  <c r="T76" i="18" s="1"/>
  <c r="O76" i="18" a="1"/>
  <c r="O76" i="18" s="1"/>
  <c r="Q76" i="18" a="1"/>
  <c r="Q76" i="18" s="1"/>
  <c r="O72" i="18"/>
  <c r="Q104" i="18"/>
  <c r="Q109" i="18" s="1"/>
  <c r="Q103" i="18"/>
  <c r="Q105" i="18" s="1"/>
  <c r="R104" i="18"/>
  <c r="R109" i="18" s="1"/>
  <c r="R103" i="18"/>
  <c r="R105" i="18" s="1"/>
  <c r="O49" i="18"/>
  <c r="O54" i="18" s="1"/>
  <c r="N51" i="18"/>
  <c r="J59" i="18"/>
  <c r="J62" i="18" s="1"/>
  <c r="I61" i="18"/>
  <c r="P38" i="17"/>
  <c r="Q37" i="17"/>
  <c r="Q39" i="17" s="1"/>
  <c r="Q29" i="17" s="1"/>
  <c r="R31" i="20" s="1"/>
  <c r="K61" i="16"/>
  <c r="K57" i="16"/>
  <c r="K34" i="16" s="1"/>
  <c r="O57" i="16"/>
  <c r="O62" i="16" s="1"/>
  <c r="O34" i="16" s="1"/>
  <c r="O61" i="16"/>
  <c r="P69" i="18" s="1"/>
  <c r="P70" i="18" s="1"/>
  <c r="P57" i="16"/>
  <c r="P62" i="16" s="1"/>
  <c r="P34" i="16" s="1"/>
  <c r="P61" i="16"/>
  <c r="Q69" i="18" s="1"/>
  <c r="Q70" i="18" s="1"/>
  <c r="P68" i="16"/>
  <c r="O69" i="16"/>
  <c r="O78" i="16" s="1"/>
  <c r="O35" i="16" s="1"/>
  <c r="R24" i="20" l="1"/>
  <c r="Q30" i="20"/>
  <c r="Q24" i="20"/>
  <c r="M24" i="20"/>
  <c r="M33" i="20" s="1"/>
  <c r="P27" i="20"/>
  <c r="Q25" i="20"/>
  <c r="P30" i="20"/>
  <c r="P76" i="18" a="1"/>
  <c r="P76" i="18" s="1"/>
  <c r="N76" i="18" a="1"/>
  <c r="N76" i="18" s="1"/>
  <c r="S76" i="18" a="1"/>
  <c r="S76" i="18" s="1"/>
  <c r="R76" i="18" a="1"/>
  <c r="R76" i="18" s="1"/>
  <c r="N37" i="16"/>
  <c r="Q53" i="18"/>
  <c r="P53" i="18"/>
  <c r="M54" i="18"/>
  <c r="M55" i="18" s="1"/>
  <c r="K41" i="16"/>
  <c r="K43" i="16" s="1"/>
  <c r="K44" i="16" s="1"/>
  <c r="K33" i="16" s="1"/>
  <c r="L53" i="18"/>
  <c r="L54" i="18" s="1"/>
  <c r="L55" i="18" s="1"/>
  <c r="L56" i="18" s="1"/>
  <c r="N54" i="18"/>
  <c r="N55" i="18" s="1"/>
  <c r="Q31" i="17"/>
  <c r="S106" i="18"/>
  <c r="T106" i="18"/>
  <c r="R113" i="18"/>
  <c r="R37" i="18" s="1"/>
  <c r="R106" i="18"/>
  <c r="Q113" i="18"/>
  <c r="Q37" i="18" s="1"/>
  <c r="Q106" i="18"/>
  <c r="T37" i="18"/>
  <c r="S37" i="18"/>
  <c r="P49" i="18"/>
  <c r="O51" i="18"/>
  <c r="K59" i="18"/>
  <c r="K62" i="18" s="1"/>
  <c r="K63" i="18" s="1"/>
  <c r="J61" i="18"/>
  <c r="Q38" i="17"/>
  <c r="R37" i="17"/>
  <c r="R39" i="17" s="1"/>
  <c r="R29" i="17" s="1"/>
  <c r="S31" i="20" s="1"/>
  <c r="Q68" i="16"/>
  <c r="P69" i="16"/>
  <c r="P78" i="16" s="1"/>
  <c r="P35" i="16" s="1"/>
  <c r="R25" i="20" s="1"/>
  <c r="U30" i="20" l="1"/>
  <c r="R30" i="20"/>
  <c r="T30" i="20"/>
  <c r="S30" i="20"/>
  <c r="N56" i="18"/>
  <c r="P81" i="18" a="1"/>
  <c r="P81" i="18" s="1"/>
  <c r="T72" i="18"/>
  <c r="S81" i="18" a="1"/>
  <c r="S81" i="18" s="1"/>
  <c r="R81" i="18" a="1"/>
  <c r="R81" i="18" s="1"/>
  <c r="T81" i="18" a="1"/>
  <c r="T81" i="18" s="1"/>
  <c r="N81" i="18" a="1"/>
  <c r="N81" i="18" s="1"/>
  <c r="S41" i="16"/>
  <c r="S43" i="16" s="1"/>
  <c r="S44" i="16" s="1"/>
  <c r="S33" i="16" s="1"/>
  <c r="O81" i="18" a="1"/>
  <c r="O81" i="18" s="1"/>
  <c r="Q81" i="18" a="1"/>
  <c r="Q81" i="18" s="1"/>
  <c r="Q74" i="18" a="1"/>
  <c r="Q74" i="18" s="1"/>
  <c r="S74" i="18" a="1"/>
  <c r="S74" i="18" s="1"/>
  <c r="T74" i="18" a="1"/>
  <c r="T74" i="18" s="1"/>
  <c r="N74" i="18" a="1"/>
  <c r="N74" i="18" s="1"/>
  <c r="N82" i="18" s="1"/>
  <c r="M112" i="18"/>
  <c r="L41" i="16"/>
  <c r="L43" i="16" s="1"/>
  <c r="L44" i="16" s="1"/>
  <c r="L33" i="16" s="1"/>
  <c r="N27" i="20" s="1"/>
  <c r="N52" i="20" s="1"/>
  <c r="N53" i="20" s="1"/>
  <c r="R74" i="18" a="1"/>
  <c r="R74" i="18" s="1"/>
  <c r="P74" i="18" a="1"/>
  <c r="P74" i="18" s="1"/>
  <c r="O74" i="18" a="1"/>
  <c r="O74" i="18" s="1"/>
  <c r="T80" i="18" a="1"/>
  <c r="T80" i="18" s="1"/>
  <c r="S72" i="18"/>
  <c r="P80" i="18" a="1"/>
  <c r="P80" i="18" s="1"/>
  <c r="N80" i="18" a="1"/>
  <c r="N80" i="18" s="1"/>
  <c r="R41" i="16"/>
  <c r="R43" i="16" s="1"/>
  <c r="R44" i="16" s="1"/>
  <c r="R33" i="16" s="1"/>
  <c r="R80" i="18" a="1"/>
  <c r="R80" i="18" s="1"/>
  <c r="S80" i="18" a="1"/>
  <c r="S80" i="18" s="1"/>
  <c r="O80" i="18" a="1"/>
  <c r="O80" i="18" s="1"/>
  <c r="Q80" i="18" a="1"/>
  <c r="Q80" i="18" s="1"/>
  <c r="P54" i="18"/>
  <c r="M56" i="18"/>
  <c r="R75" i="18" a="1"/>
  <c r="R75" i="18" s="1"/>
  <c r="S75" i="18" a="1"/>
  <c r="S75" i="18" s="1"/>
  <c r="N75" i="18" a="1"/>
  <c r="N75" i="18" s="1"/>
  <c r="T75" i="18" a="1"/>
  <c r="T75" i="18" s="1"/>
  <c r="P75" i="18" a="1"/>
  <c r="P75" i="18" s="1"/>
  <c r="Q75" i="18" a="1"/>
  <c r="Q75" i="18" s="1"/>
  <c r="N72" i="18"/>
  <c r="O75" i="18" a="1"/>
  <c r="O75" i="18" s="1"/>
  <c r="M41" i="16"/>
  <c r="M43" i="16" s="1"/>
  <c r="M44" i="16" s="1"/>
  <c r="M33" i="16" s="1"/>
  <c r="O27" i="20" s="1"/>
  <c r="Q79" i="18" a="1"/>
  <c r="Q79" i="18" s="1"/>
  <c r="R79" i="18" a="1"/>
  <c r="R79" i="18" s="1"/>
  <c r="S79" i="18" a="1"/>
  <c r="S79" i="18" s="1"/>
  <c r="O79" i="18" a="1"/>
  <c r="O79" i="18" s="1"/>
  <c r="R72" i="18"/>
  <c r="N79" i="18" a="1"/>
  <c r="N79" i="18" s="1"/>
  <c r="Q41" i="16"/>
  <c r="Q43" i="16" s="1"/>
  <c r="Q44" i="16" s="1"/>
  <c r="Q33" i="16" s="1"/>
  <c r="P79" i="18" a="1"/>
  <c r="P79" i="18" s="1"/>
  <c r="T79" i="18" a="1"/>
  <c r="T79" i="18" s="1"/>
  <c r="R31" i="17"/>
  <c r="K37" i="16"/>
  <c r="Q49" i="18"/>
  <c r="Q54" i="18" s="1"/>
  <c r="P51" i="18"/>
  <c r="L59" i="18"/>
  <c r="K61" i="18"/>
  <c r="O55" i="18"/>
  <c r="O56" i="18" s="1"/>
  <c r="R38" i="17"/>
  <c r="T37" i="17"/>
  <c r="S37" i="17"/>
  <c r="S39" i="17" s="1"/>
  <c r="S29" i="17" s="1"/>
  <c r="T31" i="20" s="1"/>
  <c r="R68" i="16"/>
  <c r="Q69" i="16"/>
  <c r="Q78" i="16" s="1"/>
  <c r="Q35" i="16" s="1"/>
  <c r="S25" i="20" s="1"/>
  <c r="T27" i="20" l="1"/>
  <c r="U27" i="20"/>
  <c r="S27" i="20"/>
  <c r="N85" i="18"/>
  <c r="N108" i="18" s="1"/>
  <c r="N110" i="18" s="1"/>
  <c r="N111" i="18" s="1"/>
  <c r="N84" i="18"/>
  <c r="N86" i="18" s="1"/>
  <c r="Q72" i="18"/>
  <c r="T78" i="18" a="1"/>
  <c r="T78" i="18" s="1"/>
  <c r="P78" i="18" a="1"/>
  <c r="P78" i="18" s="1"/>
  <c r="Q78" i="18" a="1"/>
  <c r="Q78" i="18" s="1"/>
  <c r="N78" i="18" a="1"/>
  <c r="N78" i="18" s="1"/>
  <c r="S78" i="18" a="1"/>
  <c r="S78" i="18" s="1"/>
  <c r="R78" i="18" a="1"/>
  <c r="R78" i="18" s="1"/>
  <c r="O78" i="18" a="1"/>
  <c r="O78" i="18" s="1"/>
  <c r="P41" i="16"/>
  <c r="P43" i="16" s="1"/>
  <c r="P44" i="16" s="1"/>
  <c r="P33" i="16" s="1"/>
  <c r="R27" i="20" s="1"/>
  <c r="L37" i="16"/>
  <c r="R77" i="18" a="1"/>
  <c r="R77" i="18" s="1"/>
  <c r="T77" i="18" a="1"/>
  <c r="T77" i="18" s="1"/>
  <c r="N77" i="18" a="1"/>
  <c r="N77" i="18" s="1"/>
  <c r="Q82" i="18" s="1"/>
  <c r="O77" i="18" a="1"/>
  <c r="O77" i="18" s="1"/>
  <c r="Q77" i="18" a="1"/>
  <c r="Q77" i="18" s="1"/>
  <c r="P72" i="18"/>
  <c r="S77" i="18" a="1"/>
  <c r="S77" i="18" s="1"/>
  <c r="P77" i="18" a="1"/>
  <c r="P77" i="18" s="1"/>
  <c r="O41" i="16"/>
  <c r="O43" i="16" s="1"/>
  <c r="O44" i="16" s="1"/>
  <c r="O33" i="16" s="1"/>
  <c r="Q27" i="20" s="1"/>
  <c r="M114" i="18"/>
  <c r="M38" i="18"/>
  <c r="O82" i="18"/>
  <c r="M37" i="16"/>
  <c r="P82" i="18"/>
  <c r="S31" i="17"/>
  <c r="Q37" i="16"/>
  <c r="R49" i="18"/>
  <c r="R54" i="18" s="1"/>
  <c r="Q51" i="18"/>
  <c r="M59" i="18"/>
  <c r="L62" i="18"/>
  <c r="P55" i="18"/>
  <c r="P56" i="18" s="1"/>
  <c r="T39" i="17"/>
  <c r="T29" i="17" s="1"/>
  <c r="U31" i="20" s="1"/>
  <c r="S38" i="17"/>
  <c r="T38" i="17"/>
  <c r="S68" i="16"/>
  <c r="S69" i="16" s="1"/>
  <c r="S78" i="16" s="1"/>
  <c r="S35" i="16" s="1"/>
  <c r="U25" i="20" s="1"/>
  <c r="R69" i="16"/>
  <c r="R78" i="16" s="1"/>
  <c r="R35" i="16" s="1"/>
  <c r="T25" i="20" s="1"/>
  <c r="S82" i="18" l="1"/>
  <c r="S84" i="18" s="1"/>
  <c r="S86" i="18" s="1"/>
  <c r="R82" i="18"/>
  <c r="R85" i="18" s="1"/>
  <c r="R108" i="18" s="1"/>
  <c r="R110" i="18" s="1"/>
  <c r="T82" i="18"/>
  <c r="T84" i="18" s="1"/>
  <c r="T86" i="18" s="1"/>
  <c r="O37" i="16"/>
  <c r="P84" i="18"/>
  <c r="P86" i="18" s="1"/>
  <c r="P85" i="18"/>
  <c r="P108" i="18" s="1"/>
  <c r="P110" i="18" s="1"/>
  <c r="N112" i="18"/>
  <c r="O84" i="18"/>
  <c r="O86" i="18" s="1"/>
  <c r="O85" i="18"/>
  <c r="O108" i="18" s="1"/>
  <c r="O110" i="18" s="1"/>
  <c r="O111" i="18" s="1"/>
  <c r="P37" i="16"/>
  <c r="Q84" i="18"/>
  <c r="Q86" i="18" s="1"/>
  <c r="Q85" i="18"/>
  <c r="Q108" i="18" s="1"/>
  <c r="Q110" i="18" s="1"/>
  <c r="T31" i="17"/>
  <c r="R37" i="16"/>
  <c r="S37" i="16"/>
  <c r="L63" i="18"/>
  <c r="L64" i="18"/>
  <c r="Q55" i="18"/>
  <c r="Q56" i="18" s="1"/>
  <c r="S49" i="18"/>
  <c r="S54" i="18" s="1"/>
  <c r="R51" i="18"/>
  <c r="N59" i="18"/>
  <c r="M62" i="18"/>
  <c r="S85" i="18" l="1"/>
  <c r="S108" i="18" s="1"/>
  <c r="S110" i="18" s="1"/>
  <c r="S111" i="18" s="1"/>
  <c r="T85" i="18"/>
  <c r="T108" i="18" s="1"/>
  <c r="T110" i="18" s="1"/>
  <c r="R84" i="18"/>
  <c r="R86" i="18" s="1"/>
  <c r="S87" i="18" s="1"/>
  <c r="Q111" i="18"/>
  <c r="O112" i="18"/>
  <c r="O87" i="18"/>
  <c r="S112" i="18"/>
  <c r="N38" i="18"/>
  <c r="N114" i="18"/>
  <c r="N115" i="18" s="1"/>
  <c r="T87" i="18"/>
  <c r="T112" i="18"/>
  <c r="P111" i="18"/>
  <c r="Q87" i="18"/>
  <c r="Q112" i="18"/>
  <c r="P87" i="18"/>
  <c r="P112" i="18"/>
  <c r="R111" i="18"/>
  <c r="L39" i="18"/>
  <c r="M63" i="18"/>
  <c r="M64" i="18"/>
  <c r="M36" i="18" s="1"/>
  <c r="N28" i="20" s="1"/>
  <c r="O59" i="18"/>
  <c r="N62" i="18"/>
  <c r="R55" i="18"/>
  <c r="R56" i="18" s="1"/>
  <c r="T49" i="18"/>
  <c r="T54" i="18" s="1"/>
  <c r="S51" i="18"/>
  <c r="T111" i="18" l="1"/>
  <c r="O29" i="20"/>
  <c r="O52" i="20" s="1"/>
  <c r="O53" i="20" s="1"/>
  <c r="N37" i="20"/>
  <c r="N33" i="20"/>
  <c r="R87" i="18"/>
  <c r="R112" i="18"/>
  <c r="R38" i="18" s="1"/>
  <c r="T114" i="18"/>
  <c r="T38" i="18"/>
  <c r="S114" i="18"/>
  <c r="S38" i="18"/>
  <c r="P114" i="18"/>
  <c r="P38" i="18"/>
  <c r="Q114" i="18"/>
  <c r="Q38" i="18"/>
  <c r="O38" i="18"/>
  <c r="O114" i="18"/>
  <c r="O115" i="18" s="1"/>
  <c r="M39" i="18"/>
  <c r="N63" i="18"/>
  <c r="N64" i="18"/>
  <c r="N36" i="18" s="1"/>
  <c r="O28" i="20" s="1"/>
  <c r="S55" i="18"/>
  <c r="S56" i="18" s="1"/>
  <c r="T51" i="18"/>
  <c r="P59" i="18"/>
  <c r="O62" i="18"/>
  <c r="P29" i="20" l="1"/>
  <c r="P52" i="20" s="1"/>
  <c r="P53" i="20" s="1"/>
  <c r="R29" i="20"/>
  <c r="R52" i="20" s="1"/>
  <c r="R53" i="20" s="1"/>
  <c r="U29" i="20"/>
  <c r="U52" i="20" s="1"/>
  <c r="U53" i="20" s="1"/>
  <c r="Q29" i="20"/>
  <c r="Q52" i="20" s="1"/>
  <c r="Q53" i="20" s="1"/>
  <c r="T29" i="20"/>
  <c r="T52" i="20" s="1"/>
  <c r="T53" i="20" s="1"/>
  <c r="S29" i="20"/>
  <c r="S52" i="20" s="1"/>
  <c r="S53" i="20" s="1"/>
  <c r="O37" i="20"/>
  <c r="O39" i="20" s="1"/>
  <c r="O38" i="20" s="1"/>
  <c r="O47" i="20" s="1"/>
  <c r="O48" i="20" s="1"/>
  <c r="O57" i="20" s="1"/>
  <c r="O60" i="20" s="1"/>
  <c r="N39" i="20"/>
  <c r="N38" i="20" s="1"/>
  <c r="N47" i="20" s="1"/>
  <c r="N48" i="20" s="1"/>
  <c r="N57" i="20" s="1"/>
  <c r="N60" i="20" s="1"/>
  <c r="O33" i="20"/>
  <c r="R114" i="18"/>
  <c r="R115" i="18" s="1"/>
  <c r="P115" i="18"/>
  <c r="Q115" i="18"/>
  <c r="T115" i="18"/>
  <c r="N39" i="18"/>
  <c r="O63" i="18"/>
  <c r="O64" i="18"/>
  <c r="O36" i="18" s="1"/>
  <c r="P28" i="20" s="1"/>
  <c r="Q59" i="18"/>
  <c r="P62" i="18"/>
  <c r="T55" i="18"/>
  <c r="T56" i="18" s="1"/>
  <c r="P37" i="20" l="1"/>
  <c r="P39" i="20" s="1"/>
  <c r="P38" i="20" s="1"/>
  <c r="P47" i="20" s="1"/>
  <c r="P48" i="20" s="1"/>
  <c r="P57" i="20" s="1"/>
  <c r="P60" i="20" s="1"/>
  <c r="P33" i="20"/>
  <c r="S115" i="18"/>
  <c r="O39" i="18"/>
  <c r="P63" i="18"/>
  <c r="P64" i="18"/>
  <c r="P36" i="18" s="1"/>
  <c r="Q28" i="20" s="1"/>
  <c r="R59" i="18"/>
  <c r="Q62" i="18"/>
  <c r="Q37" i="20" l="1"/>
  <c r="Q39" i="20" s="1"/>
  <c r="Q38" i="20" s="1"/>
  <c r="Q47" i="20" s="1"/>
  <c r="Q48" i="20" s="1"/>
  <c r="Q57" i="20" s="1"/>
  <c r="Q60" i="20" s="1"/>
  <c r="Q33" i="20"/>
  <c r="P39" i="18"/>
  <c r="Q63" i="18"/>
  <c r="Q64" i="18"/>
  <c r="Q36" i="18" s="1"/>
  <c r="R28" i="20" s="1"/>
  <c r="S59" i="18"/>
  <c r="R62" i="18"/>
  <c r="R37" i="20" l="1"/>
  <c r="R39" i="20" s="1"/>
  <c r="R38" i="20" s="1"/>
  <c r="R47" i="20" s="1"/>
  <c r="R33" i="20"/>
  <c r="Q39" i="18"/>
  <c r="R63" i="18"/>
  <c r="R64" i="18"/>
  <c r="R36" i="18" s="1"/>
  <c r="S28" i="20" s="1"/>
  <c r="T59" i="18"/>
  <c r="T62" i="18" s="1"/>
  <c r="T64" i="18" s="1"/>
  <c r="T36" i="18" s="1"/>
  <c r="U28" i="20" s="1"/>
  <c r="S62" i="18"/>
  <c r="R48" i="20" l="1"/>
  <c r="R57" i="20" s="1"/>
  <c r="R60" i="20" s="1"/>
  <c r="R70" i="20"/>
  <c r="R69" i="20"/>
  <c r="W148" i="20"/>
  <c r="S37" i="20"/>
  <c r="S39" i="20" s="1"/>
  <c r="S38" i="20" s="1"/>
  <c r="S47" i="20" s="1"/>
  <c r="S48" i="20" s="1"/>
  <c r="S57" i="20" s="1"/>
  <c r="S60" i="20" s="1"/>
  <c r="U33" i="20"/>
  <c r="U37" i="20"/>
  <c r="S33" i="20"/>
  <c r="W135" i="20"/>
  <c r="W144" i="20"/>
  <c r="W146" i="20"/>
  <c r="W139" i="20"/>
  <c r="W145" i="20"/>
  <c r="W138" i="20"/>
  <c r="W140" i="20"/>
  <c r="W143" i="20"/>
  <c r="T39" i="18"/>
  <c r="R39" i="18"/>
  <c r="S63" i="18"/>
  <c r="S64" i="18"/>
  <c r="S36" i="18" s="1"/>
  <c r="T28" i="20" s="1"/>
  <c r="T63" i="18"/>
  <c r="T33" i="20" l="1"/>
  <c r="T37" i="20"/>
  <c r="U39" i="20"/>
  <c r="U38" i="20" s="1"/>
  <c r="U47" i="20" s="1"/>
  <c r="U48" i="20" s="1"/>
  <c r="U57" i="20" s="1"/>
  <c r="U60" i="20" s="1"/>
  <c r="W137" i="20"/>
  <c r="W147" i="20"/>
  <c r="W136" i="20" s="1"/>
  <c r="S39" i="18"/>
  <c r="T39" i="20" l="1"/>
  <c r="T38" i="20" s="1"/>
  <c r="T47" i="20" s="1"/>
  <c r="T48" i="20" s="1"/>
  <c r="T57" i="20" s="1"/>
  <c r="T60" i="20" s="1"/>
  <c r="Q61" i="20" l="1"/>
  <c r="R61" i="20" l="1"/>
  <c r="S61" i="20" s="1"/>
  <c r="T61" i="20" s="1"/>
  <c r="U61" i="20" s="1"/>
  <c r="R67" i="20" l="1"/>
  <c r="R68" i="2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<sst xmlns="http://schemas.openxmlformats.org/spreadsheetml/2006/main" count="579" uniqueCount="464">
  <si>
    <t>Exact Sciences (EXAS) Model Dashboard</t>
  </si>
  <si>
    <t>2027 Model Year</t>
  </si>
  <si>
    <t xml:space="preserve">This tab summarizes the outputs of our five-year model for Exact Sciences. </t>
  </si>
  <si>
    <t>After forecasting components of revenue, we use two different multiple frameworks to value Exact Sciences, as shown in the diagram below.</t>
  </si>
  <si>
    <t>This quarter, Exact guided to achieving adjusted EBITDA breakeven in Q3 2023.</t>
  </si>
  <si>
    <r>
      <t xml:space="preserve">Using this tab, readers also can select one of three case scenarios: </t>
    </r>
    <r>
      <rPr>
        <b/>
        <sz val="12"/>
        <color theme="5"/>
        <rFont val="Calibri (Body)"/>
      </rPr>
      <t>Bull</t>
    </r>
    <r>
      <rPr>
        <sz val="12"/>
        <color theme="2" tint="-0.89999084444715716"/>
        <rFont val="Calibri"/>
        <family val="2"/>
        <scheme val="minor"/>
      </rPr>
      <t xml:space="preserve">, </t>
    </r>
    <r>
      <rPr>
        <b/>
        <sz val="12"/>
        <color theme="8"/>
        <rFont val="Calibri (Body)"/>
      </rPr>
      <t>Base</t>
    </r>
    <r>
      <rPr>
        <sz val="12"/>
        <color theme="2" tint="-0.89999084444715716"/>
        <rFont val="Calibri"/>
        <family val="2"/>
        <scheme val="minor"/>
      </rPr>
      <t xml:space="preserve">, or </t>
    </r>
    <r>
      <rPr>
        <b/>
        <sz val="12"/>
        <color theme="9"/>
        <rFont val="Calibri (Body)"/>
      </rPr>
      <t>Bear</t>
    </r>
    <r>
      <rPr>
        <sz val="12"/>
        <color theme="2" tint="-0.89999084444715716"/>
        <rFont val="Calibri"/>
        <family val="2"/>
        <scheme val="minor"/>
      </rPr>
      <t xml:space="preserve">. </t>
    </r>
  </si>
  <si>
    <t xml:space="preserve">We use an industry average EV/EBITDA multiple on Exact's core revenue and an EV/Sales multiple on Exact's nascent, rapidly growing pipeline tests. </t>
  </si>
  <si>
    <t>Because of its competitive position in several large markets, we believe Exact will operate near cashflow neutrality during the latter half of our forecast period.</t>
  </si>
  <si>
    <t>We want Exact to continue reinvesting to spur growth into these markets instead of optimizing purely for profitability.</t>
  </si>
  <si>
    <t xml:space="preserve">Switching the investment case automatically changes several sensitive inputs to the model, </t>
  </si>
  <si>
    <r>
      <t xml:space="preserve">which we outline at the beginning of the </t>
    </r>
    <r>
      <rPr>
        <b/>
        <sz val="12"/>
        <color theme="9"/>
        <rFont val="Calibri (Body)"/>
      </rPr>
      <t>Model Input</t>
    </r>
    <r>
      <rPr>
        <sz val="12"/>
        <color theme="2" tint="-0.89999084444715716"/>
        <rFont val="Calibri"/>
        <family val="2"/>
        <scheme val="minor"/>
      </rPr>
      <t xml:space="preserve"> tab. Readers can use this tab to change any input to the model.</t>
    </r>
  </si>
  <si>
    <t>Assuming negligible EBITDA, using a pure EV/EBITDA mutliple seemed nonsensical.</t>
  </si>
  <si>
    <t>An EV/Sales multiple, however, seemed too lenient and wouldn't account for the quality of Exact's revenue or the efficiencies associated with its core business.</t>
  </si>
  <si>
    <t xml:space="preserve">Please select an investment case to the right before continuing: </t>
  </si>
  <si>
    <t>Base</t>
  </si>
  <si>
    <t>As a compromise, we value Exact's on-market tests from the vantage point of an unenthusiastic acquirer planning to shutter the company's nascent and emerging business lines.</t>
  </si>
  <si>
    <t xml:space="preserve">Like the associated whitepaper, this model is split into three sections that map to Exact Sciences' </t>
  </si>
  <si>
    <t>We value Exact's pipeline portfolio using an EV/Sales multiple, which we feel is warrented given these products' collective TAM, expected growth rate, and recurring nature.</t>
  </si>
  <si>
    <r>
      <t xml:space="preserve">oncology testing businesses: </t>
    </r>
    <r>
      <rPr>
        <b/>
        <sz val="12"/>
        <color theme="4"/>
        <rFont val="Calibri (Body)"/>
      </rPr>
      <t>Prevention &amp; Screening</t>
    </r>
    <r>
      <rPr>
        <sz val="12"/>
        <color theme="2" tint="-0.89999084444715716"/>
        <rFont val="Calibri"/>
        <family val="2"/>
        <scheme val="minor"/>
      </rPr>
      <t xml:space="preserve">, </t>
    </r>
    <r>
      <rPr>
        <b/>
        <sz val="12"/>
        <color theme="5"/>
        <rFont val="Calibri (Body)"/>
      </rPr>
      <t>Prognostics &amp; MRD</t>
    </r>
    <r>
      <rPr>
        <b/>
        <sz val="12"/>
        <color theme="2" tint="-0.89999084444715716"/>
        <rFont val="Calibri"/>
        <family val="2"/>
        <scheme val="minor"/>
      </rPr>
      <t>,</t>
    </r>
    <r>
      <rPr>
        <sz val="12"/>
        <color theme="2" tint="-0.89999084444715716"/>
        <rFont val="Calibri"/>
        <family val="2"/>
        <scheme val="minor"/>
      </rPr>
      <t xml:space="preserve"> and </t>
    </r>
    <r>
      <rPr>
        <b/>
        <sz val="12"/>
        <color theme="6"/>
        <rFont val="Calibri (Body)"/>
      </rPr>
      <t>Therapy Selection</t>
    </r>
    <r>
      <rPr>
        <sz val="12"/>
        <color theme="2" tint="-0.89999084444715716"/>
        <rFont val="Calibri"/>
        <family val="2"/>
        <scheme val="minor"/>
      </rPr>
      <t>.</t>
    </r>
  </si>
  <si>
    <t xml:space="preserve">Importantly, this is a five-year model. It is not built to provide a smooth, linear path from 2022 to 2027, </t>
  </si>
  <si>
    <t>but rather to capture what we feel are sensible targets for Exact's testing franchises.</t>
  </si>
  <si>
    <t>Consolidated Revenue Forecast and Five-Year Valuation</t>
  </si>
  <si>
    <t>This section includes components of Exact's top line as well as highlighted financials. All units are in thousands of dollars ($) unless otherwise specified.</t>
  </si>
  <si>
    <t>Components of Revenue</t>
  </si>
  <si>
    <t>Notes</t>
  </si>
  <si>
    <t>Cologuard</t>
  </si>
  <si>
    <t xml:space="preserve">Cologuard revenue includes both stool and blood-based testing in the US. </t>
  </si>
  <si>
    <t>Oncoguard</t>
  </si>
  <si>
    <t xml:space="preserve">Oncogurad revenue includes all non-CRC single-cancer screening tests in the US. </t>
  </si>
  <si>
    <t>Multi-Cancer Earlier Detection</t>
  </si>
  <si>
    <t xml:space="preserve">MCED revenue includes any multi-cancer screening test commercialized by Exact. This could include reimbursed or patient-pay revenue. </t>
  </si>
  <si>
    <t>Hereditary Cancer Testing</t>
  </si>
  <si>
    <t xml:space="preserve">Hereditary cancer testing (HCT) revenue only includes directly billed tests, not tumor-normal sequencing or any other form of hereditary/germline sequencing. </t>
  </si>
  <si>
    <t>Oncotype DX</t>
  </si>
  <si>
    <t xml:space="preserve">Oncotype DX revenue includes any current and future offerings, sample types, or geographies under the named franchise. </t>
  </si>
  <si>
    <t>Minimal Residual Disease (Informed)</t>
  </si>
  <si>
    <t xml:space="preserve">While Exact's tumor-informed business outpaces its tumor-naïve business in our model, we view the company's MRD testing service as singular. That is, we're not certain the revenue split will resemble that in our model. </t>
  </si>
  <si>
    <t>Minimal Residual Disease (Naïve)</t>
  </si>
  <si>
    <t>Oncomap</t>
  </si>
  <si>
    <t>Oncomap revenue is clinically-focused.</t>
  </si>
  <si>
    <t>Oncomap Extra</t>
  </si>
  <si>
    <t xml:space="preserve">Oncomap Extra is biopharma-focused. </t>
  </si>
  <si>
    <t>Consolidated, Pro-Forma Revenue</t>
  </si>
  <si>
    <t xml:space="preserve">This line (Row 27) includes historical revenue from all of Exact's acquisitions (e.g., Genomic Health) regardless of when a company was acquired. We present the data this way to show historical trends of core assets like Oncotype DX. </t>
  </si>
  <si>
    <t>Core Valuation</t>
  </si>
  <si>
    <t>Revenue</t>
  </si>
  <si>
    <t>Core revenue includes Cologuard (Blood + Stool) and Oncotype DX (Breast, Colorectal, US, and Ex-US)</t>
  </si>
  <si>
    <t>Cost of Revenue</t>
  </si>
  <si>
    <t>Core Gross Margin (%)</t>
  </si>
  <si>
    <t>The weighted sum of product gross margins for core revenue components; we believe Exact will expand core (GAAP) gross margin by 500-700 bps in the next five years via better automation, fixed cost-leverage, improved pricing, and new workflow techniques (e.g. Base Genomics, Ultima Genomics, etc.)</t>
  </si>
  <si>
    <t>Core Operating Expense(s)</t>
  </si>
  <si>
    <t>Operating expense (OpEx) and Core OpEx only differ on the R&amp;D line; On its fourth quarter, 2021 earnings call, Exact stated less than 30% of company-wide R&amp;D is spent on core products, giving a better picture of its underlying operating structure</t>
  </si>
  <si>
    <t>Research &amp; Development (R&amp;D)</t>
  </si>
  <si>
    <t>2022 R&amp;D is set to grow 4% over 2021; We've kept this rate the same</t>
  </si>
  <si>
    <t>Core R&amp;D</t>
  </si>
  <si>
    <t>Core R&amp;D grows at the same rate as total R&amp;D in our model</t>
  </si>
  <si>
    <t>Sales &amp; Marketing (S&amp;M)</t>
  </si>
  <si>
    <t>2022 S&amp;M is set to shrink by ~6% over 2021; Despite the decrease, we assume S&amp;M will grow 8% per annum through our forecast period</t>
  </si>
  <si>
    <t>Core S&amp;M</t>
  </si>
  <si>
    <t xml:space="preserve">See Model Input tab. </t>
  </si>
  <si>
    <t>General &amp; Administrative (G&amp;A)</t>
  </si>
  <si>
    <t>2022 G&amp;A is set to shrink by ~3.5% over 2021; Despite the decrease, we assume G&amp;A will grow 7% per annum through our forecast period</t>
  </si>
  <si>
    <t>Core G&amp;A</t>
  </si>
  <si>
    <t>Core EBITDA (Less Non-Cash Expenses)</t>
  </si>
  <si>
    <t>EBITDA does not include stock-based compensation (SBC); we account for SBC in the total share count below</t>
  </si>
  <si>
    <t>Core Business Enterprise Value</t>
  </si>
  <si>
    <t>EV is based on an EV/EBITDA multiple of 20X in our case case; This is below the 24X average sourced from 244 Healthcare Products companies as of January 2022 (Source on Model Input page)</t>
  </si>
  <si>
    <t>Pipeline Valuation</t>
  </si>
  <si>
    <t>Pipeline revenue includes everything except Core (Cologuard + Oncotype DX)</t>
  </si>
  <si>
    <t>Pipeline Enterprise Value</t>
  </si>
  <si>
    <t>Sum-of-Parts Valuation</t>
  </si>
  <si>
    <t>Combined Enterprise Value</t>
  </si>
  <si>
    <t>N/A</t>
  </si>
  <si>
    <t>Taken by adding together Core and Pipeline EV</t>
  </si>
  <si>
    <t>Cash and Equivalents</t>
  </si>
  <si>
    <t>Includes cash, marketable securities, and Exact's credit facilities; Exact has guided to EBITDA breakeven in Q3 2023; We expect cashflow breakeven to occur in 2024/25 and that Exact will operate around cashflow neutrality instead of managing towards growing its balance sheet</t>
  </si>
  <si>
    <t>Total Long Term Debt</t>
  </si>
  <si>
    <t>Exact has three outstanding debt converts that mature in 2025, 2027, and 2028; Based on our share price expectations and Exact's own commentary, we believe these will convert to equity, though many different servicing scenarios are possible</t>
  </si>
  <si>
    <t>Market Cap</t>
  </si>
  <si>
    <t>Total Shares Outstanding (Thousands)</t>
  </si>
  <si>
    <t>We account for SBC dilution; In '25, '27, and '28, we add dilution from each of three debt-converts (except in the bear case where the converts are out of the money);  Please see Note 10 to Exact's Consolidated Financial Statements in the most recent 10-K</t>
  </si>
  <si>
    <t>Final Highlights</t>
  </si>
  <si>
    <t>Current Share Price</t>
  </si>
  <si>
    <t>2022 Revenue Guidance</t>
  </si>
  <si>
    <t>2027 Price Target</t>
  </si>
  <si>
    <t>5-Year Share Price CAGR (%)</t>
  </si>
  <si>
    <t>2027 Revenue Target</t>
  </si>
  <si>
    <t>5-Year Revenue CAGR (%)</t>
  </si>
  <si>
    <t>Dashboard Visuals</t>
  </si>
  <si>
    <t xml:space="preserve">This section provides visuals summarizing data from the previous section. </t>
  </si>
  <si>
    <t>Chart Backend</t>
  </si>
  <si>
    <t>2027 Bull Case Revenue Target</t>
  </si>
  <si>
    <t>2027 Base Case Revenue Target</t>
  </si>
  <si>
    <t>2027 Bear Case Revenue Target</t>
  </si>
  <si>
    <t>2030 Bull Revenue Target</t>
  </si>
  <si>
    <t>2030 Base Revenue Target</t>
  </si>
  <si>
    <t>2030 Bear Revenue Target</t>
  </si>
  <si>
    <t>2022 Revenue Breakdown (Guidance) (Ex-COVID)</t>
  </si>
  <si>
    <t>As a Percent (%)</t>
  </si>
  <si>
    <t>Hereditary Cancer</t>
  </si>
  <si>
    <t>MRD Total</t>
  </si>
  <si>
    <t>Oncomap Total</t>
  </si>
  <si>
    <t>Exact Sciences Model Input</t>
  </si>
  <si>
    <t xml:space="preserve">This tab includes all inputs to the model. Readers can adjust any input. </t>
  </si>
  <si>
    <t xml:space="preserve">Readers can manually change a case-sensitive input, or any input for that matter, by directly entering a new value in Column G. </t>
  </si>
  <si>
    <r>
      <t xml:space="preserve">Below case-sensitive inputs, we've grouped inputs based on what tabs they map to: </t>
    </r>
    <r>
      <rPr>
        <b/>
        <sz val="12"/>
        <color theme="4"/>
        <rFont val="Calibri (Body)"/>
      </rPr>
      <t>Prevention &amp; Screening</t>
    </r>
    <r>
      <rPr>
        <b/>
        <sz val="12"/>
        <color theme="1"/>
        <rFont val="Calibri"/>
        <family val="2"/>
        <scheme val="minor"/>
      </rPr>
      <t xml:space="preserve">, </t>
    </r>
    <r>
      <rPr>
        <b/>
        <sz val="12"/>
        <color theme="5"/>
        <rFont val="Calibri (Body)"/>
      </rPr>
      <t>Prognostics &amp; MRD</t>
    </r>
    <r>
      <rPr>
        <b/>
        <sz val="12"/>
        <color theme="1"/>
        <rFont val="Calibri"/>
        <family val="2"/>
        <scheme val="minor"/>
      </rPr>
      <t xml:space="preserve">, and </t>
    </r>
    <r>
      <rPr>
        <b/>
        <sz val="12"/>
        <color theme="6"/>
        <rFont val="Calibri (Body)"/>
      </rPr>
      <t>Therapy Selection</t>
    </r>
    <r>
      <rPr>
        <b/>
        <sz val="12"/>
        <color theme="1"/>
        <rFont val="Calibri"/>
        <family val="2"/>
        <scheme val="minor"/>
      </rPr>
      <t xml:space="preserve">. </t>
    </r>
  </si>
  <si>
    <t xml:space="preserve">The last section (Yellow) features several assumptions about Exact Sciences' long-term financials, which also can be changed. </t>
  </si>
  <si>
    <t>Case-Sensitive Inputs</t>
  </si>
  <si>
    <t>Bull</t>
  </si>
  <si>
    <t>Bear</t>
  </si>
  <si>
    <t>Active Inputs</t>
  </si>
  <si>
    <t>Descriptions</t>
  </si>
  <si>
    <t>Cologuard Market Saturation (%)</t>
  </si>
  <si>
    <t>The fraction of the CRC screening market controlled by Exact at maturity; this is not the market penetration rate at 2027, but acts as an adoption curve tuning parameter for Cologuard adoption</t>
  </si>
  <si>
    <t>Long-Term CRC Screening Adherence Rate (%)</t>
  </si>
  <si>
    <t>The fraction of the population that is adherent to CRC screening guidelines; Represents a long-term asymptote, not necessarily the level reached in 2027</t>
  </si>
  <si>
    <t>Long-Term Liver Screening Adherence Rate (%)</t>
  </si>
  <si>
    <t>The fraction of the at-risk population that is adherent to Liver Cancer screening guidelines; Represents a long-term asymptote, not necessarily the level reached in 2027</t>
  </si>
  <si>
    <t>Baseline Liver Oncoguard ASP ($)</t>
  </si>
  <si>
    <t>The average selling price (ASP) for Oncoguard (Liver); relatively stable, but can change based on geography, payor-mix, etc; on-par with current ultrasound reimbursement; a $0 ASP means the test doesn't commercialize</t>
  </si>
  <si>
    <t>Baseline Esophageal Oncoguard ASP ($)</t>
  </si>
  <si>
    <t>The average selling price (ASP) for Oncoguard (Esophageal); relatively stable, but can change based on geography, payor-mix, etc.; a $0 ASP means the test doesn't commercialize</t>
  </si>
  <si>
    <t>Baseline Ovarian Oncoguard ASP ($)</t>
  </si>
  <si>
    <t>The average selling price (ASP) for Oncoguard (Ovarian); relatively stable, but can change based on geography, payor-mix, etc.; a $0 ASP means the test doesn't commercialize</t>
  </si>
  <si>
    <t>Esophageal Start-of-Fast-Growth (Calendar Year)</t>
  </si>
  <si>
    <t>Used to tune adoption curve; the year that Oncoguard Esophageal breaks through its early-adoption phase</t>
  </si>
  <si>
    <t>Ovarian Start-of-Fast-Growth (Calendar Year)</t>
  </si>
  <si>
    <t>Used to tune adoption curve; the year that Oncoguard Liver breaks through its early-adoption phase</t>
  </si>
  <si>
    <t>Post-Approval MCED Market Saturation (%)</t>
  </si>
  <si>
    <t>The long-term fraction of the MCED market (after widespread guideline inclusion) controlled by Exact at maturity; this is not the market penetration rate at 2027, but acts as an adoption curve tuning parameter for MCED</t>
  </si>
  <si>
    <t>Long-Term MCED Screening Adherence Rate (%)</t>
  </si>
  <si>
    <t>The fraction of the population that is adherent to MCED screening guidelines; Represents a long-term asymptote, not necessarily the level reached in 2027</t>
  </si>
  <si>
    <t>Pre-Approval MCED Start-of-Fast-Growth (Calendar Year)</t>
  </si>
  <si>
    <t>Used to tune adoption curve; the year that MCED breaks through its early-adoption phase (pre-guideline, smaller market)</t>
  </si>
  <si>
    <t>Post-Approval MCED Start-of-Fast-Growth (Calendar Year)</t>
  </si>
  <si>
    <t>Used to tune adoption curve; the year that MCED breaks through its early-adoption phase (post-guideline, mass market)</t>
  </si>
  <si>
    <t>Screening-to-Prognostic Attach Rate (%)</t>
  </si>
  <si>
    <t>The fraction of patients who test (true) positive for cancer on one of Exact's screening tests who reflex to prognostic testing with Oncotype DX</t>
  </si>
  <si>
    <t>Prognostic-to-MRD Attach Rate (%)</t>
  </si>
  <si>
    <t>The fraction of Oncotype DX patients who reflex to MRD for cancer monitoring</t>
  </si>
  <si>
    <t>Tumor-Informed MRD Market Saturation (%)</t>
  </si>
  <si>
    <t>The fraction of the MRD market controlled by Exact at maturity; this is not the market penetration rate by 2027, but acts as an adoption curve tuning parameter for Exact's tumor-informed MRD test(s)</t>
  </si>
  <si>
    <t>Tumor-Informed MRD Start-of-Fast-Growth (Calendar Year)</t>
  </si>
  <si>
    <t>Used to tune adoption curve; the year that tumor-informed MRD breaks through its early-adoption phase</t>
  </si>
  <si>
    <t>Tumor-Naïve MRD Start-of-Fast-Growth (Calendar Year)</t>
  </si>
  <si>
    <t>Used to tune adoption curve; the year that tumor-naïve MRD breaks through its early-adoption phase</t>
  </si>
  <si>
    <t>Tumor-Naïve MRD Market Saturation (%)</t>
  </si>
  <si>
    <t>The fraction of the MRD market controlled by Exact at maturity; this is not the market penetration rate at 2027, but acts as an adoption curve tuning parameter for Exact's tumor-naïve MRD test(s)</t>
  </si>
  <si>
    <t>Terminal Core EV/EBITDA Multiple</t>
  </si>
  <si>
    <t>The EV/EBITDA multiple used for price target calculation in 2027</t>
  </si>
  <si>
    <t>Annual Share Dilution (%)</t>
  </si>
  <si>
    <t>The annual share dilution rate for Exact; includes dilution from stock-based compensation given to insiders/employees, we don't expect Exact to raise any more capital through an equity offering; does not include dilution from debt conversion</t>
  </si>
  <si>
    <t>Prevention &amp; Screening</t>
  </si>
  <si>
    <t>This section includes inputs for Cologuard, Oncoguard, Multi-Cancer Earlier Detection (MCED), and Hereditary Cancer Testing (HCT).</t>
  </si>
  <si>
    <t>Average-Risk Population Size (40-75, US)</t>
  </si>
  <si>
    <t>The number of people in the US (aged 40-75) who have an average risk for cancer</t>
  </si>
  <si>
    <t>Maximum Unique Ordering Physicians</t>
  </si>
  <si>
    <t>The number of unique ordering physicians in the US; mostly primary care, but also gastrointestinal and OBGYN specialists</t>
  </si>
  <si>
    <t>CRC Screening Interval (Years)</t>
  </si>
  <si>
    <t>The time interval that guideline organizations and payors recommend CRC screening; "Once every X years"</t>
  </si>
  <si>
    <t>Baseline Cologuard ASP ($)</t>
  </si>
  <si>
    <t xml:space="preserve">The average selling price (ASP) for Cologuard; relatively stable, but can change based on geography, payor-mix, etc. </t>
  </si>
  <si>
    <t>Annual ASP Change (%)</t>
  </si>
  <si>
    <t>Annual change in Cologuard ASP; driven by expansion of clinical-utility data and acceptance by payors</t>
  </si>
  <si>
    <t>Classical / Diffusion Model Tuning (%)</t>
  </si>
  <si>
    <t>The fraction of Cologuard sales made from classical, outbound sales versus digital marketing, rescreening, and network-effects</t>
  </si>
  <si>
    <t>Takeover Time (Years)</t>
  </si>
  <si>
    <t>The amount of time for a product to navigate through its middle-adoption phase</t>
  </si>
  <si>
    <t>Steady-State Gross Margin (%)</t>
  </si>
  <si>
    <t>The long-term gross-margin for Cologuard</t>
  </si>
  <si>
    <t>Start-of-Fast-Growth (Calendar Year)</t>
  </si>
  <si>
    <t>Used to tune adoption curve; the year that Cologuard breaks through its early-adoption phase; tuned to reflect a reacceleration after the COVID-19 pandemic</t>
  </si>
  <si>
    <t>High-Risk Population Size (Liver, US)</t>
  </si>
  <si>
    <t>The number of people in the US who are at high risk for liver cancer; includes people with cirrhosis and/or chronic Hep-B infections</t>
  </si>
  <si>
    <t>Annual Oncoguard ASP Change (%)</t>
  </si>
  <si>
    <t>Annual change in Oncoguard Liver ASP; driven by expansion of clinical-utility data and acceptance by payors</t>
  </si>
  <si>
    <t>Market Saturation (%) for Liver Cancer</t>
  </si>
  <si>
    <t>The long-term fraction of the Liver screening market controlled by Exact; this is not the market penetration rate at 2027, but acts as an adoption curve tuning parameter</t>
  </si>
  <si>
    <t>The stable gross-margin for Oncoguard (all tests)</t>
  </si>
  <si>
    <t>Average Tests / Year</t>
  </si>
  <si>
    <t>The average number of Oncoguard Liver tests run per high-risk patient per year</t>
  </si>
  <si>
    <t>Barrett's Esophagus Pop.</t>
  </si>
  <si>
    <t>The number of people in the US who are at high risk for esophageal cancer; includes people with Barrett's esophagus</t>
  </si>
  <si>
    <t>Ovarian Screening Tests / Year</t>
  </si>
  <si>
    <t>The number of pap smear tests that are performed in any given year in the US</t>
  </si>
  <si>
    <t>Screening Interval (Years)</t>
  </si>
  <si>
    <t>The time interval that guideline organizations and payors recommend ovarian and/or esophageal screening; "Once every X years"</t>
  </si>
  <si>
    <t>Market Saturation (%) for Esophageal Cancer</t>
  </si>
  <si>
    <t>The long-term fraction of the Esophageal screening market controlled by Exact; this is not the market penetration rate at 2027, but acts as an adoption curve tuning parameter</t>
  </si>
  <si>
    <t>Market Saturation (%) for Ovarian Cancer</t>
  </si>
  <si>
    <t>The long-term fraction of the Ovarian screening market controlled by Exact; this is not the market penetration rate at 2027, but acts as an adoption curve tuning parameter</t>
  </si>
  <si>
    <t>Multi-Cancer Earlier Detection (MCED)</t>
  </si>
  <si>
    <t>Patient-Pay ASP ($) (Pre-NCD)</t>
  </si>
  <si>
    <t>The patient-pay price for Exact's early multi-cancer business; prior to guideline inclusion or payor adoption</t>
  </si>
  <si>
    <t>Baseline Reimbursed ASP ($) (Post-NCD)</t>
  </si>
  <si>
    <t>The ASP for the multi-cancer business; after guideline inclusion and payor adoption (post CMS approval)</t>
  </si>
  <si>
    <t>Patient-Pay Market Saturation (%)</t>
  </si>
  <si>
    <t>The long-term fraction of the patient-pay MCED market (prior to widespread guideline inclusion) controlled by Exact; this is not the market penetration rate at 2027, but acts as an adoption curve tuning parameter</t>
  </si>
  <si>
    <t>Patient Pay Takeover Time (Years)</t>
  </si>
  <si>
    <t>Reimbursed Takeover Time (Years)</t>
  </si>
  <si>
    <t>The stable gross-margin for MCED testing</t>
  </si>
  <si>
    <t>MCED Screening Interval (Years)</t>
  </si>
  <si>
    <t>The time interval that guideline organizations and payors recommend MCED screening; "Once every X years"; this still is very much in-flux</t>
  </si>
  <si>
    <t>Pre-Reimbursement Addressable Market Fraction (%)</t>
  </si>
  <si>
    <t>The fraction of the MCED addressible prior to widespread guideline inclusion and reimbursement; the patient-pay market; made up of concierge practices, progressive health systems, and large employers</t>
  </si>
  <si>
    <t>Hereditary Cancer Testing (HCT)</t>
  </si>
  <si>
    <t>HCT ASP ($)</t>
  </si>
  <si>
    <t xml:space="preserve">The average selling price (ASP) for Exact's Hereditary Cancer Tests; relatively stable, but can change based on geography, payor-mix, etc. </t>
  </si>
  <si>
    <t>Annual HCT ASP Change (%)</t>
  </si>
  <si>
    <t>Annual change in HCT ASP; driven by expansion of clinical-utility data and acceptance by payors</t>
  </si>
  <si>
    <t>The stable gross-margin for HCT testing</t>
  </si>
  <si>
    <t>HCT Attach Rate (%)</t>
  </si>
  <si>
    <t>The % of Exact's screening patients that also get HCT in the same year; since HCT came from a smaller acquisition, it's likely supply-constrained for the foreseeable future</t>
  </si>
  <si>
    <t>Prognostics and Minimal Residual Disease (MRD)</t>
  </si>
  <si>
    <t xml:space="preserve">This section includes inputs for Oncotype DX and MRD testing. </t>
  </si>
  <si>
    <t>Oncotype DX (US-Only)</t>
  </si>
  <si>
    <t>Breast Cancer Incidence (DCIS, II/III)</t>
  </si>
  <si>
    <t>The number of patients in the US who are diagnosed with ductal carcinoma in situ, Stage II, or Stage III breast cancer, per year</t>
  </si>
  <si>
    <t>Prostate Cancer Incidence (Any Stage)</t>
  </si>
  <si>
    <t>The number of patients in the US who are diagnosed with prostate cancer (any stage) per year</t>
  </si>
  <si>
    <t>Colon Cancer Incidence (I/II/III)</t>
  </si>
  <si>
    <t>The number of patients in the US who are diagnosed with colorectal cancer (Stages I, II, or III) per year</t>
  </si>
  <si>
    <t>Cologuard Tests to Detect One CRC Case</t>
  </si>
  <si>
    <t>Given cancer prevalence and incidence statistics as well as Cologuard performance statistics, the number of Cologuard tests needed to surface one true cancer case</t>
  </si>
  <si>
    <t>Oncotype ASP ($)</t>
  </si>
  <si>
    <t xml:space="preserve">The average selling price (ASP) for the Oncotype franchise; relatively stable, but can change based on geography, payor-mix, etc. </t>
  </si>
  <si>
    <t>Annual Oncotype ASP Change (%)</t>
  </si>
  <si>
    <t>Annual change in Oncotype ASP; driven by expansion of clinical-utility data and acceptance by payors</t>
  </si>
  <si>
    <t>The stable gross-margin for prognostic testing</t>
  </si>
  <si>
    <t>MCED Tests to Detect One CRC OR BC Case</t>
  </si>
  <si>
    <t>Given cancer prevalence and incidence statistics as well as early MCED performance and design, the number of MCED tests needed to surface a cancer that aligns with the Oncotype franchise</t>
  </si>
  <si>
    <t>Used to tune adoption curve; the year that Oncotype breaks through its early-adoption phase</t>
  </si>
  <si>
    <t>Market Saturation (%)</t>
  </si>
  <si>
    <t>Oncotype DX (International)</t>
  </si>
  <si>
    <t>Addressable Breast Cancer Incidence (DCIS, II/III)</t>
  </si>
  <si>
    <t>The number of patients outside the US who are diagnosed with ductal carcinoma in situ, Stage II, or Stage III breast cancer, per year</t>
  </si>
  <si>
    <t>Addressable Prostate Cancer Incidence (Any Stage)</t>
  </si>
  <si>
    <t>The number of patients outside the US who are diagnosed with prostate cancer (any stage) per year</t>
  </si>
  <si>
    <t>Addressable Colon Cancer Incidence (I/II/III)</t>
  </si>
  <si>
    <t>The number of patients outside the US who are diagnosed with colorectal cancer (Stages I, II, or III) per year</t>
  </si>
  <si>
    <t>The stable gross-margin for prognostic testing outside the US</t>
  </si>
  <si>
    <t>The average selling price (ASP) for the Oncotype franchise; relatively stable, but can change based on geography, payor-mix, etc; outside the US</t>
  </si>
  <si>
    <t>Annual change in Oncotype ASP; driven by expansion of clinical-utility data and acceptance by payors; outside the US</t>
  </si>
  <si>
    <t>The long-term fraction of the international prognostic market controlled by Exact; this is not the market penetration rate at 2027, but acts as an adoption curve tuning parameter</t>
  </si>
  <si>
    <t>Used to tune adoption curve; the year that Oncotype (OUS) breaks through its early-adoption phase</t>
  </si>
  <si>
    <t>Minimal Residual Disease (MRD) Testing</t>
  </si>
  <si>
    <t>Early-Stage Cancer Incidence</t>
  </si>
  <si>
    <t>The number of people diagnosed with early-stage cancers each year in the US (Stages I-II)</t>
  </si>
  <si>
    <t>Solid Tumor Fraction (%)</t>
  </si>
  <si>
    <t>The fraction of cancers that are classified as solid tumors (not blood cancers)</t>
  </si>
  <si>
    <t>Tissue-Sufficient Fraction (%)</t>
  </si>
  <si>
    <t>The fraction of solid cancers amenable to resection/tissue biopsy, a prerequisite for tumor-informed MRD testing; some samples are of insufficient quantity/quality, or the patient is too sick</t>
  </si>
  <si>
    <t>Annual MRD ASP Change (%)</t>
  </si>
  <si>
    <t>Annual change in upfront (tissue) MRD ASP; driven by expansion of clinical-utility data and acceptance by payors</t>
  </si>
  <si>
    <t>Tumor-Informed (Blood Surveillance) ASP ($)</t>
  </si>
  <si>
    <t xml:space="preserve">The average selling price (ASP) for surveillance MRD; affected by payor coverage, strength of clinical evidence, competitive environment, etc. </t>
  </si>
  <si>
    <t>Annual MRD (Surveillance) ASP Change (%)</t>
  </si>
  <si>
    <t>Annual change in surveillance (liquid) MRD ASP; driven by expansion of clinical-utility data and acceptance by payors</t>
  </si>
  <si>
    <t>The stable gross-margin for tumor-informed MRD testing</t>
  </si>
  <si>
    <t>Tumor-Informed (Tissue) ASP ($)</t>
  </si>
  <si>
    <t xml:space="preserve">The average selling price (ASP) for informed (tissue) MRD; affected by payor coverage, strength of clinical evidence, competitive environment, etc. </t>
  </si>
  <si>
    <t>Surveillance Tests / Year (Average)</t>
  </si>
  <si>
    <t>The average number of surveillance blood biopsies that a patient receives longitudinally</t>
  </si>
  <si>
    <t>Tumor-Naïve ASP ($)</t>
  </si>
  <si>
    <t xml:space="preserve">The average selling price (ASP) for naïve MRD; affected by payor coverage, strength of clinical evidence, competitive environment, etc. </t>
  </si>
  <si>
    <t>Annual Tumor-Naïve ASP Change (%)</t>
  </si>
  <si>
    <t>The stable gross-margin for naïve MRD testing</t>
  </si>
  <si>
    <t>Therapy Selection</t>
  </si>
  <si>
    <t>This section includes inputs for Oncomap and Oncomap Extra.</t>
  </si>
  <si>
    <t>Advanced Cancer Incidence</t>
  </si>
  <si>
    <t>The number of patients diagnosed with advanced forms of cancer in the US per year</t>
  </si>
  <si>
    <t>Annual change in Oncomap ASP; driven by expansion of clinical-utility data and acceptance by payors</t>
  </si>
  <si>
    <t>The stable gross-margin for comprehensive genomic profiling (CGP) testing</t>
  </si>
  <si>
    <t>Fraction Outside Clinical Trials (%)</t>
  </si>
  <si>
    <t>The fraction of cancer patients treated outside the context of a clinical trial; Oncomap is a clinically-focused test</t>
  </si>
  <si>
    <t>Clinical ASP ($)</t>
  </si>
  <si>
    <t>The average selling price (ASP) for the Oncomap franchise; relatively stable, but can change based on geography, payor-mix, etc</t>
  </si>
  <si>
    <t>The long-term fraction of the CGP market controlled by Exact; this is not the market penetration rate at 2027, but acts as an adoption curve tuning parameter</t>
  </si>
  <si>
    <t>Used to tune adoption curve; the year that Oncomap breaks through its early-adoption phase</t>
  </si>
  <si>
    <t>Biopharma ASP ($)</t>
  </si>
  <si>
    <t>The average selling price (ASP) for the Oncomap Extra; not contingent on payor coverage since biopharma companies pay the bill</t>
  </si>
  <si>
    <t>Annual change in Oncomap Extra ASP; more stable than pricing from payors</t>
  </si>
  <si>
    <t>Used to tune adoption curve; the year that Oncomap Extra breaks through its early-adoption phase</t>
  </si>
  <si>
    <t>The stable gross-margin for Oncomap Extra testing</t>
  </si>
  <si>
    <t>The long-term fraction of the market controlled by Exact; this is NOT the market penetration by 2026, but acts as an adoption curve tuning parameter</t>
  </si>
  <si>
    <t>Other Inputs</t>
  </si>
  <si>
    <t xml:space="preserve">This section includes miscellaneous financial inputs. </t>
  </si>
  <si>
    <t>Operating Margin Structure</t>
  </si>
  <si>
    <t>R&amp;D CAGR (%)</t>
  </si>
  <si>
    <t>Exact's R&amp;D budget is poised to grow 4% in 2022. Given the breadth of its pipeline, we've estimated R&amp;D may accelerate to 5% growth over our forecast period.</t>
  </si>
  <si>
    <t>% of R&amp;D Budget Spent on Pipeline (2022)</t>
  </si>
  <si>
    <t>Exact's management has stated that less than 30% of its R&amp;D budget is focused on on-market assets (Cologuard, Oncotype DX).</t>
  </si>
  <si>
    <t xml:space="preserve">We believe the % of R&amp;D allocated to core products will continue decreasing, especially as the company's Blue-C trial finishes. </t>
  </si>
  <si>
    <t>S&amp;M CAGR (%)</t>
  </si>
  <si>
    <t>Exact's S&amp;M expense will shrink 6% y/y in 2022. Conservatively, we estimate that S&amp;M will reaccelerate alongside new product launches to a steady rate of 8% y/y throughout our forecast.</t>
  </si>
  <si>
    <t>% of S&amp;M Budget Spent on Pipeline (2022)</t>
  </si>
  <si>
    <t xml:space="preserve">Though Exact has been less explicit here, we believe very little of the current S&amp;M expense is aimed at pipeline products. </t>
  </si>
  <si>
    <t>Once pipeline tests launch, we believe S&amp;M will shift rapidly away from core assets. Meanwhile, as we explain in the associated whitepaper, we see many opportunities for Exact to gain S&amp;M leverage on Cologuard and Oncotype.</t>
  </si>
  <si>
    <t>G&amp;A CAGR (%)</t>
  </si>
  <si>
    <t>% of G&amp;A Budget Spent on Pipeline (2022)</t>
  </si>
  <si>
    <t xml:space="preserve">The firm currently is investing in digital infrastructure and key personnel to support its forthcoming pipeline. We estimate that roughly 10% of current G&amp;A is aimed at pipeline. </t>
  </si>
  <si>
    <t xml:space="preserve">Over the coming years, we think more G&amp;A expense will move over to support pipeline efforts at a pace that is between R&amp;D and S&amp;M. </t>
  </si>
  <si>
    <t>Pipeline EV/Sales</t>
  </si>
  <si>
    <t xml:space="preserve">Exact's primary business focuses on the prevention and earlier detection of cancer. </t>
  </si>
  <si>
    <t xml:space="preserve">Though Exact has both on-market and in-development tests for patients with a cancer diagnosis, this section focuses on patients without a diagnosis. </t>
  </si>
  <si>
    <r>
      <t xml:space="preserve">As a reminder, </t>
    </r>
    <r>
      <rPr>
        <b/>
        <sz val="14"/>
        <color theme="1"/>
        <rFont val="Calibri"/>
        <family val="2"/>
        <scheme val="minor"/>
      </rPr>
      <t>primary prevention</t>
    </r>
    <r>
      <rPr>
        <sz val="14"/>
        <color theme="1"/>
        <rFont val="Calibri"/>
        <family val="2"/>
        <scheme val="minor"/>
      </rPr>
      <t xml:space="preserve"> means stopping a disease before it occurs whereas </t>
    </r>
    <r>
      <rPr>
        <b/>
        <sz val="14"/>
        <color theme="1"/>
        <rFont val="Calibri"/>
        <family val="2"/>
        <scheme val="minor"/>
      </rPr>
      <t>secondary prevention</t>
    </r>
    <r>
      <rPr>
        <sz val="14"/>
        <color theme="1"/>
        <rFont val="Calibri"/>
        <family val="2"/>
        <scheme val="minor"/>
      </rPr>
      <t xml:space="preserve"> means detecting a disease as early as possible (when it's the most treatable). </t>
    </r>
  </si>
  <si>
    <r>
      <t xml:space="preserve">Exact's newly-acquired </t>
    </r>
    <r>
      <rPr>
        <b/>
        <sz val="14"/>
        <color theme="1"/>
        <rFont val="Calibri (Body)"/>
      </rPr>
      <t>hereditary cancer testing (HCT)</t>
    </r>
    <r>
      <rPr>
        <sz val="14"/>
        <color theme="1"/>
        <rFont val="Calibri"/>
        <family val="2"/>
        <scheme val="minor"/>
      </rPr>
      <t xml:space="preserve"> is a form of primary prevention as it gives patients and physicians personalized, genetic information about cancer risk.</t>
    </r>
  </si>
  <si>
    <r>
      <rPr>
        <b/>
        <sz val="14"/>
        <color theme="1"/>
        <rFont val="Calibri"/>
        <family val="2"/>
        <scheme val="minor"/>
      </rPr>
      <t>Cologuard</t>
    </r>
    <r>
      <rPr>
        <sz val="14"/>
        <color theme="1"/>
        <rFont val="Calibri"/>
        <family val="2"/>
        <scheme val="minor"/>
      </rPr>
      <t xml:space="preserve">, </t>
    </r>
    <r>
      <rPr>
        <b/>
        <sz val="14"/>
        <color theme="1"/>
        <rFont val="Calibri"/>
        <family val="2"/>
        <scheme val="minor"/>
      </rPr>
      <t>Oncoguard</t>
    </r>
    <r>
      <rPr>
        <sz val="14"/>
        <color theme="1"/>
        <rFont val="Calibri"/>
        <family val="2"/>
        <scheme val="minor"/>
      </rPr>
      <t xml:space="preserve">, and </t>
    </r>
    <r>
      <rPr>
        <b/>
        <sz val="14"/>
        <color theme="1"/>
        <rFont val="Calibri"/>
        <family val="2"/>
        <scheme val="minor"/>
      </rPr>
      <t>Multi-Cancer Earlier Detection (MCED)</t>
    </r>
    <r>
      <rPr>
        <sz val="14"/>
        <color theme="1"/>
        <rFont val="Calibri"/>
        <family val="2"/>
        <scheme val="minor"/>
      </rPr>
      <t xml:space="preserve"> are forms of secondary prevention, enabling physicians to detect the earliest manifestations of cancer.</t>
    </r>
  </si>
  <si>
    <r>
      <t xml:space="preserve">Though not exhaustive, we've interwoven several, common patient journeys </t>
    </r>
    <r>
      <rPr>
        <b/>
        <sz val="14"/>
        <color theme="1"/>
        <rFont val="Calibri"/>
        <family val="2"/>
        <scheme val="minor"/>
      </rPr>
      <t>(Lettered Boxes)</t>
    </r>
    <r>
      <rPr>
        <sz val="14"/>
        <color theme="1"/>
        <rFont val="Calibri"/>
        <family val="2"/>
        <scheme val="minor"/>
      </rPr>
      <t xml:space="preserve"> through Exact's Prevention &amp; Screening portfolio. </t>
    </r>
  </si>
  <si>
    <r>
      <rPr>
        <b/>
        <sz val="14"/>
        <color theme="1"/>
        <rFont val="Calibri"/>
        <family val="2"/>
        <scheme val="minor"/>
      </rPr>
      <t>A</t>
    </r>
    <r>
      <rPr>
        <sz val="14"/>
        <color theme="1"/>
        <rFont val="Calibri"/>
        <family val="2"/>
        <scheme val="minor"/>
      </rPr>
      <t xml:space="preserve"> = Some persons, especially those outside cancer screening guidelines, may opt for HCT first. For Exact, this is likely a small amount given the relative immaturity of their HCT commerical channel. </t>
    </r>
  </si>
  <si>
    <r>
      <rPr>
        <b/>
        <sz val="14"/>
        <color theme="1"/>
        <rFont val="Calibri"/>
        <family val="2"/>
        <scheme val="minor"/>
      </rPr>
      <t>B</t>
    </r>
    <r>
      <rPr>
        <sz val="14"/>
        <color theme="1"/>
        <rFont val="Calibri"/>
        <family val="2"/>
        <scheme val="minor"/>
      </rPr>
      <t xml:space="preserve"> = Given national reimbursement coverage and guideline inclusion, most patients will begin with a secondary preventive (screening) test such as Cologuard. </t>
    </r>
  </si>
  <si>
    <r>
      <rPr>
        <b/>
        <sz val="14"/>
        <color theme="1"/>
        <rFont val="Calibri"/>
        <family val="2"/>
        <scheme val="minor"/>
      </rPr>
      <t>C</t>
    </r>
    <r>
      <rPr>
        <sz val="14"/>
        <color theme="1"/>
        <rFont val="Calibri"/>
        <family val="2"/>
        <scheme val="minor"/>
      </rPr>
      <t xml:space="preserve"> = This pathway is bidirectional. We believe patients beginning with HCT (especially those testing positive) will reflex to a screening test. Meanwhile, some portion of screened patients are likely to </t>
    </r>
  </si>
  <si>
    <t xml:space="preserve">also undergo HCT. This helps personalize any future screening and can flag hereditary cancer risk in families (cascade testing). </t>
  </si>
  <si>
    <r>
      <rPr>
        <b/>
        <sz val="14"/>
        <color theme="1"/>
        <rFont val="Calibri"/>
        <family val="2"/>
        <scheme val="minor"/>
      </rPr>
      <t>D</t>
    </r>
    <r>
      <rPr>
        <sz val="14"/>
        <color theme="1"/>
        <rFont val="Calibri"/>
        <family val="2"/>
        <scheme val="minor"/>
      </rPr>
      <t xml:space="preserve"> = Persons with a negative screening test typically return to get another screening test depending on the medically-recommended screening interval (~3 years). </t>
    </r>
  </si>
  <si>
    <r>
      <rPr>
        <b/>
        <sz val="14"/>
        <color theme="1"/>
        <rFont val="Calibri"/>
        <family val="2"/>
        <scheme val="minor"/>
      </rPr>
      <t>E</t>
    </r>
    <r>
      <rPr>
        <sz val="14"/>
        <color theme="1"/>
        <rFont val="Calibri"/>
        <family val="2"/>
        <scheme val="minor"/>
      </rPr>
      <t xml:space="preserve"> = Persons with a positive screening test are likely to be moved upstream to Exact's prognostic and disease monitoring services, a rational next-step for someone with a cancer diagnosis. </t>
    </r>
  </si>
  <si>
    <t>Prevention &amp; Screening Revenue (Thousands $)</t>
  </si>
  <si>
    <t>CancerSEEK (Multi-Cancer Earlier Detection)</t>
  </si>
  <si>
    <t>Consolidated Revenue</t>
  </si>
  <si>
    <t>Core Screening and Prognostic Unit Volume (US-Only) (Forecast)</t>
  </si>
  <si>
    <t>HCT ASP Forecast (Dollars $)</t>
  </si>
  <si>
    <t>HCT Unit Volume Forecast</t>
  </si>
  <si>
    <t>HCT Revenue Forecast (Thousands $)</t>
  </si>
  <si>
    <t>Cologuard (Colorectal Cancer Screening)</t>
  </si>
  <si>
    <t>Historical Unique Ordering Physicians</t>
  </si>
  <si>
    <t>Historical Unit Volume</t>
  </si>
  <si>
    <t>Historical Revenue (Thousands $)</t>
  </si>
  <si>
    <t>Implied ASP (Dollars $)</t>
  </si>
  <si>
    <t>Unique Ordering Physicians Forecast</t>
  </si>
  <si>
    <t>Unique Ordering Physicians (Rolling 6-Month Avg.)</t>
  </si>
  <si>
    <t>Units per Unique Ordering Physicians (Rolling 6-Mo. Avg.)</t>
  </si>
  <si>
    <t>ASP Forecast (Dollars $)</t>
  </si>
  <si>
    <t>Unit Volume Forecast (Classical Adoption)</t>
  </si>
  <si>
    <t>Revenue Forecast (Classical Adoption) (Thousands $)</t>
  </si>
  <si>
    <t>Market Adoption (Tech Diffusion Curve) (%)</t>
  </si>
  <si>
    <t>Unit Volume Forecast (Tech Diffusion)</t>
  </si>
  <si>
    <t>Revenue Forecast (Tech Diffusion Curve) (Thousands $)</t>
  </si>
  <si>
    <t>Blended Unit Volume Forecast (Both Models)</t>
  </si>
  <si>
    <t>Blended Revenue Forecast (Both Models) (Thousands $)</t>
  </si>
  <si>
    <t>Oncoguard (Non-CRC Single-Cancer Screening)</t>
  </si>
  <si>
    <t>Hepatocellular Carcinoma (HCC) Diffusion Adoption (%)</t>
  </si>
  <si>
    <t>HCC Unit Volume Forecast</t>
  </si>
  <si>
    <t>HCC ASP Forecast (Dollars $)</t>
  </si>
  <si>
    <t>HCC Revenue Forecast (Thousands $)</t>
  </si>
  <si>
    <t>Esophageal Diffusion Adoption (%)</t>
  </si>
  <si>
    <t>Eso. Unit Volume Forecast</t>
  </si>
  <si>
    <t>Eso. ASP Forecast (Dollars $)</t>
  </si>
  <si>
    <t>Eso. Revenue Forecast (Thousands $)</t>
  </si>
  <si>
    <t>Ovarian Diffusion Adoption (%)</t>
  </si>
  <si>
    <t>Ovarian Unit Volume Forecast</t>
  </si>
  <si>
    <t>Ovarian ASP Forecast (Dollars $)</t>
  </si>
  <si>
    <t>Ovarian Revenue Forecast (Thousands $)</t>
  </si>
  <si>
    <t>Blended Oncoguard Revenue Forecast (Thousands $)</t>
  </si>
  <si>
    <t>Pre-Approval Diffusion Adoption (%)</t>
  </si>
  <si>
    <t>Pre-Approval Unit Volume Forecast</t>
  </si>
  <si>
    <t>Pre-Approval (Patient Pay) ASP Forecast (Dollars $)</t>
  </si>
  <si>
    <t>Pre-Approval Revenue Forecast (Thousands $)</t>
  </si>
  <si>
    <t>Post-Approval Diffusion Adoption (%)</t>
  </si>
  <si>
    <t>Post-Approval Unit Volume Forecast</t>
  </si>
  <si>
    <t>Post-Approval (Reimbursed) ASP Forecast (Dollars $)</t>
  </si>
  <si>
    <t>Post-Approval Revenue Forecast (Thousands $)</t>
  </si>
  <si>
    <t>Blended Unit Volme Forecast</t>
  </si>
  <si>
    <t>Blended Revenue Forecast (Thousands $)</t>
  </si>
  <si>
    <t xml:space="preserve">Following its acquisition of Genomic Health in 2019, Exact Sciences became a dominant, global provider of molecular prognostic tests. </t>
  </si>
  <si>
    <t xml:space="preserve">This section covers Exact's Oncotype DX franchise and its forthcoming minimal residual disease tests, which also are indicated for use with early-stage solid tumor patients. </t>
  </si>
  <si>
    <r>
      <t xml:space="preserve">Though not exhaustive, we've interwoven several, common patient journeys </t>
    </r>
    <r>
      <rPr>
        <b/>
        <sz val="14"/>
        <color theme="1"/>
        <rFont val="Calibri"/>
        <family val="2"/>
        <scheme val="minor"/>
      </rPr>
      <t>(Lettered Boxes)</t>
    </r>
    <r>
      <rPr>
        <sz val="14"/>
        <color theme="1"/>
        <rFont val="Calibri"/>
        <family val="2"/>
        <scheme val="minor"/>
      </rPr>
      <t xml:space="preserve"> through Exact's Prognostics &amp; MRD portfolio. </t>
    </r>
  </si>
  <si>
    <r>
      <rPr>
        <b/>
        <sz val="14"/>
        <color rgb="FF000000"/>
        <rFont val="Calibri"/>
        <family val="2"/>
      </rPr>
      <t>A</t>
    </r>
    <r>
      <rPr>
        <sz val="14"/>
        <color rgb="FF000000"/>
        <rFont val="Calibri"/>
        <family val="2"/>
      </rPr>
      <t xml:space="preserve"> = The majority of patients entering Exact's prognostic funnel likely will begin with Oncotype DX following an early-stage cancer diagnosis. Many of these may also receive hereditary testing and/or MRD testing.</t>
    </r>
  </si>
  <si>
    <r>
      <t>B</t>
    </r>
    <r>
      <rPr>
        <sz val="14"/>
        <color rgb="FF000000"/>
        <rFont val="Calibri"/>
        <family val="2"/>
      </rPr>
      <t xml:space="preserve"> = Some patients whom test positive with a screening test are likely to continue their cancer treatment with Exact as their diagnostic provider.</t>
    </r>
  </si>
  <si>
    <r>
      <rPr>
        <b/>
        <sz val="14"/>
        <color theme="1"/>
        <rFont val="Calibri"/>
        <family val="2"/>
        <scheme val="minor"/>
      </rPr>
      <t xml:space="preserve">C </t>
    </r>
    <r>
      <rPr>
        <sz val="14"/>
        <color theme="1"/>
        <rFont val="Calibri"/>
        <family val="2"/>
        <scheme val="minor"/>
      </rPr>
      <t>= During and after treatment, patients will continue to receive MRD tests to monitor their disease.</t>
    </r>
  </si>
  <si>
    <r>
      <rPr>
        <b/>
        <sz val="14"/>
        <color rgb="FF000000"/>
        <rFont val="Calibri"/>
        <family val="2"/>
      </rPr>
      <t>D</t>
    </r>
    <r>
      <rPr>
        <sz val="14"/>
        <color rgb="FF000000"/>
        <rFont val="Calibri"/>
        <family val="2"/>
      </rPr>
      <t xml:space="preserve"> = Patients who go into long-term remission may exit surveillance monitoring. </t>
    </r>
  </si>
  <si>
    <r>
      <rPr>
        <b/>
        <sz val="14"/>
        <color rgb="FF000000"/>
        <rFont val="Calibri"/>
        <family val="2"/>
      </rPr>
      <t>E</t>
    </r>
    <r>
      <rPr>
        <sz val="14"/>
        <color rgb="FF000000"/>
        <rFont val="Calibri"/>
        <family val="2"/>
      </rPr>
      <t xml:space="preserve"> = Patients with more aggressive cancers may go on to receive a more comprehensive therapy selection test.</t>
    </r>
  </si>
  <si>
    <t>Prognostics &amp; Disease Monitoring Revenue (Thousands $)</t>
  </si>
  <si>
    <t>Oncotype</t>
  </si>
  <si>
    <t>Tumor-Naïve MRD</t>
  </si>
  <si>
    <t>Tumor-Informed MRD</t>
  </si>
  <si>
    <t>Core Prognostic Unit Volume (US-Only) (Forecast)</t>
  </si>
  <si>
    <t>Oncotype Forecast (US-Only)</t>
  </si>
  <si>
    <t>Organic Market Adoption (%)</t>
  </si>
  <si>
    <t>Annual ASP ($)</t>
  </si>
  <si>
    <t>Revenue (Historical, $K)</t>
  </si>
  <si>
    <t>Volume Trend</t>
  </si>
  <si>
    <t>Cancers Discovered Through Screening</t>
  </si>
  <si>
    <t>Screen-Attached Incremental Revenue ($K)</t>
  </si>
  <si>
    <t>Total Revenue Trend ($K)</t>
  </si>
  <si>
    <t>YoY Growth (%)</t>
  </si>
  <si>
    <t>Oncotype Forecast (OUS-Only)</t>
  </si>
  <si>
    <t>Consolidated Oncotype Revenue</t>
  </si>
  <si>
    <t>Tumor-Informed Forecast</t>
  </si>
  <si>
    <t>MOLECULAR RESIDUAL DISEASE</t>
  </si>
  <si>
    <t>Primary Tissue Market Adoption (%)</t>
  </si>
  <si>
    <t>Fixed MRD Cohort Mechanics</t>
  </si>
  <si>
    <t>Organic Volume Trend</t>
  </si>
  <si>
    <t>Let f(x) = mx + b; Where…</t>
  </si>
  <si>
    <t>Cancers Detected Through Screening</t>
  </si>
  <si>
    <t xml:space="preserve">        Slope (m)</t>
  </si>
  <si>
    <t>Total Volume Trend</t>
  </si>
  <si>
    <t>Intercept (b)</t>
  </si>
  <si>
    <t>Revenue Trend ($K)</t>
  </si>
  <si>
    <t>Cohort Years</t>
  </si>
  <si>
    <t>2023 Cohort Surveillance Tests</t>
  </si>
  <si>
    <t>2024 Cohort Surveillance Tests</t>
  </si>
  <si>
    <t>2025 Cohort Surveillance Tests</t>
  </si>
  <si>
    <t>2026 Cohort Surveillance Tests</t>
  </si>
  <si>
    <t>2027 Cohort Surveillance Tests</t>
  </si>
  <si>
    <t>2028 Cohort Surveillance Tests</t>
  </si>
  <si>
    <t>2029 Cohort Surveillance Tests</t>
  </si>
  <si>
    <t>2030 Cohort Surveillance Tests</t>
  </si>
  <si>
    <t>Surveillance Volume Trend</t>
  </si>
  <si>
    <t>Surveillance Revenue Trend ($K)</t>
  </si>
  <si>
    <t>Combined Tumor-Informed Volume</t>
  </si>
  <si>
    <t>Combined Tumor-Informed Revenue ($K)</t>
  </si>
  <si>
    <t>Tumor-Naïve Forecast</t>
  </si>
  <si>
    <t>Primary Blood Market Adoption (%)</t>
  </si>
  <si>
    <t>Combined Tumor-Naïve Volume</t>
  </si>
  <si>
    <t>Combined Tumor-Naïve Revenue ($K)</t>
  </si>
  <si>
    <t>Consolidated MRD Volume and Revenue</t>
  </si>
  <si>
    <t>Tumor-Informed Volume</t>
  </si>
  <si>
    <t>Tumor-Naïve Volume</t>
  </si>
  <si>
    <t>Total MRD Volume</t>
  </si>
  <si>
    <t>Tumor-Informed Revenue ($K)</t>
  </si>
  <si>
    <t>Tumor-Naïve Revenue ($K)</t>
  </si>
  <si>
    <t>Total MRD Revenue ($K)</t>
  </si>
  <si>
    <t xml:space="preserve">Exact Sciences operates two diagnostic testing franchises for patients requiring biomarker testing upstream of therapy. </t>
  </si>
  <si>
    <r>
      <t xml:space="preserve">Though not exhaustive, we've interwoven several, common patient journeys </t>
    </r>
    <r>
      <rPr>
        <b/>
        <sz val="12"/>
        <color theme="1"/>
        <rFont val="Calibri"/>
        <family val="2"/>
        <scheme val="minor"/>
      </rPr>
      <t>(Lettered Boxes)</t>
    </r>
    <r>
      <rPr>
        <sz val="12"/>
        <color theme="1"/>
        <rFont val="Calibri"/>
        <family val="2"/>
        <scheme val="minor"/>
      </rPr>
      <t xml:space="preserve"> through Exact's Therapy Selection portfolio. </t>
    </r>
  </si>
  <si>
    <r>
      <rPr>
        <b/>
        <sz val="12"/>
        <color theme="1"/>
        <rFont val="Calibri"/>
        <family val="2"/>
        <scheme val="minor"/>
      </rPr>
      <t>A</t>
    </r>
    <r>
      <rPr>
        <sz val="12"/>
        <color theme="1"/>
        <rFont val="Calibri"/>
        <family val="2"/>
        <scheme val="minor"/>
      </rPr>
      <t xml:space="preserve"> = Patients presenting with more advanced cancers will go straight to therapy selection testing. Oncomap Extra is a larger panel with investigational content and is more likely to be used in a clinical trial setting.</t>
    </r>
  </si>
  <si>
    <r>
      <rPr>
        <b/>
        <sz val="12"/>
        <color theme="1"/>
        <rFont val="Calibri"/>
        <family val="2"/>
        <scheme val="minor"/>
      </rPr>
      <t>B</t>
    </r>
    <r>
      <rPr>
        <sz val="12"/>
        <color theme="1"/>
        <rFont val="Calibri"/>
        <family val="2"/>
        <scheme val="minor"/>
      </rPr>
      <t xml:space="preserve"> = Some patients undergoing MRD testing may relapse, which could result in their needing a therapy selection test. </t>
    </r>
  </si>
  <si>
    <t>Therapy Selection Revenue (Thousands $)</t>
  </si>
  <si>
    <t>Oncomap Revenue</t>
  </si>
  <si>
    <t>Oncomap Extra Revenue</t>
  </si>
  <si>
    <t>Oncomap Forecast (Clinical)</t>
  </si>
  <si>
    <t>Market Adoption (%)</t>
  </si>
  <si>
    <t>Revenue Forecast ($K)</t>
  </si>
  <si>
    <t>Oncomap Extra Forecast (Research, Academic, Biopharma)</t>
  </si>
  <si>
    <t>The long-term fraction of the BC and CRC prognostic market controlled by Exact; this is not the market penetration rate at 2027, but acts as an adoption curve tuning parameter</t>
  </si>
  <si>
    <t>Modeled Revenue Trend ($K)</t>
  </si>
  <si>
    <t xml:space="preserve">We assign a lukewarm 6X EV/Sales multiple to Exact's pipeline. This is less than the implied EV/Sales multiple of the core business (~6.4X). </t>
  </si>
  <si>
    <t>EV is based on an EV/Sales multiple of 6X, less than the implied multiple on the core business.</t>
  </si>
  <si>
    <t>You may not use the material for commerical purposes without first obtaining written permission.</t>
  </si>
  <si>
    <t xml:space="preserve">This work is licensed under a Creative Commons Attribution-Non-Commercial 4.0 International License. </t>
  </si>
  <si>
    <t>This valuation tool is meant to help determine the value of a single security over a five (5) year time horizon. The model works by allowing users to select and/or alter inputs that may affect the resulting output.</t>
  </si>
  <si>
    <t xml:space="preserve">This model is inherently limited by its nature, including the assumption of perfectly efficient markets. ARK has used its research to determine what it believes are reasonable ranges for input variables contained within the model. </t>
  </si>
  <si>
    <t xml:space="preserve">Please refer to the associated Exact Sciences whitepaper for additional information on the assumptions, methodology, and limitations of the model. The results may vary with each use of the model and over time. </t>
  </si>
  <si>
    <t xml:space="preserve">This model relies on historical information of the modeled security, including publicly available financial data and analysis of that data by ARK and by third-parties. Some input values were derived from scientific fact. </t>
  </si>
  <si>
    <t>The reader is urged to use caution when considering the forecasted performance as it is inherently subjective and reflects ARK's long term positive view of the company.</t>
  </si>
  <si>
    <t>There is no guarantee that any results will align with the forecasted performance. This tool generates outcomes that are hypothetical in nature.</t>
  </si>
  <si>
    <t xml:space="preserve">This material is for informational purposes only and does not constitute, either explicitly or implicitly, any provision of services or products by ARK. </t>
  </si>
  <si>
    <t xml:space="preserve">Nothing contained herein constitutes investment, legal, tax or other advice and is not to be relied on in making an investment or other decision. </t>
  </si>
  <si>
    <t>Investors should determine for themselves whether a particular service or product is suitable for their investment needs or should seek such professional advice for their particular situation.</t>
  </si>
  <si>
    <t xml:space="preserve">This material is intended only to provide observations and views of the author(s) at the time of writing, both of which are subject to change at any time without prior notice. </t>
  </si>
  <si>
    <t xml:space="preserve">Certain of the statements contained herein are statements of future expectations and other forward-looking statements that are based on ARK's current views and assumptions and involve known and unknown risks conditions. </t>
  </si>
  <si>
    <t xml:space="preserve">and uncertainties that could cause actual results, performance or events to differ materially from those expressed or implied in such statements. Past performance is no guarantee of future results. </t>
  </si>
  <si>
    <t>Equities may decline in value due to both real and perceived general market, economic, and industry conditions.</t>
  </si>
  <si>
    <t xml:space="preserve">ARK's statements are not an endorsement of any company or a recommendation to buy, sell, or hold any security. For a list of all purchases and sales made by ARK for client accounts during the past year </t>
  </si>
  <si>
    <t xml:space="preserve">that could be considered by the SEC as recommendations, please contact ARK at info@ark-invest.com. It should not be assumed that recommendations made in the future will be profitable or will equal the performance of the securities in this list. </t>
  </si>
  <si>
    <t>For full disclosures, please go to: https://ark-invest.com/terms-of-use.</t>
  </si>
  <si>
    <t xml:space="preserve">While ARK’s current assessment of the subject company may be positive, please note that it may be necessary for ARK to liquidate or reduce position sizes prior to the company attaining any indicated valuation prices due to a variety of conditions including, </t>
  </si>
  <si>
    <t xml:space="preserve">but not limited to, client specific guidelines, changing market conditions, investor activity, fundamental changes in the company’s business model and competitive landscape, headline risk, and government/regulatory activity.  </t>
  </si>
  <si>
    <t>Additionally, ARK does not have investment banking or consulting relationship with the subject company.</t>
  </si>
  <si>
    <r>
      <t xml:space="preserve">The first section </t>
    </r>
    <r>
      <rPr>
        <b/>
        <sz val="12"/>
        <color theme="9"/>
        <rFont val="Calibri (Body)"/>
      </rPr>
      <t>(Blue)</t>
    </r>
    <r>
      <rPr>
        <b/>
        <sz val="12"/>
        <color theme="1"/>
        <rFont val="Calibri"/>
        <family val="2"/>
        <scheme val="minor"/>
      </rPr>
      <t xml:space="preserve"> features this model's most sensitive inputs. We've split these inputs into three scenarios: </t>
    </r>
    <r>
      <rPr>
        <b/>
        <sz val="12"/>
        <color theme="5"/>
        <rFont val="Calibri (Body)"/>
      </rPr>
      <t>Bull</t>
    </r>
    <r>
      <rPr>
        <b/>
        <sz val="12"/>
        <color theme="1"/>
        <rFont val="Calibri"/>
        <family val="2"/>
        <scheme val="minor"/>
      </rPr>
      <t xml:space="preserve">, </t>
    </r>
    <r>
      <rPr>
        <b/>
        <sz val="12"/>
        <color theme="8"/>
        <rFont val="Calibri (Body)"/>
      </rPr>
      <t>Base</t>
    </r>
    <r>
      <rPr>
        <b/>
        <sz val="12"/>
        <color theme="1"/>
        <rFont val="Calibri"/>
        <family val="2"/>
        <scheme val="minor"/>
      </rPr>
      <t xml:space="preserve">, </t>
    </r>
    <r>
      <rPr>
        <b/>
        <sz val="12"/>
        <color theme="9"/>
        <rFont val="Calibri (Body)"/>
      </rPr>
      <t>Bear</t>
    </r>
    <r>
      <rPr>
        <b/>
        <sz val="12"/>
        <color theme="1"/>
        <rFont val="Calibri"/>
        <family val="2"/>
        <scheme val="minor"/>
      </rPr>
      <t xml:space="preserve">. Selecting one of these cases on the </t>
    </r>
    <r>
      <rPr>
        <b/>
        <sz val="12"/>
        <color theme="2" tint="-0.499984740745262"/>
        <rFont val="Calibri (Body)"/>
      </rPr>
      <t>DASHBOARD</t>
    </r>
    <r>
      <rPr>
        <b/>
        <sz val="12"/>
        <color theme="1"/>
        <rFont val="Calibri"/>
        <family val="2"/>
        <scheme val="minor"/>
      </rPr>
      <t xml:space="preserve"> tab will automatically push that case's inputs to the Active Input column (Column G). </t>
    </r>
  </si>
  <si>
    <t xml:space="preserve">Exact's G&amp;A budget will shrink by 3.5% y/y in 2022. Conservatively, we estimate that G&amp;A will reaccelerate to 7% as the company invests in infrastructure and personnel to grow its business.  </t>
  </si>
  <si>
    <t>Annual % Change of R&amp;D Budget Allocated to Pipeline</t>
  </si>
  <si>
    <t>Annual % Change of S&amp;M Budget Allocated to Pipeline</t>
  </si>
  <si>
    <t>Annual % Change of G&amp;A Budget Allocated to Pipeline</t>
  </si>
  <si>
    <t>›</t>
  </si>
  <si>
    <t xml:space="preserve">2023, ARK Investment Management LLC. All content is original and has been researched and produced by ARK Investment Management LLC ("ARK") unless otherwise stated herein.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</si>
</sst>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quot;$&quot;#,##0"/>
    <numFmt numFmtId="167" formatCode="_(&quot;$&quot;* #,##0_);_(&quot;$&quot;* \(#,##0\);_(&quot;$&quot;* &quot;-&quot;?_);_(@_)"/>
  </numFmts>
  <fonts count="73" x14ac:knownFonts="1">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70C0"/>
      <name val="Calibri"/>
      <family val="2"/>
      <scheme val="minor"/>
    </font>
    <font>
      <b/>
      <sz val="14"/>
      <color theme="0"/>
      <name val="Calibri"/>
      <family val="2"/>
      <scheme val="minor"/>
    </font>
    <font>
      <i/>
      <sz val="12"/>
      <color theme="1"/>
      <name val="Calibri"/>
      <family val="2"/>
      <scheme val="minor"/>
    </font>
    <font>
      <sz val="12"/>
      <color theme="2" tint="-0.89999084444715716"/>
      <name val="Calibri"/>
      <family val="2"/>
      <scheme val="minor"/>
    </font>
    <font>
      <i/>
      <sz val="12"/>
      <color theme="2" tint="-0.89999084444715716"/>
      <name val="Calibri"/>
      <family val="2"/>
      <scheme val="minor"/>
    </font>
    <font>
      <b/>
      <sz val="12"/>
      <color theme="2" tint="-0.89999084444715716"/>
      <name val="Calibri"/>
      <family val="2"/>
      <scheme val="minor"/>
    </font>
    <font>
      <sz val="12"/>
      <color theme="5"/>
      <name val="Calibri"/>
      <family val="2"/>
      <scheme val="minor"/>
    </font>
    <font>
      <sz val="14"/>
      <color theme="2" tint="-0.89999084444715716"/>
      <name val="Calibri"/>
      <family val="2"/>
      <scheme val="minor"/>
    </font>
    <font>
      <sz val="12"/>
      <color rgb="FF006100"/>
      <name val="Calibri"/>
      <family val="2"/>
      <scheme val="minor"/>
    </font>
    <font>
      <sz val="12"/>
      <color rgb="FF9C5700"/>
      <name val="Calibri"/>
      <family val="2"/>
      <scheme val="minor"/>
    </font>
    <font>
      <b/>
      <sz val="14"/>
      <color theme="2" tint="-0.89999084444715716"/>
      <name val="Calibri"/>
      <family val="2"/>
      <scheme val="minor"/>
    </font>
    <font>
      <sz val="12"/>
      <color rgb="FF9C0006"/>
      <name val="Calibri"/>
      <family val="2"/>
      <scheme val="minor"/>
    </font>
    <font>
      <sz val="12"/>
      <color rgb="FF141718"/>
      <name val="Calibri"/>
      <family val="2"/>
      <scheme val="minor"/>
    </font>
    <font>
      <sz val="14"/>
      <color theme="1"/>
      <name val="Calibri"/>
      <family val="2"/>
      <scheme val="minor"/>
    </font>
    <font>
      <b/>
      <sz val="14"/>
      <color theme="1"/>
      <name val="Calibri"/>
      <family val="2"/>
      <scheme val="minor"/>
    </font>
    <font>
      <b/>
      <sz val="14"/>
      <color theme="1"/>
      <name val="Calibri (Body)"/>
    </font>
    <font>
      <b/>
      <sz val="12"/>
      <color rgb="FF000000"/>
      <name val="Calibri"/>
      <family val="2"/>
      <scheme val="minor"/>
    </font>
    <font>
      <sz val="14"/>
      <color rgb="FF000000"/>
      <name val="Calibri"/>
      <family val="2"/>
    </font>
    <font>
      <b/>
      <sz val="14"/>
      <color rgb="FF000000"/>
      <name val="Calibri"/>
      <family val="2"/>
    </font>
    <font>
      <sz val="12"/>
      <name val="Calibri"/>
      <family val="2"/>
      <scheme val="minor"/>
    </font>
    <font>
      <b/>
      <sz val="20"/>
      <color rgb="FF8164FF"/>
      <name val="Calibri"/>
      <family val="2"/>
      <scheme val="minor"/>
    </font>
    <font>
      <i/>
      <sz val="12"/>
      <color rgb="FF141718"/>
      <name val="Calibri"/>
      <family val="2"/>
      <scheme val="minor"/>
    </font>
    <font>
      <b/>
      <sz val="12"/>
      <name val="Calibri"/>
      <family val="2"/>
      <scheme val="minor"/>
    </font>
    <font>
      <b/>
      <sz val="14"/>
      <color rgb="FF8164FF"/>
      <name val="Calibri"/>
      <family val="2"/>
      <scheme val="minor"/>
    </font>
    <font>
      <b/>
      <sz val="18"/>
      <color theme="6"/>
      <name val="Calibri"/>
      <family val="2"/>
      <scheme val="minor"/>
    </font>
    <font>
      <b/>
      <sz val="14"/>
      <color theme="5"/>
      <name val="Calibri"/>
      <family val="2"/>
      <scheme val="minor"/>
    </font>
    <font>
      <b/>
      <sz val="14"/>
      <color theme="6"/>
      <name val="Calibri"/>
      <family val="2"/>
      <scheme val="minor"/>
    </font>
    <font>
      <b/>
      <sz val="14"/>
      <color theme="4"/>
      <name val="Calibri"/>
      <family val="2"/>
      <scheme val="minor"/>
    </font>
    <font>
      <sz val="12"/>
      <color theme="4"/>
      <name val="Calibri"/>
      <family val="2"/>
      <scheme val="minor"/>
    </font>
    <font>
      <sz val="12"/>
      <color theme="8"/>
      <name val="Calibri"/>
      <family val="2"/>
      <scheme val="minor"/>
    </font>
    <font>
      <b/>
      <sz val="14"/>
      <color theme="8"/>
      <name val="Calibri"/>
      <family val="2"/>
      <scheme val="minor"/>
    </font>
    <font>
      <b/>
      <sz val="20"/>
      <color theme="5"/>
      <name val="Calibri"/>
      <family val="2"/>
      <scheme val="minor"/>
    </font>
    <font>
      <b/>
      <sz val="20"/>
      <color theme="6"/>
      <name val="Calibri"/>
      <family val="2"/>
      <scheme val="minor"/>
    </font>
    <font>
      <b/>
      <sz val="20"/>
      <color theme="8"/>
      <name val="Calibri"/>
      <family val="2"/>
      <scheme val="minor"/>
    </font>
    <font>
      <b/>
      <sz val="20"/>
      <color theme="9"/>
      <name val="Calibri"/>
      <family val="2"/>
      <scheme val="minor"/>
    </font>
    <font>
      <b/>
      <sz val="14"/>
      <color theme="9"/>
      <name val="Calibri"/>
      <family val="2"/>
      <scheme val="minor"/>
    </font>
    <font>
      <b/>
      <i/>
      <sz val="14"/>
      <color theme="9"/>
      <name val="Calibri"/>
      <family val="2"/>
      <scheme val="minor"/>
    </font>
    <font>
      <b/>
      <i/>
      <sz val="14"/>
      <color theme="4"/>
      <name val="Calibri"/>
      <family val="2"/>
      <scheme val="minor"/>
    </font>
    <font>
      <b/>
      <i/>
      <sz val="14"/>
      <color theme="5"/>
      <name val="Calibri"/>
      <family val="2"/>
      <scheme val="minor"/>
    </font>
    <font>
      <b/>
      <i/>
      <sz val="18"/>
      <color theme="6"/>
      <name val="Calibri"/>
      <family val="2"/>
      <scheme val="minor"/>
    </font>
    <font>
      <b/>
      <i/>
      <sz val="14"/>
      <color theme="6"/>
      <name val="Calibri"/>
      <family val="2"/>
      <scheme val="minor"/>
    </font>
    <font>
      <i/>
      <sz val="14"/>
      <color theme="2" tint="-0.89999084444715716"/>
      <name val="Calibri"/>
      <family val="2"/>
      <scheme val="minor"/>
    </font>
    <font>
      <b/>
      <i/>
      <sz val="14"/>
      <color theme="8"/>
      <name val="Calibri"/>
      <family val="2"/>
      <scheme val="minor"/>
    </font>
    <font>
      <b/>
      <sz val="20"/>
      <color theme="2" tint="-0.499984740745262"/>
      <name val="Calibri"/>
      <family val="2"/>
      <scheme val="minor"/>
    </font>
    <font>
      <sz val="12"/>
      <color theme="2" tint="-0.499984740745262"/>
      <name val="Calibri"/>
      <family val="2"/>
      <scheme val="minor"/>
    </font>
    <font>
      <b/>
      <sz val="14"/>
      <color theme="2" tint="-0.499984740745262"/>
      <name val="Calibri"/>
      <family val="2"/>
      <scheme val="minor"/>
    </font>
    <font>
      <b/>
      <sz val="12"/>
      <color theme="2" tint="-0.499984740745262"/>
      <name val="Calibri"/>
      <family val="2"/>
      <scheme val="minor"/>
    </font>
    <font>
      <i/>
      <sz val="12"/>
      <color theme="2" tint="-0.499984740745262"/>
      <name val="Calibri"/>
      <family val="2"/>
      <scheme val="minor"/>
    </font>
    <font>
      <b/>
      <i/>
      <sz val="12"/>
      <color theme="2" tint="-0.499984740745262"/>
      <name val="Calibri"/>
      <family val="2"/>
      <scheme val="minor"/>
    </font>
    <font>
      <b/>
      <sz val="12"/>
      <color theme="4"/>
      <name val="Calibri (Body)"/>
    </font>
    <font>
      <b/>
      <sz val="12"/>
      <color theme="5"/>
      <name val="Calibri (Body)"/>
    </font>
    <font>
      <b/>
      <sz val="12"/>
      <color theme="6"/>
      <name val="Calibri (Body)"/>
    </font>
    <font>
      <u/>
      <sz val="12"/>
      <color theme="10"/>
      <name val="Calibri"/>
      <family val="2"/>
      <scheme val="minor"/>
    </font>
    <font>
      <b/>
      <sz val="12"/>
      <color theme="9"/>
      <name val="Calibri (Body)"/>
    </font>
    <font>
      <b/>
      <sz val="12"/>
      <color theme="8"/>
      <name val="Calibri (Body)"/>
    </font>
    <font>
      <b/>
      <u/>
      <sz val="14"/>
      <color theme="9"/>
      <name val="Calibri"/>
      <family val="2"/>
      <scheme val="minor"/>
    </font>
    <font>
      <b/>
      <sz val="12"/>
      <color theme="2" tint="-0.499984740745262"/>
      <name val="Calibri (Body)"/>
    </font>
    <font>
      <b/>
      <u/>
      <sz val="14"/>
      <color theme="5"/>
      <name val="Calibri"/>
      <family val="2"/>
      <scheme val="minor"/>
    </font>
    <font>
      <b/>
      <u/>
      <sz val="14"/>
      <color theme="8"/>
      <name val="Calibri"/>
      <family val="2"/>
      <scheme val="minor"/>
    </font>
    <font>
      <b/>
      <sz val="12"/>
      <color theme="4"/>
      <name val="Calibri"/>
      <family val="2"/>
      <scheme val="minor"/>
    </font>
    <font>
      <sz val="12"/>
      <color theme="9"/>
      <name val="Calibri"/>
      <family val="2"/>
      <scheme val="minor"/>
    </font>
    <font>
      <b/>
      <sz val="12"/>
      <color theme="9"/>
      <name val="Calibri"/>
      <family val="2"/>
      <scheme val="minor"/>
    </font>
    <font>
      <sz val="12"/>
      <color rgb="FFFFFF00"/>
      <name val="Calibri"/>
      <family val="2"/>
      <scheme val="minor"/>
    </font>
    <font>
      <b/>
      <sz val="12"/>
      <color rgb="FF0070C0"/>
      <name val="Calibri"/>
      <family val="2"/>
      <scheme val="minor"/>
    </font>
    <font>
      <b/>
      <i/>
      <sz val="14"/>
      <color theme="2" tint="-0.499984740745262"/>
      <name val="Calibri"/>
      <family val="2"/>
      <scheme val="minor"/>
    </font>
    <font>
      <sz val="12"/>
      <color rgb="FF0A0922"/>
      <name val="Calibri"/>
      <family val="2"/>
      <scheme val="minor"/>
    </font>
    <font>
      <i/>
      <sz val="12"/>
      <color theme="9"/>
      <name val="Calibri"/>
      <family val="2"/>
      <scheme val="minor"/>
    </font>
    <font>
      <b/>
      <u/>
      <sz val="14"/>
      <color theme="4"/>
      <name val="Calibri"/>
      <family val="2"/>
      <scheme val="minor"/>
    </font>
  </fonts>
  <fills count="31">
    <fill>
      <patternFill patternType="none"/>
    </fill>
    <fill>
      <patternFill patternType="gray125"/>
    </fill>
    <fill>
      <patternFill patternType="solid">
        <fgColor them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rgb="FFF2F4F7"/>
        <bgColor indexed="64"/>
      </patternFill>
    </fill>
    <fill>
      <patternFill patternType="solid">
        <fgColor rgb="FFFDC048"/>
        <bgColor indexed="64"/>
      </patternFill>
    </fill>
    <fill>
      <patternFill patternType="solid">
        <fgColor rgb="FFFFE5B6"/>
        <bgColor indexed="64"/>
      </patternFill>
    </fill>
    <fill>
      <patternFill patternType="solid">
        <fgColor rgb="FFF74870"/>
        <bgColor indexed="64"/>
      </patternFill>
    </fill>
    <fill>
      <patternFill patternType="solid">
        <fgColor rgb="FFFEDAE3"/>
        <bgColor indexed="64"/>
      </patternFill>
    </fill>
    <fill>
      <patternFill patternType="solid">
        <fgColor rgb="FF4497AA"/>
        <bgColor indexed="64"/>
      </patternFill>
    </fill>
    <fill>
      <patternFill patternType="solid">
        <fgColor rgb="FFD9ECF0"/>
        <bgColor indexed="64"/>
      </patternFill>
    </fill>
    <fill>
      <patternFill patternType="solid">
        <fgColor rgb="FF37D695"/>
        <bgColor indexed="64"/>
      </patternFill>
    </fill>
    <fill>
      <patternFill patternType="solid">
        <fgColor rgb="FFD5F6E9"/>
        <bgColor indexed="64"/>
      </patternFill>
    </fill>
    <fill>
      <patternFill patternType="solid">
        <fgColor rgb="FF8164FF"/>
        <bgColor indexed="64"/>
      </patternFill>
    </fill>
    <fill>
      <patternFill patternType="solid">
        <fgColor rgb="FFE7E0FF"/>
        <bgColor indexed="64"/>
      </patternFill>
    </fill>
    <fill>
      <patternFill patternType="solid">
        <fgColor rgb="FFF2F4F8"/>
        <bgColor indexed="64"/>
      </patternFill>
    </fill>
    <fill>
      <patternFill patternType="solid">
        <fgColor rgb="FFFEC048"/>
        <bgColor indexed="64"/>
      </patternFill>
    </fill>
    <fill>
      <patternFill patternType="solid">
        <fgColor rgb="FFF97796"/>
        <bgColor indexed="64"/>
      </patternFill>
    </fill>
    <fill>
      <patternFill patternType="solid">
        <fgColor rgb="FFF2F4F8"/>
        <bgColor rgb="FF000000"/>
      </patternFill>
    </fill>
    <fill>
      <patternFill patternType="solid">
        <fgColor rgb="FFF2F4F8"/>
      </patternFill>
    </fill>
    <fill>
      <patternFill patternType="solid">
        <fgColor rgb="FFE8E0FF"/>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rgb="FFDDE0E6"/>
        <bgColor rgb="FF000000"/>
      </patternFill>
    </fill>
    <fill>
      <patternFill patternType="solid">
        <fgColor theme="4" tint="0.79998168889431442"/>
        <bgColor indexed="64"/>
      </patternFill>
    </fill>
  </fills>
  <borders count="14">
    <border>
      <left/>
      <right/>
      <top/>
      <bottom/>
      <diagonal/>
    </border>
    <border>
      <left/>
      <right/>
      <top/>
      <bottom style="double">
        <color indexed="64"/>
      </bottom>
      <diagonal/>
    </border>
    <border>
      <left/>
      <right/>
      <top/>
      <bottom style="thin">
        <color indexed="64"/>
      </bottom>
      <diagonal/>
    </border>
    <border>
      <left/>
      <right/>
      <top style="thin">
        <color indexed="64"/>
      </top>
      <bottom style="double">
        <color indexed="64"/>
      </bottom>
      <diagonal/>
    </border>
    <border>
      <left/>
      <right/>
      <top/>
      <bottom style="double">
        <color rgb="FF000000"/>
      </bottom>
      <diagonal/>
    </border>
    <border>
      <left/>
      <right/>
      <top/>
      <bottom style="thin">
        <color rgb="FF000000"/>
      </bottom>
      <diagonal/>
    </border>
    <border>
      <left/>
      <right/>
      <top style="double">
        <color rgb="FF000000"/>
      </top>
      <bottom/>
      <diagonal/>
    </border>
    <border>
      <left/>
      <right/>
      <top style="double">
        <color indexed="64"/>
      </top>
      <bottom/>
      <diagonal/>
    </border>
    <border>
      <left/>
      <right/>
      <top style="thin">
        <color rgb="FF000000"/>
      </top>
      <bottom style="double">
        <color indexed="64"/>
      </bottom>
      <diagonal/>
    </border>
    <border>
      <left/>
      <right/>
      <top/>
      <bottom style="double">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3"/>
      </bottom>
      <diagonal/>
    </border>
    <border>
      <left/>
      <right/>
      <top/>
      <bottom style="double">
        <color theme="3"/>
      </bottom>
      <diagonal/>
    </border>
  </borders>
  <cellStyleXfs count="9">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3" fillId="5" borderId="0" applyNumberFormat="0" applyBorder="0" applyAlignment="0" applyProtection="0"/>
    <xf numFmtId="0" fontId="14" fillId="6" borderId="0" applyNumberFormat="0" applyBorder="0" applyAlignment="0" applyProtection="0"/>
    <xf numFmtId="0" fontId="16" fillId="7" borderId="0" applyNumberFormat="0" applyBorder="0" applyAlignment="0" applyProtection="0"/>
    <xf numFmtId="0" fontId="57" fillId="0" borderId="0" applyNumberFormat="0" applyFill="0" applyBorder="0" applyAlignment="0" applyProtection="0"/>
    <xf numFmtId="0" fontId="1" fillId="0" borderId="0"/>
  </cellStyleXfs>
  <cellXfs count="549">
    <xf numFmtId="0" fontId="0" fillId="0" borderId="0" xfId="0"/>
    <xf numFmtId="0" fontId="0" fillId="3" borderId="0" xfId="0" applyFill="1"/>
    <xf numFmtId="0" fontId="0" fillId="8" borderId="0" xfId="0" applyFill="1"/>
    <xf numFmtId="165" fontId="0" fillId="8" borderId="0" xfId="2" applyNumberFormat="1" applyFont="1" applyFill="1"/>
    <xf numFmtId="164" fontId="0" fillId="8" borderId="0" xfId="1" applyNumberFormat="1" applyFont="1" applyFill="1"/>
    <xf numFmtId="164" fontId="5" fillId="8" borderId="0" xfId="1" applyNumberFormat="1" applyFont="1" applyFill="1"/>
    <xf numFmtId="165" fontId="5" fillId="8" borderId="0" xfId="2" applyNumberFormat="1" applyFont="1" applyFill="1"/>
    <xf numFmtId="9" fontId="0" fillId="8" borderId="0" xfId="3" applyFont="1" applyFill="1"/>
    <xf numFmtId="0" fontId="0" fillId="10" borderId="0" xfId="0" applyFill="1"/>
    <xf numFmtId="164" fontId="5" fillId="10" borderId="0" xfId="1" applyNumberFormat="1" applyFont="1" applyFill="1"/>
    <xf numFmtId="165" fontId="0" fillId="10" borderId="0" xfId="2" applyNumberFormat="1" applyFont="1" applyFill="1"/>
    <xf numFmtId="165" fontId="5" fillId="10" borderId="0" xfId="2" applyNumberFormat="1" applyFont="1" applyFill="1"/>
    <xf numFmtId="164" fontId="0" fillId="8" borderId="0" xfId="0" applyNumberFormat="1" applyFill="1"/>
    <xf numFmtId="164" fontId="1" fillId="10" borderId="0" xfId="1" applyNumberFormat="1" applyFont="1" applyFill="1"/>
    <xf numFmtId="164" fontId="0" fillId="10" borderId="0" xfId="0" applyNumberFormat="1" applyFill="1"/>
    <xf numFmtId="164" fontId="0" fillId="10" borderId="0" xfId="1" applyNumberFormat="1" applyFont="1" applyFill="1"/>
    <xf numFmtId="165" fontId="0" fillId="8" borderId="0" xfId="0" applyNumberFormat="1" applyFill="1"/>
    <xf numFmtId="0" fontId="3" fillId="9" borderId="1" xfId="0" applyFont="1" applyFill="1" applyBorder="1"/>
    <xf numFmtId="0" fontId="0" fillId="10" borderId="2" xfId="0" applyFill="1" applyBorder="1"/>
    <xf numFmtId="164" fontId="0" fillId="10" borderId="2" xfId="1" applyNumberFormat="1" applyFont="1" applyFill="1" applyBorder="1"/>
    <xf numFmtId="0" fontId="3" fillId="9" borderId="3" xfId="0" applyFont="1" applyFill="1" applyBorder="1"/>
    <xf numFmtId="165" fontId="3" fillId="9" borderId="3" xfId="0" applyNumberFormat="1" applyFont="1" applyFill="1" applyBorder="1"/>
    <xf numFmtId="0" fontId="0" fillId="12" borderId="0" xfId="0" applyFill="1"/>
    <xf numFmtId="164" fontId="0" fillId="12" borderId="0" xfId="1" applyNumberFormat="1" applyFont="1" applyFill="1"/>
    <xf numFmtId="165" fontId="0" fillId="12" borderId="0" xfId="2" applyNumberFormat="1" applyFont="1" applyFill="1"/>
    <xf numFmtId="0" fontId="0" fillId="12" borderId="2" xfId="0" applyFill="1" applyBorder="1"/>
    <xf numFmtId="165" fontId="0" fillId="12" borderId="2" xfId="2" applyNumberFormat="1" applyFont="1" applyFill="1" applyBorder="1"/>
    <xf numFmtId="0" fontId="2" fillId="11" borderId="1" xfId="0" applyFont="1" applyFill="1" applyBorder="1"/>
    <xf numFmtId="0" fontId="2" fillId="11" borderId="3" xfId="0" applyFont="1" applyFill="1" applyBorder="1"/>
    <xf numFmtId="165" fontId="2" fillId="11" borderId="3" xfId="0" applyNumberFormat="1" applyFont="1" applyFill="1" applyBorder="1"/>
    <xf numFmtId="0" fontId="2" fillId="13" borderId="1" xfId="0" applyFont="1" applyFill="1" applyBorder="1"/>
    <xf numFmtId="0" fontId="0" fillId="8" borderId="2" xfId="0" applyFill="1" applyBorder="1"/>
    <xf numFmtId="164" fontId="0" fillId="8" borderId="2" xfId="0" applyNumberFormat="1" applyFill="1" applyBorder="1"/>
    <xf numFmtId="0" fontId="2" fillId="13" borderId="3" xfId="0" applyFont="1" applyFill="1" applyBorder="1"/>
    <xf numFmtId="165" fontId="2" fillId="13" borderId="3" xfId="0" applyNumberFormat="1" applyFont="1" applyFill="1" applyBorder="1"/>
    <xf numFmtId="0" fontId="0" fillId="14" borderId="0" xfId="0" applyFill="1"/>
    <xf numFmtId="164" fontId="0" fillId="14" borderId="0" xfId="1" applyNumberFormat="1" applyFont="1" applyFill="1"/>
    <xf numFmtId="165" fontId="0" fillId="14" borderId="0" xfId="2" applyNumberFormat="1" applyFont="1" applyFill="1"/>
    <xf numFmtId="0" fontId="3" fillId="15" borderId="1" xfId="0" applyFont="1" applyFill="1" applyBorder="1"/>
    <xf numFmtId="0" fontId="0" fillId="16" borderId="0" xfId="0" applyFill="1"/>
    <xf numFmtId="165" fontId="0" fillId="16" borderId="0" xfId="2" applyNumberFormat="1" applyFont="1" applyFill="1"/>
    <xf numFmtId="0" fontId="3" fillId="15" borderId="3" xfId="0" applyFont="1" applyFill="1" applyBorder="1"/>
    <xf numFmtId="165" fontId="3" fillId="15" borderId="3" xfId="2" applyNumberFormat="1" applyFont="1" applyFill="1" applyBorder="1"/>
    <xf numFmtId="0" fontId="2" fillId="17" borderId="1" xfId="0" applyFont="1" applyFill="1" applyBorder="1"/>
    <xf numFmtId="165" fontId="0" fillId="8" borderId="0" xfId="2" applyNumberFormat="1" applyFont="1" applyFill="1" applyAlignment="1">
      <alignment horizontal="right"/>
    </xf>
    <xf numFmtId="0" fontId="2" fillId="17" borderId="0" xfId="0" applyFont="1" applyFill="1"/>
    <xf numFmtId="165" fontId="2" fillId="17" borderId="0" xfId="0" applyNumberFormat="1" applyFont="1" applyFill="1"/>
    <xf numFmtId="0" fontId="0" fillId="18" borderId="0" xfId="0" applyFill="1"/>
    <xf numFmtId="165" fontId="0" fillId="18" borderId="0" xfId="2" applyNumberFormat="1" applyFont="1" applyFill="1"/>
    <xf numFmtId="0" fontId="0" fillId="18" borderId="2" xfId="0" applyFill="1" applyBorder="1"/>
    <xf numFmtId="165" fontId="0" fillId="18" borderId="2" xfId="2" applyNumberFormat="1" applyFont="1" applyFill="1" applyBorder="1"/>
    <xf numFmtId="0" fontId="0" fillId="19" borderId="0" xfId="0" applyFill="1" applyAlignment="1">
      <alignment vertical="top"/>
    </xf>
    <xf numFmtId="0" fontId="18" fillId="19" borderId="0" xfId="0" applyFont="1" applyFill="1" applyAlignment="1">
      <alignment vertical="top"/>
    </xf>
    <xf numFmtId="0" fontId="19" fillId="19" borderId="0" xfId="0" applyFont="1" applyFill="1" applyAlignment="1">
      <alignment vertical="top"/>
    </xf>
    <xf numFmtId="0" fontId="22" fillId="19" borderId="0" xfId="0" applyFont="1" applyFill="1" applyAlignment="1">
      <alignment vertical="top"/>
    </xf>
    <xf numFmtId="0" fontId="23" fillId="19" borderId="0" xfId="0" applyFont="1" applyFill="1" applyAlignment="1">
      <alignment vertical="top"/>
    </xf>
    <xf numFmtId="0" fontId="3" fillId="20" borderId="4" xfId="0" applyFont="1" applyFill="1" applyBorder="1" applyAlignment="1">
      <alignment vertical="center"/>
    </xf>
    <xf numFmtId="0" fontId="2" fillId="11" borderId="4" xfId="0" applyFont="1" applyFill="1" applyBorder="1" applyAlignment="1">
      <alignment vertical="center"/>
    </xf>
    <xf numFmtId="0" fontId="3" fillId="12" borderId="0" xfId="0" applyFont="1" applyFill="1"/>
    <xf numFmtId="0" fontId="3" fillId="12" borderId="1" xfId="0" applyFont="1" applyFill="1" applyBorder="1"/>
    <xf numFmtId="0" fontId="0" fillId="12" borderId="1" xfId="0" applyFill="1" applyBorder="1"/>
    <xf numFmtId="0" fontId="24" fillId="10" borderId="0" xfId="0" applyFont="1" applyFill="1"/>
    <xf numFmtId="0" fontId="24" fillId="10" borderId="2" xfId="0" applyFont="1" applyFill="1" applyBorder="1"/>
    <xf numFmtId="0" fontId="0" fillId="8" borderId="7" xfId="0" applyFill="1" applyBorder="1"/>
    <xf numFmtId="165" fontId="0" fillId="8" borderId="7" xfId="2" applyNumberFormat="1" applyFont="1" applyFill="1" applyBorder="1" applyAlignment="1">
      <alignment horizontal="right"/>
    </xf>
    <xf numFmtId="165" fontId="0" fillId="18" borderId="0" xfId="2" applyNumberFormat="1" applyFont="1" applyFill="1" applyBorder="1"/>
    <xf numFmtId="165" fontId="0" fillId="8" borderId="2" xfId="2" applyNumberFormat="1" applyFont="1" applyFill="1" applyBorder="1"/>
    <xf numFmtId="0" fontId="2" fillId="17" borderId="3" xfId="0" applyFont="1" applyFill="1" applyBorder="1"/>
    <xf numFmtId="165" fontId="2" fillId="17" borderId="3" xfId="0" applyNumberFormat="1" applyFont="1" applyFill="1" applyBorder="1"/>
    <xf numFmtId="0" fontId="0" fillId="19" borderId="2" xfId="0" applyFill="1" applyBorder="1" applyAlignment="1">
      <alignment vertical="top"/>
    </xf>
    <xf numFmtId="165" fontId="0" fillId="18" borderId="0" xfId="0" applyNumberFormat="1" applyFill="1"/>
    <xf numFmtId="165" fontId="24" fillId="10" borderId="0" xfId="2" applyNumberFormat="1" applyFont="1" applyFill="1" applyBorder="1"/>
    <xf numFmtId="165" fontId="0" fillId="10" borderId="0" xfId="2" applyNumberFormat="1" applyFont="1" applyFill="1" applyBorder="1"/>
    <xf numFmtId="165" fontId="0" fillId="10" borderId="0" xfId="0" applyNumberFormat="1" applyFill="1"/>
    <xf numFmtId="9" fontId="24" fillId="10" borderId="2" xfId="3" applyFont="1" applyFill="1" applyBorder="1"/>
    <xf numFmtId="165" fontId="0" fillId="12" borderId="0" xfId="2" applyNumberFormat="1" applyFont="1" applyFill="1" applyBorder="1"/>
    <xf numFmtId="164" fontId="0" fillId="10" borderId="0" xfId="1" applyNumberFormat="1" applyFont="1" applyFill="1" applyBorder="1"/>
    <xf numFmtId="164" fontId="24" fillId="10" borderId="0" xfId="1" applyNumberFormat="1" applyFont="1" applyFill="1" applyBorder="1"/>
    <xf numFmtId="165" fontId="0" fillId="12" borderId="2" xfId="0" applyNumberFormat="1" applyFill="1" applyBorder="1"/>
    <xf numFmtId="164" fontId="0" fillId="12" borderId="0" xfId="1" applyNumberFormat="1" applyFont="1" applyFill="1" applyBorder="1"/>
    <xf numFmtId="164" fontId="0" fillId="12" borderId="0" xfId="0" applyNumberFormat="1" applyFill="1"/>
    <xf numFmtId="9" fontId="0" fillId="12" borderId="2" xfId="3" applyFont="1" applyFill="1" applyBorder="1"/>
    <xf numFmtId="0" fontId="2" fillId="21" borderId="0" xfId="0" applyFont="1" applyFill="1" applyAlignment="1">
      <alignment vertical="center"/>
    </xf>
    <xf numFmtId="0" fontId="4" fillId="21" borderId="0" xfId="0" applyFont="1" applyFill="1" applyAlignment="1">
      <alignment vertical="center"/>
    </xf>
    <xf numFmtId="164" fontId="2" fillId="21" borderId="0" xfId="1" applyNumberFormat="1" applyFont="1" applyFill="1" applyBorder="1" applyAlignment="1">
      <alignment vertical="center"/>
    </xf>
    <xf numFmtId="164" fontId="2" fillId="21" borderId="0" xfId="1" applyNumberFormat="1" applyFont="1" applyFill="1" applyAlignment="1">
      <alignment vertical="center"/>
    </xf>
    <xf numFmtId="9" fontId="0" fillId="12" borderId="0" xfId="3" applyFont="1" applyFill="1"/>
    <xf numFmtId="165" fontId="0" fillId="12" borderId="0" xfId="0" applyNumberFormat="1" applyFill="1"/>
    <xf numFmtId="9" fontId="0" fillId="12" borderId="1" xfId="3" applyFont="1" applyFill="1" applyBorder="1"/>
    <xf numFmtId="165" fontId="0" fillId="10" borderId="0" xfId="2" applyNumberFormat="1" applyFont="1" applyFill="1" applyAlignment="1">
      <alignment horizontal="right" vertical="center" indent="2"/>
    </xf>
    <xf numFmtId="165" fontId="0" fillId="10" borderId="0" xfId="2" applyNumberFormat="1" applyFont="1" applyFill="1" applyAlignment="1">
      <alignment horizontal="left" vertical="center" indent="2"/>
    </xf>
    <xf numFmtId="0" fontId="0" fillId="10" borderId="0" xfId="0" applyFill="1" applyAlignment="1">
      <alignment horizontal="left" vertical="center" indent="2"/>
    </xf>
    <xf numFmtId="0" fontId="0" fillId="19" borderId="0" xfId="0" applyFill="1"/>
    <xf numFmtId="0" fontId="3" fillId="20" borderId="3" xfId="0" applyFont="1" applyFill="1" applyBorder="1" applyAlignment="1">
      <alignment vertical="center"/>
    </xf>
    <xf numFmtId="0" fontId="21" fillId="20" borderId="8" xfId="0" applyFont="1" applyFill="1" applyBorder="1"/>
    <xf numFmtId="165" fontId="21" fillId="20" borderId="8" xfId="0" applyNumberFormat="1" applyFont="1" applyFill="1" applyBorder="1"/>
    <xf numFmtId="165" fontId="2" fillId="17" borderId="1" xfId="0" applyNumberFormat="1" applyFont="1" applyFill="1" applyBorder="1"/>
    <xf numFmtId="0" fontId="3" fillId="15" borderId="4" xfId="0" applyFont="1" applyFill="1" applyBorder="1" applyAlignment="1">
      <alignment vertical="center"/>
    </xf>
    <xf numFmtId="0" fontId="21" fillId="15" borderId="3" xfId="0" applyFont="1" applyFill="1" applyBorder="1"/>
    <xf numFmtId="165" fontId="21" fillId="15" borderId="3" xfId="0" applyNumberFormat="1" applyFont="1" applyFill="1" applyBorder="1"/>
    <xf numFmtId="0" fontId="8" fillId="19" borderId="0" xfId="0" applyFont="1" applyFill="1" applyAlignment="1">
      <alignment vertical="center"/>
    </xf>
    <xf numFmtId="0" fontId="8" fillId="19" borderId="0" xfId="0" applyFont="1" applyFill="1" applyAlignment="1">
      <alignment horizontal="left" vertical="center"/>
    </xf>
    <xf numFmtId="9" fontId="8" fillId="19" borderId="0" xfId="0" applyNumberFormat="1" applyFont="1" applyFill="1" applyAlignment="1">
      <alignment vertical="center"/>
    </xf>
    <xf numFmtId="9" fontId="8" fillId="19" borderId="0" xfId="3" applyFont="1" applyFill="1" applyBorder="1" applyAlignment="1">
      <alignment horizontal="right" vertical="center"/>
    </xf>
    <xf numFmtId="9" fontId="9" fillId="19" borderId="0" xfId="3" applyFont="1" applyFill="1" applyBorder="1" applyAlignment="1">
      <alignment horizontal="right" vertical="center"/>
    </xf>
    <xf numFmtId="0" fontId="9" fillId="19" borderId="0" xfId="0" applyFont="1" applyFill="1" applyAlignment="1">
      <alignment vertical="center"/>
    </xf>
    <xf numFmtId="0" fontId="0" fillId="19" borderId="0" xfId="0" applyFill="1" applyAlignment="1">
      <alignment horizontal="center"/>
    </xf>
    <xf numFmtId="0" fontId="9" fillId="19" borderId="0" xfId="0" applyFont="1" applyFill="1" applyAlignment="1">
      <alignment horizontal="left" vertical="center"/>
    </xf>
    <xf numFmtId="0" fontId="7" fillId="19" borderId="0" xfId="0" applyFont="1" applyFill="1"/>
    <xf numFmtId="0" fontId="3" fillId="19" borderId="0" xfId="0" applyFont="1" applyFill="1" applyAlignment="1">
      <alignment horizontal="center"/>
    </xf>
    <xf numFmtId="0" fontId="8" fillId="19" borderId="0" xfId="0" applyFont="1" applyFill="1" applyAlignment="1">
      <alignment horizontal="center" vertical="center"/>
    </xf>
    <xf numFmtId="9" fontId="5" fillId="19" borderId="0" xfId="3" applyFont="1" applyFill="1" applyBorder="1" applyAlignment="1">
      <alignment horizontal="right" vertical="center"/>
    </xf>
    <xf numFmtId="165" fontId="5" fillId="19" borderId="0" xfId="2" applyNumberFormat="1" applyFont="1" applyFill="1" applyBorder="1" applyAlignment="1">
      <alignment horizontal="right" vertical="center"/>
    </xf>
    <xf numFmtId="165" fontId="8" fillId="19" borderId="0" xfId="0" applyNumberFormat="1" applyFont="1" applyFill="1" applyAlignment="1">
      <alignment horizontal="right" vertical="center"/>
    </xf>
    <xf numFmtId="165" fontId="0" fillId="19" borderId="0" xfId="0" applyNumberFormat="1" applyFill="1" applyAlignment="1">
      <alignment horizontal="right"/>
    </xf>
    <xf numFmtId="9" fontId="8" fillId="19" borderId="0" xfId="0" applyNumberFormat="1" applyFont="1" applyFill="1" applyAlignment="1">
      <alignment horizontal="right" vertical="center"/>
    </xf>
    <xf numFmtId="9" fontId="0" fillId="19" borderId="0" xfId="0" applyNumberFormat="1" applyFill="1" applyAlignment="1">
      <alignment horizontal="right"/>
    </xf>
    <xf numFmtId="0" fontId="8" fillId="19" borderId="0" xfId="0" applyFont="1" applyFill="1" applyAlignment="1">
      <alignment horizontal="right" vertical="center"/>
    </xf>
    <xf numFmtId="0" fontId="0" fillId="19" borderId="0" xfId="0" applyFill="1" applyAlignment="1">
      <alignment horizontal="right"/>
    </xf>
    <xf numFmtId="164" fontId="8" fillId="19" borderId="0" xfId="0" applyNumberFormat="1" applyFont="1" applyFill="1" applyAlignment="1">
      <alignment horizontal="right" vertical="center"/>
    </xf>
    <xf numFmtId="164" fontId="5" fillId="19" borderId="0" xfId="1" applyNumberFormat="1" applyFont="1" applyFill="1" applyBorder="1" applyAlignment="1">
      <alignment horizontal="right" vertical="center"/>
    </xf>
    <xf numFmtId="3" fontId="8" fillId="19" borderId="0" xfId="0" applyNumberFormat="1" applyFont="1" applyFill="1" applyAlignment="1">
      <alignment horizontal="right" vertical="center"/>
    </xf>
    <xf numFmtId="3" fontId="5" fillId="19" borderId="0" xfId="0" applyNumberFormat="1" applyFont="1" applyFill="1" applyAlignment="1">
      <alignment horizontal="right" vertical="center"/>
    </xf>
    <xf numFmtId="3" fontId="0" fillId="19" borderId="0" xfId="0" applyNumberFormat="1" applyFill="1" applyAlignment="1">
      <alignment horizontal="right"/>
    </xf>
    <xf numFmtId="0" fontId="5" fillId="19" borderId="0" xfId="0" applyFont="1" applyFill="1" applyAlignment="1">
      <alignment horizontal="right" vertical="center"/>
    </xf>
    <xf numFmtId="9" fontId="8" fillId="19" borderId="0" xfId="3" applyFont="1" applyFill="1" applyAlignment="1">
      <alignment vertical="center"/>
    </xf>
    <xf numFmtId="0" fontId="12" fillId="19" borderId="0" xfId="0" applyFont="1" applyFill="1" applyAlignment="1">
      <alignment vertical="center"/>
    </xf>
    <xf numFmtId="9" fontId="17" fillId="22" borderId="0" xfId="0" applyNumberFormat="1" applyFont="1" applyFill="1" applyAlignment="1">
      <alignment horizontal="right" vertical="center"/>
    </xf>
    <xf numFmtId="0" fontId="26" fillId="22" borderId="0" xfId="0" applyFont="1" applyFill="1" applyAlignment="1">
      <alignment horizontal="left" vertical="center"/>
    </xf>
    <xf numFmtId="165" fontId="16" fillId="19" borderId="0" xfId="6" applyNumberFormat="1" applyFill="1" applyBorder="1" applyAlignment="1">
      <alignment horizontal="right" vertical="center"/>
    </xf>
    <xf numFmtId="165" fontId="8" fillId="19" borderId="0" xfId="2" applyNumberFormat="1" applyFont="1" applyFill="1" applyBorder="1" applyAlignment="1">
      <alignment horizontal="right" vertical="center"/>
    </xf>
    <xf numFmtId="44" fontId="0" fillId="19" borderId="0" xfId="2" applyFont="1" applyFill="1" applyBorder="1"/>
    <xf numFmtId="164" fontId="0" fillId="19" borderId="0" xfId="1" applyNumberFormat="1" applyFont="1" applyFill="1" applyBorder="1"/>
    <xf numFmtId="9" fontId="0" fillId="19" borderId="0" xfId="3" applyFont="1" applyFill="1" applyBorder="1"/>
    <xf numFmtId="165" fontId="0" fillId="19" borderId="0" xfId="2" applyNumberFormat="1" applyFont="1" applyFill="1" applyBorder="1"/>
    <xf numFmtId="164" fontId="24" fillId="19" borderId="0" xfId="1" applyNumberFormat="1" applyFont="1" applyFill="1" applyBorder="1" applyAlignment="1">
      <alignment horizontal="right" vertical="top"/>
    </xf>
    <xf numFmtId="165" fontId="24" fillId="19" borderId="0" xfId="2" applyNumberFormat="1" applyFont="1" applyFill="1" applyBorder="1" applyAlignment="1">
      <alignment horizontal="right" vertical="center"/>
    </xf>
    <xf numFmtId="9" fontId="24" fillId="19" borderId="0" xfId="3" applyFont="1" applyFill="1" applyBorder="1" applyAlignment="1">
      <alignment horizontal="right" vertical="center"/>
    </xf>
    <xf numFmtId="9" fontId="27" fillId="19" borderId="0" xfId="3" applyFont="1" applyFill="1" applyBorder="1" applyAlignment="1">
      <alignment horizontal="right" vertical="center"/>
    </xf>
    <xf numFmtId="164" fontId="24" fillId="19" borderId="0" xfId="1" applyNumberFormat="1" applyFont="1" applyFill="1" applyBorder="1" applyAlignment="1">
      <alignment horizontal="right" vertical="center"/>
    </xf>
    <xf numFmtId="1" fontId="24" fillId="19" borderId="0" xfId="0" applyNumberFormat="1" applyFont="1" applyFill="1" applyAlignment="1">
      <alignment horizontal="right" vertical="center"/>
    </xf>
    <xf numFmtId="3" fontId="24" fillId="19" borderId="0" xfId="0" applyNumberFormat="1" applyFont="1" applyFill="1" applyAlignment="1">
      <alignment horizontal="right" vertical="center"/>
    </xf>
    <xf numFmtId="0" fontId="24" fillId="19" borderId="0" xfId="0" applyFont="1" applyFill="1" applyAlignment="1">
      <alignment horizontal="right" vertical="center"/>
    </xf>
    <xf numFmtId="0" fontId="27" fillId="19" borderId="0" xfId="0" applyFont="1" applyFill="1" applyAlignment="1">
      <alignment horizontal="right" vertical="center"/>
    </xf>
    <xf numFmtId="0" fontId="10" fillId="19" borderId="0" xfId="0" applyFont="1" applyFill="1" applyAlignment="1">
      <alignment vertical="center"/>
    </xf>
    <xf numFmtId="165" fontId="8" fillId="19" borderId="0" xfId="0" applyNumberFormat="1" applyFont="1" applyFill="1" applyAlignment="1">
      <alignment vertical="center"/>
    </xf>
    <xf numFmtId="9" fontId="8" fillId="19" borderId="0" xfId="3" applyFont="1" applyFill="1" applyBorder="1" applyAlignment="1">
      <alignment vertical="center"/>
    </xf>
    <xf numFmtId="164" fontId="8" fillId="19" borderId="0" xfId="1" applyNumberFormat="1" applyFont="1" applyFill="1" applyBorder="1" applyAlignment="1">
      <alignment vertical="center"/>
    </xf>
    <xf numFmtId="165" fontId="8" fillId="19" borderId="0" xfId="2" applyNumberFormat="1" applyFont="1" applyFill="1" applyBorder="1" applyAlignment="1">
      <alignment vertical="center"/>
    </xf>
    <xf numFmtId="9" fontId="1" fillId="19" borderId="0" xfId="3" applyFont="1" applyFill="1" applyBorder="1"/>
    <xf numFmtId="0" fontId="28" fillId="19" borderId="0" xfId="0" applyFont="1" applyFill="1" applyAlignment="1">
      <alignment vertical="center"/>
    </xf>
    <xf numFmtId="0" fontId="8" fillId="24" borderId="0" xfId="0" applyFont="1" applyFill="1" applyAlignment="1">
      <alignment vertical="center"/>
    </xf>
    <xf numFmtId="164" fontId="24" fillId="24" borderId="0" xfId="1" applyNumberFormat="1" applyFont="1" applyFill="1" applyBorder="1" applyAlignment="1">
      <alignment horizontal="right" vertical="top"/>
    </xf>
    <xf numFmtId="0" fontId="8" fillId="24" borderId="0" xfId="0" applyFont="1" applyFill="1" applyAlignment="1">
      <alignment horizontal="center" vertical="center"/>
    </xf>
    <xf numFmtId="9" fontId="24" fillId="24" borderId="0" xfId="3" applyFont="1" applyFill="1" applyBorder="1" applyAlignment="1">
      <alignment horizontal="right" vertical="center"/>
    </xf>
    <xf numFmtId="3" fontId="8" fillId="24" borderId="0" xfId="0" applyNumberFormat="1" applyFont="1" applyFill="1" applyAlignment="1">
      <alignment horizontal="right" vertical="center"/>
    </xf>
    <xf numFmtId="3" fontId="5" fillId="24" borderId="0" xfId="0" applyNumberFormat="1" applyFont="1" applyFill="1" applyAlignment="1">
      <alignment horizontal="right" vertical="center"/>
    </xf>
    <xf numFmtId="164" fontId="0" fillId="24" borderId="0" xfId="1" applyNumberFormat="1" applyFont="1" applyFill="1" applyBorder="1"/>
    <xf numFmtId="3" fontId="0" fillId="24" borderId="0" xfId="0" applyNumberFormat="1" applyFill="1" applyAlignment="1">
      <alignment horizontal="right"/>
    </xf>
    <xf numFmtId="1" fontId="24" fillId="24" borderId="0" xfId="1" applyNumberFormat="1" applyFont="1" applyFill="1" applyBorder="1" applyAlignment="1">
      <alignment horizontal="right" vertical="center"/>
    </xf>
    <xf numFmtId="0" fontId="9" fillId="24" borderId="0" xfId="0" applyFont="1" applyFill="1" applyAlignment="1">
      <alignment horizontal="left" vertical="center"/>
    </xf>
    <xf numFmtId="1" fontId="24" fillId="24" borderId="9" xfId="1" applyNumberFormat="1" applyFont="1" applyFill="1" applyBorder="1" applyAlignment="1">
      <alignment horizontal="right" vertical="center"/>
    </xf>
    <xf numFmtId="0" fontId="9" fillId="24" borderId="9" xfId="0" applyFont="1" applyFill="1" applyBorder="1" applyAlignment="1">
      <alignment horizontal="left" vertical="center"/>
    </xf>
    <xf numFmtId="0" fontId="8" fillId="24" borderId="9" xfId="0" applyFont="1" applyFill="1" applyBorder="1" applyAlignment="1">
      <alignment vertical="center"/>
    </xf>
    <xf numFmtId="0" fontId="24" fillId="19" borderId="9" xfId="0" applyFont="1" applyFill="1" applyBorder="1" applyAlignment="1">
      <alignment horizontal="right" vertical="center"/>
    </xf>
    <xf numFmtId="0" fontId="8" fillId="19" borderId="9" xfId="0" applyFont="1" applyFill="1" applyBorder="1" applyAlignment="1">
      <alignment vertical="center"/>
    </xf>
    <xf numFmtId="164" fontId="24" fillId="24" borderId="0" xfId="1" applyNumberFormat="1" applyFont="1" applyFill="1" applyBorder="1" applyAlignment="1">
      <alignment horizontal="right" vertical="center"/>
    </xf>
    <xf numFmtId="9" fontId="8" fillId="24" borderId="0" xfId="0" applyNumberFormat="1" applyFont="1" applyFill="1" applyAlignment="1">
      <alignment horizontal="right" vertical="center"/>
    </xf>
    <xf numFmtId="9" fontId="5" fillId="24" borderId="0" xfId="3" applyFont="1" applyFill="1" applyBorder="1" applyAlignment="1">
      <alignment horizontal="right" vertical="center"/>
    </xf>
    <xf numFmtId="9" fontId="0" fillId="24" borderId="0" xfId="3" applyFont="1" applyFill="1" applyBorder="1"/>
    <xf numFmtId="0" fontId="8" fillId="24" borderId="0" xfId="0" applyFont="1" applyFill="1" applyAlignment="1">
      <alignment horizontal="right" vertical="center"/>
    </xf>
    <xf numFmtId="0" fontId="5" fillId="24" borderId="0" xfId="0" applyFont="1" applyFill="1" applyAlignment="1">
      <alignment horizontal="right" vertical="center"/>
    </xf>
    <xf numFmtId="0" fontId="0" fillId="24" borderId="0" xfId="0" applyFill="1"/>
    <xf numFmtId="1" fontId="24" fillId="24" borderId="0" xfId="0" applyNumberFormat="1" applyFont="1" applyFill="1" applyAlignment="1">
      <alignment horizontal="right" vertical="center"/>
    </xf>
    <xf numFmtId="165" fontId="8" fillId="24" borderId="0" xfId="0" applyNumberFormat="1" applyFont="1" applyFill="1" applyAlignment="1">
      <alignment horizontal="right" vertical="center"/>
    </xf>
    <xf numFmtId="165" fontId="5" fillId="24" borderId="0" xfId="2" applyNumberFormat="1" applyFont="1" applyFill="1" applyBorder="1" applyAlignment="1">
      <alignment horizontal="right" vertical="center"/>
    </xf>
    <xf numFmtId="165" fontId="0" fillId="24" borderId="0" xfId="2" applyNumberFormat="1" applyFont="1" applyFill="1" applyBorder="1"/>
    <xf numFmtId="0" fontId="9" fillId="24" borderId="0" xfId="0" applyFont="1" applyFill="1" applyAlignment="1">
      <alignment vertical="center"/>
    </xf>
    <xf numFmtId="3" fontId="24" fillId="24" borderId="0" xfId="0" applyNumberFormat="1" applyFont="1" applyFill="1" applyAlignment="1">
      <alignment horizontal="right" vertical="center"/>
    </xf>
    <xf numFmtId="165" fontId="24" fillId="24" borderId="0" xfId="2" applyNumberFormat="1" applyFont="1" applyFill="1" applyBorder="1" applyAlignment="1">
      <alignment horizontal="right" vertical="center"/>
    </xf>
    <xf numFmtId="9" fontId="0" fillId="24" borderId="0" xfId="0" applyNumberFormat="1" applyFill="1" applyAlignment="1">
      <alignment horizontal="right"/>
    </xf>
    <xf numFmtId="0" fontId="24" fillId="24" borderId="0" xfId="0" applyFont="1" applyFill="1" applyAlignment="1">
      <alignment horizontal="right" vertical="center"/>
    </xf>
    <xf numFmtId="9" fontId="24" fillId="19" borderId="9" xfId="3" applyFont="1" applyFill="1" applyBorder="1" applyAlignment="1">
      <alignment horizontal="right" vertical="center"/>
    </xf>
    <xf numFmtId="0" fontId="9" fillId="19" borderId="9" xfId="0" applyFont="1" applyFill="1" applyBorder="1" applyAlignment="1">
      <alignment horizontal="left" vertical="center"/>
    </xf>
    <xf numFmtId="0" fontId="8" fillId="24" borderId="0" xfId="0" applyFont="1" applyFill="1" applyAlignment="1">
      <alignment vertical="top"/>
    </xf>
    <xf numFmtId="0" fontId="8" fillId="19" borderId="0" xfId="0" applyFont="1" applyFill="1" applyAlignment="1">
      <alignment vertical="top"/>
    </xf>
    <xf numFmtId="0" fontId="30" fillId="19" borderId="0" xfId="0" applyFont="1" applyFill="1" applyAlignment="1">
      <alignment vertical="center"/>
    </xf>
    <xf numFmtId="0" fontId="8" fillId="3" borderId="0" xfId="0" applyFont="1" applyFill="1" applyAlignment="1">
      <alignment vertical="center"/>
    </xf>
    <xf numFmtId="0" fontId="8" fillId="3" borderId="0" xfId="0" applyFont="1" applyFill="1" applyAlignment="1">
      <alignment horizontal="right" vertical="center"/>
    </xf>
    <xf numFmtId="0" fontId="5" fillId="3" borderId="0" xfId="0" applyFont="1" applyFill="1" applyAlignment="1">
      <alignment horizontal="right" vertical="center"/>
    </xf>
    <xf numFmtId="3" fontId="24" fillId="3" borderId="0" xfId="0" applyNumberFormat="1" applyFont="1" applyFill="1" applyAlignment="1">
      <alignment horizontal="right" vertical="center"/>
    </xf>
    <xf numFmtId="0" fontId="8" fillId="3" borderId="0" xfId="0" applyFont="1" applyFill="1" applyAlignment="1">
      <alignment horizontal="center" vertical="center"/>
    </xf>
    <xf numFmtId="0" fontId="9" fillId="3" borderId="0" xfId="0" applyFont="1" applyFill="1" applyAlignment="1">
      <alignment horizontal="left" vertical="center"/>
    </xf>
    <xf numFmtId="9" fontId="8" fillId="3" borderId="0" xfId="0" applyNumberFormat="1" applyFont="1" applyFill="1" applyAlignment="1">
      <alignment horizontal="right" vertical="center"/>
    </xf>
    <xf numFmtId="9" fontId="5" fillId="3" borderId="0" xfId="3" applyFont="1" applyFill="1" applyBorder="1" applyAlignment="1">
      <alignment horizontal="right" vertical="center"/>
    </xf>
    <xf numFmtId="9" fontId="0" fillId="3" borderId="0" xfId="3" applyFont="1" applyFill="1" applyBorder="1"/>
    <xf numFmtId="164" fontId="8" fillId="3" borderId="0" xfId="0" applyNumberFormat="1" applyFont="1" applyFill="1" applyAlignment="1">
      <alignment horizontal="right" vertical="center"/>
    </xf>
    <xf numFmtId="164" fontId="5" fillId="3" borderId="0" xfId="1" applyNumberFormat="1" applyFont="1" applyFill="1" applyBorder="1" applyAlignment="1">
      <alignment horizontal="right" vertical="center"/>
    </xf>
    <xf numFmtId="164" fontId="0" fillId="3" borderId="0" xfId="1" applyNumberFormat="1" applyFont="1" applyFill="1" applyBorder="1"/>
    <xf numFmtId="165" fontId="24" fillId="3" borderId="0" xfId="2" applyNumberFormat="1" applyFont="1" applyFill="1" applyBorder="1" applyAlignment="1">
      <alignment horizontal="right" vertical="center"/>
    </xf>
    <xf numFmtId="9" fontId="24" fillId="3" borderId="0" xfId="3" applyFont="1" applyFill="1" applyBorder="1" applyAlignment="1">
      <alignment horizontal="right" vertical="center"/>
    </xf>
    <xf numFmtId="0" fontId="24" fillId="3" borderId="0" xfId="0" applyFont="1" applyFill="1" applyAlignment="1">
      <alignment horizontal="right" vertical="center"/>
    </xf>
    <xf numFmtId="0" fontId="8" fillId="3" borderId="9" xfId="0" applyFont="1" applyFill="1" applyBorder="1" applyAlignment="1">
      <alignment vertical="center"/>
    </xf>
    <xf numFmtId="9" fontId="24" fillId="3" borderId="9" xfId="3" applyFont="1" applyFill="1" applyBorder="1" applyAlignment="1">
      <alignment horizontal="right" vertical="center"/>
    </xf>
    <xf numFmtId="0" fontId="9" fillId="3" borderId="9" xfId="0" applyFont="1" applyFill="1" applyBorder="1" applyAlignment="1">
      <alignment horizontal="left" vertical="center"/>
    </xf>
    <xf numFmtId="0" fontId="9" fillId="19" borderId="9" xfId="0" applyFont="1" applyFill="1" applyBorder="1" applyAlignment="1">
      <alignment vertical="center"/>
    </xf>
    <xf numFmtId="0" fontId="7" fillId="19" borderId="0" xfId="0" applyFont="1" applyFill="1" applyAlignment="1">
      <alignment wrapText="1"/>
    </xf>
    <xf numFmtId="164" fontId="24" fillId="3" borderId="0" xfId="1" applyNumberFormat="1" applyFont="1" applyFill="1" applyBorder="1" applyAlignment="1">
      <alignment horizontal="right" vertical="center"/>
    </xf>
    <xf numFmtId="0" fontId="9" fillId="3" borderId="0" xfId="0" applyFont="1" applyFill="1" applyAlignment="1">
      <alignment vertical="center"/>
    </xf>
    <xf numFmtId="9" fontId="0" fillId="3" borderId="0" xfId="0" applyNumberFormat="1" applyFill="1" applyAlignment="1">
      <alignment horizontal="right"/>
    </xf>
    <xf numFmtId="0" fontId="24" fillId="3" borderId="9" xfId="0" applyFont="1" applyFill="1" applyBorder="1" applyAlignment="1">
      <alignment horizontal="right" vertical="center"/>
    </xf>
    <xf numFmtId="0" fontId="9" fillId="3" borderId="9" xfId="0" applyFont="1" applyFill="1" applyBorder="1" applyAlignment="1">
      <alignment vertical="center"/>
    </xf>
    <xf numFmtId="9" fontId="8" fillId="19" borderId="0" xfId="3" applyFont="1" applyFill="1" applyBorder="1"/>
    <xf numFmtId="165" fontId="8" fillId="19" borderId="0" xfId="2" applyNumberFormat="1" applyFont="1" applyFill="1" applyBorder="1"/>
    <xf numFmtId="0" fontId="8" fillId="19" borderId="0" xfId="0" applyFont="1" applyFill="1"/>
    <xf numFmtId="9" fontId="8" fillId="19" borderId="9" xfId="3" applyFont="1" applyFill="1" applyBorder="1" applyAlignment="1">
      <alignment horizontal="right" vertical="center"/>
    </xf>
    <xf numFmtId="9" fontId="8" fillId="3" borderId="0" xfId="3" applyFont="1" applyFill="1" applyBorder="1" applyAlignment="1">
      <alignment horizontal="right" vertical="center"/>
    </xf>
    <xf numFmtId="9" fontId="8" fillId="3" borderId="0" xfId="3" applyFont="1" applyFill="1" applyBorder="1"/>
    <xf numFmtId="164" fontId="8" fillId="3" borderId="0" xfId="1" applyNumberFormat="1" applyFont="1" applyFill="1" applyBorder="1" applyAlignment="1">
      <alignment horizontal="right" vertical="center"/>
    </xf>
    <xf numFmtId="165" fontId="8" fillId="3" borderId="0" xfId="2" applyNumberFormat="1" applyFont="1" applyFill="1" applyBorder="1" applyAlignment="1">
      <alignment horizontal="right" vertical="center"/>
    </xf>
    <xf numFmtId="164" fontId="8" fillId="3" borderId="0" xfId="0" applyNumberFormat="1" applyFont="1" applyFill="1" applyAlignment="1">
      <alignment vertical="center"/>
    </xf>
    <xf numFmtId="164" fontId="8" fillId="3" borderId="0" xfId="1" applyNumberFormat="1" applyFont="1" applyFill="1" applyBorder="1" applyAlignment="1">
      <alignment vertical="center"/>
    </xf>
    <xf numFmtId="0" fontId="8" fillId="3" borderId="0" xfId="0" applyFont="1" applyFill="1"/>
    <xf numFmtId="0" fontId="31" fillId="19" borderId="0" xfId="0" applyFont="1" applyFill="1" applyAlignment="1">
      <alignment vertical="center"/>
    </xf>
    <xf numFmtId="0" fontId="8" fillId="25" borderId="0" xfId="0" applyFont="1" applyFill="1" applyAlignment="1">
      <alignment vertical="center"/>
    </xf>
    <xf numFmtId="0" fontId="8" fillId="25" borderId="0" xfId="0" applyFont="1" applyFill="1" applyAlignment="1">
      <alignment horizontal="right" vertical="center"/>
    </xf>
    <xf numFmtId="0" fontId="5" fillId="25" borderId="0" xfId="0" applyFont="1" applyFill="1" applyAlignment="1">
      <alignment horizontal="right" vertical="center"/>
    </xf>
    <xf numFmtId="0" fontId="0" fillId="25" borderId="0" xfId="0" applyFill="1"/>
    <xf numFmtId="3" fontId="24" fillId="25" borderId="0" xfId="0" applyNumberFormat="1" applyFont="1" applyFill="1" applyAlignment="1">
      <alignment horizontal="right" vertical="center"/>
    </xf>
    <xf numFmtId="0" fontId="8" fillId="25" borderId="0" xfId="0" applyFont="1" applyFill="1" applyAlignment="1">
      <alignment horizontal="center" vertical="center"/>
    </xf>
    <xf numFmtId="0" fontId="9" fillId="25" borderId="0" xfId="0" applyFont="1" applyFill="1" applyAlignment="1">
      <alignment horizontal="left" vertical="center"/>
    </xf>
    <xf numFmtId="9" fontId="8" fillId="25" borderId="0" xfId="0" applyNumberFormat="1" applyFont="1" applyFill="1" applyAlignment="1">
      <alignment horizontal="right" vertical="center"/>
    </xf>
    <xf numFmtId="9" fontId="5" fillId="25" borderId="0" xfId="3" applyFont="1" applyFill="1" applyBorder="1" applyAlignment="1">
      <alignment horizontal="right" vertical="center"/>
    </xf>
    <xf numFmtId="9" fontId="0" fillId="25" borderId="0" xfId="3" applyFont="1" applyFill="1" applyBorder="1"/>
    <xf numFmtId="9" fontId="24" fillId="25" borderId="0" xfId="3" applyFont="1" applyFill="1" applyBorder="1" applyAlignment="1">
      <alignment horizontal="right" vertical="center"/>
    </xf>
    <xf numFmtId="165" fontId="24" fillId="25" borderId="0" xfId="2" applyNumberFormat="1" applyFont="1" applyFill="1" applyBorder="1" applyAlignment="1">
      <alignment horizontal="right" vertical="center"/>
    </xf>
    <xf numFmtId="0" fontId="8" fillId="25" borderId="9" xfId="0" applyFont="1" applyFill="1" applyBorder="1" applyAlignment="1">
      <alignment vertical="center"/>
    </xf>
    <xf numFmtId="0" fontId="24" fillId="25" borderId="9" xfId="0" applyFont="1" applyFill="1" applyBorder="1" applyAlignment="1">
      <alignment horizontal="right" vertical="center"/>
    </xf>
    <xf numFmtId="0" fontId="9" fillId="25" borderId="9" xfId="0" applyFont="1" applyFill="1" applyBorder="1" applyAlignment="1">
      <alignment horizontal="left" vertical="center"/>
    </xf>
    <xf numFmtId="0" fontId="24" fillId="25" borderId="0" xfId="0" applyFont="1" applyFill="1" applyAlignment="1">
      <alignment horizontal="right" vertical="center"/>
    </xf>
    <xf numFmtId="0" fontId="29" fillId="19" borderId="0" xfId="0" applyFont="1" applyFill="1" applyAlignment="1">
      <alignment horizontal="right" vertical="center"/>
    </xf>
    <xf numFmtId="0" fontId="29" fillId="19" borderId="0" xfId="0" applyFont="1" applyFill="1" applyAlignment="1">
      <alignment horizontal="center" vertical="center"/>
    </xf>
    <xf numFmtId="0" fontId="31" fillId="19" borderId="0" xfId="0" applyFont="1" applyFill="1" applyAlignment="1">
      <alignment horizontal="right" vertical="center"/>
    </xf>
    <xf numFmtId="0" fontId="30" fillId="19" borderId="0" xfId="0" applyFont="1" applyFill="1" applyAlignment="1">
      <alignment horizontal="right" vertical="center"/>
    </xf>
    <xf numFmtId="0" fontId="11" fillId="19" borderId="0" xfId="0" applyFont="1" applyFill="1" applyAlignment="1">
      <alignment horizontal="center" vertical="center"/>
    </xf>
    <xf numFmtId="0" fontId="32" fillId="19" borderId="0" xfId="0" applyFont="1" applyFill="1" applyAlignment="1">
      <alignment horizontal="right" vertical="center"/>
    </xf>
    <xf numFmtId="0" fontId="33" fillId="19" borderId="0" xfId="0" applyFont="1" applyFill="1" applyAlignment="1">
      <alignment horizontal="center" vertical="center"/>
    </xf>
    <xf numFmtId="0" fontId="35" fillId="19" borderId="0" xfId="0" applyFont="1" applyFill="1" applyAlignment="1">
      <alignment vertical="center"/>
    </xf>
    <xf numFmtId="0" fontId="35" fillId="19" borderId="0" xfId="0" applyFont="1" applyFill="1" applyAlignment="1">
      <alignment horizontal="right" vertical="center"/>
    </xf>
    <xf numFmtId="0" fontId="34" fillId="19" borderId="0" xfId="0" applyFont="1" applyFill="1" applyAlignment="1">
      <alignment horizontal="center" vertical="center"/>
    </xf>
    <xf numFmtId="0" fontId="0" fillId="26" borderId="0" xfId="0" applyFill="1"/>
    <xf numFmtId="0" fontId="25" fillId="19" borderId="0" xfId="0" applyFont="1" applyFill="1" applyAlignment="1">
      <alignment vertical="center"/>
    </xf>
    <xf numFmtId="0" fontId="36" fillId="19" borderId="0" xfId="0" applyFont="1" applyFill="1" applyAlignment="1">
      <alignment vertical="center"/>
    </xf>
    <xf numFmtId="0" fontId="37" fillId="19" borderId="0" xfId="0" applyFont="1" applyFill="1" applyAlignment="1">
      <alignment vertical="center"/>
    </xf>
    <xf numFmtId="0" fontId="38" fillId="19" borderId="0" xfId="0" applyFont="1" applyFill="1" applyAlignment="1">
      <alignment vertical="center"/>
    </xf>
    <xf numFmtId="0" fontId="40" fillId="19" borderId="0" xfId="0" applyFont="1" applyFill="1" applyAlignment="1">
      <alignment horizontal="right"/>
    </xf>
    <xf numFmtId="0" fontId="40" fillId="19" borderId="0" xfId="0" applyFont="1" applyFill="1" applyAlignment="1">
      <alignment horizontal="left"/>
    </xf>
    <xf numFmtId="9" fontId="8" fillId="4" borderId="0" xfId="3" applyFont="1" applyFill="1" applyBorder="1" applyAlignment="1">
      <alignment horizontal="right" vertical="center"/>
    </xf>
    <xf numFmtId="9" fontId="1" fillId="4" borderId="0" xfId="3" applyFont="1" applyFill="1" applyBorder="1"/>
    <xf numFmtId="9" fontId="27" fillId="4" borderId="0" xfId="3" applyFont="1" applyFill="1" applyBorder="1" applyAlignment="1">
      <alignment horizontal="right" vertical="center"/>
    </xf>
    <xf numFmtId="0" fontId="0" fillId="4" borderId="0" xfId="0" applyFill="1" applyAlignment="1">
      <alignment horizontal="center"/>
    </xf>
    <xf numFmtId="0" fontId="9" fillId="4" borderId="0" xfId="0" applyFont="1" applyFill="1" applyAlignment="1">
      <alignment horizontal="left" vertical="center"/>
    </xf>
    <xf numFmtId="0" fontId="8" fillId="4" borderId="0" xfId="0" applyFont="1" applyFill="1" applyAlignment="1">
      <alignment vertical="center"/>
    </xf>
    <xf numFmtId="9" fontId="8" fillId="4" borderId="0" xfId="0" applyNumberFormat="1" applyFont="1" applyFill="1" applyAlignment="1">
      <alignment horizontal="right" vertical="center"/>
    </xf>
    <xf numFmtId="0" fontId="7" fillId="4" borderId="0" xfId="0" applyFont="1" applyFill="1"/>
    <xf numFmtId="165" fontId="16" fillId="4" borderId="0" xfId="6" applyNumberFormat="1" applyFill="1" applyBorder="1" applyAlignment="1">
      <alignment horizontal="right" vertical="center"/>
    </xf>
    <xf numFmtId="0" fontId="8" fillId="4" borderId="0" xfId="0" applyFont="1" applyFill="1" applyAlignment="1">
      <alignment horizontal="right" vertical="center"/>
    </xf>
    <xf numFmtId="0" fontId="0" fillId="4" borderId="0" xfId="0" applyFill="1"/>
    <xf numFmtId="0" fontId="27" fillId="4" borderId="0" xfId="0" applyFont="1" applyFill="1" applyAlignment="1">
      <alignment horizontal="right" vertical="center"/>
    </xf>
    <xf numFmtId="0" fontId="9" fillId="4" borderId="0" xfId="0" applyFont="1" applyFill="1" applyAlignment="1">
      <alignment vertical="center"/>
    </xf>
    <xf numFmtId="0" fontId="8" fillId="4" borderId="0" xfId="0" applyFont="1" applyFill="1" applyAlignment="1">
      <alignment horizontal="center" vertical="center"/>
    </xf>
    <xf numFmtId="0" fontId="3" fillId="19" borderId="0" xfId="0" applyFont="1" applyFill="1"/>
    <xf numFmtId="0" fontId="39" fillId="19" borderId="0" xfId="0" applyFont="1" applyFill="1" applyAlignment="1">
      <alignment horizontal="left"/>
    </xf>
    <xf numFmtId="0" fontId="41" fillId="19" borderId="0" xfId="0" applyFont="1" applyFill="1" applyAlignment="1">
      <alignment horizontal="left"/>
    </xf>
    <xf numFmtId="0" fontId="42" fillId="19" borderId="0" xfId="0" applyFont="1" applyFill="1" applyAlignment="1">
      <alignment vertical="center"/>
    </xf>
    <xf numFmtId="0" fontId="43" fillId="19" borderId="0" xfId="0" applyFont="1" applyFill="1" applyAlignment="1">
      <alignment vertical="center"/>
    </xf>
    <xf numFmtId="0" fontId="44" fillId="19" borderId="0" xfId="0" applyFont="1" applyFill="1" applyAlignment="1">
      <alignment vertical="center"/>
    </xf>
    <xf numFmtId="0" fontId="45" fillId="19" borderId="0" xfId="0" applyFont="1" applyFill="1" applyAlignment="1">
      <alignment vertical="center"/>
    </xf>
    <xf numFmtId="0" fontId="46" fillId="19" borderId="0" xfId="0" applyFont="1" applyFill="1" applyAlignment="1">
      <alignment vertical="center"/>
    </xf>
    <xf numFmtId="0" fontId="47" fillId="19" borderId="0" xfId="0" applyFont="1" applyFill="1" applyAlignment="1">
      <alignment vertical="center"/>
    </xf>
    <xf numFmtId="166" fontId="8" fillId="19" borderId="0" xfId="2" applyNumberFormat="1" applyFont="1" applyFill="1" applyBorder="1" applyAlignment="1">
      <alignment horizontal="right" vertical="center"/>
    </xf>
    <xf numFmtId="166" fontId="1" fillId="19" borderId="0" xfId="2" applyNumberFormat="1" applyFont="1" applyFill="1" applyBorder="1"/>
    <xf numFmtId="166" fontId="8" fillId="4" borderId="0" xfId="2" applyNumberFormat="1" applyFont="1" applyFill="1" applyBorder="1" applyAlignment="1">
      <alignment horizontal="right" vertical="center"/>
    </xf>
    <xf numFmtId="166" fontId="8" fillId="4" borderId="0" xfId="0" applyNumberFormat="1" applyFont="1" applyFill="1" applyAlignment="1">
      <alignment horizontal="right" vertical="center"/>
    </xf>
    <xf numFmtId="166" fontId="1" fillId="4" borderId="0" xfId="2" applyNumberFormat="1" applyFont="1" applyFill="1" applyBorder="1"/>
    <xf numFmtId="166" fontId="8" fillId="19" borderId="0" xfId="0" applyNumberFormat="1" applyFont="1" applyFill="1" applyAlignment="1">
      <alignment horizontal="right" vertical="center"/>
    </xf>
    <xf numFmtId="166" fontId="27" fillId="19" borderId="0" xfId="2" applyNumberFormat="1" applyFont="1" applyFill="1" applyBorder="1" applyAlignment="1">
      <alignment horizontal="right" vertical="center"/>
    </xf>
    <xf numFmtId="166" fontId="27" fillId="4" borderId="0" xfId="2" applyNumberFormat="1" applyFont="1" applyFill="1" applyBorder="1" applyAlignment="1">
      <alignment horizontal="right" vertical="center"/>
    </xf>
    <xf numFmtId="0" fontId="49" fillId="19" borderId="0" xfId="0" applyFont="1" applyFill="1" applyAlignment="1">
      <alignment vertical="center"/>
    </xf>
    <xf numFmtId="0" fontId="50" fillId="19" borderId="0" xfId="0" applyFont="1" applyFill="1" applyAlignment="1">
      <alignment vertical="center"/>
    </xf>
    <xf numFmtId="164" fontId="49" fillId="19" borderId="0" xfId="1" applyNumberFormat="1" applyFont="1" applyFill="1" applyBorder="1" applyAlignment="1">
      <alignment horizontal="right" vertical="center"/>
    </xf>
    <xf numFmtId="164" fontId="51" fillId="19" borderId="0" xfId="1" applyNumberFormat="1" applyFont="1" applyFill="1" applyBorder="1" applyAlignment="1">
      <alignment horizontal="right" vertical="center"/>
    </xf>
    <xf numFmtId="9" fontId="52" fillId="19" borderId="0" xfId="3" applyFont="1" applyFill="1" applyBorder="1" applyAlignment="1">
      <alignment horizontal="right" vertical="center"/>
    </xf>
    <xf numFmtId="9" fontId="53" fillId="19" borderId="0" xfId="3" applyFont="1" applyFill="1" applyBorder="1" applyAlignment="1">
      <alignment horizontal="right" vertical="center"/>
    </xf>
    <xf numFmtId="165" fontId="49" fillId="19" borderId="0" xfId="2" applyNumberFormat="1" applyFont="1" applyFill="1" applyBorder="1" applyAlignment="1">
      <alignment horizontal="right" vertical="center"/>
    </xf>
    <xf numFmtId="165" fontId="51" fillId="19" borderId="0" xfId="2" applyNumberFormat="1" applyFont="1" applyFill="1" applyBorder="1" applyAlignment="1">
      <alignment horizontal="right" vertical="center"/>
    </xf>
    <xf numFmtId="164" fontId="49" fillId="22" borderId="0" xfId="1" applyNumberFormat="1" applyFont="1" applyFill="1" applyBorder="1" applyAlignment="1">
      <alignment horizontal="right" vertical="center"/>
    </xf>
    <xf numFmtId="9" fontId="49" fillId="19" borderId="0" xfId="3" applyFont="1" applyFill="1" applyBorder="1" applyAlignment="1">
      <alignment vertical="center"/>
    </xf>
    <xf numFmtId="165" fontId="49" fillId="19" borderId="0" xfId="2" applyNumberFormat="1" applyFont="1" applyFill="1" applyBorder="1" applyAlignment="1">
      <alignment vertical="center"/>
    </xf>
    <xf numFmtId="164" fontId="49" fillId="19" borderId="0" xfId="1" applyNumberFormat="1" applyFont="1" applyFill="1" applyBorder="1" applyAlignment="1">
      <alignment vertical="center"/>
    </xf>
    <xf numFmtId="0" fontId="25" fillId="19" borderId="0" xfId="0" applyFont="1" applyFill="1"/>
    <xf numFmtId="9" fontId="0" fillId="19" borderId="6" xfId="3" applyFont="1" applyFill="1" applyBorder="1" applyAlignment="1">
      <alignment vertical="center"/>
    </xf>
    <xf numFmtId="165" fontId="24" fillId="19" borderId="0" xfId="2" applyNumberFormat="1" applyFont="1" applyFill="1" applyBorder="1" applyAlignment="1">
      <alignment vertical="center"/>
    </xf>
    <xf numFmtId="165" fontId="11" fillId="19" borderId="0" xfId="2" applyNumberFormat="1" applyFont="1" applyFill="1" applyBorder="1" applyAlignment="1">
      <alignment vertical="center"/>
    </xf>
    <xf numFmtId="0" fontId="0" fillId="19" borderId="0" xfId="0" applyFill="1" applyAlignment="1">
      <alignment vertical="center"/>
    </xf>
    <xf numFmtId="0" fontId="3" fillId="19" borderId="0" xfId="0" applyFont="1" applyFill="1" applyAlignment="1">
      <alignment vertical="center"/>
    </xf>
    <xf numFmtId="164" fontId="0" fillId="19" borderId="0" xfId="0" applyNumberFormat="1" applyFill="1"/>
    <xf numFmtId="164" fontId="0" fillId="19" borderId="0" xfId="1" applyNumberFormat="1" applyFont="1" applyFill="1" applyBorder="1" applyAlignment="1">
      <alignment vertical="center"/>
    </xf>
    <xf numFmtId="165" fontId="0" fillId="19" borderId="0" xfId="2" applyNumberFormat="1" applyFont="1" applyFill="1" applyBorder="1" applyAlignment="1">
      <alignment vertical="center"/>
    </xf>
    <xf numFmtId="0" fontId="0" fillId="19" borderId="2" xfId="0" applyFill="1" applyBorder="1" applyAlignment="1">
      <alignment vertical="center"/>
    </xf>
    <xf numFmtId="9" fontId="0" fillId="19" borderId="2" xfId="3" applyFont="1" applyFill="1" applyBorder="1" applyAlignment="1">
      <alignment vertical="center"/>
    </xf>
    <xf numFmtId="0" fontId="0" fillId="19" borderId="6" xfId="0" applyFill="1" applyBorder="1" applyAlignment="1">
      <alignment vertical="center"/>
    </xf>
    <xf numFmtId="164" fontId="0" fillId="19" borderId="0" xfId="0" applyNumberFormat="1" applyFill="1" applyAlignment="1">
      <alignment vertical="center"/>
    </xf>
    <xf numFmtId="165" fontId="0" fillId="19" borderId="0" xfId="0" applyNumberFormat="1" applyFill="1" applyAlignment="1">
      <alignment vertical="center"/>
    </xf>
    <xf numFmtId="164" fontId="0" fillId="19" borderId="0" xfId="1" applyNumberFormat="1" applyFont="1" applyFill="1" applyAlignment="1">
      <alignment vertical="center"/>
    </xf>
    <xf numFmtId="9" fontId="8" fillId="19" borderId="6" xfId="3" applyFont="1" applyFill="1" applyBorder="1" applyAlignment="1">
      <alignment vertical="center"/>
    </xf>
    <xf numFmtId="165" fontId="8" fillId="10" borderId="0" xfId="2" applyNumberFormat="1" applyFont="1" applyFill="1" applyBorder="1"/>
    <xf numFmtId="0" fontId="8" fillId="10" borderId="0" xfId="0" applyFont="1" applyFill="1"/>
    <xf numFmtId="164" fontId="8" fillId="10" borderId="0" xfId="1" applyNumberFormat="1" applyFont="1" applyFill="1" applyBorder="1"/>
    <xf numFmtId="0" fontId="8" fillId="19" borderId="2" xfId="0" applyFont="1" applyFill="1" applyBorder="1" applyAlignment="1">
      <alignment vertical="center"/>
    </xf>
    <xf numFmtId="9" fontId="8" fillId="19" borderId="2" xfId="3" applyFont="1" applyFill="1" applyBorder="1" applyAlignment="1">
      <alignment vertical="center"/>
    </xf>
    <xf numFmtId="0" fontId="8" fillId="10" borderId="2" xfId="0" applyFont="1" applyFill="1" applyBorder="1"/>
    <xf numFmtId="9" fontId="8" fillId="10" borderId="2" xfId="3" applyFont="1" applyFill="1" applyBorder="1"/>
    <xf numFmtId="0" fontId="0" fillId="3" borderId="0" xfId="0" applyFill="1" applyAlignment="1">
      <alignment horizontal="left" vertical="center" indent="2"/>
    </xf>
    <xf numFmtId="165" fontId="0" fillId="3" borderId="0" xfId="2" applyNumberFormat="1" applyFont="1" applyFill="1" applyBorder="1" applyAlignment="1">
      <alignment horizontal="left" vertical="center" indent="2"/>
    </xf>
    <xf numFmtId="0" fontId="0" fillId="19" borderId="6" xfId="0" applyFill="1" applyBorder="1" applyAlignment="1">
      <alignment horizontal="left" vertical="center" indent="2"/>
    </xf>
    <xf numFmtId="9" fontId="0" fillId="19" borderId="6" xfId="3" applyFont="1" applyFill="1" applyBorder="1" applyAlignment="1">
      <alignment horizontal="right" vertical="center"/>
    </xf>
    <xf numFmtId="0" fontId="0" fillId="19" borderId="0" xfId="0" applyFill="1" applyAlignment="1">
      <alignment horizontal="left" vertical="center" indent="2"/>
    </xf>
    <xf numFmtId="165" fontId="0" fillId="19" borderId="0" xfId="2" applyNumberFormat="1" applyFont="1" applyFill="1" applyBorder="1" applyAlignment="1">
      <alignment horizontal="left" vertical="center" indent="2"/>
    </xf>
    <xf numFmtId="0" fontId="0" fillId="19" borderId="2" xfId="0" applyFill="1" applyBorder="1" applyAlignment="1">
      <alignment horizontal="left" vertical="center" indent="2"/>
    </xf>
    <xf numFmtId="165" fontId="0" fillId="19" borderId="0" xfId="2" applyNumberFormat="1" applyFont="1" applyFill="1" applyAlignment="1">
      <alignment horizontal="right"/>
    </xf>
    <xf numFmtId="9" fontId="0" fillId="19" borderId="0" xfId="3" applyFont="1" applyFill="1" applyBorder="1" applyAlignment="1">
      <alignment vertical="center"/>
    </xf>
    <xf numFmtId="165" fontId="0" fillId="19" borderId="0" xfId="2" applyNumberFormat="1" applyFont="1" applyFill="1" applyAlignment="1">
      <alignment horizontal="left" vertical="center" indent="2"/>
    </xf>
    <xf numFmtId="0" fontId="0" fillId="19" borderId="5" xfId="0" applyFill="1" applyBorder="1" applyAlignment="1">
      <alignment horizontal="left" vertical="center" indent="2"/>
    </xf>
    <xf numFmtId="9" fontId="0" fillId="19" borderId="5" xfId="3" applyFont="1" applyFill="1" applyBorder="1" applyAlignment="1">
      <alignment vertical="center"/>
    </xf>
    <xf numFmtId="0" fontId="50" fillId="19" borderId="0" xfId="0" applyFont="1" applyFill="1" applyAlignment="1">
      <alignment horizontal="right" vertical="center"/>
    </xf>
    <xf numFmtId="0" fontId="51" fillId="19" borderId="0" xfId="0" applyFont="1" applyFill="1" applyAlignment="1">
      <alignment vertical="center"/>
    </xf>
    <xf numFmtId="0" fontId="49" fillId="19" borderId="0" xfId="0" applyFont="1" applyFill="1" applyAlignment="1">
      <alignment horizontal="right" vertical="center"/>
    </xf>
    <xf numFmtId="0" fontId="49" fillId="19" borderId="0" xfId="0" applyFont="1" applyFill="1" applyAlignment="1">
      <alignment horizontal="left" vertical="center" indent="2"/>
    </xf>
    <xf numFmtId="0" fontId="51" fillId="19" borderId="0" xfId="0" applyFont="1" applyFill="1" applyAlignment="1">
      <alignment horizontal="left" vertical="center" indent="4"/>
    </xf>
    <xf numFmtId="0" fontId="53" fillId="19" borderId="0" xfId="0" applyFont="1" applyFill="1" applyAlignment="1">
      <alignment horizontal="left" vertical="center" indent="4"/>
    </xf>
    <xf numFmtId="0" fontId="51" fillId="19" borderId="0" xfId="0" applyFont="1" applyFill="1" applyAlignment="1">
      <alignment horizontal="right" vertical="center"/>
    </xf>
    <xf numFmtId="164" fontId="49" fillId="19" borderId="0" xfId="0" applyNumberFormat="1" applyFont="1" applyFill="1" applyAlignment="1">
      <alignment horizontal="right" vertical="center"/>
    </xf>
    <xf numFmtId="165" fontId="49" fillId="19" borderId="0" xfId="0" applyNumberFormat="1" applyFont="1" applyFill="1" applyAlignment="1">
      <alignment horizontal="right" vertical="center"/>
    </xf>
    <xf numFmtId="165" fontId="51" fillId="19" borderId="0" xfId="0" applyNumberFormat="1" applyFont="1" applyFill="1" applyAlignment="1">
      <alignment horizontal="right" vertical="center"/>
    </xf>
    <xf numFmtId="0" fontId="52" fillId="19" borderId="0" xfId="0" applyFont="1" applyFill="1" applyAlignment="1">
      <alignment horizontal="right" vertical="center"/>
    </xf>
    <xf numFmtId="165" fontId="49" fillId="19" borderId="0" xfId="0" applyNumberFormat="1" applyFont="1" applyFill="1" applyAlignment="1">
      <alignment vertical="center"/>
    </xf>
    <xf numFmtId="0" fontId="2" fillId="19" borderId="0" xfId="0" applyFont="1" applyFill="1" applyAlignment="1">
      <alignment vertical="center"/>
    </xf>
    <xf numFmtId="165" fontId="10" fillId="19" borderId="0" xfId="0" applyNumberFormat="1" applyFont="1" applyFill="1" applyAlignment="1">
      <alignment vertical="center"/>
    </xf>
    <xf numFmtId="10" fontId="8" fillId="19" borderId="0" xfId="0" applyNumberFormat="1" applyFont="1" applyFill="1" applyAlignment="1">
      <alignment vertical="center"/>
    </xf>
    <xf numFmtId="0" fontId="7" fillId="19" borderId="0" xfId="0" applyFont="1" applyFill="1" applyAlignment="1">
      <alignment horizontal="left" vertical="center" indent="2"/>
    </xf>
    <xf numFmtId="0" fontId="7" fillId="19" borderId="0" xfId="0" applyFont="1" applyFill="1" applyAlignment="1">
      <alignment vertical="center"/>
    </xf>
    <xf numFmtId="0" fontId="7" fillId="12" borderId="0" xfId="0" applyFont="1" applyFill="1" applyAlignment="1">
      <alignment horizontal="left"/>
    </xf>
    <xf numFmtId="2" fontId="7" fillId="12" borderId="0" xfId="1" applyNumberFormat="1" applyFont="1" applyFill="1" applyBorder="1" applyAlignment="1">
      <alignment horizontal="center"/>
    </xf>
    <xf numFmtId="2" fontId="7" fillId="19" borderId="0" xfId="1" applyNumberFormat="1" applyFont="1" applyFill="1" applyBorder="1" applyAlignment="1">
      <alignment horizontal="center" vertical="center"/>
    </xf>
    <xf numFmtId="0" fontId="7" fillId="12" borderId="0" xfId="0" applyFont="1" applyFill="1" applyAlignment="1">
      <alignment horizontal="center"/>
    </xf>
    <xf numFmtId="9" fontId="7" fillId="12" borderId="0" xfId="3" applyFont="1" applyFill="1" applyBorder="1" applyAlignment="1">
      <alignment horizontal="center"/>
    </xf>
    <xf numFmtId="0" fontId="0" fillId="19" borderId="0" xfId="0" applyFill="1" applyAlignment="1">
      <alignment horizontal="center" vertical="center"/>
    </xf>
    <xf numFmtId="9" fontId="0" fillId="19" borderId="0" xfId="3" applyFont="1" applyFill="1" applyBorder="1" applyAlignment="1">
      <alignment horizontal="center" vertical="center"/>
    </xf>
    <xf numFmtId="9" fontId="5" fillId="19" borderId="0" xfId="3" applyFont="1" applyFill="1" applyBorder="1" applyAlignment="1">
      <alignment horizontal="center" vertical="center"/>
    </xf>
    <xf numFmtId="0" fontId="2" fillId="28" borderId="0" xfId="0" applyFont="1" applyFill="1" applyAlignment="1">
      <alignment vertical="center"/>
    </xf>
    <xf numFmtId="0" fontId="0" fillId="28" borderId="0" xfId="0" applyFill="1" applyAlignment="1">
      <alignment vertical="center"/>
    </xf>
    <xf numFmtId="164" fontId="0" fillId="19" borderId="0" xfId="0" applyNumberFormat="1" applyFill="1" applyAlignment="1">
      <alignment vertical="top"/>
    </xf>
    <xf numFmtId="0" fontId="29" fillId="19" borderId="0" xfId="0" applyFont="1" applyFill="1" applyAlignment="1">
      <alignment vertical="center"/>
    </xf>
    <xf numFmtId="0" fontId="3" fillId="4" borderId="0" xfId="0" applyFont="1" applyFill="1"/>
    <xf numFmtId="9" fontId="27" fillId="19" borderId="9" xfId="3" applyFont="1" applyFill="1" applyBorder="1" applyAlignment="1">
      <alignment vertical="center"/>
    </xf>
    <xf numFmtId="0" fontId="21" fillId="20" borderId="3" xfId="0" applyFont="1" applyFill="1" applyBorder="1"/>
    <xf numFmtId="165" fontId="21" fillId="20" borderId="3" xfId="0" applyNumberFormat="1" applyFont="1" applyFill="1" applyBorder="1"/>
    <xf numFmtId="0" fontId="62" fillId="19" borderId="0" xfId="0" applyFont="1" applyFill="1" applyAlignment="1">
      <alignment horizontal="right"/>
    </xf>
    <xf numFmtId="0" fontId="63" fillId="19" borderId="0" xfId="0" applyFont="1" applyFill="1" applyAlignment="1">
      <alignment horizontal="right"/>
    </xf>
    <xf numFmtId="165" fontId="33" fillId="19" borderId="0" xfId="0" applyNumberFormat="1" applyFont="1" applyFill="1" applyAlignment="1">
      <alignment vertical="center"/>
    </xf>
    <xf numFmtId="165" fontId="33" fillId="19" borderId="0" xfId="2" applyNumberFormat="1" applyFont="1" applyFill="1" applyBorder="1" applyAlignment="1">
      <alignment vertical="center"/>
    </xf>
    <xf numFmtId="165" fontId="65" fillId="19" borderId="0" xfId="2" applyNumberFormat="1" applyFont="1" applyFill="1" applyBorder="1" applyAlignment="1">
      <alignment vertical="center"/>
    </xf>
    <xf numFmtId="165" fontId="68" fillId="9" borderId="3" xfId="0" applyNumberFormat="1" applyFont="1" applyFill="1" applyBorder="1"/>
    <xf numFmtId="165" fontId="5" fillId="8" borderId="7" xfId="2" applyNumberFormat="1" applyFont="1" applyFill="1" applyBorder="1" applyAlignment="1">
      <alignment horizontal="right"/>
    </xf>
    <xf numFmtId="0" fontId="64" fillId="19" borderId="0" xfId="0" applyFont="1" applyFill="1" applyAlignment="1">
      <alignment vertical="center"/>
    </xf>
    <xf numFmtId="0" fontId="33" fillId="19" borderId="0" xfId="0" applyFont="1" applyFill="1" applyAlignment="1">
      <alignment vertical="center"/>
    </xf>
    <xf numFmtId="9" fontId="33" fillId="19" borderId="0" xfId="0" applyNumberFormat="1" applyFont="1" applyFill="1" applyAlignment="1">
      <alignment vertical="center"/>
    </xf>
    <xf numFmtId="9" fontId="65" fillId="19" borderId="0" xfId="0" applyNumberFormat="1" applyFont="1" applyFill="1" applyAlignment="1">
      <alignment vertical="center"/>
    </xf>
    <xf numFmtId="0" fontId="0" fillId="27" borderId="0" xfId="0" applyFill="1"/>
    <xf numFmtId="9" fontId="0" fillId="27" borderId="0" xfId="3" applyFont="1" applyFill="1"/>
    <xf numFmtId="9" fontId="0" fillId="19" borderId="0" xfId="3" applyFont="1" applyFill="1"/>
    <xf numFmtId="0" fontId="9" fillId="19" borderId="0" xfId="0" applyFont="1" applyFill="1" applyAlignment="1">
      <alignment horizontal="right" vertical="center"/>
    </xf>
    <xf numFmtId="0" fontId="57" fillId="4" borderId="0" xfId="7" applyFill="1" applyBorder="1" applyAlignment="1">
      <alignment horizontal="left"/>
    </xf>
    <xf numFmtId="0" fontId="0" fillId="19" borderId="1" xfId="0" applyFill="1" applyBorder="1"/>
    <xf numFmtId="0" fontId="10" fillId="19" borderId="0" xfId="0" applyFont="1" applyFill="1"/>
    <xf numFmtId="0" fontId="0" fillId="19" borderId="0" xfId="0" applyFill="1" applyAlignment="1">
      <alignment horizontal="left" indent="2"/>
    </xf>
    <xf numFmtId="0" fontId="0" fillId="27" borderId="0" xfId="0" applyFill="1" applyAlignment="1">
      <alignment horizontal="left" indent="2"/>
    </xf>
    <xf numFmtId="9" fontId="0" fillId="27" borderId="0" xfId="3" applyFont="1" applyFill="1" applyBorder="1"/>
    <xf numFmtId="0" fontId="3" fillId="27" borderId="0" xfId="0" applyFont="1" applyFill="1"/>
    <xf numFmtId="9" fontId="3" fillId="27" borderId="0" xfId="3" applyFont="1" applyFill="1"/>
    <xf numFmtId="9" fontId="3" fillId="19" borderId="0" xfId="3" applyFont="1" applyFill="1"/>
    <xf numFmtId="0" fontId="57" fillId="19" borderId="0" xfId="7" applyFill="1" applyAlignment="1">
      <alignment horizontal="left"/>
    </xf>
    <xf numFmtId="0" fontId="3" fillId="19" borderId="1" xfId="0" applyFont="1" applyFill="1" applyBorder="1"/>
    <xf numFmtId="164" fontId="0" fillId="19" borderId="0" xfId="1" applyNumberFormat="1" applyFont="1" applyFill="1" applyAlignment="1">
      <alignment horizontal="left" vertical="center" indent="2"/>
    </xf>
    <xf numFmtId="0" fontId="57" fillId="19" borderId="0" xfId="7" applyFill="1"/>
    <xf numFmtId="0" fontId="60" fillId="19" borderId="0" xfId="0" applyFont="1" applyFill="1" applyAlignment="1">
      <alignment horizontal="right"/>
    </xf>
    <xf numFmtId="0" fontId="15" fillId="19" borderId="10" xfId="0" applyFont="1" applyFill="1" applyBorder="1" applyAlignment="1" applyProtection="1">
      <alignment horizontal="center" vertical="center"/>
      <protection locked="0"/>
    </xf>
    <xf numFmtId="0" fontId="15" fillId="19" borderId="11" xfId="0" applyFont="1" applyFill="1" applyBorder="1" applyAlignment="1" applyProtection="1">
      <alignment horizontal="center" vertical="center"/>
      <protection locked="0"/>
    </xf>
    <xf numFmtId="0" fontId="6" fillId="11" borderId="9" xfId="0" applyFont="1" applyFill="1" applyBorder="1" applyAlignment="1">
      <alignment horizontal="center" vertical="center"/>
    </xf>
    <xf numFmtId="0" fontId="8" fillId="19" borderId="0" xfId="0" applyFont="1" applyFill="1" applyAlignment="1" applyProtection="1">
      <alignment vertical="center"/>
    </xf>
    <xf numFmtId="0" fontId="8" fillId="19" borderId="0" xfId="0" applyFont="1" applyFill="1" applyAlignment="1" applyProtection="1">
      <alignment horizontal="center" vertical="center"/>
    </xf>
    <xf numFmtId="0" fontId="0" fillId="19" borderId="0" xfId="0" applyFill="1" applyProtection="1"/>
    <xf numFmtId="0" fontId="10" fillId="19" borderId="0" xfId="0" applyFont="1" applyFill="1" applyAlignment="1" applyProtection="1">
      <alignment vertical="center"/>
    </xf>
    <xf numFmtId="0" fontId="50" fillId="19" borderId="0" xfId="0" applyFont="1" applyFill="1" applyAlignment="1" applyProtection="1">
      <alignment vertical="center"/>
    </xf>
    <xf numFmtId="0" fontId="60" fillId="19" borderId="0" xfId="0" applyFont="1" applyFill="1" applyAlignment="1" applyProtection="1">
      <alignment vertical="center"/>
    </xf>
    <xf numFmtId="0" fontId="72" fillId="19" borderId="0" xfId="0" applyFont="1" applyFill="1" applyAlignment="1" applyProtection="1">
      <alignment vertical="center"/>
    </xf>
    <xf numFmtId="0" fontId="69" fillId="19" borderId="0" xfId="0" applyFont="1" applyFill="1" applyAlignment="1" applyProtection="1">
      <alignment vertical="center"/>
    </xf>
    <xf numFmtId="165" fontId="8" fillId="2" borderId="0" xfId="2" applyNumberFormat="1" applyFont="1" applyFill="1" applyAlignment="1" applyProtection="1">
      <alignment vertical="center"/>
    </xf>
    <xf numFmtId="165" fontId="65" fillId="2" borderId="0" xfId="2" applyNumberFormat="1" applyFont="1" applyFill="1" applyAlignment="1" applyProtection="1">
      <alignment vertical="center"/>
    </xf>
    <xf numFmtId="165" fontId="33" fillId="2" borderId="0" xfId="2" applyNumberFormat="1" applyFont="1" applyFill="1" applyAlignment="1" applyProtection="1">
      <alignment vertical="center"/>
    </xf>
    <xf numFmtId="0" fontId="0" fillId="2" borderId="0" xfId="0" applyFill="1" applyProtection="1"/>
    <xf numFmtId="165" fontId="8" fillId="19" borderId="0" xfId="2" applyNumberFormat="1" applyFont="1" applyFill="1" applyAlignment="1" applyProtection="1">
      <alignment vertical="center"/>
    </xf>
    <xf numFmtId="165" fontId="65" fillId="19" borderId="0" xfId="2" applyNumberFormat="1" applyFont="1" applyFill="1" applyAlignment="1" applyProtection="1">
      <alignment vertical="center"/>
    </xf>
    <xf numFmtId="165" fontId="33" fillId="19" borderId="0" xfId="2" applyNumberFormat="1" applyFont="1" applyFill="1" applyAlignment="1" applyProtection="1">
      <alignment vertical="center"/>
    </xf>
    <xf numFmtId="0" fontId="8" fillId="2" borderId="0" xfId="0" applyFont="1" applyFill="1" applyAlignment="1" applyProtection="1">
      <alignment vertical="center"/>
    </xf>
    <xf numFmtId="165" fontId="8" fillId="2" borderId="2" xfId="2" applyNumberFormat="1" applyFont="1" applyFill="1" applyBorder="1" applyAlignment="1" applyProtection="1">
      <alignment vertical="center"/>
    </xf>
    <xf numFmtId="165" fontId="65" fillId="2" borderId="2" xfId="2" applyNumberFormat="1" applyFont="1" applyFill="1" applyBorder="1" applyAlignment="1" applyProtection="1">
      <alignment vertical="center"/>
    </xf>
    <xf numFmtId="165" fontId="33" fillId="2" borderId="2" xfId="2" applyNumberFormat="1" applyFont="1" applyFill="1" applyBorder="1" applyAlignment="1" applyProtection="1">
      <alignment vertical="center"/>
    </xf>
    <xf numFmtId="0" fontId="70" fillId="29" borderId="0" xfId="0" applyFont="1" applyFill="1" applyProtection="1"/>
    <xf numFmtId="0" fontId="70" fillId="29" borderId="2" xfId="0" applyFont="1" applyFill="1" applyBorder="1" applyProtection="1"/>
    <xf numFmtId="165" fontId="10" fillId="19" borderId="9" xfId="0" applyNumberFormat="1" applyFont="1" applyFill="1" applyBorder="1" applyAlignment="1" applyProtection="1">
      <alignment vertical="center"/>
    </xf>
    <xf numFmtId="165" fontId="66" fillId="19" borderId="9" xfId="0" applyNumberFormat="1" applyFont="1" applyFill="1" applyBorder="1" applyAlignment="1" applyProtection="1">
      <alignment vertical="center"/>
    </xf>
    <xf numFmtId="165" fontId="64" fillId="19" borderId="9" xfId="0" applyNumberFormat="1" applyFont="1" applyFill="1" applyBorder="1" applyAlignment="1" applyProtection="1">
      <alignment vertical="center"/>
    </xf>
    <xf numFmtId="0" fontId="70" fillId="22" borderId="1" xfId="0" applyFont="1" applyFill="1" applyBorder="1" applyProtection="1"/>
    <xf numFmtId="165" fontId="8" fillId="2" borderId="0" xfId="0" applyNumberFormat="1" applyFont="1" applyFill="1" applyAlignment="1" applyProtection="1">
      <alignment vertical="center"/>
    </xf>
    <xf numFmtId="165" fontId="65" fillId="2" borderId="0" xfId="0" applyNumberFormat="1" applyFont="1" applyFill="1" applyAlignment="1" applyProtection="1">
      <alignment vertical="center"/>
    </xf>
    <xf numFmtId="165" fontId="33" fillId="2" borderId="0" xfId="0" applyNumberFormat="1" applyFont="1" applyFill="1" applyAlignment="1" applyProtection="1">
      <alignment vertical="center"/>
    </xf>
    <xf numFmtId="165" fontId="8" fillId="19" borderId="0" xfId="2" applyNumberFormat="1" applyFont="1" applyFill="1" applyBorder="1" applyAlignment="1" applyProtection="1">
      <alignment vertical="center"/>
    </xf>
    <xf numFmtId="165" fontId="8" fillId="19" borderId="0" xfId="0" applyNumberFormat="1" applyFont="1" applyFill="1" applyAlignment="1" applyProtection="1">
      <alignment vertical="center"/>
    </xf>
    <xf numFmtId="165" fontId="33" fillId="19" borderId="0" xfId="0" applyNumberFormat="1" applyFont="1" applyFill="1" applyAlignment="1" applyProtection="1">
      <alignment vertical="center"/>
    </xf>
    <xf numFmtId="9" fontId="8" fillId="2" borderId="0" xfId="3" applyFont="1" applyFill="1" applyAlignment="1" applyProtection="1">
      <alignment vertical="center"/>
    </xf>
    <xf numFmtId="9" fontId="65" fillId="2" borderId="0" xfId="3" applyFont="1" applyFill="1" applyAlignment="1" applyProtection="1">
      <alignment vertical="center"/>
    </xf>
    <xf numFmtId="9" fontId="33" fillId="2" borderId="0" xfId="3" applyFont="1" applyFill="1" applyAlignment="1" applyProtection="1">
      <alignment vertical="center"/>
    </xf>
    <xf numFmtId="165" fontId="8" fillId="2" borderId="0" xfId="2" applyNumberFormat="1" applyFont="1" applyFill="1" applyBorder="1" applyAlignment="1" applyProtection="1">
      <alignment vertical="center"/>
    </xf>
    <xf numFmtId="167" fontId="8" fillId="19" borderId="0" xfId="0" applyNumberFormat="1" applyFont="1" applyFill="1" applyAlignment="1" applyProtection="1">
      <alignment vertical="center"/>
    </xf>
    <xf numFmtId="167" fontId="65" fillId="19" borderId="0" xfId="0" applyNumberFormat="1" applyFont="1" applyFill="1" applyAlignment="1" applyProtection="1">
      <alignment vertical="center"/>
    </xf>
    <xf numFmtId="167" fontId="33" fillId="19" borderId="0" xfId="0" applyNumberFormat="1" applyFont="1" applyFill="1" applyAlignment="1" applyProtection="1">
      <alignment vertical="center"/>
    </xf>
    <xf numFmtId="165" fontId="65" fillId="19" borderId="0" xfId="0" applyNumberFormat="1" applyFont="1" applyFill="1" applyAlignment="1" applyProtection="1">
      <alignment vertical="center"/>
    </xf>
    <xf numFmtId="165" fontId="8" fillId="2" borderId="12" xfId="2" applyNumberFormat="1" applyFont="1" applyFill="1" applyBorder="1" applyAlignment="1" applyProtection="1">
      <alignment vertical="center"/>
    </xf>
    <xf numFmtId="165" fontId="33" fillId="2" borderId="12" xfId="2" applyNumberFormat="1" applyFont="1" applyFill="1" applyBorder="1" applyAlignment="1" applyProtection="1">
      <alignment vertical="center"/>
    </xf>
    <xf numFmtId="0" fontId="8" fillId="2" borderId="12" xfId="0" applyFont="1" applyFill="1" applyBorder="1" applyAlignment="1" applyProtection="1">
      <alignment vertical="center"/>
    </xf>
    <xf numFmtId="0" fontId="8" fillId="19" borderId="13" xfId="0" applyFont="1" applyFill="1" applyBorder="1" applyAlignment="1" applyProtection="1">
      <alignment vertical="center"/>
    </xf>
    <xf numFmtId="165" fontId="10" fillId="19" borderId="13" xfId="0" applyNumberFormat="1" applyFont="1" applyFill="1" applyBorder="1" applyAlignment="1" applyProtection="1">
      <alignment vertical="center"/>
    </xf>
    <xf numFmtId="165" fontId="64" fillId="19" borderId="13" xfId="0" applyNumberFormat="1" applyFont="1" applyFill="1" applyBorder="1" applyAlignment="1" applyProtection="1">
      <alignment vertical="center"/>
    </xf>
    <xf numFmtId="165" fontId="8" fillId="19" borderId="13" xfId="0" applyNumberFormat="1" applyFont="1" applyFill="1" applyBorder="1" applyAlignment="1" applyProtection="1">
      <alignment vertical="center"/>
    </xf>
    <xf numFmtId="9" fontId="8" fillId="19" borderId="0" xfId="3" applyFont="1" applyFill="1" applyAlignment="1" applyProtection="1">
      <alignment vertical="center"/>
    </xf>
    <xf numFmtId="165" fontId="8" fillId="19" borderId="0" xfId="3" applyNumberFormat="1" applyFont="1" applyFill="1" applyAlignment="1" applyProtection="1">
      <alignment vertical="center"/>
    </xf>
    <xf numFmtId="165" fontId="8" fillId="2" borderId="12" xfId="0" applyNumberFormat="1" applyFont="1" applyFill="1" applyBorder="1" applyAlignment="1" applyProtection="1">
      <alignment vertical="center"/>
    </xf>
    <xf numFmtId="165" fontId="33" fillId="2" borderId="12" xfId="0" applyNumberFormat="1" applyFont="1" applyFill="1" applyBorder="1" applyAlignment="1" applyProtection="1">
      <alignment vertical="center"/>
    </xf>
    <xf numFmtId="165" fontId="71" fillId="2" borderId="0" xfId="0" applyNumberFormat="1" applyFont="1" applyFill="1" applyAlignment="1" applyProtection="1">
      <alignment horizontal="right" vertical="center"/>
    </xf>
    <xf numFmtId="165" fontId="8" fillId="2" borderId="0" xfId="2" applyNumberFormat="1" applyFont="1" applyFill="1" applyAlignment="1" applyProtection="1">
      <alignment horizontal="center" vertical="center"/>
    </xf>
    <xf numFmtId="0" fontId="8" fillId="2" borderId="13" xfId="0" applyFont="1" applyFill="1" applyBorder="1" applyAlignment="1" applyProtection="1">
      <alignment vertical="center"/>
    </xf>
    <xf numFmtId="3" fontId="65" fillId="2" borderId="13" xfId="0" applyNumberFormat="1" applyFont="1" applyFill="1" applyBorder="1" applyAlignment="1" applyProtection="1">
      <alignment vertical="center"/>
    </xf>
    <xf numFmtId="164" fontId="8" fillId="2" borderId="13" xfId="1" applyNumberFormat="1" applyFont="1" applyFill="1" applyBorder="1" applyAlignment="1" applyProtection="1">
      <alignment vertical="center"/>
    </xf>
    <xf numFmtId="164" fontId="33" fillId="2" borderId="13" xfId="1" applyNumberFormat="1" applyFont="1" applyFill="1" applyBorder="1" applyAlignment="1" applyProtection="1">
      <alignment vertical="center"/>
    </xf>
    <xf numFmtId="0" fontId="32" fillId="19" borderId="0" xfId="0" applyFont="1" applyFill="1" applyAlignment="1" applyProtection="1">
      <alignment vertical="center"/>
    </xf>
    <xf numFmtId="0" fontId="12" fillId="19" borderId="0" xfId="0" applyFont="1" applyFill="1" applyAlignment="1" applyProtection="1">
      <alignment vertical="center"/>
    </xf>
    <xf numFmtId="0" fontId="32" fillId="19" borderId="0" xfId="0" applyFont="1" applyFill="1" applyAlignment="1" applyProtection="1">
      <alignment horizontal="right" vertical="center"/>
    </xf>
    <xf numFmtId="0" fontId="33" fillId="30" borderId="0" xfId="0" applyFont="1" applyFill="1" applyAlignment="1" applyProtection="1">
      <alignment vertical="center"/>
    </xf>
    <xf numFmtId="165" fontId="33" fillId="30" borderId="0" xfId="2" applyNumberFormat="1" applyFont="1" applyFill="1" applyBorder="1" applyAlignment="1" applyProtection="1">
      <alignment vertical="center"/>
    </xf>
    <xf numFmtId="0" fontId="33" fillId="19" borderId="0" xfId="0" applyFont="1" applyFill="1" applyAlignment="1" applyProtection="1">
      <alignment vertical="center"/>
    </xf>
    <xf numFmtId="165" fontId="33" fillId="19" borderId="0" xfId="2" applyNumberFormat="1" applyFont="1" applyFill="1" applyBorder="1" applyAlignment="1" applyProtection="1">
      <alignment vertical="center"/>
    </xf>
    <xf numFmtId="0" fontId="64" fillId="19" borderId="0" xfId="0" applyFont="1" applyFill="1" applyAlignment="1" applyProtection="1">
      <alignment vertical="center"/>
    </xf>
    <xf numFmtId="165" fontId="64" fillId="19" borderId="0" xfId="2" applyNumberFormat="1" applyFont="1" applyFill="1" applyBorder="1" applyAlignment="1" applyProtection="1">
      <alignment vertical="center"/>
    </xf>
    <xf numFmtId="9" fontId="33" fillId="30" borderId="0" xfId="3" applyFont="1" applyFill="1" applyBorder="1" applyAlignment="1" applyProtection="1">
      <alignment vertical="center"/>
    </xf>
    <xf numFmtId="0" fontId="33" fillId="19" borderId="0" xfId="0" applyFont="1" applyFill="1" applyAlignment="1" applyProtection="1">
      <alignment horizontal="center" vertical="center"/>
    </xf>
    <xf numFmtId="165" fontId="64" fillId="19" borderId="0" xfId="0" applyNumberFormat="1" applyFont="1" applyFill="1" applyAlignment="1" applyProtection="1">
      <alignment vertical="center"/>
    </xf>
    <xf numFmtId="0" fontId="33" fillId="30" borderId="1" xfId="0" applyFont="1" applyFill="1" applyBorder="1" applyAlignment="1" applyProtection="1">
      <alignment vertical="center"/>
    </xf>
    <xf numFmtId="9" fontId="33" fillId="30" borderId="1" xfId="3" applyFont="1" applyFill="1" applyBorder="1" applyAlignment="1" applyProtection="1">
      <alignment vertical="center"/>
    </xf>
    <xf numFmtId="0" fontId="40" fillId="19" borderId="0" xfId="0" applyFont="1" applyFill="1" applyAlignment="1" applyProtection="1">
      <alignment horizontal="right" vertical="center"/>
    </xf>
    <xf numFmtId="9" fontId="8" fillId="19" borderId="0" xfId="3" applyFont="1" applyFill="1" applyBorder="1" applyAlignment="1" applyProtection="1">
      <alignment vertical="center"/>
    </xf>
    <xf numFmtId="9" fontId="65" fillId="19" borderId="0" xfId="3" applyFont="1" applyFill="1" applyBorder="1" applyAlignment="1" applyProtection="1">
      <alignment vertical="center"/>
    </xf>
    <xf numFmtId="9" fontId="33" fillId="19" borderId="0" xfId="3" applyFont="1" applyFill="1" applyBorder="1" applyAlignment="1" applyProtection="1">
      <alignment vertical="center"/>
    </xf>
    <xf numFmtId="165" fontId="65" fillId="19" borderId="0" xfId="2" applyNumberFormat="1" applyFont="1" applyFill="1" applyBorder="1" applyAlignment="1" applyProtection="1">
      <alignment vertical="center"/>
    </xf>
    <xf numFmtId="0" fontId="70" fillId="22" borderId="0" xfId="0" applyFont="1" applyFill="1" applyProtection="1"/>
    <xf numFmtId="164" fontId="8" fillId="19" borderId="0" xfId="1" applyNumberFormat="1" applyFont="1" applyFill="1" applyBorder="1" applyAlignment="1" applyProtection="1">
      <alignment vertical="center"/>
    </xf>
    <xf numFmtId="164" fontId="65" fillId="19" borderId="0" xfId="0" applyNumberFormat="1" applyFont="1" applyFill="1" applyAlignment="1" applyProtection="1">
      <alignment vertical="center"/>
    </xf>
    <xf numFmtId="164" fontId="8" fillId="19" borderId="0" xfId="0" applyNumberFormat="1" applyFont="1" applyFill="1" applyAlignment="1" applyProtection="1">
      <alignment vertical="center"/>
    </xf>
    <xf numFmtId="164" fontId="33" fillId="19" borderId="0" xfId="0" applyNumberFormat="1" applyFont="1" applyFill="1" applyAlignment="1" applyProtection="1">
      <alignment vertical="center"/>
    </xf>
    <xf numFmtId="0" fontId="9" fillId="19" borderId="0" xfId="0" applyFont="1" applyFill="1" applyAlignment="1" applyProtection="1">
      <alignment horizontal="right" vertical="center"/>
    </xf>
    <xf numFmtId="9" fontId="10" fillId="19" borderId="0" xfId="3" applyFont="1" applyFill="1" applyAlignment="1" applyProtection="1">
      <alignment horizontal="center" vertical="center"/>
    </xf>
    <xf numFmtId="9" fontId="10" fillId="19" borderId="0" xfId="0" applyNumberFormat="1" applyFont="1" applyFill="1" applyAlignment="1" applyProtection="1">
      <alignment horizontal="center" vertical="center"/>
    </xf>
    <xf numFmtId="9" fontId="8" fillId="19" borderId="0" xfId="3" applyFont="1" applyFill="1" applyAlignment="1" applyProtection="1">
      <alignment horizontal="center" vertical="center"/>
    </xf>
    <xf numFmtId="9" fontId="8" fillId="19" borderId="0" xfId="0" applyNumberFormat="1" applyFont="1" applyFill="1" applyAlignment="1" applyProtection="1">
      <alignment horizontal="center" vertical="center"/>
    </xf>
    <xf numFmtId="0" fontId="49" fillId="19" borderId="0" xfId="0" applyFont="1" applyFill="1" applyAlignment="1" applyProtection="1">
      <alignment vertical="center"/>
    </xf>
    <xf numFmtId="0" fontId="49" fillId="19" borderId="0" xfId="0" applyFont="1" applyFill="1" applyAlignment="1" applyProtection="1">
      <alignment horizontal="center" vertical="center"/>
    </xf>
    <xf numFmtId="0" fontId="50" fillId="19" borderId="0" xfId="0" applyFont="1" applyFill="1" applyAlignment="1" applyProtection="1">
      <alignment horizontal="right" vertical="center"/>
    </xf>
    <xf numFmtId="0" fontId="50" fillId="19" borderId="0" xfId="0" applyFont="1" applyFill="1" applyAlignment="1" applyProtection="1">
      <alignment horizontal="center" vertical="center"/>
    </xf>
    <xf numFmtId="0" fontId="49" fillId="19" borderId="0" xfId="0" applyFont="1" applyFill="1" applyAlignment="1" applyProtection="1">
      <alignment horizontal="right" vertical="center"/>
    </xf>
    <xf numFmtId="164" fontId="49" fillId="19" borderId="0" xfId="1" applyNumberFormat="1" applyFont="1" applyFill="1" applyBorder="1" applyAlignment="1" applyProtection="1">
      <alignment horizontal="right" vertical="center"/>
    </xf>
    <xf numFmtId="164" fontId="49" fillId="19" borderId="0" xfId="1" applyNumberFormat="1" applyFont="1" applyFill="1" applyBorder="1" applyAlignment="1" applyProtection="1">
      <alignment horizontal="center" vertical="center"/>
    </xf>
    <xf numFmtId="164" fontId="51" fillId="19" borderId="0" xfId="1" applyNumberFormat="1" applyFont="1" applyFill="1" applyBorder="1" applyAlignment="1" applyProtection="1">
      <alignment horizontal="right" vertical="center"/>
    </xf>
    <xf numFmtId="164" fontId="51" fillId="19" borderId="0" xfId="1" applyNumberFormat="1" applyFont="1" applyFill="1" applyBorder="1" applyAlignment="1" applyProtection="1">
      <alignment horizontal="center" vertical="center"/>
    </xf>
    <xf numFmtId="9" fontId="53" fillId="19" borderId="0" xfId="3" applyFont="1" applyFill="1" applyBorder="1" applyAlignment="1" applyProtection="1">
      <alignment horizontal="right" vertical="center"/>
    </xf>
    <xf numFmtId="9" fontId="53" fillId="19" borderId="0" xfId="3" applyFont="1" applyFill="1" applyBorder="1" applyAlignment="1" applyProtection="1">
      <alignment horizontal="center" vertical="center"/>
    </xf>
    <xf numFmtId="0" fontId="49" fillId="19" borderId="0" xfId="2" applyNumberFormat="1" applyFont="1" applyFill="1" applyBorder="1" applyAlignment="1" applyProtection="1">
      <alignment horizontal="right" vertical="center"/>
    </xf>
    <xf numFmtId="0" fontId="49" fillId="19" borderId="0" xfId="2" applyNumberFormat="1" applyFont="1" applyFill="1" applyBorder="1" applyAlignment="1" applyProtection="1">
      <alignment horizontal="center" vertical="center"/>
    </xf>
    <xf numFmtId="165" fontId="49" fillId="19" borderId="0" xfId="2" applyNumberFormat="1" applyFont="1" applyFill="1" applyBorder="1" applyAlignment="1" applyProtection="1">
      <alignment horizontal="right" vertical="center"/>
    </xf>
    <xf numFmtId="165" fontId="49" fillId="19" borderId="0" xfId="2" applyNumberFormat="1" applyFont="1" applyFill="1" applyBorder="1" applyAlignment="1" applyProtection="1">
      <alignment horizontal="center" vertical="center"/>
    </xf>
    <xf numFmtId="165" fontId="51" fillId="19" borderId="0" xfId="2" applyNumberFormat="1" applyFont="1" applyFill="1" applyBorder="1" applyAlignment="1" applyProtection="1">
      <alignment horizontal="right" vertical="center"/>
    </xf>
    <xf numFmtId="165" fontId="51" fillId="19" borderId="0" xfId="2" applyNumberFormat="1" applyFont="1" applyFill="1" applyBorder="1" applyAlignment="1" applyProtection="1">
      <alignment horizontal="center" vertical="center"/>
    </xf>
    <xf numFmtId="0" fontId="49" fillId="19" borderId="0" xfId="3" applyNumberFormat="1" applyFont="1" applyFill="1" applyBorder="1" applyAlignment="1" applyProtection="1">
      <alignment horizontal="right" vertical="center"/>
    </xf>
    <xf numFmtId="0" fontId="49" fillId="19" borderId="0" xfId="3" applyNumberFormat="1" applyFont="1" applyFill="1" applyBorder="1" applyAlignment="1" applyProtection="1">
      <alignment horizontal="center" vertical="center"/>
    </xf>
    <xf numFmtId="164" fontId="49" fillId="22" borderId="0" xfId="1" applyNumberFormat="1" applyFont="1" applyFill="1" applyBorder="1" applyAlignment="1" applyProtection="1">
      <alignment horizontal="right" vertical="center"/>
    </xf>
    <xf numFmtId="164" fontId="49" fillId="22" borderId="0" xfId="1" applyNumberFormat="1" applyFont="1" applyFill="1" applyBorder="1" applyAlignment="1" applyProtection="1">
      <alignment horizontal="center" vertical="center"/>
    </xf>
    <xf numFmtId="9" fontId="52" fillId="19" borderId="0" xfId="3" applyFont="1" applyFill="1" applyBorder="1" applyAlignment="1" applyProtection="1">
      <alignment horizontal="right" vertical="center"/>
    </xf>
    <xf numFmtId="0" fontId="51" fillId="19" borderId="0" xfId="0" applyFont="1" applyFill="1" applyAlignment="1" applyProtection="1">
      <alignment horizontal="right" vertical="center"/>
    </xf>
    <xf numFmtId="0" fontId="51" fillId="19" borderId="0" xfId="0" applyFont="1" applyFill="1" applyAlignment="1" applyProtection="1">
      <alignment horizontal="center" vertical="center"/>
    </xf>
    <xf numFmtId="164" fontId="49" fillId="19" borderId="0" xfId="0" applyNumberFormat="1" applyFont="1" applyFill="1" applyAlignment="1" applyProtection="1">
      <alignment horizontal="right" vertical="center"/>
    </xf>
    <xf numFmtId="164" fontId="49" fillId="19" borderId="0" xfId="0" applyNumberFormat="1" applyFont="1" applyFill="1" applyAlignment="1" applyProtection="1">
      <alignment horizontal="center" vertical="center"/>
    </xf>
    <xf numFmtId="165" fontId="51" fillId="19" borderId="0" xfId="0" applyNumberFormat="1" applyFont="1" applyFill="1" applyAlignment="1" applyProtection="1">
      <alignment horizontal="right" vertical="center"/>
    </xf>
    <xf numFmtId="165" fontId="51" fillId="19" borderId="0" xfId="0" applyNumberFormat="1" applyFont="1" applyFill="1" applyAlignment="1" applyProtection="1">
      <alignment horizontal="center" vertical="center"/>
    </xf>
    <xf numFmtId="165" fontId="49" fillId="19" borderId="0" xfId="0" applyNumberFormat="1" applyFont="1" applyFill="1" applyAlignment="1" applyProtection="1">
      <alignment vertical="center"/>
    </xf>
    <xf numFmtId="165" fontId="49" fillId="19" borderId="0" xfId="0" applyNumberFormat="1" applyFont="1" applyFill="1" applyAlignment="1" applyProtection="1">
      <alignment horizontal="center" vertical="center"/>
    </xf>
    <xf numFmtId="165" fontId="51" fillId="19" borderId="0" xfId="0" applyNumberFormat="1" applyFont="1" applyFill="1" applyAlignment="1" applyProtection="1">
      <alignment vertical="center"/>
    </xf>
    <xf numFmtId="9" fontId="49" fillId="19" borderId="0" xfId="3" applyFont="1" applyFill="1" applyBorder="1" applyAlignment="1" applyProtection="1">
      <alignment vertical="center"/>
    </xf>
    <xf numFmtId="9" fontId="49" fillId="19" borderId="0" xfId="3" applyFont="1" applyFill="1" applyBorder="1" applyAlignment="1" applyProtection="1">
      <alignment horizontal="center" vertical="center"/>
    </xf>
    <xf numFmtId="9" fontId="51" fillId="19" borderId="0" xfId="3" applyFont="1" applyFill="1" applyBorder="1" applyAlignment="1" applyProtection="1">
      <alignment vertical="center"/>
    </xf>
    <xf numFmtId="165" fontId="49" fillId="19" borderId="0" xfId="2" applyNumberFormat="1" applyFont="1" applyFill="1" applyBorder="1" applyAlignment="1" applyProtection="1">
      <alignment vertical="center"/>
    </xf>
    <xf numFmtId="165" fontId="51" fillId="19" borderId="0" xfId="2" applyNumberFormat="1" applyFont="1" applyFill="1" applyBorder="1" applyAlignment="1" applyProtection="1">
      <alignment vertical="center"/>
    </xf>
    <xf numFmtId="164" fontId="49" fillId="19" borderId="0" xfId="1" applyNumberFormat="1" applyFont="1" applyFill="1" applyBorder="1" applyAlignment="1" applyProtection="1">
      <alignment vertical="center"/>
    </xf>
    <xf numFmtId="164" fontId="51" fillId="19" borderId="0" xfId="1" applyNumberFormat="1" applyFont="1" applyFill="1" applyBorder="1" applyAlignment="1" applyProtection="1">
      <alignment vertical="center"/>
    </xf>
    <xf numFmtId="44" fontId="49" fillId="23" borderId="0" xfId="5" applyNumberFormat="1" applyFont="1" applyFill="1" applyBorder="1" applyAlignment="1" applyProtection="1">
      <alignment vertical="center"/>
    </xf>
    <xf numFmtId="9" fontId="51" fillId="23" borderId="0" xfId="4" applyNumberFormat="1" applyFont="1" applyFill="1" applyBorder="1" applyAlignment="1" applyProtection="1">
      <alignment vertical="center"/>
    </xf>
    <xf numFmtId="0" fontId="2" fillId="19" borderId="0" xfId="0" applyFont="1" applyFill="1" applyAlignment="1" applyProtection="1">
      <alignment vertical="center"/>
    </xf>
    <xf numFmtId="0" fontId="2" fillId="19" borderId="0" xfId="0" applyFont="1" applyFill="1" applyAlignment="1" applyProtection="1">
      <alignment horizontal="center" vertical="center"/>
    </xf>
    <xf numFmtId="165" fontId="10" fillId="19" borderId="0" xfId="0" applyNumberFormat="1" applyFont="1" applyFill="1" applyAlignment="1" applyProtection="1">
      <alignment vertical="center"/>
    </xf>
    <xf numFmtId="165" fontId="10" fillId="19" borderId="0" xfId="0" applyNumberFormat="1" applyFont="1" applyFill="1" applyAlignment="1" applyProtection="1">
      <alignment horizontal="center" vertical="center"/>
    </xf>
    <xf numFmtId="165" fontId="10" fillId="19" borderId="0" xfId="2" applyNumberFormat="1" applyFont="1" applyFill="1" applyBorder="1" applyAlignment="1" applyProtection="1">
      <alignment vertical="center"/>
    </xf>
    <xf numFmtId="0" fontId="8" fillId="19" borderId="0" xfId="0" applyFont="1" applyFill="1" applyProtection="1"/>
    <xf numFmtId="0" fontId="15" fillId="19" borderId="0" xfId="0" applyFont="1" applyFill="1" applyAlignment="1" applyProtection="1">
      <alignment horizontal="center" vertical="center"/>
    </xf>
    <xf numFmtId="0" fontId="48" fillId="19" borderId="0" xfId="0" applyFont="1" applyFill="1" applyAlignment="1" applyProtection="1">
      <alignment vertical="center"/>
    </xf>
    <xf numFmtId="0" fontId="8" fillId="2" borderId="2" xfId="0" applyFont="1" applyFill="1" applyBorder="1" applyAlignment="1" applyProtection="1">
      <alignment vertical="center"/>
    </xf>
    <xf numFmtId="0" fontId="10" fillId="19" borderId="9" xfId="0" applyFont="1" applyFill="1" applyBorder="1" applyAlignment="1" applyProtection="1">
      <alignment vertical="center"/>
    </xf>
    <xf numFmtId="0" fontId="8" fillId="19" borderId="9" xfId="0" applyFont="1" applyFill="1" applyBorder="1" applyAlignment="1" applyProtection="1">
      <alignment vertical="center"/>
    </xf>
    <xf numFmtId="0" fontId="9" fillId="19" borderId="0" xfId="0" applyFont="1" applyFill="1" applyAlignment="1" applyProtection="1">
      <alignment vertical="center"/>
    </xf>
    <xf numFmtId="0" fontId="8" fillId="2" borderId="0" xfId="0" applyFont="1" applyFill="1" applyAlignment="1" applyProtection="1">
      <alignment horizontal="left" vertical="center" indent="2"/>
    </xf>
    <xf numFmtId="0" fontId="8" fillId="19" borderId="0" xfId="0" applyFont="1" applyFill="1" applyAlignment="1" applyProtection="1">
      <alignment horizontal="left" vertical="center" indent="4"/>
    </xf>
    <xf numFmtId="0" fontId="10" fillId="19" borderId="13" xfId="0" applyFont="1" applyFill="1" applyBorder="1" applyAlignment="1" applyProtection="1">
      <alignment vertical="center"/>
    </xf>
    <xf numFmtId="0" fontId="67" fillId="19" borderId="0" xfId="0" applyFont="1" applyFill="1" applyAlignment="1" applyProtection="1">
      <alignment vertical="center"/>
    </xf>
    <xf numFmtId="0" fontId="0" fillId="2" borderId="12" xfId="0" applyFill="1" applyBorder="1" applyAlignment="1" applyProtection="1">
      <alignment vertical="center"/>
    </xf>
    <xf numFmtId="165" fontId="11" fillId="19" borderId="0" xfId="2" applyNumberFormat="1" applyFont="1" applyFill="1" applyAlignment="1" applyProtection="1">
      <alignment vertical="center"/>
    </xf>
    <xf numFmtId="165" fontId="34" fillId="19" borderId="0" xfId="2" applyNumberFormat="1" applyFont="1" applyFill="1" applyAlignment="1" applyProtection="1">
      <alignment vertical="center"/>
    </xf>
    <xf numFmtId="0" fontId="10" fillId="19" borderId="0" xfId="0" applyFont="1" applyFill="1" applyAlignment="1" applyProtection="1">
      <alignment horizontal="left" vertical="center" indent="2"/>
    </xf>
    <xf numFmtId="0" fontId="3" fillId="19" borderId="0" xfId="0" applyFont="1" applyFill="1" applyProtection="1"/>
    <xf numFmtId="0" fontId="51" fillId="19" borderId="0" xfId="0" applyFont="1" applyFill="1" applyAlignment="1" applyProtection="1">
      <alignment vertical="center"/>
    </xf>
    <xf numFmtId="0" fontId="49" fillId="19" borderId="0" xfId="0" applyFont="1" applyFill="1" applyAlignment="1" applyProtection="1">
      <alignment horizontal="left" vertical="center" indent="2"/>
    </xf>
    <xf numFmtId="0" fontId="51" fillId="19" borderId="0" xfId="0" applyFont="1" applyFill="1" applyAlignment="1" applyProtection="1">
      <alignment horizontal="left" vertical="center" indent="4"/>
    </xf>
  </cellXfs>
  <cellStyles count="9">
    <cellStyle name="Bad" xfId="6" builtinId="27"/>
    <cellStyle name="Comma" xfId="1" builtinId="3"/>
    <cellStyle name="Currency" xfId="2" builtinId="4"/>
    <cellStyle name="Good" xfId="4" builtinId="26"/>
    <cellStyle name="Hyperlink" xfId="7" builtinId="8"/>
    <cellStyle name="Neutral" xfId="5" builtinId="28"/>
    <cellStyle name="Normal" xfId="0" builtinId="0"/>
    <cellStyle name="Normal 2" xfId="8" xr:uid="{6ACCDEE3-8614-2947-9254-04A168034431}"/>
    <cellStyle name="Percent" xfId="3" builtinId="5"/>
  </cellStyles>
  <dxfs count="11">
    <dxf>
      <font>
        <b/>
        <i val="0"/>
        <color theme="9"/>
      </font>
      <fill>
        <patternFill>
          <bgColor theme="9" tint="0.79998168889431442"/>
        </patternFill>
      </fill>
    </dxf>
    <dxf>
      <font>
        <b/>
        <i val="0"/>
        <color theme="8"/>
      </font>
      <fill>
        <patternFill>
          <fgColor theme="8" tint="0.79998168889431442"/>
        </patternFill>
      </fill>
    </dxf>
    <dxf>
      <font>
        <b/>
        <i val="0"/>
        <color theme="8"/>
      </font>
      <fill>
        <patternFill>
          <fgColor auto="1"/>
          <bgColor theme="8" tint="0.79998168889431442"/>
        </patternFill>
      </fill>
    </dxf>
    <dxf>
      <font>
        <b/>
        <i val="0"/>
        <color theme="5"/>
      </font>
      <fill>
        <patternFill>
          <bgColor theme="5" tint="0.79998168889431442"/>
        </patternFill>
      </fill>
    </dxf>
    <dxf>
      <font>
        <b/>
        <i val="0"/>
        <color theme="3"/>
      </font>
      <fill>
        <patternFill>
          <bgColor theme="6"/>
        </patternFill>
      </fill>
      <border>
        <left style="thin">
          <color auto="1"/>
        </left>
        <right style="thin">
          <color auto="1"/>
        </right>
        <top style="thin">
          <color auto="1"/>
        </top>
        <bottom style="thin">
          <color auto="1"/>
        </bottom>
        <vertical/>
        <horizontal/>
      </border>
    </dxf>
    <dxf>
      <font>
        <b/>
        <i val="0"/>
        <color theme="6"/>
      </font>
    </dxf>
    <dxf>
      <font>
        <b/>
        <i val="0"/>
        <color theme="8"/>
      </font>
    </dxf>
    <dxf>
      <font>
        <b/>
        <i val="0"/>
        <color theme="5"/>
      </font>
    </dxf>
    <dxf>
      <font>
        <b/>
        <i val="0"/>
        <u val="double"/>
        <color theme="1"/>
      </font>
      <fill>
        <patternFill>
          <bgColor theme="8"/>
        </patternFill>
      </fill>
      <border>
        <left style="thin">
          <color auto="1"/>
        </left>
        <right style="thin">
          <color auto="1"/>
        </right>
        <top style="thin">
          <color auto="1"/>
        </top>
        <bottom style="thin">
          <color auto="1"/>
        </bottom>
        <vertical/>
        <horizontal/>
      </border>
    </dxf>
    <dxf>
      <font>
        <b/>
        <i val="0"/>
        <u val="none"/>
        <color theme="3"/>
      </font>
      <fill>
        <patternFill>
          <fgColor theme="8"/>
          <bgColor theme="8"/>
        </patternFill>
      </fill>
      <border>
        <left style="thin">
          <color auto="1"/>
        </left>
        <right style="thin">
          <color auto="1"/>
        </right>
        <top style="thin">
          <color auto="1"/>
        </top>
        <bottom style="thin">
          <color auto="1"/>
        </bottom>
        <vertical/>
        <horizontal/>
      </border>
    </dxf>
    <dxf>
      <font>
        <b/>
        <i val="0"/>
        <color theme="3"/>
      </font>
      <fill>
        <patternFill>
          <bgColor theme="5"/>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F2F4F8"/>
      <color rgb="FFDDDBF6"/>
      <color rgb="FF8164FF"/>
      <color rgb="FFFFE5B6"/>
      <color rgb="FFF86286"/>
      <color rgb="FFE8E0FF"/>
      <color rgb="FFF97796"/>
      <color rgb="FFF96F90"/>
      <color rgb="FFF74870"/>
      <color rgb="FFFEC0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1"/>
                </a:solidFill>
              </a:rPr>
              <a:t>Exact Sciences' (EXAS) Annual Revenue Forecast (2015</a:t>
            </a:r>
            <a:r>
              <a:rPr lang="en-US" sz="2000" b="1" baseline="0">
                <a:solidFill>
                  <a:schemeClr val="tx1"/>
                </a:solidFill>
              </a:rPr>
              <a:t> - 2026)</a:t>
            </a:r>
            <a:endParaRPr lang="en-US" sz="20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Cologuard</c:v>
          </c:tx>
          <c:spPr>
            <a:solidFill>
              <a:schemeClr val="accent1"/>
            </a:solidFill>
            <a:ln>
              <a:noFill/>
            </a:ln>
            <a:effectLst/>
          </c:spPr>
          <c:invertIfNegative val="0"/>
          <c:cat>
            <c:numRef>
              <c:f>DASHBOARD!$D$159:$Q$159</c:f>
              <c:numCache>
                <c:formatCode>General</c:formatCode>
                <c:ptCount val="10"/>
              </c:numCache>
            </c:numRef>
          </c:cat>
          <c:val>
            <c:numRef>
              <c:f>DASHBOARD!$D$169:$Q$169</c:f>
              <c:numCache>
                <c:formatCode>_("$"* #,##0_);_("$"* \(#,##0\);_("$"* "-"??_);_(@_)</c:formatCode>
                <c:ptCount val="10"/>
              </c:numCache>
            </c:numRef>
          </c:val>
          <c:extLst>
            <c:ext xmlns:c16="http://schemas.microsoft.com/office/drawing/2014/chart" uri="{C3380CC4-5D6E-409C-BE32-E72D297353CC}">
              <c16:uniqueId val="{00000000-D9A4-1F44-AD80-2D7DE706313D}"/>
            </c:ext>
          </c:extLst>
        </c:ser>
        <c:ser>
          <c:idx val="1"/>
          <c:order val="1"/>
          <c:tx>
            <c:v>Oncotype DX &amp; Map</c:v>
          </c:tx>
          <c:spPr>
            <a:solidFill>
              <a:schemeClr val="accent2"/>
            </a:solidFill>
            <a:ln>
              <a:noFill/>
            </a:ln>
            <a:effectLst/>
          </c:spPr>
          <c:invertIfNegative val="0"/>
          <c:cat>
            <c:numRef>
              <c:f>DASHBOARD!$D$159:$Q$159</c:f>
              <c:numCache>
                <c:formatCode>General</c:formatCode>
                <c:ptCount val="10"/>
              </c:numCache>
            </c:numRef>
          </c:cat>
          <c:val>
            <c:numRef>
              <c:f>DASHBOARD!$D$186:$Q$186</c:f>
              <c:numCache>
                <c:formatCode>_("$"* #,##0_);_("$"* \(#,##0\);_("$"* "-"??_);_(@_)</c:formatCode>
                <c:ptCount val="10"/>
              </c:numCache>
            </c:numRef>
          </c:val>
          <c:extLst>
            <c:ext xmlns:c16="http://schemas.microsoft.com/office/drawing/2014/chart" uri="{C3380CC4-5D6E-409C-BE32-E72D297353CC}">
              <c16:uniqueId val="{00000001-D9A4-1F44-AD80-2D7DE706313D}"/>
            </c:ext>
          </c:extLst>
        </c:ser>
        <c:ser>
          <c:idx val="2"/>
          <c:order val="2"/>
          <c:tx>
            <c:v>Oncoguard</c:v>
          </c:tx>
          <c:spPr>
            <a:solidFill>
              <a:schemeClr val="accent3"/>
            </a:solidFill>
            <a:ln>
              <a:noFill/>
            </a:ln>
            <a:effectLst/>
          </c:spPr>
          <c:invertIfNegative val="0"/>
          <c:cat>
            <c:numRef>
              <c:f>DASHBOARD!$D$159:$Q$159</c:f>
              <c:numCache>
                <c:formatCode>General</c:formatCode>
                <c:ptCount val="10"/>
              </c:numCache>
            </c:numRef>
          </c:cat>
          <c:val>
            <c:numRef>
              <c:f>DASHBOARD!$D$170:$Q$170</c:f>
              <c:numCache>
                <c:formatCode>_("$"* #,##0_);_("$"* \(#,##0\);_("$"* "-"??_);_(@_)</c:formatCode>
                <c:ptCount val="10"/>
              </c:numCache>
            </c:numRef>
          </c:val>
          <c:extLst>
            <c:ext xmlns:c16="http://schemas.microsoft.com/office/drawing/2014/chart" uri="{C3380CC4-5D6E-409C-BE32-E72D297353CC}">
              <c16:uniqueId val="{00000002-D9A4-1F44-AD80-2D7DE706313D}"/>
            </c:ext>
          </c:extLst>
        </c:ser>
        <c:ser>
          <c:idx val="3"/>
          <c:order val="3"/>
          <c:tx>
            <c:v>CancerSEEK</c:v>
          </c:tx>
          <c:spPr>
            <a:solidFill>
              <a:schemeClr val="accent4"/>
            </a:solidFill>
            <a:ln>
              <a:noFill/>
            </a:ln>
            <a:effectLst/>
          </c:spPr>
          <c:invertIfNegative val="0"/>
          <c:cat>
            <c:numRef>
              <c:f>DASHBOARD!$D$159:$Q$159</c:f>
              <c:numCache>
                <c:formatCode>General</c:formatCode>
                <c:ptCount val="10"/>
              </c:numCache>
            </c:numRef>
          </c:cat>
          <c:val>
            <c:numRef>
              <c:f>DASHBOARD!$D$171:$Q$171</c:f>
              <c:numCache>
                <c:formatCode>_("$"* #,##0_);_("$"* \(#,##0\);_("$"* "-"??_);_(@_)</c:formatCode>
                <c:ptCount val="10"/>
              </c:numCache>
            </c:numRef>
          </c:val>
          <c:extLst>
            <c:ext xmlns:c16="http://schemas.microsoft.com/office/drawing/2014/chart" uri="{C3380CC4-5D6E-409C-BE32-E72D297353CC}">
              <c16:uniqueId val="{00000003-D9A4-1F44-AD80-2D7DE706313D}"/>
            </c:ext>
          </c:extLst>
        </c:ser>
        <c:ser>
          <c:idx val="4"/>
          <c:order val="4"/>
          <c:tx>
            <c:v>Hereditary Cancer</c:v>
          </c:tx>
          <c:spPr>
            <a:solidFill>
              <a:schemeClr val="accent5"/>
            </a:solidFill>
            <a:ln>
              <a:noFill/>
            </a:ln>
            <a:effectLst/>
          </c:spPr>
          <c:invertIfNegative val="0"/>
          <c:cat>
            <c:numRef>
              <c:f>DASHBOARD!$D$159:$Q$159</c:f>
              <c:numCache>
                <c:formatCode>General</c:formatCode>
                <c:ptCount val="10"/>
              </c:numCache>
            </c:numRef>
          </c:cat>
          <c:val>
            <c:numRef>
              <c:f>DASHBOARD!$D$172:$Q$172</c:f>
              <c:numCache>
                <c:formatCode>General</c:formatCode>
                <c:ptCount val="10"/>
              </c:numCache>
            </c:numRef>
          </c:val>
          <c:extLst>
            <c:ext xmlns:c16="http://schemas.microsoft.com/office/drawing/2014/chart" uri="{C3380CC4-5D6E-409C-BE32-E72D297353CC}">
              <c16:uniqueId val="{00000004-D9A4-1F44-AD80-2D7DE706313D}"/>
            </c:ext>
          </c:extLst>
        </c:ser>
        <c:ser>
          <c:idx val="5"/>
          <c:order val="5"/>
          <c:tx>
            <c:v>Molecular Residual Disease</c:v>
          </c:tx>
          <c:spPr>
            <a:solidFill>
              <a:schemeClr val="accent6"/>
            </a:solidFill>
            <a:ln>
              <a:noFill/>
            </a:ln>
            <a:effectLst/>
          </c:spPr>
          <c:invertIfNegative val="0"/>
          <c:cat>
            <c:numRef>
              <c:f>DASHBOARD!$D$159:$Q$159</c:f>
              <c:numCache>
                <c:formatCode>General</c:formatCode>
                <c:ptCount val="10"/>
              </c:numCache>
            </c:numRef>
          </c:cat>
          <c:val>
            <c:numRef>
              <c:f>DASHBOARD!$D$190:$Q$190</c:f>
              <c:numCache>
                <c:formatCode>_("$"* #,##0_);_("$"* \(#,##0\);_("$"* "-"??_);_(@_)</c:formatCode>
                <c:ptCount val="10"/>
              </c:numCache>
            </c:numRef>
          </c:val>
          <c:extLst>
            <c:ext xmlns:c16="http://schemas.microsoft.com/office/drawing/2014/chart" uri="{C3380CC4-5D6E-409C-BE32-E72D297353CC}">
              <c16:uniqueId val="{00000005-D9A4-1F44-AD80-2D7DE706313D}"/>
            </c:ext>
          </c:extLst>
        </c:ser>
        <c:dLbls>
          <c:showLegendKey val="0"/>
          <c:showVal val="0"/>
          <c:showCatName val="0"/>
          <c:showSerName val="0"/>
          <c:showPercent val="0"/>
          <c:showBubbleSize val="0"/>
        </c:dLbls>
        <c:gapWidth val="150"/>
        <c:overlap val="100"/>
        <c:axId val="1932780064"/>
        <c:axId val="408168976"/>
      </c:barChart>
      <c:catAx>
        <c:axId val="1932780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408168976"/>
        <c:crosses val="autoZero"/>
        <c:auto val="1"/>
        <c:lblAlgn val="ctr"/>
        <c:lblOffset val="100"/>
        <c:noMultiLvlLbl val="0"/>
      </c:catAx>
      <c:valAx>
        <c:axId val="408168976"/>
        <c:scaling>
          <c:orientation val="minMax"/>
          <c:max val="700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a:solidFill>
                      <a:schemeClr val="tx1"/>
                    </a:solidFill>
                  </a:rPr>
                  <a:t>Annual Revenue ($K)</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2780064"/>
        <c:crosses val="autoZero"/>
        <c:crossBetween val="between"/>
      </c:valAx>
      <c:spPr>
        <a:noFill/>
        <a:ln>
          <a:noFill/>
        </a:ln>
        <a:effectLst/>
      </c:spPr>
    </c:plotArea>
    <c:legend>
      <c:legendPos val="r"/>
      <c:layout>
        <c:manualLayout>
          <c:xMode val="edge"/>
          <c:yMode val="edge"/>
          <c:x val="0.1614684390075028"/>
          <c:y val="0.15472962185949893"/>
          <c:w val="0.20521772082228457"/>
          <c:h val="0.32763021859761565"/>
        </c:manualLayout>
      </c:layout>
      <c:overlay val="1"/>
      <c:spPr>
        <a:solidFill>
          <a:schemeClr val="bg1"/>
        </a:solidFill>
        <a:ln>
          <a:solidFill>
            <a:schemeClr val="tx1"/>
          </a:solid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0" i="0" u="none" strike="noStrike" kern="1200" spc="0" baseline="0">
                <a:solidFill>
                  <a:schemeClr val="accent1"/>
                </a:solidFill>
                <a:latin typeface="+mn-lt"/>
                <a:ea typeface="+mn-ea"/>
                <a:cs typeface="+mn-cs"/>
              </a:defRPr>
            </a:pPr>
            <a:r>
              <a:rPr lang="en-US" sz="2800" b="1">
                <a:solidFill>
                  <a:schemeClr val="accent1"/>
                </a:solidFill>
              </a:rPr>
              <a:t>Exact Sciences'</a:t>
            </a:r>
            <a:r>
              <a:rPr lang="en-US" sz="2800" b="1" baseline="0">
                <a:solidFill>
                  <a:schemeClr val="accent1"/>
                </a:solidFill>
              </a:rPr>
              <a:t> Consolidated Revenue Forecast (2027 Target Year)</a:t>
            </a:r>
            <a:endParaRPr lang="en-US" sz="2800" b="1">
              <a:solidFill>
                <a:schemeClr val="accent1"/>
              </a:solidFill>
            </a:endParaRPr>
          </a:p>
        </c:rich>
      </c:tx>
      <c:overlay val="0"/>
      <c:spPr>
        <a:noFill/>
        <a:ln>
          <a:noFill/>
        </a:ln>
        <a:effectLst/>
      </c:spPr>
      <c:txPr>
        <a:bodyPr rot="0" spcFirstLastPara="1" vertOverflow="ellipsis" vert="horz" wrap="square" anchor="ctr" anchorCtr="1"/>
        <a:lstStyle/>
        <a:p>
          <a:pPr>
            <a:defRPr sz="2800" b="0" i="0" u="none" strike="noStrike" kern="1200" spc="0" baseline="0">
              <a:solidFill>
                <a:schemeClr val="accent1"/>
              </a:solidFill>
              <a:latin typeface="+mn-lt"/>
              <a:ea typeface="+mn-ea"/>
              <a:cs typeface="+mn-cs"/>
            </a:defRPr>
          </a:pPr>
          <a:endParaRPr lang="en-US"/>
        </a:p>
      </c:txPr>
    </c:title>
    <c:autoTitleDeleted val="0"/>
    <c:plotArea>
      <c:layout/>
      <c:scatterChart>
        <c:scatterStyle val="lineMarker"/>
        <c:varyColors val="0"/>
        <c:ser>
          <c:idx val="0"/>
          <c:order val="0"/>
          <c:tx>
            <c:v>Historical</c:v>
          </c:tx>
          <c:spPr>
            <a:ln w="38100" cap="rnd">
              <a:solidFill>
                <a:schemeClr val="accent1"/>
              </a:solidFill>
              <a:round/>
            </a:ln>
            <a:effectLst/>
          </c:spPr>
          <c:marker>
            <c:symbol val="none"/>
          </c:marker>
          <c:dPt>
            <c:idx val="7"/>
            <c:marker>
              <c:symbol val="circle"/>
              <c:size val="15"/>
              <c:spPr>
                <a:solidFill>
                  <a:schemeClr val="bg1"/>
                </a:solidFill>
                <a:ln w="38100">
                  <a:solidFill>
                    <a:srgbClr val="8164FF"/>
                  </a:solidFill>
                </a:ln>
                <a:effectLst/>
              </c:spPr>
            </c:marker>
            <c:bubble3D val="0"/>
            <c:extLst>
              <c:ext xmlns:c16="http://schemas.microsoft.com/office/drawing/2014/chart" uri="{C3380CC4-5D6E-409C-BE32-E72D297353CC}">
                <c16:uniqueId val="{00000000-D092-F947-B6DA-1991EAA94B29}"/>
              </c:ext>
            </c:extLst>
          </c:dPt>
          <c:xVal>
            <c:numRef>
              <c:f>DASHBOARD!$F$23:$M$23</c:f>
              <c:numCache>
                <c:formatCode>General</c:formatCode>
                <c:ptCount val="8"/>
                <c:pt idx="0">
                  <c:v>2015</c:v>
                </c:pt>
                <c:pt idx="1">
                  <c:v>2016</c:v>
                </c:pt>
                <c:pt idx="2">
                  <c:v>2017</c:v>
                </c:pt>
                <c:pt idx="3">
                  <c:v>2018</c:v>
                </c:pt>
                <c:pt idx="4">
                  <c:v>2019</c:v>
                </c:pt>
                <c:pt idx="5">
                  <c:v>2020</c:v>
                </c:pt>
                <c:pt idx="6">
                  <c:v>2021</c:v>
                </c:pt>
                <c:pt idx="7">
                  <c:v>2022</c:v>
                </c:pt>
              </c:numCache>
            </c:numRef>
          </c:xVal>
          <c:yVal>
            <c:numRef>
              <c:f>DASHBOARD!$F$37:$M$37</c:f>
              <c:numCache>
                <c:formatCode>_("$"* #,##0_);_("$"* \(#,##0\);_("$"* "-"??_);_(@_)</c:formatCode>
                <c:ptCount val="8"/>
                <c:pt idx="0">
                  <c:v>39440</c:v>
                </c:pt>
                <c:pt idx="1">
                  <c:v>99380</c:v>
                </c:pt>
                <c:pt idx="2">
                  <c:v>266000</c:v>
                </c:pt>
                <c:pt idx="3">
                  <c:v>454460</c:v>
                </c:pt>
                <c:pt idx="4">
                  <c:v>876290</c:v>
                </c:pt>
                <c:pt idx="5">
                  <c:v>1491000</c:v>
                </c:pt>
                <c:pt idx="6">
                  <c:v>1767000</c:v>
                </c:pt>
                <c:pt idx="7">
                  <c:v>2000000</c:v>
                </c:pt>
              </c:numCache>
            </c:numRef>
          </c:yVal>
          <c:smooth val="1"/>
          <c:extLst>
            <c:ext xmlns:c16="http://schemas.microsoft.com/office/drawing/2014/chart" uri="{C3380CC4-5D6E-409C-BE32-E72D297353CC}">
              <c16:uniqueId val="{00000001-D092-F947-B6DA-1991EAA94B29}"/>
            </c:ext>
          </c:extLst>
        </c:ser>
        <c:ser>
          <c:idx val="1"/>
          <c:order val="1"/>
          <c:tx>
            <c:v>Bull Scenario</c:v>
          </c:tx>
          <c:spPr>
            <a:ln w="38100" cap="rnd">
              <a:solidFill>
                <a:schemeClr val="accent2"/>
              </a:solidFill>
              <a:prstDash val="sysDot"/>
              <a:round/>
            </a:ln>
            <a:effectLst/>
          </c:spPr>
          <c:marker>
            <c:symbol val="none"/>
          </c:marker>
          <c:dPt>
            <c:idx val="0"/>
            <c:marker>
              <c:symbol val="circle"/>
              <c:size val="15"/>
              <c:spPr>
                <a:solidFill>
                  <a:srgbClr val="FFFFFF"/>
                </a:solidFill>
                <a:ln w="38100">
                  <a:solidFill>
                    <a:schemeClr val="accent2"/>
                  </a:solidFill>
                </a:ln>
                <a:effectLst/>
              </c:spPr>
            </c:marker>
            <c:bubble3D val="0"/>
            <c:extLst>
              <c:ext xmlns:c16="http://schemas.microsoft.com/office/drawing/2014/chart" uri="{C3380CC4-5D6E-409C-BE32-E72D297353CC}">
                <c16:uniqueId val="{00000002-D092-F947-B6DA-1991EAA94B29}"/>
              </c:ext>
            </c:extLst>
          </c:dPt>
          <c:dPt>
            <c:idx val="1"/>
            <c:marker>
              <c:symbol val="circle"/>
              <c:size val="70"/>
              <c:spPr>
                <a:solidFill>
                  <a:schemeClr val="accent2">
                    <a:alpha val="50000"/>
                  </a:schemeClr>
                </a:solidFill>
                <a:ln w="25400">
                  <a:noFill/>
                </a:ln>
                <a:effectLst/>
              </c:spPr>
            </c:marker>
            <c:bubble3D val="0"/>
            <c:spPr>
              <a:ln w="38100" cap="rnd">
                <a:solidFill>
                  <a:schemeClr val="accent2"/>
                </a:solidFill>
                <a:prstDash val="sysDot"/>
                <a:round/>
              </a:ln>
              <a:effectLst/>
            </c:spPr>
            <c:extLst>
              <c:ext xmlns:c16="http://schemas.microsoft.com/office/drawing/2014/chart" uri="{C3380CC4-5D6E-409C-BE32-E72D297353CC}">
                <c16:uniqueId val="{00000004-D092-F947-B6DA-1991EAA94B29}"/>
              </c:ext>
            </c:extLst>
          </c:dPt>
          <c:xVal>
            <c:numRef>
              <c:f>(DASHBOARD!$R$23,DASHBOARD!$U$23)</c:f>
              <c:numCache>
                <c:formatCode>General</c:formatCode>
                <c:ptCount val="2"/>
                <c:pt idx="0">
                  <c:v>2027</c:v>
                </c:pt>
                <c:pt idx="1">
                  <c:v>2030</c:v>
                </c:pt>
              </c:numCache>
            </c:numRef>
          </c:xVal>
          <c:yVal>
            <c:numRef>
              <c:f>(DASHBOARD!$H$82,DASHBOARD!$H$85)</c:f>
              <c:numCache>
                <c:formatCode>_("$"* #,##0_);_("$"* \(#,##0\);_("$"* "-"??_);_(@_)</c:formatCode>
                <c:ptCount val="2"/>
                <c:pt idx="0">
                  <c:v>6100000</c:v>
                </c:pt>
                <c:pt idx="1">
                  <c:v>9243000</c:v>
                </c:pt>
              </c:numCache>
            </c:numRef>
          </c:yVal>
          <c:smooth val="0"/>
          <c:extLst>
            <c:ext xmlns:c16="http://schemas.microsoft.com/office/drawing/2014/chart" uri="{C3380CC4-5D6E-409C-BE32-E72D297353CC}">
              <c16:uniqueId val="{00000005-D092-F947-B6DA-1991EAA94B29}"/>
            </c:ext>
          </c:extLst>
        </c:ser>
        <c:ser>
          <c:idx val="2"/>
          <c:order val="2"/>
          <c:tx>
            <c:v>Base Scenario</c:v>
          </c:tx>
          <c:spPr>
            <a:ln w="38100" cap="rnd">
              <a:solidFill>
                <a:schemeClr val="accent5"/>
              </a:solidFill>
              <a:prstDash val="sysDot"/>
              <a:round/>
            </a:ln>
            <a:effectLst/>
          </c:spPr>
          <c:marker>
            <c:symbol val="none"/>
          </c:marker>
          <c:dPt>
            <c:idx val="0"/>
            <c:marker>
              <c:symbol val="circle"/>
              <c:size val="15"/>
              <c:spPr>
                <a:solidFill>
                  <a:schemeClr val="bg1"/>
                </a:solidFill>
                <a:ln w="38100">
                  <a:solidFill>
                    <a:schemeClr val="accent5"/>
                  </a:solidFill>
                </a:ln>
                <a:effectLst/>
              </c:spPr>
            </c:marker>
            <c:bubble3D val="0"/>
            <c:extLst>
              <c:ext xmlns:c16="http://schemas.microsoft.com/office/drawing/2014/chart" uri="{C3380CC4-5D6E-409C-BE32-E72D297353CC}">
                <c16:uniqueId val="{00000006-D092-F947-B6DA-1991EAA94B29}"/>
              </c:ext>
            </c:extLst>
          </c:dPt>
          <c:dPt>
            <c:idx val="1"/>
            <c:marker>
              <c:symbol val="circle"/>
              <c:size val="70"/>
              <c:spPr>
                <a:solidFill>
                  <a:schemeClr val="accent5">
                    <a:alpha val="50000"/>
                  </a:schemeClr>
                </a:solidFill>
                <a:ln w="9525">
                  <a:noFill/>
                </a:ln>
                <a:effectLst/>
              </c:spPr>
            </c:marker>
            <c:bubble3D val="0"/>
            <c:spPr>
              <a:ln w="38100" cap="rnd">
                <a:solidFill>
                  <a:schemeClr val="accent5"/>
                </a:solidFill>
                <a:prstDash val="sysDot"/>
                <a:round/>
              </a:ln>
              <a:effectLst/>
            </c:spPr>
            <c:extLst>
              <c:ext xmlns:c16="http://schemas.microsoft.com/office/drawing/2014/chart" uri="{C3380CC4-5D6E-409C-BE32-E72D297353CC}">
                <c16:uniqueId val="{00000008-D092-F947-B6DA-1991EAA94B29}"/>
              </c:ext>
            </c:extLst>
          </c:dPt>
          <c:xVal>
            <c:numRef>
              <c:f>(DASHBOARD!$R$23,DASHBOARD!$U$23)</c:f>
              <c:numCache>
                <c:formatCode>General</c:formatCode>
                <c:ptCount val="2"/>
                <c:pt idx="0">
                  <c:v>2027</c:v>
                </c:pt>
                <c:pt idx="1">
                  <c:v>2030</c:v>
                </c:pt>
              </c:numCache>
            </c:numRef>
          </c:xVal>
          <c:yVal>
            <c:numRef>
              <c:f>(DASHBOARD!$H$83,DASHBOARD!$H$86)</c:f>
              <c:numCache>
                <c:formatCode>_("$"* #,##0_);_("$"* \(#,##0\);_("$"* "-"??_);_(@_)</c:formatCode>
                <c:ptCount val="2"/>
                <c:pt idx="0">
                  <c:v>5170000</c:v>
                </c:pt>
                <c:pt idx="1">
                  <c:v>7500000</c:v>
                </c:pt>
              </c:numCache>
            </c:numRef>
          </c:yVal>
          <c:smooth val="0"/>
          <c:extLst>
            <c:ext xmlns:c16="http://schemas.microsoft.com/office/drawing/2014/chart" uri="{C3380CC4-5D6E-409C-BE32-E72D297353CC}">
              <c16:uniqueId val="{00000009-D092-F947-B6DA-1991EAA94B29}"/>
            </c:ext>
          </c:extLst>
        </c:ser>
        <c:ser>
          <c:idx val="3"/>
          <c:order val="3"/>
          <c:tx>
            <c:v>Bear Scenario</c:v>
          </c:tx>
          <c:spPr>
            <a:ln w="38100" cap="rnd">
              <a:solidFill>
                <a:schemeClr val="accent6">
                  <a:lumMod val="60000"/>
                  <a:lumOff val="40000"/>
                </a:schemeClr>
              </a:solidFill>
              <a:prstDash val="sysDot"/>
              <a:round/>
            </a:ln>
            <a:effectLst/>
          </c:spPr>
          <c:marker>
            <c:symbol val="none"/>
          </c:marker>
          <c:dPt>
            <c:idx val="0"/>
            <c:marker>
              <c:symbol val="circle"/>
              <c:size val="15"/>
              <c:spPr>
                <a:solidFill>
                  <a:schemeClr val="bg1"/>
                </a:solidFill>
                <a:ln w="38100">
                  <a:solidFill>
                    <a:schemeClr val="accent6"/>
                  </a:solidFill>
                </a:ln>
                <a:effectLst/>
              </c:spPr>
            </c:marker>
            <c:bubble3D val="0"/>
            <c:extLst>
              <c:ext xmlns:c16="http://schemas.microsoft.com/office/drawing/2014/chart" uri="{C3380CC4-5D6E-409C-BE32-E72D297353CC}">
                <c16:uniqueId val="{0000000A-D092-F947-B6DA-1991EAA94B29}"/>
              </c:ext>
            </c:extLst>
          </c:dPt>
          <c:dPt>
            <c:idx val="1"/>
            <c:marker>
              <c:symbol val="circle"/>
              <c:size val="70"/>
              <c:spPr>
                <a:solidFill>
                  <a:schemeClr val="accent6">
                    <a:alpha val="50000"/>
                  </a:schemeClr>
                </a:solidFill>
                <a:ln w="9525">
                  <a:noFill/>
                </a:ln>
                <a:effectLst/>
              </c:spPr>
            </c:marker>
            <c:bubble3D val="0"/>
            <c:spPr>
              <a:ln w="38100" cap="rnd">
                <a:solidFill>
                  <a:schemeClr val="accent6">
                    <a:lumMod val="60000"/>
                    <a:lumOff val="40000"/>
                  </a:schemeClr>
                </a:solidFill>
                <a:prstDash val="sysDot"/>
                <a:round/>
              </a:ln>
              <a:effectLst/>
            </c:spPr>
            <c:extLst>
              <c:ext xmlns:c16="http://schemas.microsoft.com/office/drawing/2014/chart" uri="{C3380CC4-5D6E-409C-BE32-E72D297353CC}">
                <c16:uniqueId val="{0000000C-D092-F947-B6DA-1991EAA94B29}"/>
              </c:ext>
            </c:extLst>
          </c:dPt>
          <c:xVal>
            <c:numRef>
              <c:f>(DASHBOARD!$R$23,DASHBOARD!$U$23)</c:f>
              <c:numCache>
                <c:formatCode>General</c:formatCode>
                <c:ptCount val="2"/>
                <c:pt idx="0">
                  <c:v>2027</c:v>
                </c:pt>
                <c:pt idx="1">
                  <c:v>2030</c:v>
                </c:pt>
              </c:numCache>
            </c:numRef>
          </c:xVal>
          <c:yVal>
            <c:numRef>
              <c:f>(DASHBOARD!$H$84,DASHBOARD!$H$87)</c:f>
              <c:numCache>
                <c:formatCode>_("$"* #,##0_);_("$"* \(#,##0\);_("$"* "-"??_);_(@_)</c:formatCode>
                <c:ptCount val="2"/>
                <c:pt idx="0">
                  <c:v>4040000</c:v>
                </c:pt>
                <c:pt idx="1">
                  <c:v>5500000</c:v>
                </c:pt>
              </c:numCache>
            </c:numRef>
          </c:yVal>
          <c:smooth val="0"/>
          <c:extLst>
            <c:ext xmlns:c16="http://schemas.microsoft.com/office/drawing/2014/chart" uri="{C3380CC4-5D6E-409C-BE32-E72D297353CC}">
              <c16:uniqueId val="{0000000D-D092-F947-B6DA-1991EAA94B29}"/>
            </c:ext>
          </c:extLst>
        </c:ser>
        <c:dLbls>
          <c:showLegendKey val="0"/>
          <c:showVal val="0"/>
          <c:showCatName val="0"/>
          <c:showSerName val="0"/>
          <c:showPercent val="0"/>
          <c:showBubbleSize val="0"/>
        </c:dLbls>
        <c:axId val="1594188224"/>
        <c:axId val="1594156400"/>
      </c:scatterChart>
      <c:valAx>
        <c:axId val="1594188224"/>
        <c:scaling>
          <c:orientation val="minMax"/>
          <c:max val="2032"/>
          <c:min val="2015"/>
        </c:scaling>
        <c:delete val="0"/>
        <c:axPos val="b"/>
        <c:majorGridlines>
          <c:spPr>
            <a:ln w="25400" cap="flat" cmpd="sng" algn="ctr">
              <a:solidFill>
                <a:srgbClr val="DDDBF6"/>
              </a:solidFill>
              <a:round/>
            </a:ln>
            <a:effectLst/>
          </c:spPr>
        </c:majorGridlines>
        <c:numFmt formatCode="General" sourceLinked="1"/>
        <c:majorTickMark val="none"/>
        <c:minorTickMark val="none"/>
        <c:tickLblPos val="nextTo"/>
        <c:spPr>
          <a:noFill/>
          <a:ln w="38100" cap="flat" cmpd="sng" algn="ctr">
            <a:solidFill>
              <a:schemeClr val="accent1"/>
            </a:solidFill>
            <a:round/>
          </a:ln>
          <a:effectLst/>
        </c:spPr>
        <c:txPr>
          <a:bodyPr rot="-60000000" spcFirstLastPara="1" vertOverflow="ellipsis" vert="horz" wrap="square" anchor="ctr" anchorCtr="1"/>
          <a:lstStyle/>
          <a:p>
            <a:pPr>
              <a:defRPr sz="2000" b="1" i="0" u="none" strike="noStrike" kern="1200" baseline="0">
                <a:solidFill>
                  <a:schemeClr val="accent1"/>
                </a:solidFill>
                <a:latin typeface="+mn-lt"/>
                <a:ea typeface="+mn-ea"/>
                <a:cs typeface="+mn-cs"/>
              </a:defRPr>
            </a:pPr>
            <a:endParaRPr lang="en-US"/>
          </a:p>
        </c:txPr>
        <c:crossAx val="1594156400"/>
        <c:crosses val="autoZero"/>
        <c:crossBetween val="midCat"/>
      </c:valAx>
      <c:valAx>
        <c:axId val="1594156400"/>
        <c:scaling>
          <c:orientation val="minMax"/>
          <c:max val="12000000"/>
          <c:min val="0"/>
        </c:scaling>
        <c:delete val="0"/>
        <c:axPos val="l"/>
        <c:majorGridlines>
          <c:spPr>
            <a:ln w="25400" cap="flat" cmpd="sng" algn="ctr">
              <a:solidFill>
                <a:srgbClr val="DDDBF6"/>
              </a:solidFill>
              <a:round/>
            </a:ln>
            <a:effectLst/>
          </c:spPr>
        </c:majorGridlines>
        <c:title>
          <c:tx>
            <c:rich>
              <a:bodyPr rot="-5400000" spcFirstLastPara="1" vertOverflow="ellipsis" vert="horz" wrap="square" anchor="ctr" anchorCtr="1"/>
              <a:lstStyle/>
              <a:p>
                <a:pPr>
                  <a:defRPr sz="2400" b="0" i="0" u="none" strike="noStrike" kern="1200" baseline="0">
                    <a:solidFill>
                      <a:schemeClr val="accent1"/>
                    </a:solidFill>
                    <a:latin typeface="+mn-lt"/>
                    <a:ea typeface="+mn-ea"/>
                    <a:cs typeface="+mn-cs"/>
                  </a:defRPr>
                </a:pPr>
                <a:r>
                  <a:rPr lang="en-US" sz="2400" b="1">
                    <a:solidFill>
                      <a:schemeClr val="accent1"/>
                    </a:solidFill>
                  </a:rPr>
                  <a:t>Revenue (Thousands, $K)</a:t>
                </a:r>
              </a:p>
              <a:p>
                <a:pPr>
                  <a:defRPr sz="2400">
                    <a:solidFill>
                      <a:schemeClr val="accent1"/>
                    </a:solidFill>
                  </a:defRPr>
                </a:pPr>
                <a:endParaRPr lang="en-US" sz="2400" b="1">
                  <a:solidFill>
                    <a:schemeClr val="accent1"/>
                  </a:solidFill>
                </a:endParaRPr>
              </a:p>
            </c:rich>
          </c:tx>
          <c:overlay val="0"/>
          <c:spPr>
            <a:noFill/>
            <a:ln>
              <a:noFill/>
            </a:ln>
            <a:effectLst/>
          </c:spPr>
          <c:txPr>
            <a:bodyPr rot="-5400000" spcFirstLastPara="1" vertOverflow="ellipsis" vert="horz" wrap="square" anchor="ctr" anchorCtr="1"/>
            <a:lstStyle/>
            <a:p>
              <a:pPr>
                <a:defRPr sz="2400" b="0" i="0" u="none" strike="noStrike" kern="1200" baseline="0">
                  <a:solidFill>
                    <a:schemeClr val="accent1"/>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38100" cap="flat" cmpd="sng" algn="ctr">
            <a:solidFill>
              <a:schemeClr val="accent1"/>
            </a:solidFill>
            <a:round/>
          </a:ln>
          <a:effectLst/>
        </c:spPr>
        <c:txPr>
          <a:bodyPr rot="-60000000" spcFirstLastPara="1" vertOverflow="ellipsis" vert="horz" wrap="square" anchor="ctr" anchorCtr="1"/>
          <a:lstStyle/>
          <a:p>
            <a:pPr>
              <a:defRPr sz="2000" b="0" i="0" u="none" strike="noStrike" kern="1200" baseline="0">
                <a:solidFill>
                  <a:schemeClr val="accent1"/>
                </a:solidFill>
                <a:latin typeface="+mn-lt"/>
                <a:ea typeface="+mn-ea"/>
                <a:cs typeface="+mn-cs"/>
              </a:defRPr>
            </a:pPr>
            <a:endParaRPr lang="en-US"/>
          </a:p>
        </c:txPr>
        <c:crossAx val="1594188224"/>
        <c:crosses val="autoZero"/>
        <c:crossBetween val="midCat"/>
      </c:valAx>
      <c:spPr>
        <a:noFill/>
        <a:ln>
          <a:noFill/>
        </a:ln>
        <a:effectLst/>
      </c:spPr>
    </c:plotArea>
    <c:legend>
      <c:legendPos val="t"/>
      <c:overlay val="0"/>
      <c:spPr>
        <a:solidFill>
          <a:srgbClr val="FFFFFF"/>
        </a:solidFill>
        <a:ln w="25400">
          <a:solidFill>
            <a:srgbClr val="8164FF"/>
          </a:solidFill>
        </a:ln>
        <a:effectLst/>
      </c:spPr>
      <c:txPr>
        <a:bodyPr rot="0" spcFirstLastPara="1" vertOverflow="ellipsis" vert="horz" wrap="square" anchor="ctr" anchorCtr="1"/>
        <a:lstStyle/>
        <a:p>
          <a:pPr>
            <a:defRPr sz="1800" b="0" i="0" u="none" strike="noStrike" kern="1200" baseline="0">
              <a:solidFill>
                <a:schemeClr val="bg2">
                  <a:lumMod val="1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F5F8"/>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spc="0" baseline="0">
                <a:solidFill>
                  <a:schemeClr val="tx1">
                    <a:lumMod val="65000"/>
                    <a:lumOff val="35000"/>
                  </a:schemeClr>
                </a:solidFill>
                <a:latin typeface="+mn-lt"/>
                <a:ea typeface="+mn-ea"/>
                <a:cs typeface="+mn-cs"/>
              </a:defRPr>
            </a:pPr>
            <a:r>
              <a:rPr lang="en-US" sz="2800" b="1">
                <a:solidFill>
                  <a:schemeClr val="accent1"/>
                </a:solidFill>
              </a:rPr>
              <a:t>2022</a:t>
            </a:r>
            <a:r>
              <a:rPr lang="en-US" sz="2800" b="1" baseline="0">
                <a:solidFill>
                  <a:schemeClr val="accent1"/>
                </a:solidFill>
              </a:rPr>
              <a:t> Revenue Component Breakdown</a:t>
            </a:r>
            <a:endParaRPr lang="en-US" sz="2800" b="1">
              <a:solidFill>
                <a:schemeClr val="accent1"/>
              </a:solidFill>
            </a:endParaRPr>
          </a:p>
        </c:rich>
      </c:tx>
      <c:overlay val="0"/>
      <c:spPr>
        <a:noFill/>
        <a:ln>
          <a:noFill/>
        </a:ln>
        <a:effectLst/>
      </c:spPr>
      <c:txPr>
        <a:bodyPr rot="0" spcFirstLastPara="1" vertOverflow="ellipsis" vert="horz" wrap="square" anchor="ctr" anchorCtr="1"/>
        <a:lstStyle/>
        <a:p>
          <a:pPr>
            <a:defRPr sz="2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v>2022 Revenue Breakdown</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C5B-544D-ACF8-AAA63B1477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C5B-544D-ACF8-AAA63B1477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C5B-544D-ACF8-AAA63B14770A}"/>
              </c:ext>
            </c:extLst>
          </c:dPt>
          <c:dLbls>
            <c:dLbl>
              <c:idx val="0"/>
              <c:layout>
                <c:manualLayout>
                  <c:x val="8.6679599723012132E-2"/>
                  <c:y val="7.62459442007974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C5B-544D-ACF8-AAA63B14770A}"/>
                </c:ext>
              </c:extLst>
            </c:dLbl>
            <c:dLbl>
              <c:idx val="1"/>
              <c:layout>
                <c:manualLayout>
                  <c:x val="-7.8252416416608114E-2"/>
                  <c:y val="-7.22329997691767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C5B-544D-ACF8-AAA63B14770A}"/>
                </c:ext>
              </c:extLst>
            </c:dLbl>
            <c:dLbl>
              <c:idx val="2"/>
              <c:layout>
                <c:manualLayout>
                  <c:x val="9.5106783029415984E-2"/>
                  <c:y val="-7.62459442007976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C5B-544D-ACF8-AAA63B14770A}"/>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2">
                        <a:lumMod val="10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DASHBOARD!$I$136:$I$138</c:f>
              <c:strCache>
                <c:ptCount val="3"/>
                <c:pt idx="0">
                  <c:v>Cologuard</c:v>
                </c:pt>
                <c:pt idx="1">
                  <c:v>Oncotype DX</c:v>
                </c:pt>
                <c:pt idx="2">
                  <c:v>Hereditary Cancer</c:v>
                </c:pt>
              </c:strCache>
            </c:strRef>
          </c:cat>
          <c:val>
            <c:numRef>
              <c:f>DASHBOARD!$L$136:$L$138</c:f>
              <c:numCache>
                <c:formatCode>0%</c:formatCode>
                <c:ptCount val="3"/>
                <c:pt idx="0">
                  <c:v>0.68431568431568435</c:v>
                </c:pt>
                <c:pt idx="1">
                  <c:v>0.29470529470529472</c:v>
                </c:pt>
                <c:pt idx="2">
                  <c:v>2.097902097902098E-2</c:v>
                </c:pt>
              </c:numCache>
            </c:numRef>
          </c:val>
          <c:extLst>
            <c:ext xmlns:c16="http://schemas.microsoft.com/office/drawing/2014/chart" uri="{C3380CC4-5D6E-409C-BE32-E72D297353CC}">
              <c16:uniqueId val="{00000006-6C5B-544D-ACF8-AAA63B14770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F5F8"/>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spc="0" baseline="0">
                <a:solidFill>
                  <a:schemeClr val="tx1">
                    <a:lumMod val="65000"/>
                    <a:lumOff val="35000"/>
                  </a:schemeClr>
                </a:solidFill>
                <a:latin typeface="+mn-lt"/>
                <a:ea typeface="+mn-ea"/>
                <a:cs typeface="+mn-cs"/>
              </a:defRPr>
            </a:pPr>
            <a:r>
              <a:rPr lang="en-US" sz="2800" b="1">
                <a:solidFill>
                  <a:schemeClr val="accent1"/>
                </a:solidFill>
              </a:rPr>
              <a:t>2027</a:t>
            </a:r>
            <a:r>
              <a:rPr lang="en-US" sz="2800" b="1" baseline="0">
                <a:solidFill>
                  <a:schemeClr val="accent1"/>
                </a:solidFill>
              </a:rPr>
              <a:t> Forecasted Revenue Component Breakdown</a:t>
            </a:r>
            <a:endParaRPr lang="en-US" sz="2800" b="1">
              <a:solidFill>
                <a:schemeClr val="accent1"/>
              </a:solidFill>
            </a:endParaRPr>
          </a:p>
        </c:rich>
      </c:tx>
      <c:overlay val="0"/>
      <c:spPr>
        <a:noFill/>
        <a:ln>
          <a:noFill/>
        </a:ln>
        <a:effectLst/>
      </c:spPr>
      <c:txPr>
        <a:bodyPr rot="0" spcFirstLastPara="1" vertOverflow="ellipsis" vert="horz" wrap="square" anchor="ctr" anchorCtr="1"/>
        <a:lstStyle/>
        <a:p>
          <a:pPr>
            <a:defRPr sz="2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B93-0D45-87A1-48C6083DE77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B93-0D45-87A1-48C6083DE77E}"/>
              </c:ext>
            </c:extLst>
          </c:dPt>
          <c:dPt>
            <c:idx val="2"/>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5-7B93-0D45-87A1-48C6083DE77E}"/>
              </c:ext>
            </c:extLst>
          </c:dPt>
          <c:dPt>
            <c:idx val="3"/>
            <c:bubble3D val="0"/>
            <c:spPr>
              <a:solidFill>
                <a:schemeClr val="accent5"/>
              </a:solidFill>
              <a:ln w="19050">
                <a:solidFill>
                  <a:schemeClr val="lt1"/>
                </a:solidFill>
              </a:ln>
              <a:effectLst/>
            </c:spPr>
            <c:extLst>
              <c:ext xmlns:c16="http://schemas.microsoft.com/office/drawing/2014/chart" uri="{C3380CC4-5D6E-409C-BE32-E72D297353CC}">
                <c16:uniqueId val="{00000007-7B93-0D45-87A1-48C6083DE77E}"/>
              </c:ext>
            </c:extLst>
          </c:dPt>
          <c:dPt>
            <c:idx val="4"/>
            <c:bubble3D val="0"/>
            <c:spPr>
              <a:solidFill>
                <a:schemeClr val="accent3"/>
              </a:solidFill>
              <a:ln w="19050">
                <a:solidFill>
                  <a:schemeClr val="lt1"/>
                </a:solidFill>
              </a:ln>
              <a:effectLst/>
            </c:spPr>
            <c:extLst>
              <c:ext xmlns:c16="http://schemas.microsoft.com/office/drawing/2014/chart" uri="{C3380CC4-5D6E-409C-BE32-E72D297353CC}">
                <c16:uniqueId val="{00000009-7B93-0D45-87A1-48C6083DE77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B93-0D45-87A1-48C6083DE77E}"/>
              </c:ext>
            </c:extLst>
          </c:dPt>
          <c:dLbls>
            <c:dLbl>
              <c:idx val="0"/>
              <c:layout>
                <c:manualLayout>
                  <c:x val="8.4271833064039486E-2"/>
                  <c:y val="4.41423887478301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B93-0D45-87A1-48C6083DE77E}"/>
                </c:ext>
              </c:extLst>
            </c:dLbl>
            <c:dLbl>
              <c:idx val="1"/>
              <c:layout>
                <c:manualLayout>
                  <c:x val="-6.5009699792259026E-2"/>
                  <c:y val="-7.62459442007976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B93-0D45-87A1-48C6083DE77E}"/>
                </c:ext>
              </c:extLst>
            </c:dLbl>
            <c:dLbl>
              <c:idx val="2"/>
              <c:layout>
                <c:manualLayout>
                  <c:x val="-6.9825233110204166E-2"/>
                  <c:y val="1.80582499422941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B93-0D45-87A1-48C6083DE77E}"/>
                </c:ext>
              </c:extLst>
            </c:dLbl>
            <c:dLbl>
              <c:idx val="3"/>
              <c:layout>
                <c:manualLayout>
                  <c:x val="-6.5230499576171941E-2"/>
                  <c:y val="-9.29453304803622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B93-0D45-87A1-48C6083DE77E}"/>
                </c:ext>
              </c:extLst>
            </c:dLbl>
            <c:dLbl>
              <c:idx val="4"/>
              <c:layout>
                <c:manualLayout>
                  <c:x val="-5.6060523466793744E-2"/>
                  <c:y val="-9.5507207869271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B93-0D45-87A1-48C6083DE77E}"/>
                </c:ext>
              </c:extLst>
            </c:dLbl>
            <c:dLbl>
              <c:idx val="5"/>
              <c:layout>
                <c:manualLayout>
                  <c:x val="6.2643235083768734E-2"/>
                  <c:y val="-9.368249806641458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7B93-0D45-87A1-48C6083DE77E}"/>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2">
                        <a:lumMod val="10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DASHBOARD!$U$135:$U$140</c:f>
              <c:strCache>
                <c:ptCount val="6"/>
                <c:pt idx="0">
                  <c:v>Cologuard</c:v>
                </c:pt>
                <c:pt idx="1">
                  <c:v>Oncotype DX</c:v>
                </c:pt>
                <c:pt idx="2">
                  <c:v>MRD Total</c:v>
                </c:pt>
                <c:pt idx="3">
                  <c:v>Multi-Cancer Earlier Detection</c:v>
                </c:pt>
                <c:pt idx="4">
                  <c:v>Hereditary Cancer Testing</c:v>
                </c:pt>
                <c:pt idx="5">
                  <c:v>Oncoguard</c:v>
                </c:pt>
              </c:strCache>
            </c:strRef>
          </c:cat>
          <c:val>
            <c:numRef>
              <c:f>DASHBOARD!$W$135:$W$140</c:f>
              <c:numCache>
                <c:formatCode>0%</c:formatCode>
                <c:ptCount val="6"/>
                <c:pt idx="0">
                  <c:v>0.56590057334141752</c:v>
                </c:pt>
                <c:pt idx="1">
                  <c:v>0.24659479510305257</c:v>
                </c:pt>
                <c:pt idx="2">
                  <c:v>6.9620353895799389E-2</c:v>
                </c:pt>
                <c:pt idx="3">
                  <c:v>6.7921793472410577E-2</c:v>
                </c:pt>
                <c:pt idx="4">
                  <c:v>3.8669378853011069E-2</c:v>
                </c:pt>
                <c:pt idx="5">
                  <c:v>1.129310533430909E-2</c:v>
                </c:pt>
              </c:numCache>
            </c:numRef>
          </c:val>
          <c:extLst>
            <c:ext xmlns:c15="http://schemas.microsoft.com/office/drawing/2012/chart" uri="{02D57815-91ED-43cb-92C2-25804820EDAC}">
              <c15:filteredSeriesTitle>
                <c15:tx>
                  <c:v>2026 Revenue Breakdown</c:v>
                </c15:tx>
              </c15:filteredSeriesTitle>
            </c:ext>
            <c:ext xmlns:c16="http://schemas.microsoft.com/office/drawing/2014/chart" uri="{C3380CC4-5D6E-409C-BE32-E72D297353CC}">
              <c16:uniqueId val="{0000000C-7B93-0D45-87A1-48C6083DE77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F5F8"/>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0" i="0" u="none" strike="noStrike" kern="1200" spc="0" baseline="0">
                <a:solidFill>
                  <a:srgbClr val="0A0A22"/>
                </a:solidFill>
                <a:latin typeface="+mn-lt"/>
                <a:ea typeface="+mn-ea"/>
                <a:cs typeface="+mn-cs"/>
              </a:defRPr>
            </a:pPr>
            <a:r>
              <a:rPr lang="en-US" sz="2800" b="1">
                <a:solidFill>
                  <a:schemeClr val="accent1"/>
                </a:solidFill>
              </a:rPr>
              <a:t>Cologuard and Oncotype DX are</a:t>
            </a:r>
            <a:r>
              <a:rPr lang="en-US" sz="2800" b="1" baseline="0">
                <a:solidFill>
                  <a:schemeClr val="accent1"/>
                </a:solidFill>
              </a:rPr>
              <a:t> Exact Sciences' Primary Revenue Drivers</a:t>
            </a:r>
            <a:endParaRPr lang="en-US" sz="2800" b="1">
              <a:solidFill>
                <a:schemeClr val="accent1"/>
              </a:solidFill>
            </a:endParaRPr>
          </a:p>
        </c:rich>
      </c:tx>
      <c:overlay val="0"/>
      <c:spPr>
        <a:noFill/>
        <a:ln>
          <a:noFill/>
        </a:ln>
        <a:effectLst/>
      </c:spPr>
      <c:txPr>
        <a:bodyPr rot="0" spcFirstLastPara="1" vertOverflow="ellipsis" vert="horz" wrap="square" anchor="ctr" anchorCtr="1"/>
        <a:lstStyle/>
        <a:p>
          <a:pPr>
            <a:defRPr sz="2800" b="0" i="0" u="none" strike="noStrike" kern="1200" spc="0" baseline="0">
              <a:solidFill>
                <a:srgbClr val="0A0A22"/>
              </a:solidFill>
              <a:latin typeface="+mn-lt"/>
              <a:ea typeface="+mn-ea"/>
              <a:cs typeface="+mn-cs"/>
            </a:defRPr>
          </a:pPr>
          <a:endParaRPr lang="en-US"/>
        </a:p>
      </c:txPr>
    </c:title>
    <c:autoTitleDeleted val="0"/>
    <c:plotArea>
      <c:layout/>
      <c:scatterChart>
        <c:scatterStyle val="lineMarker"/>
        <c:varyColors val="0"/>
        <c:ser>
          <c:idx val="0"/>
          <c:order val="0"/>
          <c:tx>
            <c:v>Cologuard</c:v>
          </c:tx>
          <c:spPr>
            <a:ln w="38100" cap="rnd">
              <a:solidFill>
                <a:srgbClr val="8164FF"/>
              </a:solidFill>
              <a:round/>
            </a:ln>
            <a:effectLst/>
          </c:spPr>
          <c:marker>
            <c:symbol val="none"/>
          </c:marker>
          <c:dPt>
            <c:idx val="7"/>
            <c:marker>
              <c:symbol val="none"/>
            </c:marker>
            <c:bubble3D val="0"/>
            <c:extLst>
              <c:ext xmlns:c16="http://schemas.microsoft.com/office/drawing/2014/chart" uri="{C3380CC4-5D6E-409C-BE32-E72D297353CC}">
                <c16:uniqueId val="{00000000-44B1-7E43-A048-438C314DA91B}"/>
              </c:ext>
            </c:extLst>
          </c:dPt>
          <c:dPt>
            <c:idx val="8"/>
            <c:marker>
              <c:symbol val="circle"/>
              <c:size val="15"/>
              <c:spPr>
                <a:solidFill>
                  <a:schemeClr val="bg1"/>
                </a:solidFill>
                <a:ln w="38100">
                  <a:solidFill>
                    <a:srgbClr val="8164FF"/>
                  </a:solidFill>
                </a:ln>
                <a:effectLst/>
              </c:spPr>
            </c:marker>
            <c:bubble3D val="0"/>
            <c:spPr>
              <a:ln w="38100" cap="rnd">
                <a:solidFill>
                  <a:srgbClr val="8164FF"/>
                </a:solidFill>
                <a:round/>
              </a:ln>
              <a:effectLst/>
            </c:spPr>
            <c:extLst>
              <c:ext xmlns:c16="http://schemas.microsoft.com/office/drawing/2014/chart" uri="{C3380CC4-5D6E-409C-BE32-E72D297353CC}">
                <c16:uniqueId val="{00000002-44B1-7E43-A048-438C314DA91B}"/>
              </c:ext>
            </c:extLst>
          </c:dPt>
          <c:xVal>
            <c:numRef>
              <c:f>'PREVENTION &amp; SCREENING'!$C$32:$K$32</c:f>
              <c:numCache>
                <c:formatCode>General</c:formatCode>
                <c:ptCount val="9"/>
                <c:pt idx="0">
                  <c:v>2014</c:v>
                </c:pt>
                <c:pt idx="1">
                  <c:v>2015</c:v>
                </c:pt>
                <c:pt idx="2">
                  <c:v>2016</c:v>
                </c:pt>
                <c:pt idx="3">
                  <c:v>2017</c:v>
                </c:pt>
                <c:pt idx="4">
                  <c:v>2018</c:v>
                </c:pt>
                <c:pt idx="5">
                  <c:v>2019</c:v>
                </c:pt>
                <c:pt idx="6">
                  <c:v>2020</c:v>
                </c:pt>
                <c:pt idx="7">
                  <c:v>2021</c:v>
                </c:pt>
                <c:pt idx="8">
                  <c:v>2022</c:v>
                </c:pt>
              </c:numCache>
            </c:numRef>
          </c:xVal>
          <c:yVal>
            <c:numRef>
              <c:f>'PREVENTION &amp; SCREENING'!$C$34:$K$34</c:f>
              <c:numCache>
                <c:formatCode>_("$"* #,##0_);_("$"* \(#,##0\);_("$"* "-"??_);_(@_)</c:formatCode>
                <c:ptCount val="9"/>
                <c:pt idx="0">
                  <c:v>1798</c:v>
                </c:pt>
                <c:pt idx="1">
                  <c:v>39440</c:v>
                </c:pt>
                <c:pt idx="2">
                  <c:v>99380</c:v>
                </c:pt>
                <c:pt idx="3">
                  <c:v>266000</c:v>
                </c:pt>
                <c:pt idx="4">
                  <c:v>454460</c:v>
                </c:pt>
                <c:pt idx="5">
                  <c:v>876290</c:v>
                </c:pt>
                <c:pt idx="6">
                  <c:v>815000</c:v>
                </c:pt>
                <c:pt idx="7">
                  <c:v>1062000</c:v>
                </c:pt>
                <c:pt idx="8">
                  <c:v>1382000</c:v>
                </c:pt>
              </c:numCache>
            </c:numRef>
          </c:yVal>
          <c:smooth val="1"/>
          <c:extLst>
            <c:ext xmlns:c16="http://schemas.microsoft.com/office/drawing/2014/chart" uri="{C3380CC4-5D6E-409C-BE32-E72D297353CC}">
              <c16:uniqueId val="{00000003-44B1-7E43-A048-438C314DA91B}"/>
            </c:ext>
          </c:extLst>
        </c:ser>
        <c:ser>
          <c:idx val="3"/>
          <c:order val="1"/>
          <c:tx>
            <c:v>Oncotype DX</c:v>
          </c:tx>
          <c:spPr>
            <a:ln w="38100" cap="rnd">
              <a:solidFill>
                <a:schemeClr val="accent2"/>
              </a:solidFill>
              <a:round/>
            </a:ln>
            <a:effectLst/>
          </c:spPr>
          <c:marker>
            <c:symbol val="none"/>
          </c:marker>
          <c:dPt>
            <c:idx val="8"/>
            <c:marker>
              <c:symbol val="circle"/>
              <c:size val="15"/>
              <c:spPr>
                <a:solidFill>
                  <a:schemeClr val="bg1"/>
                </a:solidFill>
                <a:ln w="38100">
                  <a:solidFill>
                    <a:schemeClr val="accent2"/>
                  </a:solidFill>
                </a:ln>
                <a:effectLst/>
              </c:spPr>
            </c:marker>
            <c:bubble3D val="0"/>
            <c:extLst>
              <c:ext xmlns:c16="http://schemas.microsoft.com/office/drawing/2014/chart" uri="{C3380CC4-5D6E-409C-BE32-E72D297353CC}">
                <c16:uniqueId val="{00000004-44B1-7E43-A048-438C314DA91B}"/>
              </c:ext>
            </c:extLst>
          </c:dPt>
          <c:xVal>
            <c:numRef>
              <c:f>'PROGNOSTICS &amp; MRD'!$D$35:$L$35</c:f>
              <c:numCache>
                <c:formatCode>General</c:formatCode>
                <c:ptCount val="9"/>
                <c:pt idx="0">
                  <c:v>2014</c:v>
                </c:pt>
                <c:pt idx="1">
                  <c:v>2015</c:v>
                </c:pt>
                <c:pt idx="2">
                  <c:v>2016</c:v>
                </c:pt>
                <c:pt idx="3">
                  <c:v>2017</c:v>
                </c:pt>
                <c:pt idx="4">
                  <c:v>2018</c:v>
                </c:pt>
                <c:pt idx="5">
                  <c:v>2019</c:v>
                </c:pt>
                <c:pt idx="6">
                  <c:v>2020</c:v>
                </c:pt>
                <c:pt idx="7">
                  <c:v>2021</c:v>
                </c:pt>
                <c:pt idx="8">
                  <c:v>2022</c:v>
                </c:pt>
              </c:numCache>
            </c:numRef>
          </c:xVal>
          <c:yVal>
            <c:numRef>
              <c:f>'PROGNOSTICS &amp; MRD'!$D$39:$L$39</c:f>
              <c:numCache>
                <c:formatCode>_("$"* #,##0_);_("$"* \(#,##0\);_("$"* "-"??_);_(@_)</c:formatCode>
                <c:ptCount val="9"/>
                <c:pt idx="0">
                  <c:v>276000</c:v>
                </c:pt>
                <c:pt idx="1">
                  <c:v>286500</c:v>
                </c:pt>
                <c:pt idx="2">
                  <c:v>327800</c:v>
                </c:pt>
                <c:pt idx="3">
                  <c:v>341100</c:v>
                </c:pt>
                <c:pt idx="4">
                  <c:v>394400</c:v>
                </c:pt>
                <c:pt idx="5">
                  <c:v>445000</c:v>
                </c:pt>
                <c:pt idx="6">
                  <c:v>441000</c:v>
                </c:pt>
                <c:pt idx="7">
                  <c:v>562000</c:v>
                </c:pt>
                <c:pt idx="8">
                  <c:v>600000</c:v>
                </c:pt>
              </c:numCache>
            </c:numRef>
          </c:yVal>
          <c:smooth val="1"/>
          <c:extLst>
            <c:ext xmlns:c16="http://schemas.microsoft.com/office/drawing/2014/chart" uri="{C3380CC4-5D6E-409C-BE32-E72D297353CC}">
              <c16:uniqueId val="{00000005-44B1-7E43-A048-438C314DA91B}"/>
            </c:ext>
          </c:extLst>
        </c:ser>
        <c:ser>
          <c:idx val="1"/>
          <c:order val="2"/>
          <c:tx>
            <c:v>Cologuard Target 2027</c:v>
          </c:tx>
          <c:spPr>
            <a:ln w="19050" cap="rnd">
              <a:noFill/>
              <a:prstDash val="sysDash"/>
              <a:round/>
            </a:ln>
            <a:effectLst/>
          </c:spPr>
          <c:marker>
            <c:symbol val="circle"/>
            <c:size val="15"/>
            <c:spPr>
              <a:solidFill>
                <a:schemeClr val="bg1"/>
              </a:solidFill>
              <a:ln w="38100">
                <a:solidFill>
                  <a:schemeClr val="accent1"/>
                </a:solidFill>
              </a:ln>
              <a:effectLst/>
            </c:spPr>
          </c:marker>
          <c:dPt>
            <c:idx val="0"/>
            <c:marker>
              <c:symbol val="circle"/>
              <c:size val="15"/>
              <c:spPr>
                <a:solidFill>
                  <a:schemeClr val="bg1"/>
                </a:solidFill>
                <a:ln w="38100">
                  <a:solidFill>
                    <a:schemeClr val="accent1"/>
                  </a:solidFill>
                </a:ln>
                <a:effectLst/>
              </c:spPr>
            </c:marker>
            <c:bubble3D val="0"/>
            <c:extLst>
              <c:ext xmlns:c16="http://schemas.microsoft.com/office/drawing/2014/chart" uri="{C3380CC4-5D6E-409C-BE32-E72D297353CC}">
                <c16:uniqueId val="{00000007-269E-104F-97DC-DE8FDCD48ECF}"/>
              </c:ext>
            </c:extLst>
          </c:dPt>
          <c:dPt>
            <c:idx val="1"/>
            <c:marker>
              <c:symbol val="circle"/>
              <c:size val="15"/>
              <c:spPr>
                <a:solidFill>
                  <a:schemeClr val="bg1"/>
                </a:solidFill>
                <a:ln w="38100">
                  <a:solidFill>
                    <a:schemeClr val="accent1"/>
                  </a:solidFill>
                </a:ln>
                <a:effectLst/>
              </c:spPr>
            </c:marker>
            <c:bubble3D val="0"/>
            <c:extLst>
              <c:ext xmlns:c16="http://schemas.microsoft.com/office/drawing/2014/chart" uri="{C3380CC4-5D6E-409C-BE32-E72D297353CC}">
                <c16:uniqueId val="{00000006-44B1-7E43-A048-438C314DA91B}"/>
              </c:ext>
            </c:extLst>
          </c:dPt>
          <c:dLbls>
            <c:dLbl>
              <c:idx val="1"/>
              <c:layout>
                <c:manualLayout>
                  <c:x val="1.5443385222036903E-2"/>
                  <c:y val="-9.0093434099096037E-2"/>
                </c:manualLayout>
              </c:layout>
              <c:tx>
                <c:rich>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r>
                      <a:rPr lang="en-US" sz="1400" b="1">
                        <a:solidFill>
                          <a:schemeClr val="accent1"/>
                        </a:solidFill>
                      </a:rPr>
                      <a:t>2027 Revenue Base Case</a:t>
                    </a:r>
                  </a:p>
                  <a:p>
                    <a:pPr>
                      <a:defRPr sz="1400"/>
                    </a:pPr>
                    <a:r>
                      <a:rPr lang="en-US" sz="1400">
                        <a:solidFill>
                          <a:schemeClr val="accent1"/>
                        </a:solidFill>
                      </a:rPr>
                      <a:t>~$3 Billion</a:t>
                    </a:r>
                  </a:p>
                  <a:p>
                    <a:pPr>
                      <a:defRPr sz="1400"/>
                    </a:pPr>
                    <a:endParaRPr lang="en-US" sz="1400">
                      <a:solidFill>
                        <a:schemeClr val="accent1"/>
                      </a:solidFill>
                    </a:endParaRPr>
                  </a:p>
                  <a:p>
                    <a:pPr>
                      <a:defRPr sz="1400"/>
                    </a:pPr>
                    <a:r>
                      <a:rPr lang="en-US" sz="1400" b="1">
                        <a:solidFill>
                          <a:schemeClr val="accent1"/>
                        </a:solidFill>
                      </a:rPr>
                      <a:t>5-Year Revenue CAGR</a:t>
                    </a:r>
                  </a:p>
                  <a:p>
                    <a:pPr>
                      <a:defRPr sz="1400"/>
                    </a:pPr>
                    <a:r>
                      <a:rPr lang="en-US" sz="1400" b="0">
                        <a:solidFill>
                          <a:schemeClr val="accent1"/>
                        </a:solidFill>
                      </a:rPr>
                      <a:t>17%</a:t>
                    </a:r>
                  </a:p>
                </c:rich>
              </c:tx>
              <c:spPr>
                <a:solidFill>
                  <a:schemeClr val="bg1"/>
                </a:solidFill>
                <a:ln w="38100">
                  <a:solidFill>
                    <a:schemeClr val="accent1"/>
                  </a:solid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0.10412875672567377"/>
                      <c:h val="0.26164825163447669"/>
                    </c:manualLayout>
                  </c15:layout>
                  <c15:showDataLabelsRange val="0"/>
                </c:ext>
                <c:ext xmlns:c16="http://schemas.microsoft.com/office/drawing/2014/chart" uri="{C3380CC4-5D6E-409C-BE32-E72D297353CC}">
                  <c16:uniqueId val="{00000006-44B1-7E43-A048-438C314DA91B}"/>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accent1"/>
                      </a:solidFill>
                      <a:round/>
                    </a:ln>
                    <a:effectLst/>
                  </c:spPr>
                </c15:leaderLines>
              </c:ext>
            </c:extLst>
          </c:dLbls>
          <c:xVal>
            <c:numRef>
              <c:f>('PREVENTION &amp; SCREENING'!$K$32,'PREVENTION &amp; SCREENING'!$P$32)</c:f>
              <c:numCache>
                <c:formatCode>General</c:formatCode>
                <c:ptCount val="2"/>
                <c:pt idx="0">
                  <c:v>2022</c:v>
                </c:pt>
                <c:pt idx="1">
                  <c:v>2027</c:v>
                </c:pt>
              </c:numCache>
            </c:numRef>
          </c:xVal>
          <c:yVal>
            <c:numRef>
              <c:f>('PREVENTION &amp; SCREENING'!$K$34,'PREVENTION &amp; SCREENING'!$P$34)</c:f>
              <c:numCache>
                <c:formatCode>_("$"* #,##0_);_("$"* \(#,##0\);_("$"* "-"??_);_(@_)</c:formatCode>
                <c:ptCount val="2"/>
                <c:pt idx="0">
                  <c:v>1382000</c:v>
                </c:pt>
                <c:pt idx="1">
                  <c:v>2985969.939066452</c:v>
                </c:pt>
              </c:numCache>
            </c:numRef>
          </c:yVal>
          <c:smooth val="1"/>
          <c:extLst>
            <c:ext xmlns:c16="http://schemas.microsoft.com/office/drawing/2014/chart" uri="{C3380CC4-5D6E-409C-BE32-E72D297353CC}">
              <c16:uniqueId val="{00000007-44B1-7E43-A048-438C314DA91B}"/>
            </c:ext>
          </c:extLst>
        </c:ser>
        <c:ser>
          <c:idx val="2"/>
          <c:order val="3"/>
          <c:tx>
            <c:v>Oncotype Target 2027</c:v>
          </c:tx>
          <c:spPr>
            <a:ln w="19050" cap="rnd">
              <a:noFill/>
              <a:round/>
            </a:ln>
            <a:effectLst/>
          </c:spPr>
          <c:marker>
            <c:symbol val="circle"/>
            <c:size val="10"/>
            <c:spPr>
              <a:solidFill>
                <a:schemeClr val="accent6"/>
              </a:solidFill>
              <a:ln w="25400">
                <a:solidFill>
                  <a:schemeClr val="accent6"/>
                </a:solidFill>
              </a:ln>
              <a:effectLst/>
            </c:spPr>
          </c:marker>
          <c:dPt>
            <c:idx val="0"/>
            <c:marker>
              <c:symbol val="none"/>
            </c:marker>
            <c:bubble3D val="0"/>
            <c:extLst>
              <c:ext xmlns:c16="http://schemas.microsoft.com/office/drawing/2014/chart" uri="{C3380CC4-5D6E-409C-BE32-E72D297353CC}">
                <c16:uniqueId val="{00000008-44B1-7E43-A048-438C314DA91B}"/>
              </c:ext>
            </c:extLst>
          </c:dPt>
          <c:dPt>
            <c:idx val="1"/>
            <c:marker>
              <c:symbol val="circle"/>
              <c:size val="15"/>
              <c:spPr>
                <a:solidFill>
                  <a:schemeClr val="bg1"/>
                </a:solidFill>
                <a:ln w="38100">
                  <a:solidFill>
                    <a:schemeClr val="accent2"/>
                  </a:solidFill>
                </a:ln>
                <a:effectLst/>
              </c:spPr>
            </c:marker>
            <c:bubble3D val="0"/>
            <c:extLst>
              <c:ext xmlns:c16="http://schemas.microsoft.com/office/drawing/2014/chart" uri="{C3380CC4-5D6E-409C-BE32-E72D297353CC}">
                <c16:uniqueId val="{00000009-44B1-7E43-A048-438C314DA91B}"/>
              </c:ext>
            </c:extLst>
          </c:dPt>
          <c:dLbls>
            <c:dLbl>
              <c:idx val="0"/>
              <c:delete val="1"/>
              <c:extLst>
                <c:ext xmlns:c15="http://schemas.microsoft.com/office/drawing/2012/chart" uri="{CE6537A1-D6FC-4f65-9D91-7224C49458BB}"/>
                <c:ext xmlns:c16="http://schemas.microsoft.com/office/drawing/2014/chart" uri="{C3380CC4-5D6E-409C-BE32-E72D297353CC}">
                  <c16:uniqueId val="{00000008-44B1-7E43-A048-438C314DA91B}"/>
                </c:ext>
              </c:extLst>
            </c:dLbl>
            <c:dLbl>
              <c:idx val="1"/>
              <c:layout>
                <c:manualLayout>
                  <c:x val="2.4325021341901627E-2"/>
                  <c:y val="-8.0735556525372357E-3"/>
                </c:manualLayout>
              </c:layout>
              <c:tx>
                <c:rich>
                  <a:bodyPr rot="0" spcFirstLastPara="1" vertOverflow="ellipsis" vert="horz" wrap="square" lIns="38100" tIns="19050" rIns="38100" bIns="19050" anchor="ctr" anchorCtr="1">
                    <a:noAutofit/>
                  </a:bodyPr>
                  <a:lstStyle/>
                  <a:p>
                    <a:pPr>
                      <a:defRPr sz="1400" b="0" i="0" u="none" strike="noStrike" kern="1200" baseline="0">
                        <a:solidFill>
                          <a:schemeClr val="accent2"/>
                        </a:solidFill>
                        <a:latin typeface="+mn-lt"/>
                        <a:ea typeface="+mn-ea"/>
                        <a:cs typeface="+mn-cs"/>
                      </a:defRPr>
                    </a:pPr>
                    <a:r>
                      <a:rPr lang="en-US" b="1">
                        <a:solidFill>
                          <a:schemeClr val="accent2"/>
                        </a:solidFill>
                      </a:rPr>
                      <a:t>2027 Revenue Base Case</a:t>
                    </a:r>
                  </a:p>
                  <a:p>
                    <a:pPr>
                      <a:defRPr sz="1400">
                        <a:solidFill>
                          <a:schemeClr val="accent2"/>
                        </a:solidFill>
                      </a:defRPr>
                    </a:pPr>
                    <a:r>
                      <a:rPr lang="en-US">
                        <a:solidFill>
                          <a:schemeClr val="accent2"/>
                        </a:solidFill>
                      </a:rPr>
                      <a:t>~$1 Billion</a:t>
                    </a:r>
                  </a:p>
                  <a:p>
                    <a:pPr>
                      <a:defRPr sz="1400">
                        <a:solidFill>
                          <a:schemeClr val="accent2"/>
                        </a:solidFill>
                      </a:defRPr>
                    </a:pPr>
                    <a:endParaRPr lang="en-US">
                      <a:solidFill>
                        <a:schemeClr val="accent2"/>
                      </a:solidFill>
                    </a:endParaRPr>
                  </a:p>
                  <a:p>
                    <a:pPr>
                      <a:defRPr sz="1400">
                        <a:solidFill>
                          <a:schemeClr val="accent2"/>
                        </a:solidFill>
                      </a:defRPr>
                    </a:pPr>
                    <a:r>
                      <a:rPr lang="en-US" b="1">
                        <a:solidFill>
                          <a:schemeClr val="accent2"/>
                        </a:solidFill>
                      </a:rPr>
                      <a:t>5-Year Revenue CAGR</a:t>
                    </a:r>
                  </a:p>
                  <a:p>
                    <a:pPr>
                      <a:defRPr sz="1400">
                        <a:solidFill>
                          <a:schemeClr val="accent2"/>
                        </a:solidFill>
                      </a:defRPr>
                    </a:pPr>
                    <a:r>
                      <a:rPr lang="en-US">
                        <a:solidFill>
                          <a:schemeClr val="accent2"/>
                        </a:solidFill>
                      </a:rPr>
                      <a:t>11%</a:t>
                    </a:r>
                  </a:p>
                </c:rich>
              </c:tx>
              <c:spPr>
                <a:solidFill>
                  <a:schemeClr val="bg1"/>
                </a:solidFill>
                <a:ln w="38100">
                  <a:solidFill>
                    <a:schemeClr val="accent2"/>
                  </a:solid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accent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0.10412875672567377"/>
                      <c:h val="0.23922958848364434"/>
                    </c:manualLayout>
                  </c15:layout>
                  <c15:showDataLabelsRange val="0"/>
                </c:ext>
                <c:ext xmlns:c16="http://schemas.microsoft.com/office/drawing/2014/chart" uri="{C3380CC4-5D6E-409C-BE32-E72D297353CC}">
                  <c16:uniqueId val="{00000009-44B1-7E43-A048-438C314DA91B}"/>
                </c:ext>
              </c:extLst>
            </c:dLbl>
            <c:spPr>
              <a:solidFill>
                <a:schemeClr val="bg1"/>
              </a:solidFill>
              <a:ln w="19050">
                <a:solidFill>
                  <a:schemeClr val="accent6"/>
                </a:solid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2"/>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accent2"/>
                      </a:solidFill>
                      <a:round/>
                    </a:ln>
                    <a:effectLst/>
                  </c:spPr>
                </c15:leaderLines>
              </c:ext>
            </c:extLst>
          </c:dLbls>
          <c:xVal>
            <c:numRef>
              <c:f>('PROGNOSTICS &amp; MRD'!$L$35,'PROGNOSTICS &amp; MRD'!$Q$35)</c:f>
              <c:numCache>
                <c:formatCode>General</c:formatCode>
                <c:ptCount val="2"/>
                <c:pt idx="0">
                  <c:v>2022</c:v>
                </c:pt>
                <c:pt idx="1">
                  <c:v>2027</c:v>
                </c:pt>
              </c:numCache>
            </c:numRef>
          </c:xVal>
          <c:yVal>
            <c:numRef>
              <c:f>('PROGNOSTICS &amp; MRD'!$L$36,'PROGNOSTICS &amp; MRD'!$Q$36)</c:f>
              <c:numCache>
                <c:formatCode>_("$"* #,##0_);_("$"* \(#,##0\);_("$"* "-"??_);_(@_)</c:formatCode>
                <c:ptCount val="2"/>
                <c:pt idx="0">
                  <c:v>600000</c:v>
                </c:pt>
                <c:pt idx="1">
                  <c:v>1088087.3648596415</c:v>
                </c:pt>
              </c:numCache>
            </c:numRef>
          </c:yVal>
          <c:smooth val="0"/>
          <c:extLst>
            <c:ext xmlns:c16="http://schemas.microsoft.com/office/drawing/2014/chart" uri="{C3380CC4-5D6E-409C-BE32-E72D297353CC}">
              <c16:uniqueId val="{0000000A-44B1-7E43-A048-438C314DA91B}"/>
            </c:ext>
          </c:extLst>
        </c:ser>
        <c:dLbls>
          <c:showLegendKey val="0"/>
          <c:showVal val="0"/>
          <c:showCatName val="0"/>
          <c:showSerName val="0"/>
          <c:showPercent val="0"/>
          <c:showBubbleSize val="0"/>
        </c:dLbls>
        <c:axId val="1594188224"/>
        <c:axId val="1594156400"/>
      </c:scatterChart>
      <c:valAx>
        <c:axId val="1594188224"/>
        <c:scaling>
          <c:orientation val="minMax"/>
          <c:max val="2030"/>
          <c:min val="2014"/>
        </c:scaling>
        <c:delete val="0"/>
        <c:axPos val="b"/>
        <c:majorGridlines>
          <c:spPr>
            <a:ln w="25400" cap="flat" cmpd="sng" algn="ctr">
              <a:solidFill>
                <a:srgbClr val="DDDBF6"/>
              </a:solidFill>
              <a:round/>
            </a:ln>
            <a:effectLst/>
          </c:spPr>
        </c:majorGridlines>
        <c:numFmt formatCode="General" sourceLinked="1"/>
        <c:majorTickMark val="none"/>
        <c:minorTickMark val="none"/>
        <c:tickLblPos val="nextTo"/>
        <c:spPr>
          <a:noFill/>
          <a:ln w="38100" cap="flat" cmpd="sng" algn="ctr">
            <a:solidFill>
              <a:schemeClr val="accent1"/>
            </a:solidFill>
            <a:round/>
          </a:ln>
          <a:effectLst/>
        </c:spPr>
        <c:txPr>
          <a:bodyPr rot="-60000000" spcFirstLastPara="1" vertOverflow="ellipsis" vert="horz" wrap="square" anchor="ctr" anchorCtr="1"/>
          <a:lstStyle/>
          <a:p>
            <a:pPr>
              <a:defRPr sz="2000" b="1" i="0" u="none" strike="noStrike" kern="1200" baseline="0">
                <a:solidFill>
                  <a:schemeClr val="accent1"/>
                </a:solidFill>
                <a:latin typeface="+mn-lt"/>
                <a:ea typeface="+mn-ea"/>
                <a:cs typeface="+mn-cs"/>
              </a:defRPr>
            </a:pPr>
            <a:endParaRPr lang="en-US"/>
          </a:p>
        </c:txPr>
        <c:crossAx val="1594156400"/>
        <c:crosses val="autoZero"/>
        <c:crossBetween val="midCat"/>
      </c:valAx>
      <c:valAx>
        <c:axId val="1594156400"/>
        <c:scaling>
          <c:orientation val="minMax"/>
          <c:max val="6000000"/>
        </c:scaling>
        <c:delete val="0"/>
        <c:axPos val="l"/>
        <c:majorGridlines>
          <c:spPr>
            <a:ln w="25400" cap="flat" cmpd="sng" algn="ctr">
              <a:solidFill>
                <a:srgbClr val="DDDBF6"/>
              </a:solidFill>
              <a:round/>
            </a:ln>
            <a:effectLst/>
          </c:spPr>
        </c:majorGridlines>
        <c:title>
          <c:tx>
            <c:rich>
              <a:bodyPr rot="-5400000" spcFirstLastPara="1" vertOverflow="ellipsis" vert="horz" wrap="square" anchor="ctr" anchorCtr="1"/>
              <a:lstStyle/>
              <a:p>
                <a:pPr>
                  <a:defRPr sz="2400" b="0" i="0" u="none" strike="noStrike" kern="1200" baseline="0">
                    <a:solidFill>
                      <a:schemeClr val="accent1"/>
                    </a:solidFill>
                    <a:latin typeface="+mn-lt"/>
                    <a:ea typeface="+mn-ea"/>
                    <a:cs typeface="+mn-cs"/>
                  </a:defRPr>
                </a:pPr>
                <a:r>
                  <a:rPr lang="en-US" sz="2400" b="1">
                    <a:solidFill>
                      <a:schemeClr val="accent1"/>
                    </a:solidFill>
                  </a:rPr>
                  <a:t>Revenue (Thousands, $K)</a:t>
                </a:r>
              </a:p>
              <a:p>
                <a:pPr>
                  <a:defRPr sz="2400">
                    <a:solidFill>
                      <a:schemeClr val="accent1"/>
                    </a:solidFill>
                  </a:defRPr>
                </a:pPr>
                <a:endParaRPr lang="en-US" sz="2400" b="1">
                  <a:solidFill>
                    <a:schemeClr val="accent1"/>
                  </a:solidFill>
                </a:endParaRPr>
              </a:p>
            </c:rich>
          </c:tx>
          <c:overlay val="0"/>
          <c:spPr>
            <a:noFill/>
            <a:ln>
              <a:noFill/>
            </a:ln>
            <a:effectLst/>
          </c:spPr>
          <c:txPr>
            <a:bodyPr rot="-5400000" spcFirstLastPara="1" vertOverflow="ellipsis" vert="horz" wrap="square" anchor="ctr" anchorCtr="1"/>
            <a:lstStyle/>
            <a:p>
              <a:pPr>
                <a:defRPr sz="2400" b="0" i="0" u="none" strike="noStrike" kern="1200" baseline="0">
                  <a:solidFill>
                    <a:schemeClr val="accent1"/>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38100" cap="flat" cmpd="sng" algn="ctr">
            <a:solidFill>
              <a:schemeClr val="accent1"/>
            </a:solidFill>
            <a:round/>
          </a:ln>
          <a:effectLst/>
        </c:spPr>
        <c:txPr>
          <a:bodyPr rot="-60000000" spcFirstLastPara="1" vertOverflow="ellipsis" vert="horz" wrap="square" anchor="ctr" anchorCtr="1"/>
          <a:lstStyle/>
          <a:p>
            <a:pPr>
              <a:defRPr sz="2000" b="0" i="0" u="none" strike="noStrike" kern="1200" baseline="0">
                <a:solidFill>
                  <a:schemeClr val="accent1"/>
                </a:solidFill>
                <a:latin typeface="+mn-lt"/>
                <a:ea typeface="+mn-ea"/>
                <a:cs typeface="+mn-cs"/>
              </a:defRPr>
            </a:pPr>
            <a:endParaRPr lang="en-US"/>
          </a:p>
        </c:txPr>
        <c:crossAx val="1594188224"/>
        <c:crosses val="autoZero"/>
        <c:crossBetween val="midCat"/>
      </c:valAx>
      <c:spPr>
        <a:noFill/>
        <a:ln>
          <a:noFill/>
        </a:ln>
        <a:effectLst/>
      </c:spPr>
    </c:plotArea>
    <c:legend>
      <c:legendPos val="t"/>
      <c:legendEntry>
        <c:idx val="2"/>
        <c:delete val="1"/>
      </c:legendEntry>
      <c:legendEntry>
        <c:idx val="3"/>
        <c:delete val="1"/>
      </c:legendEntry>
      <c:overlay val="0"/>
      <c:spPr>
        <a:solidFill>
          <a:schemeClr val="bg1"/>
        </a:solidFill>
        <a:ln w="25400">
          <a:solidFill>
            <a:schemeClr val="accent1"/>
          </a:solid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F5F8"/>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4.png"/><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723900</xdr:colOff>
      <xdr:row>2</xdr:row>
      <xdr:rowOff>12700</xdr:rowOff>
    </xdr:from>
    <xdr:to>
      <xdr:col>4</xdr:col>
      <xdr:colOff>261990</xdr:colOff>
      <xdr:row>7</xdr:row>
      <xdr:rowOff>63500</xdr:rowOff>
    </xdr:to>
    <xdr:pic>
      <xdr:nvPicPr>
        <xdr:cNvPr id="2" name="Graphic 1">
          <a:extLst>
            <a:ext uri="{FF2B5EF4-FFF2-40B4-BE49-F238E27FC236}">
              <a16:creationId xmlns:a16="http://schemas.microsoft.com/office/drawing/2014/main" id="{2A1C9286-D598-4712-27F7-3F040EDFF22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3900" y="419100"/>
          <a:ext cx="2840090" cy="1066800"/>
        </a:xfrm>
        <a:prstGeom prst="rect">
          <a:avLst/>
        </a:prstGeom>
      </xdr:spPr>
    </xdr:pic>
    <xdr:clientData/>
  </xdr:twoCellAnchor>
  <xdr:twoCellAnchor editAs="oneCell">
    <xdr:from>
      <xdr:col>5</xdr:col>
      <xdr:colOff>203200</xdr:colOff>
      <xdr:row>2</xdr:row>
      <xdr:rowOff>139700</xdr:rowOff>
    </xdr:from>
    <xdr:to>
      <xdr:col>8</xdr:col>
      <xdr:colOff>139700</xdr:colOff>
      <xdr:row>6</xdr:row>
      <xdr:rowOff>165100</xdr:rowOff>
    </xdr:to>
    <xdr:pic>
      <xdr:nvPicPr>
        <xdr:cNvPr id="3" name="Picture 2">
          <a:extLst>
            <a:ext uri="{FF2B5EF4-FFF2-40B4-BE49-F238E27FC236}">
              <a16:creationId xmlns:a16="http://schemas.microsoft.com/office/drawing/2014/main" id="{AB0EC72E-E4E4-3116-3D24-9D49A930C3AA}"/>
            </a:ext>
          </a:extLst>
        </xdr:cNvPr>
        <xdr:cNvPicPr>
          <a:picLocks noChangeAspect="1"/>
        </xdr:cNvPicPr>
      </xdr:nvPicPr>
      <xdr:blipFill>
        <a:blip xmlns:r="http://schemas.openxmlformats.org/officeDocument/2006/relationships" r:embed="rId3">
          <a:duotone>
            <a:schemeClr val="accent1">
              <a:shade val="45000"/>
              <a:satMod val="135000"/>
            </a:schemeClr>
            <a:prstClr val="white"/>
          </a:duotone>
        </a:blip>
        <a:stretch>
          <a:fillRect/>
        </a:stretch>
      </xdr:blipFill>
      <xdr:spPr>
        <a:xfrm>
          <a:off x="4330700" y="546100"/>
          <a:ext cx="2413000" cy="838200"/>
        </a:xfrm>
        <a:prstGeom prst="rect">
          <a:avLst/>
        </a:prstGeom>
        <a:solidFill>
          <a:schemeClr val="tx1">
            <a:lumMod val="90000"/>
            <a:lumOff val="10000"/>
          </a:schemeClr>
        </a:solid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34</xdr:col>
      <xdr:colOff>402167</xdr:colOff>
      <xdr:row>112</xdr:row>
      <xdr:rowOff>0</xdr:rowOff>
    </xdr:from>
    <xdr:to>
      <xdr:col>63</xdr:col>
      <xdr:colOff>381001</xdr:colOff>
      <xdr:row>112</xdr:row>
      <xdr:rowOff>0</xdr:rowOff>
    </xdr:to>
    <xdr:graphicFrame macro="">
      <xdr:nvGraphicFramePr>
        <xdr:cNvPr id="2" name="Chart 1">
          <a:extLst>
            <a:ext uri="{FF2B5EF4-FFF2-40B4-BE49-F238E27FC236}">
              <a16:creationId xmlns:a16="http://schemas.microsoft.com/office/drawing/2014/main" id="{DA4206E7-FE44-CB42-A70B-784B4EBE71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289546</xdr:colOff>
      <xdr:row>76</xdr:row>
      <xdr:rowOff>49935</xdr:rowOff>
    </xdr:from>
    <xdr:to>
      <xdr:col>18</xdr:col>
      <xdr:colOff>0</xdr:colOff>
      <xdr:row>109</xdr:row>
      <xdr:rowOff>60476</xdr:rowOff>
    </xdr:to>
    <xdr:graphicFrame macro="">
      <xdr:nvGraphicFramePr>
        <xdr:cNvPr id="3" name="Chart 2">
          <a:extLst>
            <a:ext uri="{FF2B5EF4-FFF2-40B4-BE49-F238E27FC236}">
              <a16:creationId xmlns:a16="http://schemas.microsoft.com/office/drawing/2014/main" id="{B99ECA5C-6953-E847-803C-BE6B0D4E40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527902</xdr:colOff>
      <xdr:row>130</xdr:row>
      <xdr:rowOff>6843</xdr:rowOff>
    </xdr:from>
    <xdr:to>
      <xdr:col>22</xdr:col>
      <xdr:colOff>11497619</xdr:colOff>
      <xdr:row>162</xdr:row>
      <xdr:rowOff>23959</xdr:rowOff>
    </xdr:to>
    <xdr:grpSp>
      <xdr:nvGrpSpPr>
        <xdr:cNvPr id="4" name="Group 3">
          <a:extLst>
            <a:ext uri="{FF2B5EF4-FFF2-40B4-BE49-F238E27FC236}">
              <a16:creationId xmlns:a16="http://schemas.microsoft.com/office/drawing/2014/main" id="{81C5E899-681F-7343-8E3D-C3ED2621DCD3}"/>
            </a:ext>
          </a:extLst>
        </xdr:cNvPr>
        <xdr:cNvGrpSpPr/>
      </xdr:nvGrpSpPr>
      <xdr:grpSpPr>
        <a:xfrm>
          <a:off x="4676569" y="27235643"/>
          <a:ext cx="23822117" cy="6587249"/>
          <a:chOff x="23601163" y="23042690"/>
          <a:chExt cx="23444306" cy="6512024"/>
        </a:xfrm>
      </xdr:grpSpPr>
      <xdr:graphicFrame macro="">
        <xdr:nvGraphicFramePr>
          <xdr:cNvPr id="5" name="Chart 4">
            <a:extLst>
              <a:ext uri="{FF2B5EF4-FFF2-40B4-BE49-F238E27FC236}">
                <a16:creationId xmlns:a16="http://schemas.microsoft.com/office/drawing/2014/main" id="{A2478940-8615-9AFA-C911-EAFD7F554C2D}"/>
              </a:ext>
            </a:extLst>
          </xdr:cNvPr>
          <xdr:cNvGraphicFramePr/>
        </xdr:nvGraphicFramePr>
        <xdr:xfrm>
          <a:off x="23601163" y="23047981"/>
          <a:ext cx="11738666" cy="6506733"/>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6" name="Chart 5">
            <a:extLst>
              <a:ext uri="{FF2B5EF4-FFF2-40B4-BE49-F238E27FC236}">
                <a16:creationId xmlns:a16="http://schemas.microsoft.com/office/drawing/2014/main" id="{A5815796-56C5-8A4B-3BBA-B384B1B72B48}"/>
              </a:ext>
            </a:extLst>
          </xdr:cNvPr>
          <xdr:cNvGraphicFramePr>
            <a:graphicFrameLocks/>
          </xdr:cNvGraphicFramePr>
        </xdr:nvGraphicFramePr>
        <xdr:xfrm>
          <a:off x="35304573" y="23042690"/>
          <a:ext cx="11740896" cy="6510528"/>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20</xdr:col>
      <xdr:colOff>706212</xdr:colOff>
      <xdr:row>76</xdr:row>
      <xdr:rowOff>35013</xdr:rowOff>
    </xdr:from>
    <xdr:to>
      <xdr:col>22</xdr:col>
      <xdr:colOff>16026191</xdr:colOff>
      <xdr:row>109</xdr:row>
      <xdr:rowOff>60476</xdr:rowOff>
    </xdr:to>
    <xdr:graphicFrame macro="">
      <xdr:nvGraphicFramePr>
        <xdr:cNvPr id="7" name="Chart 6">
          <a:extLst>
            <a:ext uri="{FF2B5EF4-FFF2-40B4-BE49-F238E27FC236}">
              <a16:creationId xmlns:a16="http://schemas.microsoft.com/office/drawing/2014/main" id="{F67B7CCF-7069-0743-AC63-2568C0F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876300</xdr:colOff>
      <xdr:row>5</xdr:row>
      <xdr:rowOff>88900</xdr:rowOff>
    </xdr:from>
    <xdr:to>
      <xdr:col>21</xdr:col>
      <xdr:colOff>85117</xdr:colOff>
      <xdr:row>14</xdr:row>
      <xdr:rowOff>112949</xdr:rowOff>
    </xdr:to>
    <xdr:pic>
      <xdr:nvPicPr>
        <xdr:cNvPr id="9" name="Picture 8">
          <a:extLst>
            <a:ext uri="{FF2B5EF4-FFF2-40B4-BE49-F238E27FC236}">
              <a16:creationId xmlns:a16="http://schemas.microsoft.com/office/drawing/2014/main" id="{FD5268DD-3E8D-60F8-C544-26007DDC3B2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623300" y="1231900"/>
          <a:ext cx="7654317" cy="19290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57150</xdr:colOff>
      <xdr:row>2</xdr:row>
      <xdr:rowOff>3174</xdr:rowOff>
    </xdr:from>
    <xdr:to>
      <xdr:col>6</xdr:col>
      <xdr:colOff>703170</xdr:colOff>
      <xdr:row>29</xdr:row>
      <xdr:rowOff>0</xdr:rowOff>
    </xdr:to>
    <xdr:pic>
      <xdr:nvPicPr>
        <xdr:cNvPr id="3" name="Picture 2">
          <a:extLst>
            <a:ext uri="{FF2B5EF4-FFF2-40B4-BE49-F238E27FC236}">
              <a16:creationId xmlns:a16="http://schemas.microsoft.com/office/drawing/2014/main" id="{8EF3F6AC-61AD-B19D-442C-3818153CC69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130" t="8285" r="16503" b="1766"/>
        <a:stretch/>
      </xdr:blipFill>
      <xdr:spPr>
        <a:xfrm>
          <a:off x="882650" y="415924"/>
          <a:ext cx="9345520" cy="6426201"/>
        </a:xfrm>
        <a:prstGeom prst="rect">
          <a:avLst/>
        </a:prstGeom>
        <a:ln w="19050">
          <a:solidFill>
            <a:srgbClr val="8264FF"/>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24733</xdr:colOff>
      <xdr:row>1</xdr:row>
      <xdr:rowOff>170649</xdr:rowOff>
    </xdr:from>
    <xdr:to>
      <xdr:col>7</xdr:col>
      <xdr:colOff>625848</xdr:colOff>
      <xdr:row>31</xdr:row>
      <xdr:rowOff>94449</xdr:rowOff>
    </xdr:to>
    <xdr:pic>
      <xdr:nvPicPr>
        <xdr:cNvPr id="4" name="Picture 3">
          <a:extLst>
            <a:ext uri="{FF2B5EF4-FFF2-40B4-BE49-F238E27FC236}">
              <a16:creationId xmlns:a16="http://schemas.microsoft.com/office/drawing/2014/main" id="{7AC94156-CA23-F3A9-10E6-360B7AEB6F5B}"/>
            </a:ext>
            <a:ext uri="{147F2762-F138-4A5C-976F-8EAC2B608ADB}">
              <a16:predDERef xmlns:a16="http://schemas.microsoft.com/office/drawing/2014/main" pred="{26C375AC-DEEF-4225-ACB4-38137AB10280}"/>
            </a:ext>
          </a:extLst>
        </xdr:cNvPr>
        <xdr:cNvPicPr>
          <a:picLocks noChangeAspect="1"/>
        </xdr:cNvPicPr>
      </xdr:nvPicPr>
      <xdr:blipFill>
        <a:blip xmlns:r="http://schemas.openxmlformats.org/officeDocument/2006/relationships" r:embed="rId1"/>
        <a:stretch>
          <a:fillRect/>
        </a:stretch>
      </xdr:blipFill>
      <xdr:spPr>
        <a:xfrm>
          <a:off x="1604762" y="372355"/>
          <a:ext cx="9341704" cy="6445623"/>
        </a:xfrm>
        <a:prstGeom prst="rect">
          <a:avLst/>
        </a:prstGeom>
        <a:ln w="28575">
          <a:solidFill>
            <a:srgbClr val="8164FF"/>
          </a:solid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136074</xdr:colOff>
      <xdr:row>3</xdr:row>
      <xdr:rowOff>190503</xdr:rowOff>
    </xdr:from>
    <xdr:to>
      <xdr:col>6</xdr:col>
      <xdr:colOff>535869</xdr:colOff>
      <xdr:row>25</xdr:row>
      <xdr:rowOff>5790</xdr:rowOff>
    </xdr:to>
    <xdr:pic>
      <xdr:nvPicPr>
        <xdr:cNvPr id="4" name="Picture 1">
          <a:extLst>
            <a:ext uri="{FF2B5EF4-FFF2-40B4-BE49-F238E27FC236}">
              <a16:creationId xmlns:a16="http://schemas.microsoft.com/office/drawing/2014/main" id="{15C4ED5D-B8C6-C08E-4C73-45747ED88B00}"/>
            </a:ext>
          </a:extLst>
        </xdr:cNvPr>
        <xdr:cNvPicPr>
          <a:picLocks noChangeAspect="1"/>
        </xdr:cNvPicPr>
      </xdr:nvPicPr>
      <xdr:blipFill>
        <a:blip xmlns:r="http://schemas.openxmlformats.org/officeDocument/2006/relationships" r:embed="rId1"/>
        <a:stretch>
          <a:fillRect/>
        </a:stretch>
      </xdr:blipFill>
      <xdr:spPr>
        <a:xfrm>
          <a:off x="1490741" y="783170"/>
          <a:ext cx="8429370" cy="4742941"/>
        </a:xfrm>
        <a:prstGeom prst="rect">
          <a:avLst/>
        </a:prstGeom>
        <a:ln w="28575">
          <a:solidFill>
            <a:srgbClr val="8164FF"/>
          </a:solidFill>
        </a:ln>
      </xdr:spPr>
    </xdr:pic>
    <xdr:clientData/>
  </xdr:twoCellAnchor>
</xdr:wsDr>
</file>

<file path=xl/theme/theme1.xml><?xml version="1.0" encoding="utf-8"?>
<a:theme xmlns:a="http://schemas.openxmlformats.org/drawingml/2006/main" name="ARK COLORWAY">
  <a:themeElements>
    <a:clrScheme name="ARK">
      <a:dk1>
        <a:srgbClr val="0A0922"/>
      </a:dk1>
      <a:lt1>
        <a:srgbClr val="FEFFFE"/>
      </a:lt1>
      <a:dk2>
        <a:srgbClr val="1E1D45"/>
      </a:dk2>
      <a:lt2>
        <a:srgbClr val="DDE0E6"/>
      </a:lt2>
      <a:accent1>
        <a:srgbClr val="8164FF"/>
      </a:accent1>
      <a:accent2>
        <a:srgbClr val="38D996"/>
      </a:accent2>
      <a:accent3>
        <a:srgbClr val="F74770"/>
      </a:accent3>
      <a:accent4>
        <a:srgbClr val="FEAA9D"/>
      </a:accent4>
      <a:accent5>
        <a:srgbClr val="FCBF49"/>
      </a:accent5>
      <a:accent6>
        <a:srgbClr val="4598AB"/>
      </a:accent6>
      <a:hlink>
        <a:srgbClr val="727886"/>
      </a:hlink>
      <a:folHlink>
        <a:srgbClr val="72788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ARK COLORWAY" id="{2AA6571F-33ED-334B-AD80-8003F7D9BB27}" vid="{7535122F-6044-FD4B-A75D-01618A32CC59}"/>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seekingalpha.com/article/4489233-exact-sciences-corporation-exas-ceo-kevin-conroy-on-q4-2021-results-earnings-call-transcript" TargetMode="External"/><Relationship Id="rId1" Type="http://schemas.openxmlformats.org/officeDocument/2006/relationships/hyperlink" Target="https://pages.stern.nyu.edu/~adamodar/New_Home_Page/datafile/vebitda.htm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09290-98EC-1A44-ACFC-3DA3C7732683}">
  <sheetPr>
    <tabColor theme="0"/>
  </sheetPr>
  <dimension ref="B10:B36"/>
  <sheetViews>
    <sheetView zoomScaleNormal="100" workbookViewId="0">
      <selection activeCell="F23" sqref="F23"/>
    </sheetView>
  </sheetViews>
  <sheetFormatPr baseColWidth="10" defaultRowHeight="16" x14ac:dyDescent="0.2"/>
  <cols>
    <col min="1" max="16384" width="10.83203125" style="92"/>
  </cols>
  <sheetData>
    <row r="10" spans="2:2" x14ac:dyDescent="0.2">
      <c r="B10" s="395" t="s">
        <v>437</v>
      </c>
    </row>
    <row r="11" spans="2:2" x14ac:dyDescent="0.2">
      <c r="B11" s="92" t="s">
        <v>436</v>
      </c>
    </row>
    <row r="12" spans="2:2" x14ac:dyDescent="0.2">
      <c r="B12" s="92" t="s">
        <v>463</v>
      </c>
    </row>
    <row r="14" spans="2:2" x14ac:dyDescent="0.2">
      <c r="B14" s="92" t="s">
        <v>438</v>
      </c>
    </row>
    <row r="15" spans="2:2" x14ac:dyDescent="0.2">
      <c r="B15" s="92" t="s">
        <v>439</v>
      </c>
    </row>
    <row r="16" spans="2:2" x14ac:dyDescent="0.2">
      <c r="B16" s="92" t="s">
        <v>440</v>
      </c>
    </row>
    <row r="17" spans="2:2" x14ac:dyDescent="0.2">
      <c r="B17" s="92" t="s">
        <v>441</v>
      </c>
    </row>
    <row r="18" spans="2:2" x14ac:dyDescent="0.2">
      <c r="B18" s="92" t="s">
        <v>442</v>
      </c>
    </row>
    <row r="19" spans="2:2" x14ac:dyDescent="0.2">
      <c r="B19" s="92" t="s">
        <v>443</v>
      </c>
    </row>
    <row r="21" spans="2:2" x14ac:dyDescent="0.2">
      <c r="B21" s="92" t="s">
        <v>444</v>
      </c>
    </row>
    <row r="22" spans="2:2" x14ac:dyDescent="0.2">
      <c r="B22" s="92" t="s">
        <v>445</v>
      </c>
    </row>
    <row r="23" spans="2:2" x14ac:dyDescent="0.2">
      <c r="B23" s="92" t="s">
        <v>446</v>
      </c>
    </row>
    <row r="25" spans="2:2" x14ac:dyDescent="0.2">
      <c r="B25" s="92" t="s">
        <v>447</v>
      </c>
    </row>
    <row r="26" spans="2:2" x14ac:dyDescent="0.2">
      <c r="B26" s="92" t="s">
        <v>448</v>
      </c>
    </row>
    <row r="27" spans="2:2" x14ac:dyDescent="0.2">
      <c r="B27" s="92" t="s">
        <v>449</v>
      </c>
    </row>
    <row r="28" spans="2:2" x14ac:dyDescent="0.2">
      <c r="B28" s="92" t="s">
        <v>450</v>
      </c>
    </row>
    <row r="30" spans="2:2" x14ac:dyDescent="0.2">
      <c r="B30" s="92" t="s">
        <v>451</v>
      </c>
    </row>
    <row r="31" spans="2:2" x14ac:dyDescent="0.2">
      <c r="B31" s="92" t="s">
        <v>452</v>
      </c>
    </row>
    <row r="32" spans="2:2" x14ac:dyDescent="0.2">
      <c r="B32" s="92" t="s">
        <v>453</v>
      </c>
    </row>
    <row r="34" spans="2:2" x14ac:dyDescent="0.2">
      <c r="B34" s="92" t="s">
        <v>454</v>
      </c>
    </row>
    <row r="35" spans="2:2" x14ac:dyDescent="0.2">
      <c r="B35" s="92" t="s">
        <v>455</v>
      </c>
    </row>
    <row r="36" spans="2:2" x14ac:dyDescent="0.2">
      <c r="B36" s="92" t="s">
        <v>456</v>
      </c>
    </row>
  </sheetData>
  <sheetProtection algorithmName="SHA-512" hashValue="dhMcBcsKBb1QXvvgQL2y/r61Nl8qjTgZjqOkL/BS8zHUgq5Akhdz1qxHmilF1ckUJdjs7CVGNNQGPbG8WKQ6fQ==" saltValue="nvkOfI6R8EF8cE3KS43vOA==" spinCount="100000" sheet="1" objects="1" scenarios="1"/>
  <hyperlinks>
    <hyperlink ref="B10" r:id="rId1" xr:uid="{460E969D-A59A-0A4D-96E9-AAE0075C89CD}"/>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A2FD3-EA0B-FA48-A2E3-B1F9D9AEB594}">
  <sheetPr>
    <tabColor theme="3"/>
  </sheetPr>
  <dimension ref="A2:BF238"/>
  <sheetViews>
    <sheetView tabSelected="1" zoomScale="75" zoomScaleNormal="90" workbookViewId="0">
      <selection activeCell="L19" sqref="L19"/>
    </sheetView>
  </sheetViews>
  <sheetFormatPr baseColWidth="10" defaultColWidth="10.83203125" defaultRowHeight="16" x14ac:dyDescent="0.2"/>
  <cols>
    <col min="1" max="1" width="10.83203125" style="100"/>
    <col min="2" max="5" width="10.83203125" style="100" customWidth="1"/>
    <col min="6" max="8" width="15.83203125" style="100" customWidth="1"/>
    <col min="9" max="13" width="15.83203125" style="400" customWidth="1"/>
    <col min="14" max="15" width="15.83203125" style="400" hidden="1" customWidth="1"/>
    <col min="16" max="16" width="15.83203125" style="401" hidden="1" customWidth="1"/>
    <col min="17" max="17" width="15.83203125" style="400" hidden="1" customWidth="1"/>
    <col min="18" max="18" width="15.83203125" style="400" customWidth="1"/>
    <col min="19" max="20" width="15.83203125" style="400" hidden="1" customWidth="1"/>
    <col min="21" max="21" width="15.83203125" style="400" customWidth="1"/>
    <col min="22" max="22" width="10.83203125" style="400"/>
    <col min="23" max="23" width="250.83203125" style="400" customWidth="1"/>
    <col min="24" max="24" width="10.83203125" style="400"/>
    <col min="25" max="26" width="10.83203125" style="100"/>
    <col min="27" max="27" width="12.6640625" style="100" bestFit="1" customWidth="1"/>
    <col min="28" max="30" width="10.83203125" style="100"/>
    <col min="31" max="31" width="11.5" style="100" bestFit="1" customWidth="1"/>
    <col min="32" max="32" width="11" style="100" bestFit="1" customWidth="1"/>
    <col min="33" max="35" width="10.83203125" style="100"/>
    <col min="36" max="51" width="15.83203125" style="100" customWidth="1"/>
    <col min="52" max="52" width="11" style="100" bestFit="1" customWidth="1"/>
    <col min="53" max="55" width="10.83203125" style="100"/>
    <col min="56" max="56" width="12.33203125" style="100" bestFit="1" customWidth="1"/>
    <col min="57" max="57" width="10.83203125" style="100"/>
    <col min="58" max="58" width="11" style="100" bestFit="1" customWidth="1"/>
    <col min="59" max="16384" width="10.83203125" style="100"/>
  </cols>
  <sheetData>
    <row r="2" spans="2:26" ht="26" x14ac:dyDescent="0.3">
      <c r="B2" s="300" t="s">
        <v>0</v>
      </c>
      <c r="C2" s="300"/>
      <c r="D2" s="300"/>
      <c r="E2" s="300"/>
      <c r="F2" s="300"/>
      <c r="G2" s="300"/>
      <c r="H2" s="300"/>
    </row>
    <row r="3" spans="2:26" x14ac:dyDescent="0.2">
      <c r="B3" s="375" t="s">
        <v>1</v>
      </c>
      <c r="C3" s="92"/>
      <c r="D3" s="92"/>
      <c r="E3" s="92"/>
      <c r="F3" s="92"/>
      <c r="G3" s="92"/>
      <c r="H3" s="92"/>
      <c r="U3" s="402"/>
      <c r="V3" s="402"/>
      <c r="W3" s="402"/>
      <c r="X3" s="402"/>
      <c r="Y3" s="92"/>
      <c r="Z3" s="92"/>
    </row>
    <row r="4" spans="2:26" x14ac:dyDescent="0.2">
      <c r="U4" s="402"/>
      <c r="V4" s="402"/>
      <c r="W4" s="402"/>
      <c r="X4" s="402"/>
      <c r="Y4" s="92"/>
      <c r="Z4" s="92"/>
    </row>
    <row r="5" spans="2:26" x14ac:dyDescent="0.2">
      <c r="B5" s="385" t="s">
        <v>2</v>
      </c>
      <c r="H5" s="214"/>
      <c r="T5" s="403"/>
      <c r="U5" s="402"/>
      <c r="V5" s="402"/>
      <c r="W5" s="403" t="s">
        <v>3</v>
      </c>
      <c r="X5" s="402"/>
      <c r="Y5" s="92"/>
      <c r="Z5" s="92"/>
    </row>
    <row r="6" spans="2:26" x14ac:dyDescent="0.2">
      <c r="B6" s="100" t="s">
        <v>5</v>
      </c>
      <c r="U6" s="402"/>
      <c r="W6" s="400" t="s">
        <v>6</v>
      </c>
      <c r="Y6" s="92"/>
      <c r="Z6" s="92"/>
    </row>
    <row r="7" spans="2:26" x14ac:dyDescent="0.2">
      <c r="U7" s="402"/>
      <c r="Y7" s="92"/>
      <c r="Z7" s="92"/>
    </row>
    <row r="8" spans="2:26" x14ac:dyDescent="0.2">
      <c r="B8" s="385" t="s">
        <v>9</v>
      </c>
      <c r="U8" s="402"/>
      <c r="W8" s="403" t="s">
        <v>4</v>
      </c>
      <c r="Y8" s="92"/>
      <c r="Z8" s="92"/>
    </row>
    <row r="9" spans="2:26" x14ac:dyDescent="0.2">
      <c r="B9" s="100" t="s">
        <v>10</v>
      </c>
      <c r="T9" s="403"/>
      <c r="U9" s="402"/>
      <c r="W9" s="400" t="s">
        <v>7</v>
      </c>
      <c r="Y9" s="92"/>
      <c r="Z9" s="92"/>
    </row>
    <row r="10" spans="2:26" x14ac:dyDescent="0.2">
      <c r="U10" s="402"/>
      <c r="W10" s="400" t="s">
        <v>8</v>
      </c>
      <c r="Y10" s="92"/>
      <c r="Z10" s="92"/>
    </row>
    <row r="11" spans="2:26" ht="19" x14ac:dyDescent="0.2">
      <c r="B11" s="144" t="s">
        <v>13</v>
      </c>
      <c r="G11" s="397" t="s">
        <v>14</v>
      </c>
      <c r="H11" s="398"/>
      <c r="U11" s="402"/>
      <c r="Y11" s="92"/>
      <c r="Z11" s="92"/>
    </row>
    <row r="12" spans="2:26" s="400" customFormat="1" x14ac:dyDescent="0.2">
      <c r="P12" s="401"/>
      <c r="T12" s="403"/>
      <c r="U12" s="402"/>
      <c r="W12" s="403" t="s">
        <v>11</v>
      </c>
      <c r="Y12" s="402"/>
      <c r="Z12" s="402"/>
    </row>
    <row r="13" spans="2:26" s="400" customFormat="1" x14ac:dyDescent="0.2">
      <c r="B13" s="403" t="s">
        <v>16</v>
      </c>
      <c r="H13" s="530"/>
      <c r="P13" s="401"/>
      <c r="U13" s="402"/>
      <c r="W13" s="400" t="s">
        <v>12</v>
      </c>
      <c r="Y13" s="402"/>
      <c r="Z13" s="402"/>
    </row>
    <row r="14" spans="2:26" s="400" customFormat="1" ht="19" x14ac:dyDescent="0.2">
      <c r="B14" s="400" t="s">
        <v>18</v>
      </c>
      <c r="H14" s="530"/>
      <c r="P14" s="401"/>
      <c r="Y14" s="531"/>
      <c r="Z14" s="531"/>
    </row>
    <row r="15" spans="2:26" s="400" customFormat="1" x14ac:dyDescent="0.2">
      <c r="H15" s="530"/>
      <c r="P15" s="401"/>
      <c r="W15" s="403" t="s">
        <v>15</v>
      </c>
      <c r="Y15" s="402"/>
      <c r="Z15" s="402"/>
    </row>
    <row r="16" spans="2:26" s="400" customFormat="1" ht="15" customHeight="1" x14ac:dyDescent="0.2">
      <c r="B16" s="403" t="s">
        <v>19</v>
      </c>
      <c r="H16" s="530"/>
      <c r="P16" s="401"/>
      <c r="W16" s="400" t="s">
        <v>17</v>
      </c>
      <c r="Y16" s="402"/>
      <c r="Z16" s="402"/>
    </row>
    <row r="17" spans="2:26" s="400" customFormat="1" x14ac:dyDescent="0.2">
      <c r="B17" s="400" t="s">
        <v>20</v>
      </c>
      <c r="P17" s="401"/>
      <c r="Y17" s="402"/>
      <c r="Z17" s="402"/>
    </row>
    <row r="18" spans="2:26" s="400" customFormat="1" x14ac:dyDescent="0.2">
      <c r="P18" s="401"/>
      <c r="Y18" s="402"/>
      <c r="Z18" s="402"/>
    </row>
    <row r="19" spans="2:26" s="400" customFormat="1" x14ac:dyDescent="0.2">
      <c r="P19" s="401"/>
      <c r="Y19" s="402"/>
      <c r="Z19" s="402"/>
    </row>
    <row r="20" spans="2:26" s="400" customFormat="1" ht="26" x14ac:dyDescent="0.2">
      <c r="B20" s="532" t="s">
        <v>21</v>
      </c>
      <c r="P20" s="401"/>
    </row>
    <row r="21" spans="2:26" s="400" customFormat="1" x14ac:dyDescent="0.2">
      <c r="B21" s="403" t="s">
        <v>22</v>
      </c>
      <c r="V21" s="402"/>
      <c r="W21" s="402"/>
    </row>
    <row r="22" spans="2:26" s="400" customFormat="1" x14ac:dyDescent="0.2">
      <c r="V22" s="402"/>
      <c r="W22" s="402"/>
    </row>
    <row r="23" spans="2:26" s="400" customFormat="1" ht="19" x14ac:dyDescent="0.2">
      <c r="B23" s="404" t="s">
        <v>23</v>
      </c>
      <c r="F23" s="404">
        <v>2015</v>
      </c>
      <c r="G23" s="404">
        <v>2016</v>
      </c>
      <c r="H23" s="404">
        <v>2017</v>
      </c>
      <c r="I23" s="404">
        <v>2018</v>
      </c>
      <c r="J23" s="404">
        <v>2019</v>
      </c>
      <c r="K23" s="404">
        <v>2020</v>
      </c>
      <c r="L23" s="404">
        <v>2021</v>
      </c>
      <c r="M23" s="405">
        <v>2022</v>
      </c>
      <c r="N23" s="404">
        <v>2023</v>
      </c>
      <c r="O23" s="404">
        <v>2024</v>
      </c>
      <c r="P23" s="404">
        <v>2025</v>
      </c>
      <c r="Q23" s="404">
        <v>2026</v>
      </c>
      <c r="R23" s="406">
        <v>2027</v>
      </c>
      <c r="S23" s="404">
        <v>2028</v>
      </c>
      <c r="T23" s="404">
        <v>2029</v>
      </c>
      <c r="U23" s="404">
        <v>2030</v>
      </c>
      <c r="V23" s="402"/>
      <c r="W23" s="407" t="s">
        <v>24</v>
      </c>
    </row>
    <row r="24" spans="2:26" s="400" customFormat="1" x14ac:dyDescent="0.2">
      <c r="B24" s="415" t="s">
        <v>25</v>
      </c>
      <c r="C24" s="415"/>
      <c r="D24" s="415"/>
      <c r="E24" s="415"/>
      <c r="F24" s="408">
        <f>'PREVENTION &amp; SCREENING'!D34</f>
        <v>39440</v>
      </c>
      <c r="G24" s="408">
        <f>'PREVENTION &amp; SCREENING'!E34</f>
        <v>99380</v>
      </c>
      <c r="H24" s="408">
        <f>'PREVENTION &amp; SCREENING'!F34</f>
        <v>266000</v>
      </c>
      <c r="I24" s="408">
        <f>'PREVENTION &amp; SCREENING'!G34</f>
        <v>454460</v>
      </c>
      <c r="J24" s="408">
        <f>'PREVENTION &amp; SCREENING'!H34</f>
        <v>876290</v>
      </c>
      <c r="K24" s="408">
        <f>'PREVENTION &amp; SCREENING'!I34</f>
        <v>815000</v>
      </c>
      <c r="L24" s="408">
        <f>'PREVENTION &amp; SCREENING'!J34</f>
        <v>1062000</v>
      </c>
      <c r="M24" s="409">
        <f>'PREVENTION &amp; SCREENING'!K34</f>
        <v>1382000</v>
      </c>
      <c r="N24" s="408">
        <f>'PREVENTION &amp; SCREENING'!L34</f>
        <v>1829631.4168851133</v>
      </c>
      <c r="O24" s="408">
        <f>'PREVENTION &amp; SCREENING'!M34</f>
        <v>2085079.9872958823</v>
      </c>
      <c r="P24" s="408">
        <f>'PREVENTION &amp; SCREENING'!N34</f>
        <v>2364144.3835163545</v>
      </c>
      <c r="Q24" s="408">
        <f>'PREVENTION &amp; SCREENING'!O34</f>
        <v>2665664.4877066528</v>
      </c>
      <c r="R24" s="410">
        <f>'PREVENTION &amp; SCREENING'!P34</f>
        <v>2985969.939066452</v>
      </c>
      <c r="S24" s="408">
        <f>'PREVENTION &amp; SCREENING'!Q34</f>
        <v>3318846.398778134</v>
      </c>
      <c r="T24" s="408">
        <f>'PREVENTION &amp; SCREENING'!R34</f>
        <v>3656153.601221866</v>
      </c>
      <c r="U24" s="408">
        <f>'PREVENTION &amp; SCREENING'!S34</f>
        <v>3989030.060933548</v>
      </c>
      <c r="V24" s="411"/>
      <c r="W24" s="411" t="s">
        <v>26</v>
      </c>
    </row>
    <row r="25" spans="2:26" s="400" customFormat="1" x14ac:dyDescent="0.2">
      <c r="B25" s="400" t="s">
        <v>27</v>
      </c>
      <c r="F25" s="412">
        <f>'PREVENTION &amp; SCREENING'!D35</f>
        <v>0</v>
      </c>
      <c r="G25" s="412">
        <f>'PREVENTION &amp; SCREENING'!E35</f>
        <v>0</v>
      </c>
      <c r="H25" s="412">
        <f>'PREVENTION &amp; SCREENING'!F35</f>
        <v>0</v>
      </c>
      <c r="I25" s="412">
        <f>'PREVENTION &amp; SCREENING'!G35</f>
        <v>0</v>
      </c>
      <c r="J25" s="412">
        <f>'PREVENTION &amp; SCREENING'!H35</f>
        <v>0</v>
      </c>
      <c r="K25" s="412">
        <f>'PREVENTION &amp; SCREENING'!I35</f>
        <v>0</v>
      </c>
      <c r="L25" s="412">
        <f>'PREVENTION &amp; SCREENING'!J35</f>
        <v>0</v>
      </c>
      <c r="M25" s="413">
        <f>'PREVENTION &amp; SCREENING'!K35</f>
        <v>3753.4572911457508</v>
      </c>
      <c r="N25" s="412">
        <f>'PREVENTION &amp; SCREENING'!L35</f>
        <v>5848.1022475981326</v>
      </c>
      <c r="O25" s="412">
        <f>'PREVENTION &amp; SCREENING'!M35</f>
        <v>19553.704603954364</v>
      </c>
      <c r="P25" s="412">
        <f>'PREVENTION &amp; SCREENING'!N35</f>
        <v>28528.3052296553</v>
      </c>
      <c r="Q25" s="412">
        <f>'PREVENTION &amp; SCREENING'!O35</f>
        <v>41449.314472585611</v>
      </c>
      <c r="R25" s="414">
        <f>'PREVENTION &amp; SCREENING'!P35</f>
        <v>59587.98176833363</v>
      </c>
      <c r="S25" s="412">
        <f>'PREVENTION &amp; SCREENING'!Q35</f>
        <v>84133.793724827454</v>
      </c>
      <c r="T25" s="412">
        <f>'PREVENTION &amp; SCREENING'!R35</f>
        <v>115775.35778610515</v>
      </c>
      <c r="U25" s="412">
        <f>'PREVENTION &amp; SCREENING'!S35</f>
        <v>154225.21316615329</v>
      </c>
      <c r="V25" s="402"/>
      <c r="W25" s="402" t="s">
        <v>28</v>
      </c>
    </row>
    <row r="26" spans="2:26" s="400" customFormat="1" x14ac:dyDescent="0.2">
      <c r="B26" s="415" t="s">
        <v>29</v>
      </c>
      <c r="C26" s="415"/>
      <c r="D26" s="415"/>
      <c r="E26" s="415"/>
      <c r="F26" s="408">
        <f>'PREVENTION &amp; SCREENING'!D36</f>
        <v>0</v>
      </c>
      <c r="G26" s="408">
        <f>'PREVENTION &amp; SCREENING'!E36</f>
        <v>0</v>
      </c>
      <c r="H26" s="408">
        <f>'PREVENTION &amp; SCREENING'!F36</f>
        <v>0</v>
      </c>
      <c r="I26" s="408">
        <f>'PREVENTION &amp; SCREENING'!G36</f>
        <v>0</v>
      </c>
      <c r="J26" s="408">
        <f>'PREVENTION &amp; SCREENING'!H36</f>
        <v>0</v>
      </c>
      <c r="K26" s="408">
        <f>'PREVENTION &amp; SCREENING'!I36</f>
        <v>0</v>
      </c>
      <c r="L26" s="408">
        <f>'PREVENTION &amp; SCREENING'!J36</f>
        <v>0</v>
      </c>
      <c r="M26" s="409">
        <f>'PREVENTION &amp; SCREENING'!K36</f>
        <v>0</v>
      </c>
      <c r="N26" s="408">
        <f>'PREVENTION &amp; SCREENING'!L36</f>
        <v>21632.048746419106</v>
      </c>
      <c r="O26" s="408">
        <f>'PREVENTION &amp; SCREENING'!M36</f>
        <v>28750.434378032514</v>
      </c>
      <c r="P26" s="408">
        <f>'PREVENTION &amp; SCREENING'!N36</f>
        <v>231013.26978068647</v>
      </c>
      <c r="Q26" s="408">
        <f>'PREVENTION &amp; SCREENING'!O36</f>
        <v>288055.619824533</v>
      </c>
      <c r="R26" s="410">
        <f>'PREVENTION &amp; SCREENING'!P36</f>
        <v>358388.81080924039</v>
      </c>
      <c r="S26" s="408">
        <f>'PREVENTION &amp; SCREENING'!Q36</f>
        <v>444584.65365200967</v>
      </c>
      <c r="T26" s="408">
        <f>'PREVENTION &amp; SCREENING'!R36</f>
        <v>549397.67531108414</v>
      </c>
      <c r="U26" s="408">
        <f>'PREVENTION &amp; SCREENING'!S36</f>
        <v>675591.31312545948</v>
      </c>
      <c r="V26" s="415"/>
      <c r="W26" s="415" t="s">
        <v>30</v>
      </c>
    </row>
    <row r="27" spans="2:26" s="400" customFormat="1" x14ac:dyDescent="0.2">
      <c r="B27" s="400" t="s">
        <v>31</v>
      </c>
      <c r="F27" s="412">
        <f>('PREVENTION &amp; SCREENING'!D33)+('PROGNOSTICS &amp; MRD'!E45)</f>
        <v>0</v>
      </c>
      <c r="G27" s="412">
        <f>('PREVENTION &amp; SCREENING'!E33)+('PROGNOSTICS &amp; MRD'!F45)</f>
        <v>0</v>
      </c>
      <c r="H27" s="412">
        <f>('PREVENTION &amp; SCREENING'!F33)+('PROGNOSTICS &amp; MRD'!G45)</f>
        <v>0</v>
      </c>
      <c r="I27" s="412">
        <f>('PREVENTION &amp; SCREENING'!G33)+('PROGNOSTICS &amp; MRD'!H45)</f>
        <v>0</v>
      </c>
      <c r="J27" s="412">
        <f>('PREVENTION &amp; SCREENING'!H33)+('PROGNOSTICS &amp; MRD'!I45)</f>
        <v>0</v>
      </c>
      <c r="K27" s="412">
        <f>('PREVENTION &amp; SCREENING'!I33)+('PROGNOSTICS &amp; MRD'!J45)</f>
        <v>0</v>
      </c>
      <c r="L27" s="412">
        <v>0</v>
      </c>
      <c r="M27" s="413">
        <v>40000</v>
      </c>
      <c r="N27" s="412">
        <f>('PREVENTION &amp; SCREENING'!L33)+('PROGNOSTICS &amp; MRD'!M45)</f>
        <v>105008.35684635502</v>
      </c>
      <c r="O27" s="412">
        <f>('PREVENTION &amp; SCREENING'!M33)+('PROGNOSTICS &amp; MRD'!N45)</f>
        <v>125988.2333437507</v>
      </c>
      <c r="P27" s="412">
        <f>('PREVENTION &amp; SCREENING'!N33)+('PROGNOSTICS &amp; MRD'!O45)</f>
        <v>148745.31637130317</v>
      </c>
      <c r="Q27" s="412">
        <f>('PREVENTION &amp; SCREENING'!O33)+('PROGNOSTICS &amp; MRD'!P45)</f>
        <v>174690.27066457662</v>
      </c>
      <c r="R27" s="414">
        <f>('PREVENTION &amp; SCREENING'!P33)+('PROGNOSTICS &amp; MRD'!Q45)</f>
        <v>204038.67438353103</v>
      </c>
      <c r="S27" s="412">
        <f>('PREVENTION &amp; SCREENING'!Q33)+('PROGNOSTICS &amp; MRD'!R45)</f>
        <v>236764.11145584835</v>
      </c>
      <c r="T27" s="412">
        <f>('PREVENTION &amp; SCREENING'!R33)+('PROGNOSTICS &amp; MRD'!S45)</f>
        <v>272623.83470588422</v>
      </c>
      <c r="U27" s="412">
        <f>('PREVENTION &amp; SCREENING'!S33)+('PROGNOSTICS &amp; MRD'!T45)</f>
        <v>311161.80344713142</v>
      </c>
      <c r="W27" s="400" t="s">
        <v>32</v>
      </c>
    </row>
    <row r="28" spans="2:26" s="400" customFormat="1" x14ac:dyDescent="0.2">
      <c r="B28" s="415" t="s">
        <v>33</v>
      </c>
      <c r="C28" s="415"/>
      <c r="D28" s="415"/>
      <c r="E28" s="415"/>
      <c r="F28" s="408">
        <f>'PROGNOSTICS &amp; MRD'!E36</f>
        <v>286500</v>
      </c>
      <c r="G28" s="408">
        <f>'PROGNOSTICS &amp; MRD'!F36</f>
        <v>327800</v>
      </c>
      <c r="H28" s="408">
        <f>'PROGNOSTICS &amp; MRD'!G36</f>
        <v>341100</v>
      </c>
      <c r="I28" s="408">
        <f>'PROGNOSTICS &amp; MRD'!H36</f>
        <v>394400</v>
      </c>
      <c r="J28" s="408">
        <f>'PROGNOSTICS &amp; MRD'!I36</f>
        <v>445000</v>
      </c>
      <c r="K28" s="408">
        <f>'PROGNOSTICS &amp; MRD'!J36</f>
        <v>441000</v>
      </c>
      <c r="L28" s="408">
        <f>'PROGNOSTICS &amp; MRD'!K36</f>
        <v>562000</v>
      </c>
      <c r="M28" s="409">
        <f>'PROGNOSTICS &amp; MRD'!L36</f>
        <v>600000</v>
      </c>
      <c r="N28" s="408">
        <f>'PROGNOSTICS &amp; MRD'!M36</f>
        <v>705553.84184610681</v>
      </c>
      <c r="O28" s="408">
        <f>'PROGNOSTICS &amp; MRD'!N36</f>
        <v>793539.82398009032</v>
      </c>
      <c r="P28" s="408">
        <f>'PROGNOSTICS &amp; MRD'!O36</f>
        <v>894193.75823069934</v>
      </c>
      <c r="Q28" s="408">
        <f>'PROGNOSTICS &amp; MRD'!P36</f>
        <v>989993.21615244611</v>
      </c>
      <c r="R28" s="410">
        <f>'PROGNOSTICS &amp; MRD'!Q36</f>
        <v>1088087.3648596415</v>
      </c>
      <c r="S28" s="408">
        <f>'PROGNOSTICS &amp; MRD'!R36</f>
        <v>1188088.531904157</v>
      </c>
      <c r="T28" s="408">
        <f>'PROGNOSTICS &amp; MRD'!S36</f>
        <v>1289714.0882704931</v>
      </c>
      <c r="U28" s="408">
        <f>'PROGNOSTICS &amp; MRD'!T36</f>
        <v>1392745.10759483</v>
      </c>
      <c r="V28" s="411"/>
      <c r="W28" s="411" t="s">
        <v>34</v>
      </c>
    </row>
    <row r="29" spans="2:26" s="400" customFormat="1" x14ac:dyDescent="0.2">
      <c r="B29" s="400" t="s">
        <v>35</v>
      </c>
      <c r="F29" s="412">
        <f>'PROGNOSTICS &amp; MRD'!E38</f>
        <v>0</v>
      </c>
      <c r="G29" s="412">
        <f>'PROGNOSTICS &amp; MRD'!F38</f>
        <v>0</v>
      </c>
      <c r="H29" s="412">
        <f>'PROGNOSTICS &amp; MRD'!G38</f>
        <v>0</v>
      </c>
      <c r="I29" s="412">
        <f>'PROGNOSTICS &amp; MRD'!H38</f>
        <v>0</v>
      </c>
      <c r="J29" s="412">
        <f>'PROGNOSTICS &amp; MRD'!I38</f>
        <v>0</v>
      </c>
      <c r="K29" s="412">
        <f>'PROGNOSTICS &amp; MRD'!J38</f>
        <v>0</v>
      </c>
      <c r="L29" s="412">
        <f>'PROGNOSTICS &amp; MRD'!K38</f>
        <v>0</v>
      </c>
      <c r="M29" s="413">
        <f>'PROGNOSTICS &amp; MRD'!L38</f>
        <v>0</v>
      </c>
      <c r="N29" s="412">
        <f>'PROGNOSTICS &amp; MRD'!M38</f>
        <v>0</v>
      </c>
      <c r="O29" s="412">
        <f>'PROGNOSTICS &amp; MRD'!N38</f>
        <v>120694.62251446021</v>
      </c>
      <c r="P29" s="412">
        <f>'PROGNOSTICS &amp; MRD'!O38</f>
        <v>188909.16513780734</v>
      </c>
      <c r="Q29" s="412">
        <f>'PROGNOSTICS &amp; MRD'!P38</f>
        <v>264899.51712690364</v>
      </c>
      <c r="R29" s="414">
        <f>'PROGNOSTICS &amp; MRD'!Q38</f>
        <v>352433.93297722749</v>
      </c>
      <c r="S29" s="412">
        <f>'PROGNOSTICS &amp; MRD'!R38</f>
        <v>453539.68706813053</v>
      </c>
      <c r="T29" s="412">
        <f>'PROGNOSTICS &amp; MRD'!S38</f>
        <v>570714.6149690313</v>
      </c>
      <c r="U29" s="412">
        <f>'PROGNOSTICS &amp; MRD'!T38</f>
        <v>706935.33020455879</v>
      </c>
      <c r="V29" s="402"/>
      <c r="W29" s="402" t="s">
        <v>36</v>
      </c>
    </row>
    <row r="30" spans="2:26" s="400" customFormat="1" x14ac:dyDescent="0.2">
      <c r="B30" s="415" t="s">
        <v>37</v>
      </c>
      <c r="C30" s="415"/>
      <c r="D30" s="415"/>
      <c r="E30" s="415"/>
      <c r="F30" s="408">
        <f>'PROGNOSTICS &amp; MRD'!E37</f>
        <v>0</v>
      </c>
      <c r="G30" s="408">
        <f>'PROGNOSTICS &amp; MRD'!F37</f>
        <v>0</v>
      </c>
      <c r="H30" s="408">
        <f>'PROGNOSTICS &amp; MRD'!G37</f>
        <v>0</v>
      </c>
      <c r="I30" s="408">
        <f>'PROGNOSTICS &amp; MRD'!H37</f>
        <v>0</v>
      </c>
      <c r="J30" s="408">
        <f>'PROGNOSTICS &amp; MRD'!I37</f>
        <v>0</v>
      </c>
      <c r="K30" s="408">
        <f>'PROGNOSTICS &amp; MRD'!J37</f>
        <v>0</v>
      </c>
      <c r="L30" s="408">
        <f>'PROGNOSTICS &amp; MRD'!K37</f>
        <v>0</v>
      </c>
      <c r="M30" s="409">
        <f>'PROGNOSTICS &amp; MRD'!L37</f>
        <v>0</v>
      </c>
      <c r="N30" s="408">
        <f>'PROGNOSTICS &amp; MRD'!M37</f>
        <v>0</v>
      </c>
      <c r="O30" s="408">
        <f>'PROGNOSTICS &amp; MRD'!N37</f>
        <v>1429.2010454747276</v>
      </c>
      <c r="P30" s="408">
        <f>'PROGNOSTICS &amp; MRD'!O37</f>
        <v>4199.0748370328738</v>
      </c>
      <c r="Q30" s="408">
        <f>'PROGNOSTICS &amp; MRD'!P37</f>
        <v>8452.203411013299</v>
      </c>
      <c r="R30" s="410">
        <f>'PROGNOSTICS &amp; MRD'!Q37</f>
        <v>14917.318590783858</v>
      </c>
      <c r="S30" s="408">
        <f>'PROGNOSTICS &amp; MRD'!R37</f>
        <v>24631.47468746706</v>
      </c>
      <c r="T30" s="408">
        <f>'PROGNOSTICS &amp; MRD'!S37</f>
        <v>38888.244543145745</v>
      </c>
      <c r="U30" s="408">
        <f>'PROGNOSTICS &amp; MRD'!T37</f>
        <v>59172.825459048203</v>
      </c>
      <c r="V30" s="415"/>
      <c r="W30" s="415"/>
    </row>
    <row r="31" spans="2:26" s="400" customFormat="1" x14ac:dyDescent="0.2">
      <c r="B31" s="400" t="s">
        <v>38</v>
      </c>
      <c r="F31" s="412">
        <f>'THERAPY SELECTION'!E29</f>
        <v>0</v>
      </c>
      <c r="G31" s="412">
        <f>'THERAPY SELECTION'!F29</f>
        <v>0</v>
      </c>
      <c r="H31" s="412">
        <f>'THERAPY SELECTION'!G29</f>
        <v>0</v>
      </c>
      <c r="I31" s="412">
        <f>'THERAPY SELECTION'!H29</f>
        <v>0</v>
      </c>
      <c r="J31" s="412">
        <f>'THERAPY SELECTION'!I29</f>
        <v>0</v>
      </c>
      <c r="K31" s="412">
        <f>'THERAPY SELECTION'!J29</f>
        <v>0</v>
      </c>
      <c r="L31" s="412">
        <f>'THERAPY SELECTION'!K29</f>
        <v>15629.119411708811</v>
      </c>
      <c r="M31" s="413">
        <f>'THERAPY SELECTION'!L29</f>
        <v>24388.037502825533</v>
      </c>
      <c r="N31" s="412">
        <f>'THERAPY SELECTION'!M29</f>
        <v>37595.643750000003</v>
      </c>
      <c r="O31" s="412">
        <f>'THERAPY SELECTION'!N29</f>
        <v>56950.143869662599</v>
      </c>
      <c r="P31" s="412">
        <f>'THERAPY SELECTION'!O29</f>
        <v>84195.894023343906</v>
      </c>
      <c r="Q31" s="412">
        <f>'THERAPY SELECTION'!P29</f>
        <v>120537.16759176298</v>
      </c>
      <c r="R31" s="414">
        <f>'THERAPY SELECTION'!Q29</f>
        <v>165818.13841235961</v>
      </c>
      <c r="S31" s="412">
        <f>'THERAPY SELECTION'!R29</f>
        <v>217918.27552996916</v>
      </c>
      <c r="T31" s="412">
        <f>'THERAPY SELECTION'!S29</f>
        <v>272995.18455006415</v>
      </c>
      <c r="U31" s="412">
        <f>'THERAPY SELECTION'!T29</f>
        <v>326713.35296251281</v>
      </c>
      <c r="W31" s="400" t="s">
        <v>39</v>
      </c>
    </row>
    <row r="32" spans="2:26" s="400" customFormat="1" x14ac:dyDescent="0.2">
      <c r="B32" s="533" t="s">
        <v>40</v>
      </c>
      <c r="C32" s="533"/>
      <c r="D32" s="533"/>
      <c r="E32" s="533"/>
      <c r="F32" s="416">
        <f>'THERAPY SELECTION'!E30</f>
        <v>0</v>
      </c>
      <c r="G32" s="416">
        <f>'THERAPY SELECTION'!F30</f>
        <v>0</v>
      </c>
      <c r="H32" s="416">
        <f>'THERAPY SELECTION'!G30</f>
        <v>0</v>
      </c>
      <c r="I32" s="416">
        <f>'THERAPY SELECTION'!H30</f>
        <v>0</v>
      </c>
      <c r="J32" s="416">
        <f>'THERAPY SELECTION'!I30</f>
        <v>0</v>
      </c>
      <c r="K32" s="416">
        <f>'THERAPY SELECTION'!J30</f>
        <v>0</v>
      </c>
      <c r="L32" s="416">
        <f>'THERAPY SELECTION'!K30</f>
        <v>0</v>
      </c>
      <c r="M32" s="417">
        <f>'THERAPY SELECTION'!L30</f>
        <v>5696.7322803195439</v>
      </c>
      <c r="N32" s="416">
        <f>'THERAPY SELECTION'!M30</f>
        <v>9450</v>
      </c>
      <c r="O32" s="416">
        <f>'THERAPY SELECTION'!N30</f>
        <v>15251.400151760643</v>
      </c>
      <c r="P32" s="416">
        <f>'THERAPY SELECTION'!O30</f>
        <v>23625</v>
      </c>
      <c r="Q32" s="416">
        <f>'THERAPY SELECTION'!P30</f>
        <v>34589.400657629456</v>
      </c>
      <c r="R32" s="418">
        <f>'THERAPY SELECTION'!Q30</f>
        <v>47250</v>
      </c>
      <c r="S32" s="416">
        <f>'THERAPY SELECTION'!R30</f>
        <v>59910.599342370566</v>
      </c>
      <c r="T32" s="416">
        <f>'THERAPY SELECTION'!S30</f>
        <v>70875.000000000015</v>
      </c>
      <c r="U32" s="416">
        <f>'THERAPY SELECTION'!T30</f>
        <v>79248.599848239362</v>
      </c>
      <c r="V32" s="419"/>
      <c r="W32" s="420" t="s">
        <v>41</v>
      </c>
    </row>
    <row r="33" spans="2:23" s="400" customFormat="1" ht="17" thickBot="1" x14ac:dyDescent="0.25">
      <c r="B33" s="534" t="s">
        <v>42</v>
      </c>
      <c r="C33" s="535"/>
      <c r="D33" s="535"/>
      <c r="E33" s="535"/>
      <c r="F33" s="421">
        <f>SUM(F24:F32)</f>
        <v>325940</v>
      </c>
      <c r="G33" s="421">
        <f t="shared" ref="G33:U33" si="0">SUM(G24:G32)</f>
        <v>427180</v>
      </c>
      <c r="H33" s="421">
        <f t="shared" si="0"/>
        <v>607100</v>
      </c>
      <c r="I33" s="421">
        <f t="shared" si="0"/>
        <v>848860</v>
      </c>
      <c r="J33" s="421">
        <f t="shared" si="0"/>
        <v>1321290</v>
      </c>
      <c r="K33" s="421">
        <f t="shared" si="0"/>
        <v>1256000</v>
      </c>
      <c r="L33" s="421">
        <f t="shared" si="0"/>
        <v>1639629.1194117088</v>
      </c>
      <c r="M33" s="422">
        <f t="shared" si="0"/>
        <v>2055838.2270742909</v>
      </c>
      <c r="N33" s="421">
        <f t="shared" si="0"/>
        <v>2714719.4103215924</v>
      </c>
      <c r="O33" s="421">
        <f t="shared" si="0"/>
        <v>3247237.5511830682</v>
      </c>
      <c r="P33" s="421">
        <f t="shared" si="0"/>
        <v>3967554.1671268828</v>
      </c>
      <c r="Q33" s="421">
        <f t="shared" si="0"/>
        <v>4588331.197608103</v>
      </c>
      <c r="R33" s="423">
        <f t="shared" si="0"/>
        <v>5276492.1608675681</v>
      </c>
      <c r="S33" s="421">
        <f t="shared" si="0"/>
        <v>6028417.5261429148</v>
      </c>
      <c r="T33" s="421">
        <f t="shared" si="0"/>
        <v>6837137.6013576724</v>
      </c>
      <c r="U33" s="421">
        <f t="shared" si="0"/>
        <v>7694823.6067414805</v>
      </c>
      <c r="V33" s="424"/>
      <c r="W33" s="424" t="s">
        <v>43</v>
      </c>
    </row>
    <row r="34" spans="2:23" s="400" customFormat="1" ht="17" thickTop="1" x14ac:dyDescent="0.2">
      <c r="B34" s="536"/>
    </row>
    <row r="35" spans="2:23" s="400" customFormat="1" x14ac:dyDescent="0.2">
      <c r="P35" s="401"/>
    </row>
    <row r="36" spans="2:23" s="400" customFormat="1" ht="19" x14ac:dyDescent="0.2">
      <c r="B36" s="404" t="s">
        <v>44</v>
      </c>
      <c r="F36" s="404">
        <v>2015</v>
      </c>
      <c r="G36" s="404">
        <v>2016</v>
      </c>
      <c r="H36" s="404">
        <v>2017</v>
      </c>
      <c r="I36" s="404">
        <v>2018</v>
      </c>
      <c r="J36" s="404">
        <v>2019</v>
      </c>
      <c r="K36" s="404">
        <v>2020</v>
      </c>
      <c r="L36" s="404">
        <v>2021</v>
      </c>
      <c r="M36" s="405">
        <v>2022</v>
      </c>
      <c r="N36" s="404">
        <v>2023</v>
      </c>
      <c r="O36" s="404">
        <v>2024</v>
      </c>
      <c r="P36" s="404">
        <v>2025</v>
      </c>
      <c r="Q36" s="404">
        <v>2026</v>
      </c>
      <c r="R36" s="406">
        <v>2027</v>
      </c>
      <c r="S36" s="404">
        <v>2028</v>
      </c>
      <c r="T36" s="404">
        <v>2029</v>
      </c>
      <c r="U36" s="404">
        <v>2030</v>
      </c>
      <c r="V36" s="402"/>
      <c r="W36" s="407" t="s">
        <v>24</v>
      </c>
    </row>
    <row r="37" spans="2:23" s="400" customFormat="1" x14ac:dyDescent="0.2">
      <c r="B37" s="415" t="s">
        <v>45</v>
      </c>
      <c r="C37" s="415"/>
      <c r="D37" s="415"/>
      <c r="E37" s="415"/>
      <c r="F37" s="425">
        <v>39440</v>
      </c>
      <c r="G37" s="425">
        <v>99380</v>
      </c>
      <c r="H37" s="425">
        <v>266000</v>
      </c>
      <c r="I37" s="425">
        <v>454460</v>
      </c>
      <c r="J37" s="425">
        <v>876290</v>
      </c>
      <c r="K37" s="425">
        <v>1491000</v>
      </c>
      <c r="L37" s="408">
        <v>1767000</v>
      </c>
      <c r="M37" s="426">
        <f>2000000</f>
        <v>2000000</v>
      </c>
      <c r="N37" s="425">
        <f>N24+N28</f>
        <v>2535185.2587312199</v>
      </c>
      <c r="O37" s="425">
        <f t="shared" ref="O37:U37" si="1">O24+O28</f>
        <v>2878619.8112759725</v>
      </c>
      <c r="P37" s="425">
        <f t="shared" si="1"/>
        <v>3258338.1417470537</v>
      </c>
      <c r="Q37" s="425">
        <f t="shared" si="1"/>
        <v>3655657.7038590992</v>
      </c>
      <c r="R37" s="427">
        <f t="shared" si="1"/>
        <v>4074057.3039260935</v>
      </c>
      <c r="S37" s="425">
        <f t="shared" si="1"/>
        <v>4506934.9306822913</v>
      </c>
      <c r="T37" s="425">
        <f t="shared" si="1"/>
        <v>4945867.6894923588</v>
      </c>
      <c r="U37" s="425">
        <f t="shared" si="1"/>
        <v>5381775.168528378</v>
      </c>
      <c r="V37" s="415"/>
      <c r="W37" s="415" t="s">
        <v>46</v>
      </c>
    </row>
    <row r="38" spans="2:23" s="400" customFormat="1" x14ac:dyDescent="0.2">
      <c r="B38" s="400" t="s">
        <v>47</v>
      </c>
      <c r="F38" s="412">
        <v>24500</v>
      </c>
      <c r="G38" s="412">
        <v>45200</v>
      </c>
      <c r="H38" s="428">
        <v>78300</v>
      </c>
      <c r="I38" s="428">
        <v>116640</v>
      </c>
      <c r="J38" s="412">
        <v>216720</v>
      </c>
      <c r="K38" s="412">
        <v>354300</v>
      </c>
      <c r="L38" s="412">
        <v>485800</v>
      </c>
      <c r="M38" s="412">
        <f>M37*(1-M39)</f>
        <v>600000.00000000012</v>
      </c>
      <c r="N38" s="429">
        <f>(1-N39)*N37</f>
        <v>669074.00677511026</v>
      </c>
      <c r="O38" s="429">
        <f t="shared" ref="O38:U38" si="2">(1-O39)*O37</f>
        <v>759331.94401799759</v>
      </c>
      <c r="P38" s="429">
        <f t="shared" si="2"/>
        <v>859294.22334829823</v>
      </c>
      <c r="Q38" s="429">
        <f t="shared" si="2"/>
        <v>963414.08677239716</v>
      </c>
      <c r="R38" s="430">
        <f t="shared" si="2"/>
        <v>1072918.6942245059</v>
      </c>
      <c r="S38" s="429">
        <f t="shared" si="2"/>
        <v>1186138.1592657808</v>
      </c>
      <c r="T38" s="429">
        <f t="shared" si="2"/>
        <v>1300952.6267866145</v>
      </c>
      <c r="U38" s="429">
        <f t="shared" si="2"/>
        <v>1415081.0475118363</v>
      </c>
    </row>
    <row r="39" spans="2:23" s="400" customFormat="1" x14ac:dyDescent="0.2">
      <c r="B39" s="415" t="s">
        <v>48</v>
      </c>
      <c r="C39" s="415"/>
      <c r="D39" s="415"/>
      <c r="E39" s="415"/>
      <c r="F39" s="431">
        <f>1-(F38/F37)</f>
        <v>0.37880324543610544</v>
      </c>
      <c r="G39" s="431">
        <f t="shared" ref="G39:L39" si="3">1-(G38/G37)</f>
        <v>0.54518011672368694</v>
      </c>
      <c r="H39" s="431">
        <f t="shared" si="3"/>
        <v>0.70563909774436095</v>
      </c>
      <c r="I39" s="431">
        <f t="shared" si="3"/>
        <v>0.7433437486247414</v>
      </c>
      <c r="J39" s="431">
        <f t="shared" si="3"/>
        <v>0.75268461354117933</v>
      </c>
      <c r="K39" s="431">
        <f t="shared" si="3"/>
        <v>0.76237424547283705</v>
      </c>
      <c r="L39" s="431">
        <f t="shared" si="3"/>
        <v>0.72507074136955296</v>
      </c>
      <c r="M39" s="432">
        <v>0.7</v>
      </c>
      <c r="N39" s="431">
        <f>(N24/N37*'MODEL INPUT'!$G$46)+(DASHBOARD!N28/N37*'MODEL INPUT'!$G$55)</f>
        <v>0.73608476758421959</v>
      </c>
      <c r="O39" s="431">
        <f>(O24/O37*'MODEL INPUT'!$G$46)+(DASHBOARD!O28/O37*'MODEL INPUT'!$G$55)</f>
        <v>0.7362166615252268</v>
      </c>
      <c r="P39" s="431">
        <f>(P24/P37*'MODEL INPUT'!$G$46)+(DASHBOARD!P28/P37*'MODEL INPUT'!$G$55)</f>
        <v>0.73627837690057474</v>
      </c>
      <c r="Q39" s="431">
        <f>(Q24/Q37*'MODEL INPUT'!$G$46)+(DASHBOARD!Q28/Q37*'MODEL INPUT'!$G$55)</f>
        <v>0.7364594377215985</v>
      </c>
      <c r="R39" s="433">
        <f>(R24/R37*'MODEL INPUT'!$G$46)+(DASHBOARD!R28/R37*'MODEL INPUT'!$G$55)</f>
        <v>0.7366461455535851</v>
      </c>
      <c r="S39" s="431">
        <f>(S24/S37*'MODEL INPUT'!$G$46)+(DASHBOARD!S28/S37*'MODEL INPUT'!$G$55)</f>
        <v>0.73681932898769076</v>
      </c>
      <c r="T39" s="431">
        <f>(T24/T37*'MODEL INPUT'!$G$46)+(DASHBOARD!T28/T37*'MODEL INPUT'!$G$55)</f>
        <v>0.7369617004614728</v>
      </c>
      <c r="U39" s="431">
        <f>(U24/U37*'MODEL INPUT'!$G$46)+(DASHBOARD!U28/U37*'MODEL INPUT'!$G$55)</f>
        <v>0.73706054169877488</v>
      </c>
      <c r="V39" s="415"/>
      <c r="W39" s="415" t="s">
        <v>49</v>
      </c>
    </row>
    <row r="40" spans="2:23" s="400" customFormat="1" x14ac:dyDescent="0.2">
      <c r="B40" s="400" t="s">
        <v>50</v>
      </c>
      <c r="F40" s="412">
        <f>SUM(F41,F43,F45)</f>
        <v>174050</v>
      </c>
      <c r="G40" s="412">
        <f t="shared" ref="G40:L40" si="4">SUM(G41,G43,G45)</f>
        <v>223200</v>
      </c>
      <c r="H40" s="412">
        <f t="shared" si="4"/>
        <v>305010</v>
      </c>
      <c r="I40" s="412">
        <f t="shared" si="4"/>
        <v>494750</v>
      </c>
      <c r="J40" s="412">
        <f t="shared" si="4"/>
        <v>877320</v>
      </c>
      <c r="K40" s="412">
        <f t="shared" si="4"/>
        <v>1212960</v>
      </c>
      <c r="L40" s="412">
        <f t="shared" si="4"/>
        <v>2048840</v>
      </c>
      <c r="M40" s="412">
        <f>SUM(M42,M44,M46)</f>
        <v>1611800</v>
      </c>
      <c r="N40" s="412">
        <f t="shared" ref="N40:U40" si="5">SUM(N42,N44,N46)</f>
        <v>1628730.27</v>
      </c>
      <c r="O40" s="412">
        <f t="shared" si="5"/>
        <v>1645900.7076630001</v>
      </c>
      <c r="P40" s="412">
        <f t="shared" si="5"/>
        <v>1663315.1651770046</v>
      </c>
      <c r="Q40" s="412">
        <f t="shared" si="5"/>
        <v>1680977.5589482726</v>
      </c>
      <c r="R40" s="414">
        <f t="shared" si="5"/>
        <v>1698891.8706849671</v>
      </c>
      <c r="S40" s="412">
        <f t="shared" si="5"/>
        <v>1717062.1484991848</v>
      </c>
      <c r="T40" s="412">
        <f t="shared" si="5"/>
        <v>1735492.5080276746</v>
      </c>
      <c r="U40" s="412">
        <f t="shared" si="5"/>
        <v>1754187.1335715638</v>
      </c>
      <c r="W40" s="400" t="s">
        <v>51</v>
      </c>
    </row>
    <row r="41" spans="2:23" s="400" customFormat="1" x14ac:dyDescent="0.2">
      <c r="B41" s="537" t="s">
        <v>52</v>
      </c>
      <c r="C41" s="415"/>
      <c r="D41" s="415"/>
      <c r="E41" s="415"/>
      <c r="F41" s="408">
        <v>33910</v>
      </c>
      <c r="G41" s="408">
        <v>33470</v>
      </c>
      <c r="H41" s="434">
        <v>42100</v>
      </c>
      <c r="I41" s="434">
        <v>67280</v>
      </c>
      <c r="J41" s="408">
        <v>139690</v>
      </c>
      <c r="K41" s="408">
        <v>141640</v>
      </c>
      <c r="L41" s="408">
        <v>385650</v>
      </c>
      <c r="M41" s="409">
        <v>395000</v>
      </c>
      <c r="N41" s="408">
        <f>M41*(1+'MODEL INPUT'!$G$153)</f>
        <v>414750</v>
      </c>
      <c r="O41" s="408">
        <f>N41*(1+'MODEL INPUT'!$G$153)</f>
        <v>435487.5</v>
      </c>
      <c r="P41" s="408">
        <f>O41*(1+'MODEL INPUT'!$G$153)</f>
        <v>457261.875</v>
      </c>
      <c r="Q41" s="408">
        <f>P41*(1+'MODEL INPUT'!$G$153)</f>
        <v>480124.96875</v>
      </c>
      <c r="R41" s="410">
        <f>Q41*(1+'MODEL INPUT'!$G$153)</f>
        <v>504131.21718750003</v>
      </c>
      <c r="S41" s="408">
        <f>R41*(1+'MODEL INPUT'!$G$153)</f>
        <v>529337.77804687503</v>
      </c>
      <c r="T41" s="408">
        <f>S41*(1+'MODEL INPUT'!$G$153)</f>
        <v>555804.66694921884</v>
      </c>
      <c r="U41" s="408">
        <f>T41*(1+'MODEL INPUT'!$G$153)</f>
        <v>583594.90029667981</v>
      </c>
      <c r="V41" s="415"/>
      <c r="W41" s="415" t="s">
        <v>53</v>
      </c>
    </row>
    <row r="42" spans="2:23" s="400" customFormat="1" x14ac:dyDescent="0.2">
      <c r="B42" s="538" t="s">
        <v>54</v>
      </c>
      <c r="F42" s="435"/>
      <c r="G42" s="435"/>
      <c r="H42" s="435"/>
      <c r="I42" s="435"/>
      <c r="J42" s="435"/>
      <c r="K42" s="435"/>
      <c r="L42" s="435"/>
      <c r="M42" s="436">
        <f>((1-'MODEL INPUT'!$G$154)*(1-'MODEL INPUT'!$G$155)^(DASHBOARD!M36-2022))*M41</f>
        <v>118500.00000000001</v>
      </c>
      <c r="N42" s="435">
        <f>((1-'MODEL INPUT'!$G$154)*(1-'MODEL INPUT'!$G$155)^(DASHBOARD!N36-2022))*N41</f>
        <v>120692.25000000001</v>
      </c>
      <c r="O42" s="435">
        <f>((1-'MODEL INPUT'!$G$154)*(1-'MODEL INPUT'!$G$155)^(DASHBOARD!O36-2022))*O41</f>
        <v>122925.05662500001</v>
      </c>
      <c r="P42" s="435">
        <f>((1-'MODEL INPUT'!$G$154)*(1-'MODEL INPUT'!$G$155)^(DASHBOARD!P36-2022))*P41</f>
        <v>125199.17017256252</v>
      </c>
      <c r="Q42" s="435">
        <f>((1-'MODEL INPUT'!$G$154)*(1-'MODEL INPUT'!$G$155)^(DASHBOARD!Q36-2022))*Q41</f>
        <v>127515.35482075493</v>
      </c>
      <c r="R42" s="437">
        <f>((1-'MODEL INPUT'!$G$154)*(1-'MODEL INPUT'!$G$155)^(DASHBOARD!R36-2022))*R41</f>
        <v>129874.38888493887</v>
      </c>
      <c r="S42" s="435">
        <f>((1-'MODEL INPUT'!$G$154)*(1-'MODEL INPUT'!$G$155)^(DASHBOARD!S36-2022))*S41</f>
        <v>132277.06507931027</v>
      </c>
      <c r="T42" s="435">
        <f>((1-'MODEL INPUT'!$G$154)*(1-'MODEL INPUT'!$G$155)^(DASHBOARD!T36-2022))*T41</f>
        <v>134724.1907832775</v>
      </c>
      <c r="U42" s="435">
        <f>((1-'MODEL INPUT'!$G$154)*(1-'MODEL INPUT'!$G$155)^(DASHBOARD!U36-2022))*U41</f>
        <v>137216.58831276814</v>
      </c>
      <c r="W42" s="400" t="s">
        <v>55</v>
      </c>
    </row>
    <row r="43" spans="2:23" s="400" customFormat="1" x14ac:dyDescent="0.2">
      <c r="B43" s="537" t="s">
        <v>56</v>
      </c>
      <c r="C43" s="415"/>
      <c r="D43" s="415"/>
      <c r="E43" s="415"/>
      <c r="F43" s="408">
        <v>82140</v>
      </c>
      <c r="G43" s="408">
        <v>112830</v>
      </c>
      <c r="H43" s="434">
        <v>153920</v>
      </c>
      <c r="I43" s="434">
        <v>249450</v>
      </c>
      <c r="J43" s="408">
        <v>385180</v>
      </c>
      <c r="K43" s="408">
        <v>589920</v>
      </c>
      <c r="L43" s="408">
        <v>861890</v>
      </c>
      <c r="M43" s="409">
        <v>835000</v>
      </c>
      <c r="N43" s="408">
        <f>M43*(1+'MODEL INPUT'!$G$156)</f>
        <v>901800.00000000012</v>
      </c>
      <c r="O43" s="408">
        <f>N43*(1+'MODEL INPUT'!$G$156)</f>
        <v>973944.00000000023</v>
      </c>
      <c r="P43" s="408">
        <f>O43*(1+'MODEL INPUT'!$G$156)</f>
        <v>1051859.5200000003</v>
      </c>
      <c r="Q43" s="408">
        <f>P43*(1+'MODEL INPUT'!$G$156)</f>
        <v>1136008.2816000003</v>
      </c>
      <c r="R43" s="410">
        <f>Q43*(1+'MODEL INPUT'!$G$156)</f>
        <v>1226888.9441280004</v>
      </c>
      <c r="S43" s="408">
        <f>R43*(1+'MODEL INPUT'!$G$156)</f>
        <v>1325040.0596582405</v>
      </c>
      <c r="T43" s="408">
        <f>S43*(1+'MODEL INPUT'!$G$156)</f>
        <v>1431043.2644308999</v>
      </c>
      <c r="U43" s="408">
        <f>T43*(1+'MODEL INPUT'!$G$156)</f>
        <v>1545526.725585372</v>
      </c>
      <c r="V43" s="415"/>
      <c r="W43" s="415" t="s">
        <v>57</v>
      </c>
    </row>
    <row r="44" spans="2:23" s="400" customFormat="1" x14ac:dyDescent="0.2">
      <c r="B44" s="538" t="s">
        <v>58</v>
      </c>
      <c r="M44" s="413">
        <f>((1-'MODEL INPUT'!$G$157)*(1-'MODEL INPUT'!$G$158)^(DASHBOARD!M36-2022))*M43</f>
        <v>818300</v>
      </c>
      <c r="N44" s="412">
        <f>((1-'MODEL INPUT'!$G$157)*(1-'MODEL INPUT'!$G$158)^(DASHBOARD!N36-2022))*N43</f>
        <v>821900.52</v>
      </c>
      <c r="O44" s="412">
        <f>((1-'MODEL INPUT'!$G$157)*(1-'MODEL INPUT'!$G$158)^(DASHBOARD!O36-2022))*O43</f>
        <v>825516.88228800008</v>
      </c>
      <c r="P44" s="412">
        <f>((1-'MODEL INPUT'!$G$157)*(1-'MODEL INPUT'!$G$158)^(DASHBOARD!P36-2022))*P43</f>
        <v>829149.15657006728</v>
      </c>
      <c r="Q44" s="412">
        <f>((1-'MODEL INPUT'!$G$157)*(1-'MODEL INPUT'!$G$158)^(DASHBOARD!Q36-2022))*Q43</f>
        <v>832797.41285897547</v>
      </c>
      <c r="R44" s="414">
        <f>((1-'MODEL INPUT'!$G$157)*(1-'MODEL INPUT'!$G$158)^(DASHBOARD!R36-2022))*R43</f>
        <v>836461.72147555498</v>
      </c>
      <c r="S44" s="412">
        <f>((1-'MODEL INPUT'!$G$157)*(1-'MODEL INPUT'!$G$158)^(DASHBOARD!S36-2022))*S43</f>
        <v>840142.15305004746</v>
      </c>
      <c r="T44" s="412">
        <f>((1-'MODEL INPUT'!$G$157)*(1-'MODEL INPUT'!$G$158)^(DASHBOARD!T36-2022))*T43</f>
        <v>843838.77852346771</v>
      </c>
      <c r="U44" s="412">
        <f>((1-'MODEL INPUT'!$G$157)*(1-'MODEL INPUT'!$G$158)^(DASHBOARD!U36-2022))*U43</f>
        <v>847551.66914897086</v>
      </c>
      <c r="W44" s="400" t="s">
        <v>59</v>
      </c>
    </row>
    <row r="45" spans="2:23" s="400" customFormat="1" x14ac:dyDescent="0.2">
      <c r="B45" s="537" t="s">
        <v>60</v>
      </c>
      <c r="C45" s="415"/>
      <c r="D45" s="415"/>
      <c r="E45" s="415"/>
      <c r="F45" s="408">
        <v>58000</v>
      </c>
      <c r="G45" s="408">
        <v>76900</v>
      </c>
      <c r="H45" s="434">
        <v>108990</v>
      </c>
      <c r="I45" s="434">
        <v>178020</v>
      </c>
      <c r="J45" s="408">
        <v>352450</v>
      </c>
      <c r="K45" s="408">
        <v>481400</v>
      </c>
      <c r="L45" s="408">
        <v>801300</v>
      </c>
      <c r="M45" s="409">
        <v>750000</v>
      </c>
      <c r="N45" s="408">
        <f>M45*(1+'MODEL INPUT'!$G$159)</f>
        <v>802500</v>
      </c>
      <c r="O45" s="408">
        <f>N45*(1+'MODEL INPUT'!$G$159)</f>
        <v>858675</v>
      </c>
      <c r="P45" s="408">
        <f>O45*(1+'MODEL INPUT'!$G$159)</f>
        <v>918782.25</v>
      </c>
      <c r="Q45" s="408">
        <f>P45*(1+'MODEL INPUT'!$G$159)</f>
        <v>983097.00750000007</v>
      </c>
      <c r="R45" s="410">
        <f>Q45*(1+'MODEL INPUT'!$G$159)</f>
        <v>1051913.7980250001</v>
      </c>
      <c r="S45" s="408">
        <f>R45*(1+'MODEL INPUT'!$G$159)</f>
        <v>1125547.7638867502</v>
      </c>
      <c r="T45" s="408">
        <f>S45*(1+'MODEL INPUT'!$G$159)</f>
        <v>1204336.1073588228</v>
      </c>
      <c r="U45" s="408">
        <f>T45*(1+'MODEL INPUT'!$G$159)</f>
        <v>1288639.6348739406</v>
      </c>
      <c r="V45" s="415"/>
      <c r="W45" s="415" t="s">
        <v>61</v>
      </c>
    </row>
    <row r="46" spans="2:23" s="400" customFormat="1" x14ac:dyDescent="0.2">
      <c r="B46" s="538" t="s">
        <v>62</v>
      </c>
      <c r="M46" s="438">
        <f>((1-'MODEL INPUT'!$G$160)*(1-'MODEL INPUT'!$G$161)^(DASHBOARD!M36-2022))*M45</f>
        <v>675000</v>
      </c>
      <c r="N46" s="429">
        <f>((1-'MODEL INPUT'!$G$160)*(1-'MODEL INPUT'!$G$161)^(DASHBOARD!N36-2022))*N45</f>
        <v>686137.5</v>
      </c>
      <c r="O46" s="429">
        <f>((1-'MODEL INPUT'!$G$160)*(1-'MODEL INPUT'!$G$161)^(DASHBOARD!O36-2022))*O45</f>
        <v>697458.76875000005</v>
      </c>
      <c r="P46" s="429">
        <f>((1-'MODEL INPUT'!$G$160)*(1-'MODEL INPUT'!$G$161)^(DASHBOARD!P36-2022))*P45</f>
        <v>708966.83843437489</v>
      </c>
      <c r="Q46" s="429">
        <f>((1-'MODEL INPUT'!$G$160)*(1-'MODEL INPUT'!$G$161)^(DASHBOARD!Q36-2022))*Q45</f>
        <v>720664.79126854218</v>
      </c>
      <c r="R46" s="430">
        <f>((1-'MODEL INPUT'!$G$160)*(1-'MODEL INPUT'!$G$161)^(DASHBOARD!R36-2022))*R45</f>
        <v>732555.76032447326</v>
      </c>
      <c r="S46" s="429">
        <f>((1-'MODEL INPUT'!$G$160)*(1-'MODEL INPUT'!$G$161)^(DASHBOARD!S36-2022))*S45</f>
        <v>744642.93036982708</v>
      </c>
      <c r="T46" s="429">
        <f>((1-'MODEL INPUT'!$G$160)*(1-'MODEL INPUT'!$G$161)^(DASHBOARD!T36-2022))*T45</f>
        <v>756929.5387209293</v>
      </c>
      <c r="U46" s="429">
        <f>((1-'MODEL INPUT'!$G$160)*(1-'MODEL INPUT'!$G$161)^(DASHBOARD!U36-2022))*U45</f>
        <v>769418.87610982475</v>
      </c>
      <c r="W46" s="400" t="s">
        <v>59</v>
      </c>
    </row>
    <row r="47" spans="2:23" s="400" customFormat="1" x14ac:dyDescent="0.2">
      <c r="B47" s="441" t="s">
        <v>63</v>
      </c>
      <c r="C47" s="441"/>
      <c r="D47" s="441"/>
      <c r="E47" s="441"/>
      <c r="F47" s="439">
        <f t="shared" ref="F47:U47" si="6">F37-F38-F40</f>
        <v>-159110</v>
      </c>
      <c r="G47" s="439">
        <f t="shared" si="6"/>
        <v>-169020</v>
      </c>
      <c r="H47" s="439">
        <f t="shared" si="6"/>
        <v>-117310</v>
      </c>
      <c r="I47" s="439">
        <f t="shared" si="6"/>
        <v>-156930</v>
      </c>
      <c r="J47" s="439">
        <f t="shared" si="6"/>
        <v>-217750</v>
      </c>
      <c r="K47" s="439">
        <f t="shared" si="6"/>
        <v>-76260</v>
      </c>
      <c r="L47" s="439">
        <f t="shared" si="6"/>
        <v>-767640</v>
      </c>
      <c r="M47" s="439">
        <f t="shared" si="6"/>
        <v>-211800</v>
      </c>
      <c r="N47" s="439">
        <f t="shared" si="6"/>
        <v>237380.98195610964</v>
      </c>
      <c r="O47" s="439">
        <f t="shared" si="6"/>
        <v>473387.15959497495</v>
      </c>
      <c r="P47" s="439">
        <f t="shared" si="6"/>
        <v>735728.75322175096</v>
      </c>
      <c r="Q47" s="439">
        <f t="shared" si="6"/>
        <v>1011266.0581384294</v>
      </c>
      <c r="R47" s="440">
        <f t="shared" si="6"/>
        <v>1302246.7390166207</v>
      </c>
      <c r="S47" s="439">
        <f t="shared" si="6"/>
        <v>1603734.6229173257</v>
      </c>
      <c r="T47" s="439">
        <f t="shared" si="6"/>
        <v>1909422.5546780694</v>
      </c>
      <c r="U47" s="439">
        <f t="shared" si="6"/>
        <v>2212506.9874449777</v>
      </c>
      <c r="V47" s="415"/>
      <c r="W47" s="441" t="s">
        <v>64</v>
      </c>
    </row>
    <row r="48" spans="2:23" s="400" customFormat="1" ht="17" thickBot="1" x14ac:dyDescent="0.25">
      <c r="B48" s="539" t="s">
        <v>65</v>
      </c>
      <c r="C48" s="442"/>
      <c r="D48" s="442"/>
      <c r="E48" s="442"/>
      <c r="F48" s="442"/>
      <c r="G48" s="442"/>
      <c r="H48" s="442"/>
      <c r="I48" s="442"/>
      <c r="J48" s="442"/>
      <c r="K48" s="442"/>
      <c r="L48" s="442"/>
      <c r="M48" s="442"/>
      <c r="N48" s="443">
        <f>N47*'MODEL INPUT'!$G$31</f>
        <v>4747619.6391221927</v>
      </c>
      <c r="O48" s="443">
        <f>O47*'MODEL INPUT'!$G$31</f>
        <v>9467743.1918994989</v>
      </c>
      <c r="P48" s="443">
        <f>P47*'MODEL INPUT'!$G$31</f>
        <v>14714575.06443502</v>
      </c>
      <c r="Q48" s="443">
        <f>Q47*'MODEL INPUT'!$G$31</f>
        <v>20225321.162768587</v>
      </c>
      <c r="R48" s="444">
        <f>R47*'MODEL INPUT'!$G$31</f>
        <v>26044934.780332413</v>
      </c>
      <c r="S48" s="445">
        <f>S47*'MODEL INPUT'!$G$31</f>
        <v>32074692.458346516</v>
      </c>
      <c r="T48" s="445">
        <f>T47*'MODEL INPUT'!$G$31</f>
        <v>38188451.093561389</v>
      </c>
      <c r="U48" s="445">
        <f>U47*'MODEL INPUT'!$G$31</f>
        <v>44250139.748899557</v>
      </c>
      <c r="V48" s="442"/>
      <c r="W48" s="442" t="s">
        <v>66</v>
      </c>
    </row>
    <row r="49" spans="1:23" s="400" customFormat="1" ht="17" thickTop="1" x14ac:dyDescent="0.2">
      <c r="F49" s="446"/>
      <c r="G49" s="446"/>
      <c r="H49" s="446"/>
      <c r="I49" s="446"/>
      <c r="J49" s="446"/>
      <c r="K49" s="446"/>
      <c r="L49" s="446"/>
      <c r="M49" s="447"/>
    </row>
    <row r="50" spans="1:23" s="400" customFormat="1" x14ac:dyDescent="0.2">
      <c r="A50" s="540"/>
      <c r="P50" s="401"/>
    </row>
    <row r="51" spans="1:23" s="400" customFormat="1" ht="19" x14ac:dyDescent="0.2">
      <c r="B51" s="404" t="s">
        <v>67</v>
      </c>
      <c r="F51" s="404">
        <v>2015</v>
      </c>
      <c r="G51" s="404">
        <v>2016</v>
      </c>
      <c r="H51" s="404">
        <v>2017</v>
      </c>
      <c r="I51" s="404">
        <v>2018</v>
      </c>
      <c r="J51" s="404">
        <v>2019</v>
      </c>
      <c r="K51" s="404">
        <v>2020</v>
      </c>
      <c r="L51" s="404">
        <v>2021</v>
      </c>
      <c r="M51" s="405">
        <v>2022</v>
      </c>
      <c r="N51" s="404">
        <v>2023</v>
      </c>
      <c r="O51" s="404">
        <v>2024</v>
      </c>
      <c r="P51" s="404">
        <v>2025</v>
      </c>
      <c r="Q51" s="404">
        <v>2026</v>
      </c>
      <c r="R51" s="406">
        <v>2027</v>
      </c>
      <c r="S51" s="404">
        <v>2028</v>
      </c>
      <c r="T51" s="404">
        <v>2029</v>
      </c>
      <c r="U51" s="404">
        <v>2030</v>
      </c>
      <c r="W51" s="407" t="s">
        <v>24</v>
      </c>
    </row>
    <row r="52" spans="1:23" s="400" customFormat="1" x14ac:dyDescent="0.2">
      <c r="B52" s="541" t="s">
        <v>45</v>
      </c>
      <c r="C52" s="441"/>
      <c r="D52" s="441"/>
      <c r="E52" s="441"/>
      <c r="F52" s="441"/>
      <c r="G52" s="441"/>
      <c r="H52" s="441"/>
      <c r="I52" s="441"/>
      <c r="J52" s="441"/>
      <c r="K52" s="441"/>
      <c r="L52" s="441"/>
      <c r="M52" s="448">
        <f t="shared" ref="M52:U52" si="7">SUM(M25,M26,M27,M29,M30,M31,M32)</f>
        <v>73838.227074290829</v>
      </c>
      <c r="N52" s="448">
        <f t="shared" si="7"/>
        <v>179534.15159037226</v>
      </c>
      <c r="O52" s="448">
        <f t="shared" si="7"/>
        <v>368617.73990709579</v>
      </c>
      <c r="P52" s="448">
        <f t="shared" si="7"/>
        <v>709216.02537982899</v>
      </c>
      <c r="Q52" s="448">
        <f t="shared" si="7"/>
        <v>932673.49374900467</v>
      </c>
      <c r="R52" s="449">
        <f t="shared" si="7"/>
        <v>1202434.856941476</v>
      </c>
      <c r="S52" s="448">
        <f t="shared" si="7"/>
        <v>1521482.595460623</v>
      </c>
      <c r="T52" s="448">
        <f t="shared" si="7"/>
        <v>1891269.9118653147</v>
      </c>
      <c r="U52" s="448">
        <f t="shared" si="7"/>
        <v>2313048.438213103</v>
      </c>
      <c r="V52" s="415"/>
      <c r="W52" s="441" t="s">
        <v>68</v>
      </c>
    </row>
    <row r="53" spans="1:23" s="400" customFormat="1" ht="17" thickBot="1" x14ac:dyDescent="0.25">
      <c r="B53" s="539" t="s">
        <v>69</v>
      </c>
      <c r="C53" s="442"/>
      <c r="D53" s="442"/>
      <c r="E53" s="442"/>
      <c r="F53" s="442"/>
      <c r="G53" s="442"/>
      <c r="H53" s="442"/>
      <c r="I53" s="442"/>
      <c r="J53" s="442"/>
      <c r="K53" s="442"/>
      <c r="L53" s="442"/>
      <c r="M53" s="445">
        <f>M52*'MODEL INPUT'!$G$162</f>
        <v>443029.36244574498</v>
      </c>
      <c r="N53" s="445">
        <f>N52*'MODEL INPUT'!$G$162</f>
        <v>1077204.9095422337</v>
      </c>
      <c r="O53" s="445">
        <f>O52*'MODEL INPUT'!$G$162</f>
        <v>2211706.439442575</v>
      </c>
      <c r="P53" s="445">
        <f>P52*'MODEL INPUT'!$G$162</f>
        <v>4255296.1522789737</v>
      </c>
      <c r="Q53" s="445">
        <f>Q52*'MODEL INPUT'!$G$162</f>
        <v>5596040.9624940278</v>
      </c>
      <c r="R53" s="444">
        <f>R52*'MODEL INPUT'!$G$162</f>
        <v>7214609.141648856</v>
      </c>
      <c r="S53" s="445">
        <f>S52*'MODEL INPUT'!$G$162</f>
        <v>9128895.5727637373</v>
      </c>
      <c r="T53" s="445">
        <f>T52*'MODEL INPUT'!$G$162</f>
        <v>11347619.471191889</v>
      </c>
      <c r="U53" s="445">
        <f>U52*'MODEL INPUT'!$G$162</f>
        <v>13878290.629278619</v>
      </c>
      <c r="V53" s="442"/>
      <c r="W53" s="442" t="s">
        <v>435</v>
      </c>
    </row>
    <row r="54" spans="1:23" s="400" customFormat="1" ht="17" thickTop="1" x14ac:dyDescent="0.2">
      <c r="N54" s="446"/>
      <c r="O54" s="446"/>
      <c r="P54" s="446"/>
      <c r="Q54" s="446"/>
      <c r="R54" s="446"/>
      <c r="S54" s="446"/>
      <c r="T54" s="446"/>
      <c r="U54" s="446"/>
    </row>
    <row r="55" spans="1:23" s="400" customFormat="1" x14ac:dyDescent="0.2">
      <c r="P55" s="401"/>
    </row>
    <row r="56" spans="1:23" s="400" customFormat="1" ht="19" x14ac:dyDescent="0.2">
      <c r="B56" s="404" t="s">
        <v>70</v>
      </c>
      <c r="F56" s="404">
        <v>2015</v>
      </c>
      <c r="G56" s="404">
        <v>2016</v>
      </c>
      <c r="H56" s="404">
        <v>2017</v>
      </c>
      <c r="I56" s="404">
        <v>2018</v>
      </c>
      <c r="J56" s="404">
        <v>2019</v>
      </c>
      <c r="K56" s="404">
        <v>2020</v>
      </c>
      <c r="L56" s="404">
        <v>2021</v>
      </c>
      <c r="M56" s="405">
        <v>2022</v>
      </c>
      <c r="N56" s="404">
        <v>2023</v>
      </c>
      <c r="O56" s="404">
        <v>2024</v>
      </c>
      <c r="P56" s="404">
        <v>2025</v>
      </c>
      <c r="Q56" s="404">
        <v>2026</v>
      </c>
      <c r="R56" s="406">
        <v>2027</v>
      </c>
      <c r="S56" s="404">
        <v>2028</v>
      </c>
      <c r="T56" s="404">
        <v>2029</v>
      </c>
      <c r="U56" s="404">
        <v>2030</v>
      </c>
      <c r="W56" s="407" t="s">
        <v>24</v>
      </c>
    </row>
    <row r="57" spans="1:23" s="400" customFormat="1" x14ac:dyDescent="0.2">
      <c r="B57" s="415" t="s">
        <v>71</v>
      </c>
      <c r="C57" s="415"/>
      <c r="D57" s="415"/>
      <c r="E57" s="415"/>
      <c r="F57" s="415"/>
      <c r="G57" s="415"/>
      <c r="H57" s="415"/>
      <c r="I57" s="415"/>
      <c r="J57" s="415"/>
      <c r="K57" s="415"/>
      <c r="L57" s="415"/>
      <c r="M57" s="450" t="s">
        <v>72</v>
      </c>
      <c r="N57" s="425">
        <f>N48+N53</f>
        <v>5824824.5486644264</v>
      </c>
      <c r="O57" s="425">
        <f t="shared" ref="O57:U57" si="8">O48+O53</f>
        <v>11679449.631342074</v>
      </c>
      <c r="P57" s="425">
        <f t="shared" si="8"/>
        <v>18969871.216713995</v>
      </c>
      <c r="Q57" s="425">
        <f t="shared" si="8"/>
        <v>25821362.125262614</v>
      </c>
      <c r="R57" s="427">
        <f t="shared" si="8"/>
        <v>33259543.921981268</v>
      </c>
      <c r="S57" s="425">
        <f t="shared" si="8"/>
        <v>41203588.031110257</v>
      </c>
      <c r="T57" s="425">
        <f t="shared" si="8"/>
        <v>49536070.564753279</v>
      </c>
      <c r="U57" s="425">
        <f t="shared" si="8"/>
        <v>58128430.378178179</v>
      </c>
      <c r="V57" s="415"/>
      <c r="W57" s="415" t="s">
        <v>73</v>
      </c>
    </row>
    <row r="58" spans="1:23" s="400" customFormat="1" x14ac:dyDescent="0.2">
      <c r="B58" s="400" t="s">
        <v>74</v>
      </c>
      <c r="M58" s="413">
        <v>900000</v>
      </c>
      <c r="N58" s="413">
        <v>600000</v>
      </c>
      <c r="O58" s="413">
        <v>500000</v>
      </c>
      <c r="P58" s="413">
        <v>500000</v>
      </c>
      <c r="Q58" s="413">
        <v>500000</v>
      </c>
      <c r="R58" s="414">
        <v>500000</v>
      </c>
      <c r="S58" s="412">
        <v>500000</v>
      </c>
      <c r="T58" s="412">
        <v>500000</v>
      </c>
      <c r="U58" s="412">
        <v>500000</v>
      </c>
      <c r="W58" s="400" t="s">
        <v>75</v>
      </c>
    </row>
    <row r="59" spans="1:23" s="400" customFormat="1" x14ac:dyDescent="0.2">
      <c r="B59" s="415" t="s">
        <v>76</v>
      </c>
      <c r="C59" s="415"/>
      <c r="D59" s="415"/>
      <c r="E59" s="415"/>
      <c r="F59" s="415"/>
      <c r="G59" s="415"/>
      <c r="H59" s="415"/>
      <c r="I59" s="415"/>
      <c r="J59" s="415"/>
      <c r="K59" s="415"/>
      <c r="L59" s="415"/>
      <c r="M59" s="409">
        <v>2150000</v>
      </c>
      <c r="N59" s="409">
        <v>2150000</v>
      </c>
      <c r="O59" s="409">
        <v>2150000</v>
      </c>
      <c r="P59" s="451">
        <f>IF(G11="Bear", 2150000, 1835000)</f>
        <v>1835000</v>
      </c>
      <c r="Q59" s="451">
        <f>IF(G11="Bear", 2150000, 1835000)</f>
        <v>1835000</v>
      </c>
      <c r="R59" s="410">
        <f>IF(G11="Bear", 2150000, 1085000)</f>
        <v>1085000</v>
      </c>
      <c r="S59" s="408">
        <f>IF($G$11="Bear", 2150000, 0)</f>
        <v>0</v>
      </c>
      <c r="T59" s="408">
        <f t="shared" ref="T59:U59" si="9">IF($G$11="Bear", 2150000, 0)</f>
        <v>0</v>
      </c>
      <c r="U59" s="408">
        <f t="shared" si="9"/>
        <v>0</v>
      </c>
      <c r="V59" s="415"/>
      <c r="W59" s="415" t="s">
        <v>77</v>
      </c>
    </row>
    <row r="60" spans="1:23" s="400" customFormat="1" x14ac:dyDescent="0.2">
      <c r="B60" s="400" t="s">
        <v>78</v>
      </c>
      <c r="M60" s="413">
        <v>7500000</v>
      </c>
      <c r="N60" s="412">
        <f t="shared" ref="N60:U60" si="10">N57-N59+N58</f>
        <v>4274824.5486644264</v>
      </c>
      <c r="O60" s="412">
        <f t="shared" si="10"/>
        <v>10029449.631342074</v>
      </c>
      <c r="P60" s="412">
        <f t="shared" si="10"/>
        <v>17634871.216713995</v>
      </c>
      <c r="Q60" s="412">
        <f t="shared" si="10"/>
        <v>24486362.125262614</v>
      </c>
      <c r="R60" s="414">
        <f t="shared" si="10"/>
        <v>32674543.921981268</v>
      </c>
      <c r="S60" s="412">
        <f t="shared" si="10"/>
        <v>41703588.031110257</v>
      </c>
      <c r="T60" s="412">
        <f t="shared" si="10"/>
        <v>50036070.564753279</v>
      </c>
      <c r="U60" s="412">
        <f t="shared" si="10"/>
        <v>58628430.378178179</v>
      </c>
    </row>
    <row r="61" spans="1:23" s="400" customFormat="1" ht="17" thickBot="1" x14ac:dyDescent="0.25">
      <c r="B61" s="452" t="s">
        <v>79</v>
      </c>
      <c r="C61" s="452"/>
      <c r="D61" s="452"/>
      <c r="E61" s="452"/>
      <c r="F61" s="452"/>
      <c r="G61" s="452"/>
      <c r="H61" s="452"/>
      <c r="I61" s="452"/>
      <c r="J61" s="452"/>
      <c r="K61" s="452"/>
      <c r="L61" s="452"/>
      <c r="M61" s="453">
        <v>175000</v>
      </c>
      <c r="N61" s="454">
        <f>M61*(1+'MODEL INPUT'!$G$32)</f>
        <v>183750</v>
      </c>
      <c r="O61" s="454">
        <f>N61*(1+'MODEL INPUT'!$G$32)</f>
        <v>192937.5</v>
      </c>
      <c r="P61" s="454">
        <f>O61*(1+'MODEL INPUT'!$G$32)+IF(G11="Bear", 0, 4200)</f>
        <v>206784.375</v>
      </c>
      <c r="Q61" s="454">
        <f>P61*(1+'MODEL INPUT'!$G$32)</f>
        <v>217123.59375</v>
      </c>
      <c r="R61" s="455">
        <f>Q61*(1+'MODEL INPUT'!$G$32)+IF(G11="Bear", 0, 6700)</f>
        <v>234679.7734375</v>
      </c>
      <c r="S61" s="454">
        <f>R61*(1+'MODEL INPUT'!$G$32)+IF(G11="Bear", 0, 9400)</f>
        <v>255813.76210937501</v>
      </c>
      <c r="T61" s="454">
        <f>S61*(1+'MODEL INPUT'!$G$32)</f>
        <v>268604.45021484379</v>
      </c>
      <c r="U61" s="454">
        <f>T61*(1+'MODEL INPUT'!$G$32)</f>
        <v>282034.67272558599</v>
      </c>
      <c r="V61" s="452"/>
      <c r="W61" s="452" t="s">
        <v>80</v>
      </c>
    </row>
    <row r="62" spans="1:23" s="400" customFormat="1" ht="17" thickTop="1" x14ac:dyDescent="0.2">
      <c r="P62" s="401"/>
    </row>
    <row r="63" spans="1:23" s="400" customFormat="1" x14ac:dyDescent="0.2">
      <c r="P63" s="401"/>
    </row>
    <row r="64" spans="1:23" s="400" customFormat="1" ht="19" x14ac:dyDescent="0.2">
      <c r="J64" s="456" t="s">
        <v>81</v>
      </c>
      <c r="K64" s="457"/>
      <c r="L64" s="457"/>
      <c r="M64" s="458" t="str">
        <f>G11&amp;" Case"</f>
        <v>Base Case</v>
      </c>
      <c r="P64" s="401"/>
      <c r="R64" s="456">
        <v>2027</v>
      </c>
    </row>
    <row r="65" spans="2:23" s="400" customFormat="1" x14ac:dyDescent="0.2">
      <c r="J65" s="459" t="s">
        <v>82</v>
      </c>
      <c r="K65" s="459"/>
      <c r="L65" s="459"/>
      <c r="M65" s="459"/>
      <c r="P65" s="401"/>
      <c r="R65" s="460">
        <v>45</v>
      </c>
    </row>
    <row r="66" spans="2:23" s="400" customFormat="1" x14ac:dyDescent="0.2">
      <c r="J66" s="461" t="s">
        <v>83</v>
      </c>
      <c r="K66" s="461"/>
      <c r="L66" s="461"/>
      <c r="M66" s="461"/>
      <c r="P66" s="401"/>
      <c r="R66" s="462">
        <v>2000000</v>
      </c>
    </row>
    <row r="67" spans="2:23" s="400" customFormat="1" x14ac:dyDescent="0.2">
      <c r="J67" s="463" t="s">
        <v>84</v>
      </c>
      <c r="K67" s="463"/>
      <c r="L67" s="463"/>
      <c r="M67" s="463"/>
      <c r="P67" s="401"/>
      <c r="R67" s="464">
        <f>R60/R61</f>
        <v>139.23033691134512</v>
      </c>
    </row>
    <row r="68" spans="2:23" s="400" customFormat="1" x14ac:dyDescent="0.2">
      <c r="J68" s="459" t="s">
        <v>85</v>
      </c>
      <c r="K68" s="459"/>
      <c r="L68" s="459"/>
      <c r="M68" s="459"/>
      <c r="P68" s="401"/>
      <c r="R68" s="465">
        <f>((R67/R65)^(1/5))-1</f>
        <v>0.25344208434457949</v>
      </c>
    </row>
    <row r="69" spans="2:23" s="400" customFormat="1" x14ac:dyDescent="0.2">
      <c r="J69" s="463" t="s">
        <v>86</v>
      </c>
      <c r="K69" s="461"/>
      <c r="L69" s="466"/>
      <c r="M69" s="461"/>
      <c r="P69" s="401"/>
      <c r="R69" s="467">
        <f>R33</f>
        <v>5276492.1608675681</v>
      </c>
    </row>
    <row r="70" spans="2:23" s="400" customFormat="1" ht="17" thickBot="1" x14ac:dyDescent="0.25">
      <c r="J70" s="468" t="s">
        <v>87</v>
      </c>
      <c r="K70" s="468"/>
      <c r="L70" s="468"/>
      <c r="M70" s="468"/>
      <c r="P70" s="401"/>
      <c r="R70" s="469">
        <f>((R33/R66)^0.2)-1</f>
        <v>0.21412404550318032</v>
      </c>
    </row>
    <row r="71" spans="2:23" s="400" customFormat="1" ht="17" thickTop="1" x14ac:dyDescent="0.2">
      <c r="P71" s="401"/>
    </row>
    <row r="72" spans="2:23" s="400" customFormat="1" x14ac:dyDescent="0.2">
      <c r="P72" s="401"/>
    </row>
    <row r="73" spans="2:23" s="400" customFormat="1" ht="26" x14ac:dyDescent="0.2">
      <c r="B73" s="532" t="s">
        <v>88</v>
      </c>
      <c r="P73" s="401"/>
    </row>
    <row r="74" spans="2:23" s="400" customFormat="1" ht="19" x14ac:dyDescent="0.2">
      <c r="B74" s="403" t="s">
        <v>89</v>
      </c>
      <c r="F74" s="404"/>
      <c r="G74" s="404"/>
      <c r="H74" s="404"/>
      <c r="I74" s="404"/>
      <c r="J74" s="404"/>
      <c r="K74" s="404"/>
      <c r="L74" s="404"/>
      <c r="M74" s="470"/>
      <c r="N74" s="404"/>
      <c r="O74" s="404"/>
      <c r="P74" s="404"/>
      <c r="Q74" s="404"/>
      <c r="R74" s="456"/>
      <c r="S74" s="404"/>
      <c r="T74" s="404"/>
      <c r="U74" s="404"/>
      <c r="V74" s="402"/>
      <c r="W74" s="407"/>
    </row>
    <row r="75" spans="2:23" s="400" customFormat="1" x14ac:dyDescent="0.2">
      <c r="F75" s="429"/>
      <c r="G75" s="429"/>
      <c r="H75" s="429"/>
      <c r="I75" s="429"/>
      <c r="J75" s="429"/>
      <c r="K75" s="429"/>
      <c r="L75" s="428"/>
      <c r="M75" s="438"/>
      <c r="N75" s="429"/>
      <c r="O75" s="429"/>
      <c r="P75" s="429"/>
      <c r="Q75" s="429"/>
      <c r="R75" s="430"/>
      <c r="S75" s="429"/>
      <c r="T75" s="429"/>
      <c r="U75" s="429"/>
      <c r="V75" s="402"/>
      <c r="W75" s="402"/>
    </row>
    <row r="76" spans="2:23" s="400" customFormat="1" x14ac:dyDescent="0.2">
      <c r="I76" s="471"/>
      <c r="J76" s="471"/>
      <c r="K76" s="471"/>
      <c r="L76" s="471"/>
      <c r="M76" s="472"/>
      <c r="N76" s="471"/>
      <c r="O76" s="471"/>
      <c r="P76" s="471"/>
      <c r="Q76" s="471"/>
      <c r="R76" s="473"/>
      <c r="S76" s="471"/>
      <c r="T76" s="471"/>
      <c r="U76" s="471"/>
      <c r="V76" s="402"/>
      <c r="W76" s="402"/>
    </row>
    <row r="77" spans="2:23" s="400" customFormat="1" x14ac:dyDescent="0.2">
      <c r="I77" s="429"/>
      <c r="J77" s="429"/>
      <c r="K77" s="429"/>
      <c r="L77" s="429"/>
      <c r="M77" s="438"/>
      <c r="N77" s="429"/>
      <c r="O77" s="429"/>
      <c r="P77" s="429"/>
      <c r="Q77" s="429"/>
      <c r="R77" s="430"/>
      <c r="S77" s="429"/>
      <c r="T77" s="429"/>
      <c r="U77" s="429"/>
    </row>
    <row r="78" spans="2:23" s="400" customFormat="1" x14ac:dyDescent="0.2">
      <c r="M78" s="474"/>
      <c r="N78" s="428"/>
      <c r="O78" s="428"/>
      <c r="P78" s="428"/>
      <c r="Q78" s="428"/>
      <c r="R78" s="462"/>
      <c r="S78" s="428"/>
      <c r="T78" s="428"/>
      <c r="U78" s="428"/>
    </row>
    <row r="79" spans="2:23" s="400" customFormat="1" x14ac:dyDescent="0.2">
      <c r="I79" s="428"/>
      <c r="J79" s="428"/>
      <c r="K79" s="428"/>
      <c r="L79" s="428"/>
      <c r="M79" s="474"/>
      <c r="N79" s="428"/>
      <c r="O79" s="428"/>
      <c r="P79" s="428"/>
      <c r="Q79" s="428"/>
      <c r="R79" s="462"/>
      <c r="S79" s="428"/>
      <c r="T79" s="428"/>
      <c r="U79" s="428"/>
      <c r="V79" s="402"/>
      <c r="W79" s="402"/>
    </row>
    <row r="80" spans="2:23" s="400" customFormat="1" x14ac:dyDescent="0.2">
      <c r="M80" s="438"/>
      <c r="N80" s="429"/>
      <c r="O80" s="429"/>
      <c r="P80" s="429"/>
      <c r="Q80" s="429"/>
      <c r="R80" s="430"/>
      <c r="S80" s="429"/>
      <c r="T80" s="429"/>
      <c r="U80" s="429"/>
      <c r="V80" s="402"/>
      <c r="W80" s="402"/>
    </row>
    <row r="81" spans="5:23" s="400" customFormat="1" x14ac:dyDescent="0.2">
      <c r="E81" s="403" t="s">
        <v>90</v>
      </c>
      <c r="I81" s="428"/>
      <c r="J81" s="428"/>
      <c r="K81" s="428"/>
      <c r="L81" s="428"/>
      <c r="M81" s="438"/>
      <c r="N81" s="429"/>
      <c r="O81" s="429"/>
      <c r="P81" s="429"/>
      <c r="Q81" s="429"/>
      <c r="R81" s="430"/>
      <c r="S81" s="429"/>
      <c r="T81" s="429"/>
      <c r="U81" s="429"/>
    </row>
    <row r="82" spans="5:23" s="400" customFormat="1" x14ac:dyDescent="0.2">
      <c r="E82" s="400" t="s">
        <v>91</v>
      </c>
      <c r="H82" s="542">
        <v>6100000</v>
      </c>
      <c r="I82" s="428"/>
      <c r="J82" s="428"/>
      <c r="K82" s="428"/>
      <c r="L82" s="428"/>
      <c r="M82" s="474"/>
      <c r="N82" s="428"/>
      <c r="O82" s="428"/>
      <c r="P82" s="428"/>
      <c r="Q82" s="428"/>
      <c r="R82" s="462"/>
      <c r="S82" s="428"/>
      <c r="T82" s="428"/>
      <c r="U82" s="428"/>
    </row>
    <row r="83" spans="5:23" s="400" customFormat="1" ht="15" customHeight="1" x14ac:dyDescent="0.2">
      <c r="E83" s="400" t="s">
        <v>92</v>
      </c>
      <c r="H83" s="543">
        <v>5170000</v>
      </c>
      <c r="I83" s="428"/>
      <c r="J83" s="428"/>
      <c r="K83" s="428"/>
      <c r="L83" s="428"/>
      <c r="M83" s="438"/>
      <c r="N83" s="429"/>
      <c r="O83" s="429"/>
      <c r="P83" s="429"/>
      <c r="Q83" s="429"/>
      <c r="R83" s="430"/>
      <c r="S83" s="429"/>
      <c r="T83" s="429"/>
      <c r="U83" s="429"/>
      <c r="V83" s="475"/>
      <c r="W83" s="475"/>
    </row>
    <row r="84" spans="5:23" s="400" customFormat="1" x14ac:dyDescent="0.2">
      <c r="E84" s="400" t="s">
        <v>93</v>
      </c>
      <c r="H84" s="413">
        <v>4040000</v>
      </c>
      <c r="I84" s="476"/>
      <c r="J84" s="476"/>
      <c r="K84" s="476"/>
      <c r="L84" s="476"/>
      <c r="M84" s="477"/>
      <c r="N84" s="478"/>
      <c r="O84" s="478"/>
      <c r="P84" s="478"/>
      <c r="Q84" s="478"/>
      <c r="R84" s="479"/>
      <c r="S84" s="478"/>
      <c r="T84" s="478"/>
      <c r="U84" s="478"/>
      <c r="V84" s="475"/>
      <c r="W84" s="475"/>
    </row>
    <row r="85" spans="5:23" s="400" customFormat="1" x14ac:dyDescent="0.2">
      <c r="E85" s="400" t="s">
        <v>94</v>
      </c>
      <c r="H85" s="542">
        <v>9243000</v>
      </c>
      <c r="P85" s="401"/>
    </row>
    <row r="86" spans="5:23" s="400" customFormat="1" x14ac:dyDescent="0.2">
      <c r="E86" s="400" t="s">
        <v>95</v>
      </c>
      <c r="H86" s="543">
        <v>7500000</v>
      </c>
      <c r="P86" s="401"/>
    </row>
    <row r="87" spans="5:23" s="400" customFormat="1" x14ac:dyDescent="0.2">
      <c r="E87" s="400" t="s">
        <v>96</v>
      </c>
      <c r="H87" s="413">
        <v>5500000</v>
      </c>
      <c r="P87" s="401"/>
    </row>
    <row r="88" spans="5:23" s="400" customFormat="1" x14ac:dyDescent="0.2">
      <c r="P88" s="401"/>
    </row>
    <row r="89" spans="5:23" s="400" customFormat="1" x14ac:dyDescent="0.2">
      <c r="P89" s="401"/>
    </row>
    <row r="90" spans="5:23" s="400" customFormat="1" x14ac:dyDescent="0.2">
      <c r="P90" s="401"/>
    </row>
    <row r="91" spans="5:23" s="400" customFormat="1" x14ac:dyDescent="0.2">
      <c r="P91" s="401"/>
    </row>
    <row r="92" spans="5:23" s="400" customFormat="1" x14ac:dyDescent="0.2">
      <c r="P92" s="401"/>
    </row>
    <row r="93" spans="5:23" s="400" customFormat="1" x14ac:dyDescent="0.2">
      <c r="P93" s="401"/>
    </row>
    <row r="94" spans="5:23" s="400" customFormat="1" x14ac:dyDescent="0.2">
      <c r="P94" s="401"/>
    </row>
    <row r="95" spans="5:23" s="400" customFormat="1" x14ac:dyDescent="0.2">
      <c r="P95" s="401"/>
    </row>
    <row r="96" spans="5:23" s="400" customFormat="1" x14ac:dyDescent="0.2">
      <c r="P96" s="401"/>
    </row>
    <row r="97" spans="5:16" s="400" customFormat="1" x14ac:dyDescent="0.2">
      <c r="P97" s="401"/>
    </row>
    <row r="98" spans="5:16" s="400" customFormat="1" x14ac:dyDescent="0.2">
      <c r="P98" s="401"/>
    </row>
    <row r="99" spans="5:16" s="400" customFormat="1" x14ac:dyDescent="0.2">
      <c r="P99" s="401"/>
    </row>
    <row r="100" spans="5:16" s="400" customFormat="1" x14ac:dyDescent="0.2">
      <c r="P100" s="401"/>
    </row>
    <row r="101" spans="5:16" s="400" customFormat="1" x14ac:dyDescent="0.2">
      <c r="P101" s="401"/>
    </row>
    <row r="102" spans="5:16" s="400" customFormat="1" x14ac:dyDescent="0.2">
      <c r="P102" s="401"/>
    </row>
    <row r="103" spans="5:16" s="400" customFormat="1" x14ac:dyDescent="0.2">
      <c r="P103" s="401"/>
    </row>
    <row r="104" spans="5:16" s="400" customFormat="1" x14ac:dyDescent="0.2">
      <c r="P104" s="401"/>
    </row>
    <row r="105" spans="5:16" s="400" customFormat="1" ht="15" customHeight="1" x14ac:dyDescent="0.2">
      <c r="P105" s="401"/>
    </row>
    <row r="106" spans="5:16" s="400" customFormat="1" x14ac:dyDescent="0.2">
      <c r="P106" s="401"/>
    </row>
    <row r="107" spans="5:16" s="400" customFormat="1" x14ac:dyDescent="0.2">
      <c r="P107" s="401"/>
    </row>
    <row r="108" spans="5:16" s="400" customFormat="1" x14ac:dyDescent="0.2">
      <c r="P108" s="401"/>
    </row>
    <row r="109" spans="5:16" s="400" customFormat="1" x14ac:dyDescent="0.2">
      <c r="P109" s="401"/>
    </row>
    <row r="110" spans="5:16" s="400" customFormat="1" x14ac:dyDescent="0.2">
      <c r="P110" s="401"/>
    </row>
    <row r="111" spans="5:16" s="400" customFormat="1" x14ac:dyDescent="0.2">
      <c r="E111" s="403"/>
      <c r="P111" s="401"/>
    </row>
    <row r="112" spans="5:16" s="400" customFormat="1" x14ac:dyDescent="0.2">
      <c r="P112" s="401"/>
    </row>
    <row r="113" spans="5:16" s="400" customFormat="1" x14ac:dyDescent="0.2">
      <c r="G113" s="403"/>
      <c r="H113" s="403"/>
      <c r="I113" s="403"/>
      <c r="J113" s="403"/>
      <c r="K113" s="403"/>
      <c r="L113" s="463"/>
      <c r="M113" s="403"/>
      <c r="P113" s="401"/>
    </row>
    <row r="114" spans="5:16" s="400" customFormat="1" x14ac:dyDescent="0.2">
      <c r="E114" s="403"/>
      <c r="G114" s="429"/>
      <c r="H114" s="429"/>
      <c r="I114" s="429"/>
      <c r="J114" s="429"/>
      <c r="K114" s="429"/>
      <c r="L114" s="430"/>
      <c r="M114" s="429"/>
      <c r="N114" s="480"/>
      <c r="O114" s="446"/>
      <c r="P114" s="401"/>
    </row>
    <row r="115" spans="5:16" s="400" customFormat="1" x14ac:dyDescent="0.2">
      <c r="E115" s="403"/>
      <c r="G115" s="429"/>
      <c r="H115" s="429"/>
      <c r="I115" s="429"/>
      <c r="J115" s="429"/>
      <c r="K115" s="429"/>
      <c r="L115" s="429"/>
      <c r="M115" s="429"/>
      <c r="N115" s="480"/>
      <c r="P115" s="401"/>
    </row>
    <row r="116" spans="5:16" s="400" customFormat="1" x14ac:dyDescent="0.2">
      <c r="E116" s="403"/>
      <c r="P116" s="401"/>
    </row>
    <row r="117" spans="5:16" s="400" customFormat="1" x14ac:dyDescent="0.2">
      <c r="E117" s="403"/>
      <c r="P117" s="401"/>
    </row>
    <row r="118" spans="5:16" s="400" customFormat="1" x14ac:dyDescent="0.2">
      <c r="E118" s="403"/>
      <c r="P118" s="401"/>
    </row>
    <row r="119" spans="5:16" s="400" customFormat="1" x14ac:dyDescent="0.2">
      <c r="E119" s="544"/>
      <c r="P119" s="401"/>
    </row>
    <row r="120" spans="5:16" s="400" customFormat="1" x14ac:dyDescent="0.2">
      <c r="E120" s="544"/>
      <c r="P120" s="401"/>
    </row>
    <row r="121" spans="5:16" s="400" customFormat="1" x14ac:dyDescent="0.2">
      <c r="E121" s="544"/>
      <c r="P121" s="401"/>
    </row>
    <row r="122" spans="5:16" s="400" customFormat="1" ht="17" customHeight="1" x14ac:dyDescent="0.2">
      <c r="E122" s="403"/>
      <c r="P122" s="401"/>
    </row>
    <row r="123" spans="5:16" s="400" customFormat="1" x14ac:dyDescent="0.2">
      <c r="E123" s="403"/>
      <c r="P123" s="401"/>
    </row>
    <row r="124" spans="5:16" s="400" customFormat="1" x14ac:dyDescent="0.2">
      <c r="E124" s="403"/>
      <c r="P124" s="401"/>
    </row>
    <row r="125" spans="5:16" s="400" customFormat="1" x14ac:dyDescent="0.2">
      <c r="P125" s="401"/>
    </row>
    <row r="126" spans="5:16" s="400" customFormat="1" x14ac:dyDescent="0.2">
      <c r="P126" s="401"/>
    </row>
    <row r="127" spans="5:16" s="400" customFormat="1" x14ac:dyDescent="0.2">
      <c r="E127" s="403"/>
      <c r="P127" s="401"/>
    </row>
    <row r="128" spans="5:16" s="400" customFormat="1" x14ac:dyDescent="0.2">
      <c r="P128" s="401"/>
    </row>
    <row r="129" spans="5:23" s="400" customFormat="1" x14ac:dyDescent="0.2">
      <c r="E129" s="402"/>
      <c r="P129" s="401"/>
    </row>
    <row r="130" spans="5:23" s="400" customFormat="1" x14ac:dyDescent="0.2">
      <c r="E130" s="545"/>
      <c r="P130" s="401"/>
    </row>
    <row r="131" spans="5:23" s="400" customFormat="1" x14ac:dyDescent="0.2">
      <c r="E131" s="403"/>
      <c r="P131" s="401"/>
    </row>
    <row r="132" spans="5:23" s="400" customFormat="1" x14ac:dyDescent="0.2">
      <c r="E132" s="403"/>
      <c r="P132" s="401"/>
    </row>
    <row r="133" spans="5:23" s="400" customFormat="1" x14ac:dyDescent="0.2">
      <c r="L133" s="401"/>
      <c r="P133" s="401"/>
    </row>
    <row r="134" spans="5:23" s="400" customFormat="1" x14ac:dyDescent="0.2">
      <c r="E134" s="403"/>
      <c r="I134" s="403" t="s">
        <v>90</v>
      </c>
      <c r="P134" s="401"/>
      <c r="U134" s="403" t="s">
        <v>90</v>
      </c>
    </row>
    <row r="135" spans="5:23" s="400" customFormat="1" x14ac:dyDescent="0.2">
      <c r="I135" s="400" t="s">
        <v>97</v>
      </c>
      <c r="L135" s="400" t="s">
        <v>98</v>
      </c>
      <c r="P135" s="401"/>
      <c r="U135" s="400" t="str">
        <f>B24</f>
        <v>Cologuard</v>
      </c>
      <c r="W135" s="481">
        <f>R24/$R$33</f>
        <v>0.56590057334141752</v>
      </c>
    </row>
    <row r="136" spans="5:23" s="457" customFormat="1" ht="19" x14ac:dyDescent="0.2">
      <c r="E136" s="400"/>
      <c r="I136" s="400" t="s">
        <v>25</v>
      </c>
      <c r="J136" s="400"/>
      <c r="K136" s="412">
        <v>1370000</v>
      </c>
      <c r="L136" s="446">
        <f>K136/SUM(K136:K138)</f>
        <v>0.68431568431568435</v>
      </c>
      <c r="Q136" s="400"/>
      <c r="R136" s="400"/>
      <c r="S136" s="400"/>
      <c r="U136" s="400" t="s">
        <v>33</v>
      </c>
      <c r="V136" s="400"/>
      <c r="W136" s="482">
        <f>SUM(W147, W148)</f>
        <v>0.24659479510305257</v>
      </c>
    </row>
    <row r="137" spans="5:23" s="400" customFormat="1" x14ac:dyDescent="0.2">
      <c r="I137" s="400" t="s">
        <v>33</v>
      </c>
      <c r="K137" s="412">
        <v>590000</v>
      </c>
      <c r="L137" s="446">
        <f>K137/SUM(K136:K138)</f>
        <v>0.29470529470529472</v>
      </c>
      <c r="P137" s="401"/>
      <c r="U137" s="400" t="s">
        <v>100</v>
      </c>
      <c r="W137" s="482">
        <f>SUM(W143:W144)</f>
        <v>6.9620353895799389E-2</v>
      </c>
    </row>
    <row r="138" spans="5:23" s="400" customFormat="1" x14ac:dyDescent="0.2">
      <c r="I138" s="400" t="s">
        <v>99</v>
      </c>
      <c r="K138" s="412">
        <v>42000</v>
      </c>
      <c r="L138" s="446">
        <f>K138/SUM(K136:K138)</f>
        <v>2.097902097902098E-2</v>
      </c>
      <c r="P138" s="401"/>
      <c r="U138" s="400" t="str">
        <f>B26</f>
        <v>Multi-Cancer Earlier Detection</v>
      </c>
      <c r="W138" s="481">
        <f>R26/$R$33</f>
        <v>6.7921793472410577E-2</v>
      </c>
    </row>
    <row r="139" spans="5:23" s="400" customFormat="1" x14ac:dyDescent="0.2">
      <c r="U139" s="400" t="str">
        <f>B27</f>
        <v>Hereditary Cancer Testing</v>
      </c>
      <c r="W139" s="481">
        <f>R27/$R$33</f>
        <v>3.8669378853011069E-2</v>
      </c>
    </row>
    <row r="140" spans="5:23" s="400" customFormat="1" x14ac:dyDescent="0.2">
      <c r="U140" s="400" t="str">
        <f>B25</f>
        <v>Oncoguard</v>
      </c>
      <c r="W140" s="481">
        <f>R25/$R$33</f>
        <v>1.129310533430909E-2</v>
      </c>
    </row>
    <row r="141" spans="5:23" s="400" customFormat="1" x14ac:dyDescent="0.2">
      <c r="W141" s="401"/>
    </row>
    <row r="142" spans="5:23" s="400" customFormat="1" x14ac:dyDescent="0.2">
      <c r="W142" s="401"/>
    </row>
    <row r="143" spans="5:23" s="400" customFormat="1" x14ac:dyDescent="0.2">
      <c r="U143" s="400" t="str">
        <f>B29</f>
        <v>Minimal Residual Disease (Informed)</v>
      </c>
      <c r="W143" s="483">
        <f>R29/$R$33</f>
        <v>6.6793225922139876E-2</v>
      </c>
    </row>
    <row r="144" spans="5:23" s="400" customFormat="1" x14ac:dyDescent="0.2">
      <c r="U144" s="400" t="str">
        <f>B30</f>
        <v>Minimal Residual Disease (Naïve)</v>
      </c>
      <c r="W144" s="483">
        <f>R30/$R$33</f>
        <v>2.8271279736595176E-3</v>
      </c>
    </row>
    <row r="145" spans="2:23" s="400" customFormat="1" x14ac:dyDescent="0.2">
      <c r="U145" s="400" t="str">
        <f>B31</f>
        <v>Oncomap</v>
      </c>
      <c r="W145" s="483">
        <f>R31/$R$33</f>
        <v>3.1425828629506686E-2</v>
      </c>
    </row>
    <row r="146" spans="2:23" s="400" customFormat="1" x14ac:dyDescent="0.2">
      <c r="U146" s="400" t="str">
        <f>B32</f>
        <v>Oncomap Extra</v>
      </c>
      <c r="W146" s="483">
        <f>R32/$R$33</f>
        <v>8.9548128869447793E-3</v>
      </c>
    </row>
    <row r="147" spans="2:23" s="400" customFormat="1" x14ac:dyDescent="0.2">
      <c r="U147" s="400" t="s">
        <v>101</v>
      </c>
      <c r="W147" s="484">
        <f>SUM(W145:W146)</f>
        <v>4.0380641516451467E-2</v>
      </c>
    </row>
    <row r="148" spans="2:23" s="400" customFormat="1" x14ac:dyDescent="0.2">
      <c r="U148" s="400" t="str">
        <f>B28</f>
        <v>Oncotype DX</v>
      </c>
      <c r="W148" s="483">
        <f>R28/$R$33</f>
        <v>0.20621415358660111</v>
      </c>
    </row>
    <row r="149" spans="2:23" s="400" customFormat="1" x14ac:dyDescent="0.2">
      <c r="P149" s="401"/>
    </row>
    <row r="150" spans="2:23" s="400" customFormat="1" x14ac:dyDescent="0.2">
      <c r="P150" s="401"/>
    </row>
    <row r="151" spans="2:23" s="400" customFormat="1" x14ac:dyDescent="0.2">
      <c r="P151" s="401"/>
    </row>
    <row r="152" spans="2:23" s="400" customFormat="1" x14ac:dyDescent="0.2">
      <c r="P152" s="401"/>
    </row>
    <row r="153" spans="2:23" s="400" customFormat="1" x14ac:dyDescent="0.2">
      <c r="P153" s="401"/>
    </row>
    <row r="154" spans="2:23" s="400" customFormat="1" x14ac:dyDescent="0.2">
      <c r="P154" s="401"/>
    </row>
    <row r="155" spans="2:23" s="400" customFormat="1" x14ac:dyDescent="0.2">
      <c r="P155" s="401"/>
    </row>
    <row r="156" spans="2:23" s="400" customFormat="1" x14ac:dyDescent="0.2">
      <c r="P156" s="401"/>
      <c r="W156" s="446"/>
    </row>
    <row r="157" spans="2:23" s="400" customFormat="1" x14ac:dyDescent="0.2">
      <c r="B157" s="485"/>
      <c r="C157" s="485"/>
      <c r="D157" s="485"/>
      <c r="E157" s="485"/>
      <c r="J157" s="485"/>
      <c r="K157" s="485"/>
      <c r="L157" s="485"/>
      <c r="M157" s="485"/>
      <c r="N157" s="485"/>
      <c r="O157" s="485"/>
      <c r="P157" s="486"/>
      <c r="Q157" s="485"/>
      <c r="R157" s="485"/>
      <c r="S157" s="485"/>
      <c r="T157" s="485"/>
      <c r="U157" s="485"/>
    </row>
    <row r="158" spans="2:23" s="400" customFormat="1" x14ac:dyDescent="0.2">
      <c r="B158" s="485"/>
      <c r="C158" s="485"/>
      <c r="D158" s="485"/>
      <c r="E158" s="485"/>
      <c r="J158" s="485"/>
      <c r="K158" s="485"/>
      <c r="L158" s="485"/>
      <c r="M158" s="485"/>
      <c r="N158" s="485"/>
      <c r="O158" s="485"/>
      <c r="P158" s="486"/>
      <c r="Q158" s="485"/>
      <c r="R158" s="485"/>
      <c r="S158" s="485"/>
      <c r="T158" s="485"/>
      <c r="U158" s="485"/>
    </row>
    <row r="159" spans="2:23" s="400" customFormat="1" ht="19" x14ac:dyDescent="0.2">
      <c r="B159" s="404"/>
      <c r="C159" s="487"/>
      <c r="D159" s="487"/>
      <c r="E159" s="487"/>
      <c r="J159" s="487"/>
      <c r="K159" s="487"/>
      <c r="L159" s="487"/>
      <c r="M159" s="487"/>
      <c r="N159" s="487"/>
      <c r="O159" s="487"/>
      <c r="P159" s="488"/>
      <c r="Q159" s="487"/>
      <c r="R159" s="487"/>
      <c r="S159" s="487"/>
      <c r="T159" s="487"/>
      <c r="U159" s="487"/>
    </row>
    <row r="160" spans="2:23" s="400" customFormat="1" x14ac:dyDescent="0.2">
      <c r="B160" s="546"/>
      <c r="C160" s="489"/>
      <c r="D160" s="489"/>
      <c r="E160" s="489"/>
      <c r="J160" s="489"/>
      <c r="K160" s="489"/>
      <c r="L160" s="489"/>
      <c r="M160" s="489"/>
      <c r="N160" s="489"/>
      <c r="O160" s="489"/>
      <c r="P160" s="486"/>
      <c r="Q160" s="489"/>
      <c r="R160" s="489"/>
      <c r="S160" s="489"/>
      <c r="T160" s="489"/>
      <c r="U160" s="489"/>
    </row>
    <row r="161" spans="2:58" s="400" customFormat="1" x14ac:dyDescent="0.2">
      <c r="B161" s="546"/>
      <c r="C161" s="489"/>
      <c r="D161" s="489"/>
      <c r="E161" s="489"/>
      <c r="J161" s="489"/>
      <c r="K161" s="489"/>
      <c r="L161" s="489"/>
      <c r="M161" s="489"/>
      <c r="N161" s="489"/>
      <c r="O161" s="489"/>
      <c r="P161" s="486"/>
      <c r="Q161" s="489"/>
      <c r="R161" s="489"/>
      <c r="S161" s="489"/>
      <c r="T161" s="489"/>
      <c r="U161" s="489"/>
    </row>
    <row r="162" spans="2:58" s="400" customFormat="1" x14ac:dyDescent="0.2">
      <c r="B162" s="547"/>
      <c r="C162" s="490"/>
      <c r="D162" s="490"/>
      <c r="E162" s="490"/>
      <c r="F162" s="490"/>
      <c r="G162" s="490"/>
      <c r="H162" s="490"/>
      <c r="I162" s="490"/>
      <c r="J162" s="490"/>
      <c r="K162" s="490"/>
      <c r="L162" s="490"/>
      <c r="M162" s="490"/>
      <c r="N162" s="490"/>
      <c r="O162" s="490"/>
      <c r="P162" s="491"/>
      <c r="Q162" s="490"/>
      <c r="R162" s="490"/>
      <c r="S162" s="490"/>
      <c r="T162" s="490"/>
      <c r="U162" s="490"/>
    </row>
    <row r="163" spans="2:58" s="400" customFormat="1" x14ac:dyDescent="0.2">
      <c r="B163" s="547"/>
      <c r="C163" s="490"/>
      <c r="D163" s="490"/>
      <c r="E163" s="490"/>
      <c r="F163" s="490"/>
      <c r="G163" s="490"/>
      <c r="H163" s="490"/>
      <c r="I163" s="490"/>
      <c r="J163" s="490"/>
      <c r="K163" s="490"/>
      <c r="L163" s="490"/>
      <c r="M163" s="490"/>
      <c r="N163" s="490"/>
      <c r="O163" s="490"/>
      <c r="P163" s="491"/>
      <c r="Q163" s="490"/>
      <c r="R163" s="490"/>
      <c r="S163" s="490"/>
      <c r="T163" s="490"/>
      <c r="U163" s="490"/>
    </row>
    <row r="164" spans="2:58" s="400" customFormat="1" x14ac:dyDescent="0.2">
      <c r="B164" s="547"/>
      <c r="C164" s="490"/>
      <c r="D164" s="490"/>
      <c r="E164" s="490"/>
      <c r="F164" s="490"/>
      <c r="G164" s="490"/>
      <c r="H164" s="490"/>
      <c r="I164" s="490"/>
      <c r="J164" s="490"/>
      <c r="K164" s="490"/>
      <c r="L164" s="490"/>
      <c r="M164" s="490"/>
      <c r="N164" s="490"/>
      <c r="O164" s="490"/>
      <c r="P164" s="491"/>
      <c r="Q164" s="490"/>
      <c r="R164" s="490"/>
      <c r="S164" s="490"/>
      <c r="T164" s="490"/>
      <c r="U164" s="490"/>
    </row>
    <row r="165" spans="2:58" s="400" customFormat="1" x14ac:dyDescent="0.2">
      <c r="B165" s="547"/>
      <c r="C165" s="490"/>
      <c r="D165" s="490"/>
      <c r="E165" s="490"/>
      <c r="F165" s="490"/>
      <c r="G165" s="490"/>
      <c r="H165" s="490"/>
      <c r="I165" s="490"/>
      <c r="J165" s="490"/>
      <c r="K165" s="490"/>
      <c r="L165" s="490"/>
      <c r="M165" s="490"/>
      <c r="N165" s="490"/>
      <c r="O165" s="490"/>
      <c r="P165" s="491"/>
      <c r="Q165" s="490"/>
      <c r="R165" s="490"/>
      <c r="S165" s="490"/>
      <c r="T165" s="490"/>
      <c r="U165" s="490"/>
    </row>
    <row r="166" spans="2:58" s="400" customFormat="1" x14ac:dyDescent="0.2">
      <c r="B166" s="548"/>
      <c r="C166" s="490"/>
      <c r="D166" s="492"/>
      <c r="E166" s="492"/>
      <c r="F166" s="492"/>
      <c r="G166" s="492"/>
      <c r="H166" s="492"/>
      <c r="I166" s="492"/>
      <c r="J166" s="492"/>
      <c r="K166" s="492"/>
      <c r="L166" s="492"/>
      <c r="M166" s="492"/>
      <c r="N166" s="492"/>
      <c r="O166" s="492"/>
      <c r="P166" s="493"/>
      <c r="Q166" s="492"/>
      <c r="R166" s="492"/>
      <c r="S166" s="492"/>
      <c r="T166" s="492"/>
      <c r="U166" s="492"/>
    </row>
    <row r="167" spans="2:58" s="400" customFormat="1" x14ac:dyDescent="0.2">
      <c r="B167" s="548"/>
      <c r="C167" s="506"/>
      <c r="D167" s="494"/>
      <c r="E167" s="494"/>
      <c r="F167" s="494"/>
      <c r="G167" s="494"/>
      <c r="H167" s="494"/>
      <c r="I167" s="494"/>
      <c r="J167" s="494"/>
      <c r="K167" s="494"/>
      <c r="L167" s="494"/>
      <c r="M167" s="494"/>
      <c r="N167" s="494"/>
      <c r="O167" s="494"/>
      <c r="P167" s="495"/>
      <c r="Q167" s="494"/>
      <c r="R167" s="494"/>
      <c r="S167" s="494"/>
      <c r="T167" s="494"/>
      <c r="U167" s="494"/>
    </row>
    <row r="168" spans="2:58" s="400" customFormat="1" x14ac:dyDescent="0.2">
      <c r="B168" s="546"/>
      <c r="C168" s="489"/>
      <c r="D168" s="489"/>
      <c r="E168" s="489"/>
      <c r="F168" s="489"/>
      <c r="G168" s="489"/>
      <c r="H168" s="489"/>
      <c r="I168" s="489"/>
      <c r="J168" s="489"/>
      <c r="K168" s="489"/>
      <c r="L168" s="496"/>
      <c r="M168" s="496"/>
      <c r="N168" s="496"/>
      <c r="O168" s="496"/>
      <c r="P168" s="497"/>
      <c r="Q168" s="496"/>
      <c r="R168" s="496"/>
      <c r="S168" s="496"/>
      <c r="T168" s="496"/>
      <c r="U168" s="496"/>
    </row>
    <row r="169" spans="2:58" s="400" customFormat="1" x14ac:dyDescent="0.2">
      <c r="B169" s="547"/>
      <c r="C169" s="498"/>
      <c r="D169" s="498"/>
      <c r="E169" s="498"/>
      <c r="F169" s="498"/>
      <c r="G169" s="498"/>
      <c r="H169" s="498"/>
      <c r="I169" s="498"/>
      <c r="J169" s="498"/>
      <c r="K169" s="498"/>
      <c r="L169" s="498"/>
      <c r="M169" s="498"/>
      <c r="N169" s="498"/>
      <c r="O169" s="498"/>
      <c r="P169" s="499"/>
      <c r="Q169" s="498"/>
      <c r="R169" s="498"/>
      <c r="S169" s="498"/>
      <c r="T169" s="498"/>
      <c r="U169" s="498"/>
    </row>
    <row r="170" spans="2:58" s="400" customFormat="1" x14ac:dyDescent="0.2">
      <c r="B170" s="547"/>
      <c r="C170" s="498"/>
      <c r="D170" s="498"/>
      <c r="E170" s="498"/>
      <c r="F170" s="498"/>
      <c r="G170" s="498"/>
      <c r="H170" s="498"/>
      <c r="I170" s="498"/>
      <c r="J170" s="498"/>
      <c r="K170" s="498"/>
      <c r="L170" s="498"/>
      <c r="M170" s="498"/>
      <c r="N170" s="498"/>
      <c r="O170" s="498"/>
      <c r="P170" s="499"/>
      <c r="Q170" s="498"/>
      <c r="R170" s="498"/>
      <c r="S170" s="498"/>
      <c r="T170" s="498"/>
      <c r="U170" s="498"/>
    </row>
    <row r="171" spans="2:58" x14ac:dyDescent="0.2">
      <c r="B171" s="338"/>
      <c r="C171" s="294"/>
      <c r="D171" s="294"/>
      <c r="E171" s="294"/>
      <c r="F171" s="294"/>
      <c r="G171" s="294"/>
      <c r="H171" s="294"/>
      <c r="I171" s="498"/>
      <c r="J171" s="498"/>
      <c r="K171" s="498"/>
      <c r="L171" s="498"/>
      <c r="M171" s="498"/>
      <c r="N171" s="498"/>
      <c r="O171" s="498"/>
      <c r="P171" s="499"/>
      <c r="Q171" s="498"/>
      <c r="R171" s="498"/>
      <c r="S171" s="498"/>
      <c r="T171" s="498"/>
      <c r="U171" s="498"/>
    </row>
    <row r="172" spans="2:58" x14ac:dyDescent="0.2">
      <c r="B172" s="338"/>
      <c r="C172" s="337"/>
      <c r="D172" s="337"/>
      <c r="E172" s="337"/>
      <c r="F172" s="337"/>
      <c r="G172" s="337"/>
      <c r="H172" s="337"/>
      <c r="I172" s="489"/>
      <c r="J172" s="489"/>
      <c r="K172" s="498"/>
      <c r="L172" s="498"/>
      <c r="M172" s="498"/>
      <c r="N172" s="498"/>
      <c r="O172" s="498"/>
      <c r="P172" s="499"/>
      <c r="Q172" s="498"/>
      <c r="R172" s="498"/>
      <c r="S172" s="498"/>
      <c r="T172" s="498"/>
      <c r="U172" s="498"/>
    </row>
    <row r="173" spans="2:58" x14ac:dyDescent="0.2">
      <c r="B173" s="339"/>
      <c r="C173" s="294"/>
      <c r="D173" s="295"/>
      <c r="E173" s="295"/>
      <c r="F173" s="295"/>
      <c r="G173" s="295"/>
      <c r="H173" s="295"/>
      <c r="I173" s="500"/>
      <c r="J173" s="500"/>
      <c r="K173" s="500"/>
      <c r="L173" s="500"/>
      <c r="M173" s="500"/>
      <c r="N173" s="500"/>
      <c r="O173" s="500"/>
      <c r="P173" s="501"/>
      <c r="Q173" s="500"/>
      <c r="R173" s="500"/>
      <c r="S173" s="500"/>
      <c r="T173" s="500"/>
      <c r="U173" s="500"/>
    </row>
    <row r="174" spans="2:58" x14ac:dyDescent="0.2">
      <c r="B174" s="339"/>
      <c r="C174" s="292"/>
      <c r="D174" s="293"/>
      <c r="E174" s="293"/>
      <c r="F174" s="293"/>
      <c r="G174" s="293"/>
      <c r="H174" s="293"/>
      <c r="I174" s="494"/>
      <c r="J174" s="494"/>
      <c r="K174" s="494"/>
      <c r="L174" s="494"/>
      <c r="M174" s="494"/>
      <c r="N174" s="494"/>
      <c r="O174" s="494"/>
      <c r="P174" s="495"/>
      <c r="Q174" s="494"/>
      <c r="R174" s="494"/>
      <c r="S174" s="494"/>
      <c r="T174" s="494"/>
      <c r="U174" s="494"/>
    </row>
    <row r="175" spans="2:58" ht="19" x14ac:dyDescent="0.2">
      <c r="B175" s="336"/>
      <c r="C175" s="337"/>
      <c r="D175" s="337"/>
      <c r="E175" s="337"/>
      <c r="F175" s="337"/>
      <c r="G175" s="337"/>
      <c r="H175" s="337"/>
      <c r="I175" s="489"/>
      <c r="J175" s="489"/>
      <c r="K175" s="489"/>
      <c r="L175" s="489"/>
      <c r="M175" s="502"/>
      <c r="N175" s="502"/>
      <c r="O175" s="502"/>
      <c r="P175" s="503"/>
      <c r="Q175" s="502"/>
      <c r="R175" s="502"/>
      <c r="S175" s="502"/>
      <c r="T175" s="502"/>
      <c r="U175" s="502"/>
      <c r="AW175" s="126"/>
      <c r="AX175" s="126"/>
      <c r="AY175" s="126"/>
      <c r="AZ175" s="126"/>
      <c r="BA175" s="126"/>
      <c r="BB175" s="126"/>
      <c r="BC175" s="126"/>
      <c r="BD175" s="126"/>
      <c r="BE175" s="126"/>
      <c r="BF175" s="126"/>
    </row>
    <row r="176" spans="2:58" x14ac:dyDescent="0.2">
      <c r="B176" s="336"/>
      <c r="C176" s="337"/>
      <c r="D176" s="337"/>
      <c r="E176" s="337"/>
      <c r="F176" s="337"/>
      <c r="G176" s="337"/>
      <c r="H176" s="337"/>
      <c r="I176" s="489"/>
      <c r="J176" s="489"/>
      <c r="K176" s="489"/>
      <c r="L176" s="489"/>
      <c r="M176" s="489"/>
      <c r="N176" s="489"/>
      <c r="O176" s="489"/>
      <c r="P176" s="486"/>
      <c r="Q176" s="489"/>
      <c r="R176" s="489"/>
      <c r="S176" s="489"/>
      <c r="T176" s="489"/>
      <c r="U176" s="489"/>
    </row>
    <row r="177" spans="2:21" x14ac:dyDescent="0.2">
      <c r="B177" s="338"/>
      <c r="C177" s="296"/>
      <c r="D177" s="296"/>
      <c r="E177" s="296"/>
      <c r="F177" s="296"/>
      <c r="G177" s="296"/>
      <c r="H177" s="296"/>
      <c r="I177" s="504"/>
      <c r="J177" s="504"/>
      <c r="K177" s="504"/>
      <c r="L177" s="504"/>
      <c r="M177" s="504"/>
      <c r="N177" s="504"/>
      <c r="O177" s="504"/>
      <c r="P177" s="505"/>
      <c r="Q177" s="504"/>
      <c r="R177" s="504"/>
      <c r="S177" s="504"/>
      <c r="T177" s="504"/>
      <c r="U177" s="504"/>
    </row>
    <row r="178" spans="2:21" x14ac:dyDescent="0.2">
      <c r="B178" s="338"/>
      <c r="C178" s="290"/>
      <c r="D178" s="290"/>
      <c r="E178" s="290"/>
      <c r="F178" s="290"/>
      <c r="G178" s="290"/>
      <c r="H178" s="290"/>
      <c r="I178" s="490"/>
      <c r="J178" s="490"/>
      <c r="K178" s="490"/>
      <c r="L178" s="490"/>
      <c r="M178" s="490"/>
      <c r="N178" s="490"/>
      <c r="O178" s="490"/>
      <c r="P178" s="491"/>
      <c r="Q178" s="490"/>
      <c r="R178" s="490"/>
      <c r="S178" s="490"/>
      <c r="T178" s="490"/>
      <c r="U178" s="490"/>
    </row>
    <row r="179" spans="2:21" x14ac:dyDescent="0.2">
      <c r="B179" s="338"/>
      <c r="C179" s="290"/>
      <c r="D179" s="290"/>
      <c r="E179" s="290"/>
      <c r="F179" s="290"/>
      <c r="G179" s="290"/>
      <c r="H179" s="290"/>
      <c r="I179" s="490"/>
      <c r="J179" s="490"/>
      <c r="K179" s="490"/>
      <c r="L179" s="490"/>
      <c r="M179" s="490"/>
      <c r="N179" s="490"/>
      <c r="O179" s="490"/>
      <c r="P179" s="491"/>
      <c r="Q179" s="490"/>
      <c r="R179" s="490"/>
      <c r="S179" s="490"/>
      <c r="T179" s="490"/>
      <c r="U179" s="490"/>
    </row>
    <row r="180" spans="2:21" x14ac:dyDescent="0.2">
      <c r="B180" s="339"/>
      <c r="C180" s="290"/>
      <c r="D180" s="291"/>
      <c r="E180" s="291"/>
      <c r="F180" s="291"/>
      <c r="G180" s="291"/>
      <c r="H180" s="291"/>
      <c r="I180" s="492"/>
      <c r="J180" s="492"/>
      <c r="K180" s="492"/>
      <c r="L180" s="492"/>
      <c r="M180" s="492"/>
      <c r="N180" s="492"/>
      <c r="O180" s="492"/>
      <c r="P180" s="493"/>
      <c r="Q180" s="492"/>
      <c r="R180" s="492"/>
      <c r="S180" s="492"/>
      <c r="T180" s="492"/>
      <c r="U180" s="492"/>
    </row>
    <row r="181" spans="2:21" x14ac:dyDescent="0.2">
      <c r="B181" s="340"/>
      <c r="C181" s="292"/>
      <c r="D181" s="292"/>
      <c r="E181" s="293"/>
      <c r="F181" s="293"/>
      <c r="G181" s="293"/>
      <c r="H181" s="293"/>
      <c r="I181" s="494"/>
      <c r="J181" s="494"/>
      <c r="K181" s="494"/>
      <c r="L181" s="494"/>
      <c r="M181" s="494"/>
      <c r="N181" s="494"/>
      <c r="O181" s="494"/>
      <c r="P181" s="495"/>
      <c r="Q181" s="494"/>
      <c r="R181" s="494"/>
      <c r="S181" s="494"/>
      <c r="T181" s="494"/>
      <c r="U181" s="494"/>
    </row>
    <row r="182" spans="2:21" x14ac:dyDescent="0.2">
      <c r="B182" s="336"/>
      <c r="C182" s="337"/>
      <c r="D182" s="337"/>
      <c r="E182" s="337"/>
      <c r="F182" s="337"/>
      <c r="G182" s="337"/>
      <c r="H182" s="337"/>
      <c r="I182" s="489"/>
      <c r="J182" s="489"/>
      <c r="K182" s="489"/>
      <c r="L182" s="489"/>
      <c r="M182" s="489"/>
      <c r="N182" s="489"/>
      <c r="O182" s="489"/>
      <c r="P182" s="486"/>
      <c r="Q182" s="489"/>
      <c r="R182" s="489"/>
      <c r="S182" s="489"/>
      <c r="T182" s="489"/>
      <c r="U182" s="489"/>
    </row>
    <row r="183" spans="2:21" x14ac:dyDescent="0.2">
      <c r="B183" s="338"/>
      <c r="C183" s="294"/>
      <c r="D183" s="294"/>
      <c r="E183" s="294"/>
      <c r="F183" s="294"/>
      <c r="G183" s="294"/>
      <c r="H183" s="294"/>
      <c r="I183" s="498"/>
      <c r="J183" s="498"/>
      <c r="K183" s="498"/>
      <c r="L183" s="498"/>
      <c r="M183" s="498"/>
      <c r="N183" s="498"/>
      <c r="O183" s="498"/>
      <c r="P183" s="499"/>
      <c r="Q183" s="498"/>
      <c r="R183" s="498"/>
      <c r="S183" s="498"/>
      <c r="T183" s="498"/>
      <c r="U183" s="498"/>
    </row>
    <row r="184" spans="2:21" x14ac:dyDescent="0.2">
      <c r="B184" s="338"/>
      <c r="C184" s="294"/>
      <c r="D184" s="294"/>
      <c r="E184" s="294"/>
      <c r="F184" s="294"/>
      <c r="G184" s="294"/>
      <c r="H184" s="294"/>
      <c r="I184" s="498"/>
      <c r="J184" s="498"/>
      <c r="K184" s="498"/>
      <c r="L184" s="498"/>
      <c r="M184" s="498"/>
      <c r="N184" s="498"/>
      <c r="O184" s="498"/>
      <c r="P184" s="499"/>
      <c r="Q184" s="498"/>
      <c r="R184" s="498"/>
      <c r="S184" s="498"/>
      <c r="T184" s="498"/>
      <c r="U184" s="498"/>
    </row>
    <row r="185" spans="2:21" x14ac:dyDescent="0.2">
      <c r="B185" s="338"/>
      <c r="C185" s="294"/>
      <c r="D185" s="294"/>
      <c r="E185" s="294"/>
      <c r="F185" s="294"/>
      <c r="G185" s="294"/>
      <c r="H185" s="294"/>
      <c r="I185" s="498"/>
      <c r="J185" s="498"/>
      <c r="K185" s="498"/>
      <c r="L185" s="498"/>
      <c r="M185" s="498"/>
      <c r="N185" s="498"/>
      <c r="O185" s="498"/>
      <c r="P185" s="499"/>
      <c r="Q185" s="498"/>
      <c r="R185" s="498"/>
      <c r="S185" s="498"/>
      <c r="T185" s="498"/>
      <c r="U185" s="498"/>
    </row>
    <row r="186" spans="2:21" x14ac:dyDescent="0.2">
      <c r="B186" s="339"/>
      <c r="C186" s="294"/>
      <c r="D186" s="295"/>
      <c r="E186" s="295"/>
      <c r="F186" s="295"/>
      <c r="G186" s="295"/>
      <c r="H186" s="295"/>
      <c r="I186" s="500"/>
      <c r="J186" s="500"/>
      <c r="K186" s="500"/>
      <c r="L186" s="500"/>
      <c r="M186" s="500"/>
      <c r="N186" s="500"/>
      <c r="O186" s="500"/>
      <c r="P186" s="501"/>
      <c r="Q186" s="500"/>
      <c r="R186" s="500"/>
      <c r="S186" s="500"/>
      <c r="T186" s="500"/>
      <c r="U186" s="500"/>
    </row>
    <row r="187" spans="2:21" x14ac:dyDescent="0.2">
      <c r="B187" s="340"/>
      <c r="C187" s="292"/>
      <c r="D187" s="293"/>
      <c r="E187" s="293"/>
      <c r="F187" s="293"/>
      <c r="G187" s="293"/>
      <c r="H187" s="293"/>
      <c r="I187" s="494"/>
      <c r="J187" s="494"/>
      <c r="K187" s="494"/>
      <c r="L187" s="494"/>
      <c r="M187" s="494"/>
      <c r="N187" s="494"/>
      <c r="O187" s="494"/>
      <c r="P187" s="495"/>
      <c r="Q187" s="494"/>
      <c r="R187" s="494"/>
      <c r="S187" s="494"/>
      <c r="T187" s="494"/>
      <c r="U187" s="494"/>
    </row>
    <row r="188" spans="2:21" x14ac:dyDescent="0.2">
      <c r="B188" s="336"/>
      <c r="C188" s="337"/>
      <c r="D188" s="337"/>
      <c r="E188" s="337"/>
      <c r="F188" s="337"/>
      <c r="G188" s="337"/>
      <c r="H188" s="337"/>
      <c r="I188" s="489"/>
      <c r="J188" s="489"/>
      <c r="K188" s="489"/>
      <c r="L188" s="496"/>
      <c r="M188" s="496"/>
      <c r="N188" s="496"/>
      <c r="O188" s="496"/>
      <c r="P188" s="497"/>
      <c r="Q188" s="496"/>
      <c r="R188" s="496"/>
      <c r="S188" s="496"/>
      <c r="T188" s="496"/>
      <c r="U188" s="496"/>
    </row>
    <row r="189" spans="2:21" x14ac:dyDescent="0.2">
      <c r="B189" s="338"/>
      <c r="C189" s="290"/>
      <c r="D189" s="290"/>
      <c r="E189" s="290"/>
      <c r="F189" s="290"/>
      <c r="G189" s="290"/>
      <c r="H189" s="290"/>
      <c r="I189" s="490"/>
      <c r="J189" s="490"/>
      <c r="K189" s="490"/>
      <c r="L189" s="490"/>
      <c r="M189" s="490"/>
      <c r="N189" s="490"/>
      <c r="O189" s="490"/>
      <c r="P189" s="491"/>
      <c r="Q189" s="490"/>
      <c r="R189" s="490"/>
      <c r="S189" s="490"/>
      <c r="T189" s="490"/>
      <c r="U189" s="490"/>
    </row>
    <row r="190" spans="2:21" x14ac:dyDescent="0.2">
      <c r="B190" s="339"/>
      <c r="C190" s="294"/>
      <c r="D190" s="294"/>
      <c r="E190" s="294"/>
      <c r="F190" s="294"/>
      <c r="G190" s="294"/>
      <c r="H190" s="294"/>
      <c r="I190" s="498"/>
      <c r="J190" s="498"/>
      <c r="K190" s="498"/>
      <c r="L190" s="500"/>
      <c r="M190" s="500"/>
      <c r="N190" s="500"/>
      <c r="O190" s="500"/>
      <c r="P190" s="501"/>
      <c r="Q190" s="500"/>
      <c r="R190" s="500"/>
      <c r="S190" s="500"/>
      <c r="T190" s="500"/>
      <c r="U190" s="500"/>
    </row>
    <row r="191" spans="2:21" x14ac:dyDescent="0.2">
      <c r="B191" s="340"/>
      <c r="C191" s="292"/>
      <c r="D191" s="292"/>
      <c r="E191" s="292"/>
      <c r="F191" s="292"/>
      <c r="G191" s="292"/>
      <c r="H191" s="292"/>
      <c r="I191" s="506"/>
      <c r="J191" s="506"/>
      <c r="K191" s="506"/>
      <c r="L191" s="506"/>
      <c r="M191" s="494"/>
      <c r="N191" s="494"/>
      <c r="O191" s="494"/>
      <c r="P191" s="495"/>
      <c r="Q191" s="494"/>
      <c r="R191" s="494"/>
      <c r="S191" s="494"/>
      <c r="T191" s="494"/>
      <c r="U191" s="494"/>
    </row>
    <row r="192" spans="2:21" x14ac:dyDescent="0.2">
      <c r="B192" s="336"/>
      <c r="C192" s="337"/>
      <c r="D192" s="341"/>
      <c r="E192" s="341"/>
      <c r="F192" s="341"/>
      <c r="G192" s="341"/>
      <c r="H192" s="341"/>
      <c r="I192" s="507"/>
      <c r="J192" s="507"/>
      <c r="K192" s="507"/>
      <c r="L192" s="507"/>
      <c r="M192" s="507"/>
      <c r="N192" s="507"/>
      <c r="O192" s="507"/>
      <c r="P192" s="508"/>
      <c r="Q192" s="507"/>
      <c r="R192" s="507"/>
      <c r="S192" s="507"/>
      <c r="T192" s="507"/>
      <c r="U192" s="507"/>
    </row>
    <row r="193" spans="2:21" x14ac:dyDescent="0.2">
      <c r="B193" s="339"/>
      <c r="C193" s="342"/>
      <c r="D193" s="342"/>
      <c r="E193" s="342"/>
      <c r="F193" s="342"/>
      <c r="G193" s="342"/>
      <c r="H193" s="342"/>
      <c r="I193" s="509"/>
      <c r="J193" s="509"/>
      <c r="K193" s="509"/>
      <c r="L193" s="509"/>
      <c r="M193" s="509"/>
      <c r="N193" s="509"/>
      <c r="O193" s="509"/>
      <c r="P193" s="510"/>
      <c r="Q193" s="509"/>
      <c r="R193" s="509"/>
      <c r="S193" s="509"/>
      <c r="T193" s="509"/>
      <c r="U193" s="509"/>
    </row>
    <row r="194" spans="2:21" x14ac:dyDescent="0.2">
      <c r="B194" s="339"/>
      <c r="C194" s="343"/>
      <c r="D194" s="344"/>
      <c r="E194" s="344"/>
      <c r="F194" s="344"/>
      <c r="G194" s="344"/>
      <c r="H194" s="344"/>
      <c r="I194" s="511"/>
      <c r="J194" s="511"/>
      <c r="K194" s="511"/>
      <c r="L194" s="511"/>
      <c r="M194" s="511"/>
      <c r="N194" s="511"/>
      <c r="O194" s="511"/>
      <c r="P194" s="512"/>
      <c r="Q194" s="511"/>
      <c r="R194" s="511"/>
      <c r="S194" s="511"/>
      <c r="T194" s="511"/>
      <c r="U194" s="511"/>
    </row>
    <row r="195" spans="2:21" x14ac:dyDescent="0.2">
      <c r="B195" s="340"/>
      <c r="C195" s="345"/>
      <c r="D195" s="292"/>
      <c r="E195" s="293"/>
      <c r="F195" s="293"/>
      <c r="G195" s="293"/>
      <c r="H195" s="293"/>
      <c r="I195" s="494"/>
      <c r="J195" s="494"/>
      <c r="K195" s="494"/>
      <c r="L195" s="494"/>
      <c r="M195" s="494"/>
      <c r="N195" s="494"/>
      <c r="O195" s="494"/>
      <c r="P195" s="495"/>
      <c r="Q195" s="494"/>
      <c r="R195" s="494"/>
      <c r="S195" s="494"/>
      <c r="T195" s="494"/>
      <c r="U195" s="494"/>
    </row>
    <row r="196" spans="2:21" x14ac:dyDescent="0.2">
      <c r="B196" s="288"/>
      <c r="C196" s="288"/>
      <c r="D196" s="288"/>
      <c r="E196" s="336"/>
      <c r="F196" s="288"/>
      <c r="G196" s="288"/>
      <c r="H196" s="288"/>
      <c r="I196" s="485"/>
      <c r="J196" s="485"/>
      <c r="K196" s="485"/>
      <c r="L196" s="485"/>
      <c r="M196" s="485"/>
      <c r="N196" s="485"/>
      <c r="O196" s="485"/>
      <c r="P196" s="486"/>
      <c r="Q196" s="485"/>
      <c r="R196" s="485"/>
      <c r="S196" s="485"/>
      <c r="T196" s="485"/>
      <c r="U196" s="485"/>
    </row>
    <row r="197" spans="2:21" x14ac:dyDescent="0.2">
      <c r="B197" s="288"/>
      <c r="C197" s="288"/>
      <c r="D197" s="288"/>
      <c r="E197" s="288"/>
      <c r="F197" s="288"/>
      <c r="G197" s="288"/>
      <c r="H197" s="288"/>
      <c r="I197" s="485"/>
      <c r="J197" s="485"/>
      <c r="K197" s="485"/>
      <c r="L197" s="485"/>
      <c r="M197" s="485"/>
      <c r="N197" s="485"/>
      <c r="O197" s="485"/>
      <c r="P197" s="486"/>
      <c r="Q197" s="485"/>
      <c r="R197" s="485"/>
      <c r="S197" s="485"/>
      <c r="T197" s="485"/>
      <c r="U197" s="485"/>
    </row>
    <row r="198" spans="2:21" x14ac:dyDescent="0.2">
      <c r="B198" s="288"/>
      <c r="C198" s="288"/>
      <c r="D198" s="288"/>
      <c r="E198" s="288"/>
      <c r="F198" s="288"/>
      <c r="G198" s="288"/>
      <c r="H198" s="288"/>
      <c r="I198" s="485"/>
      <c r="J198" s="485"/>
      <c r="K198" s="485"/>
      <c r="L198" s="485"/>
      <c r="M198" s="485"/>
      <c r="N198" s="485"/>
      <c r="O198" s="485"/>
      <c r="P198" s="486"/>
      <c r="Q198" s="485"/>
      <c r="R198" s="485"/>
      <c r="S198" s="485"/>
      <c r="T198" s="485"/>
      <c r="U198" s="485"/>
    </row>
    <row r="199" spans="2:21" ht="19" x14ac:dyDescent="0.2">
      <c r="B199" s="289"/>
      <c r="C199" s="335"/>
      <c r="D199" s="335"/>
      <c r="E199" s="335"/>
      <c r="F199" s="335"/>
      <c r="G199" s="335"/>
      <c r="H199" s="335"/>
      <c r="I199" s="487"/>
      <c r="J199" s="487"/>
      <c r="K199" s="487"/>
      <c r="L199" s="487"/>
      <c r="M199" s="487"/>
      <c r="N199" s="487"/>
      <c r="O199" s="487"/>
      <c r="P199" s="488"/>
      <c r="Q199" s="487"/>
      <c r="R199" s="487"/>
      <c r="S199" s="487"/>
      <c r="T199" s="487"/>
      <c r="U199" s="487"/>
    </row>
    <row r="200" spans="2:21" x14ac:dyDescent="0.2">
      <c r="B200" s="338"/>
      <c r="C200" s="346"/>
      <c r="D200" s="346"/>
      <c r="E200" s="346"/>
      <c r="F200" s="346"/>
      <c r="G200" s="346"/>
      <c r="H200" s="346"/>
      <c r="I200" s="513"/>
      <c r="J200" s="513"/>
      <c r="K200" s="513"/>
      <c r="L200" s="513"/>
      <c r="M200" s="513"/>
      <c r="N200" s="513"/>
      <c r="O200" s="513"/>
      <c r="P200" s="514"/>
      <c r="Q200" s="515"/>
      <c r="R200" s="513"/>
      <c r="S200" s="513"/>
      <c r="T200" s="513"/>
      <c r="U200" s="513"/>
    </row>
    <row r="201" spans="2:21" x14ac:dyDescent="0.2">
      <c r="B201" s="338"/>
      <c r="C201" s="297"/>
      <c r="D201" s="297"/>
      <c r="E201" s="297"/>
      <c r="F201" s="297"/>
      <c r="G201" s="297"/>
      <c r="H201" s="297"/>
      <c r="I201" s="516"/>
      <c r="J201" s="516"/>
      <c r="K201" s="516"/>
      <c r="L201" s="516"/>
      <c r="M201" s="516"/>
      <c r="N201" s="516"/>
      <c r="O201" s="516"/>
      <c r="P201" s="517"/>
      <c r="Q201" s="518"/>
      <c r="R201" s="516"/>
      <c r="S201" s="516"/>
      <c r="T201" s="516"/>
      <c r="U201" s="516"/>
    </row>
    <row r="202" spans="2:21" x14ac:dyDescent="0.2">
      <c r="B202" s="338"/>
      <c r="C202" s="288"/>
      <c r="D202" s="346"/>
      <c r="E202" s="346"/>
      <c r="F202" s="346"/>
      <c r="G202" s="346"/>
      <c r="H202" s="346"/>
      <c r="I202" s="513"/>
      <c r="J202" s="513"/>
      <c r="K202" s="513"/>
      <c r="L202" s="513"/>
      <c r="M202" s="513"/>
      <c r="N202" s="513"/>
      <c r="O202" s="513"/>
      <c r="P202" s="514"/>
      <c r="Q202" s="515"/>
      <c r="R202" s="513"/>
      <c r="S202" s="513"/>
      <c r="T202" s="513"/>
      <c r="U202" s="513"/>
    </row>
    <row r="203" spans="2:21" x14ac:dyDescent="0.2">
      <c r="B203" s="338"/>
      <c r="C203" s="288"/>
      <c r="D203" s="288"/>
      <c r="E203" s="288"/>
      <c r="F203" s="288"/>
      <c r="G203" s="288"/>
      <c r="H203" s="288"/>
      <c r="I203" s="485"/>
      <c r="J203" s="485"/>
      <c r="K203" s="513"/>
      <c r="L203" s="513"/>
      <c r="M203" s="513"/>
      <c r="N203" s="513"/>
      <c r="O203" s="513"/>
      <c r="P203" s="514"/>
      <c r="Q203" s="515"/>
      <c r="R203" s="513"/>
      <c r="S203" s="513"/>
      <c r="T203" s="513"/>
      <c r="U203" s="513"/>
    </row>
    <row r="204" spans="2:21" x14ac:dyDescent="0.2">
      <c r="B204" s="338"/>
      <c r="C204" s="288"/>
      <c r="D204" s="298"/>
      <c r="E204" s="298"/>
      <c r="F204" s="298"/>
      <c r="G204" s="298"/>
      <c r="H204" s="298"/>
      <c r="I204" s="519"/>
      <c r="J204" s="519"/>
      <c r="K204" s="513"/>
      <c r="L204" s="513"/>
      <c r="M204" s="513"/>
      <c r="N204" s="513"/>
      <c r="O204" s="513"/>
      <c r="P204" s="514"/>
      <c r="Q204" s="515"/>
      <c r="R204" s="513"/>
      <c r="S204" s="513"/>
      <c r="T204" s="513"/>
      <c r="U204" s="513"/>
    </row>
    <row r="205" spans="2:21" x14ac:dyDescent="0.2">
      <c r="B205" s="338"/>
      <c r="C205" s="288"/>
      <c r="D205" s="288"/>
      <c r="F205" s="288"/>
      <c r="G205" s="288"/>
      <c r="H205" s="288"/>
      <c r="I205" s="485"/>
      <c r="J205" s="485"/>
      <c r="K205" s="513"/>
      <c r="L205" s="513"/>
      <c r="M205" s="513"/>
      <c r="N205" s="513"/>
      <c r="O205" s="513"/>
      <c r="P205" s="514"/>
      <c r="Q205" s="515"/>
      <c r="R205" s="513"/>
      <c r="S205" s="513"/>
      <c r="T205" s="513"/>
      <c r="U205" s="513"/>
    </row>
    <row r="206" spans="2:21" x14ac:dyDescent="0.2">
      <c r="B206" s="338"/>
      <c r="C206" s="288"/>
      <c r="D206" s="298"/>
      <c r="F206" s="298"/>
      <c r="G206" s="298"/>
      <c r="H206" s="298"/>
      <c r="I206" s="519"/>
      <c r="J206" s="519"/>
      <c r="K206" s="513"/>
      <c r="L206" s="513"/>
      <c r="M206" s="513"/>
      <c r="N206" s="513"/>
      <c r="O206" s="513"/>
      <c r="P206" s="514"/>
      <c r="Q206" s="515"/>
      <c r="R206" s="513"/>
      <c r="S206" s="513"/>
      <c r="T206" s="513"/>
      <c r="U206" s="513"/>
    </row>
    <row r="207" spans="2:21" x14ac:dyDescent="0.2">
      <c r="B207" s="338"/>
      <c r="C207" s="288"/>
      <c r="D207" s="298"/>
      <c r="E207" s="298"/>
      <c r="F207" s="298"/>
      <c r="G207" s="298"/>
      <c r="H207" s="298"/>
      <c r="I207" s="519"/>
      <c r="J207" s="519"/>
      <c r="K207" s="519"/>
      <c r="L207" s="519"/>
      <c r="M207" s="519"/>
      <c r="N207" s="519"/>
      <c r="O207" s="519"/>
      <c r="P207" s="499"/>
      <c r="Q207" s="520"/>
      <c r="R207" s="519"/>
      <c r="S207" s="519"/>
      <c r="T207" s="519"/>
      <c r="U207" s="519"/>
    </row>
    <row r="208" spans="2:21" x14ac:dyDescent="0.2">
      <c r="B208" s="338"/>
      <c r="C208" s="288"/>
      <c r="D208" s="298"/>
      <c r="E208" s="298"/>
      <c r="F208" s="298"/>
      <c r="G208" s="298"/>
      <c r="H208" s="298"/>
      <c r="I208" s="519"/>
      <c r="J208" s="519"/>
      <c r="K208" s="513"/>
      <c r="L208" s="513"/>
      <c r="M208" s="513"/>
      <c r="N208" s="513"/>
      <c r="O208" s="513"/>
      <c r="P208" s="514"/>
      <c r="Q208" s="515"/>
      <c r="R208" s="513"/>
      <c r="S208" s="513"/>
      <c r="T208" s="513"/>
      <c r="U208" s="513"/>
    </row>
    <row r="209" spans="2:37" x14ac:dyDescent="0.2">
      <c r="B209" s="338"/>
      <c r="C209" s="288"/>
      <c r="D209" s="299"/>
      <c r="E209" s="299"/>
      <c r="F209" s="299"/>
      <c r="G209" s="299"/>
      <c r="H209" s="299"/>
      <c r="I209" s="521"/>
      <c r="J209" s="521"/>
      <c r="K209" s="521"/>
      <c r="L209" s="521"/>
      <c r="M209" s="521"/>
      <c r="N209" s="521"/>
      <c r="O209" s="521"/>
      <c r="P209" s="491"/>
      <c r="Q209" s="522"/>
      <c r="R209" s="521"/>
      <c r="S209" s="521"/>
      <c r="T209" s="521"/>
      <c r="U209" s="521"/>
    </row>
    <row r="210" spans="2:37" x14ac:dyDescent="0.2">
      <c r="B210" s="338"/>
      <c r="C210" s="288"/>
      <c r="D210" s="298"/>
      <c r="E210" s="298"/>
      <c r="F210" s="298"/>
      <c r="G210" s="298"/>
      <c r="H210" s="298"/>
      <c r="I210" s="519"/>
      <c r="J210" s="519"/>
      <c r="K210" s="519"/>
      <c r="L210" s="519"/>
      <c r="M210" s="519"/>
      <c r="N210" s="519"/>
      <c r="O210" s="519"/>
      <c r="P210" s="499"/>
      <c r="Q210" s="520"/>
      <c r="R210" s="519"/>
      <c r="S210" s="519"/>
      <c r="T210" s="519"/>
      <c r="U210" s="519"/>
    </row>
    <row r="211" spans="2:37" x14ac:dyDescent="0.2">
      <c r="B211" s="288"/>
      <c r="C211" s="288"/>
      <c r="D211" s="288"/>
      <c r="E211" s="288"/>
      <c r="F211" s="288"/>
      <c r="G211" s="288"/>
      <c r="H211" s="288"/>
      <c r="I211" s="485"/>
      <c r="J211" s="485"/>
      <c r="K211" s="485"/>
      <c r="L211" s="485"/>
      <c r="M211" s="485"/>
      <c r="N211" s="485"/>
      <c r="O211" s="485"/>
      <c r="P211" s="486"/>
      <c r="Q211" s="485"/>
      <c r="R211" s="485"/>
      <c r="S211" s="485"/>
      <c r="T211" s="485"/>
      <c r="U211" s="485"/>
    </row>
    <row r="212" spans="2:37" x14ac:dyDescent="0.2">
      <c r="B212" s="288"/>
      <c r="C212" s="288"/>
      <c r="D212" s="288"/>
      <c r="E212" s="288"/>
      <c r="F212" s="288"/>
      <c r="G212" s="288"/>
      <c r="H212" s="288"/>
      <c r="I212" s="485"/>
      <c r="J212" s="485"/>
      <c r="K212" s="485"/>
      <c r="L212" s="485"/>
      <c r="M212" s="485"/>
      <c r="N212" s="485"/>
      <c r="O212" s="485"/>
      <c r="P212" s="508"/>
      <c r="Q212" s="523"/>
      <c r="R212" s="485"/>
      <c r="S212" s="485"/>
      <c r="T212" s="485"/>
      <c r="U212" s="485"/>
    </row>
    <row r="213" spans="2:37" x14ac:dyDescent="0.2">
      <c r="B213" s="288"/>
      <c r="C213" s="288"/>
      <c r="D213" s="288"/>
      <c r="E213" s="288"/>
      <c r="F213" s="288"/>
      <c r="G213" s="288"/>
      <c r="H213" s="288"/>
      <c r="I213" s="485"/>
      <c r="J213" s="485"/>
      <c r="K213" s="485"/>
      <c r="L213" s="485"/>
      <c r="M213" s="485"/>
      <c r="N213" s="485"/>
      <c r="O213" s="485"/>
      <c r="P213" s="508"/>
      <c r="Q213" s="524"/>
      <c r="R213" s="485"/>
      <c r="S213" s="485"/>
      <c r="T213" s="485"/>
      <c r="U213" s="485"/>
    </row>
    <row r="214" spans="2:37" x14ac:dyDescent="0.2">
      <c r="B214" s="288"/>
      <c r="C214" s="288"/>
      <c r="D214" s="288"/>
      <c r="E214" s="288"/>
      <c r="F214" s="288"/>
      <c r="G214" s="288"/>
      <c r="H214" s="288"/>
      <c r="I214" s="485"/>
      <c r="J214" s="485"/>
      <c r="K214" s="485"/>
      <c r="L214" s="485"/>
      <c r="M214" s="485"/>
      <c r="N214" s="485"/>
      <c r="O214" s="485"/>
      <c r="P214" s="486"/>
      <c r="Q214" s="485"/>
      <c r="R214" s="485"/>
      <c r="S214" s="485"/>
      <c r="T214" s="485"/>
      <c r="U214" s="485"/>
    </row>
    <row r="215" spans="2:37" x14ac:dyDescent="0.2">
      <c r="B215" s="288"/>
      <c r="C215" s="288"/>
      <c r="D215" s="288"/>
      <c r="E215" s="288"/>
      <c r="F215" s="288"/>
      <c r="G215" s="288"/>
      <c r="H215" s="288"/>
      <c r="I215" s="485"/>
      <c r="J215" s="485"/>
      <c r="K215" s="485"/>
      <c r="L215" s="485"/>
      <c r="M215" s="485"/>
      <c r="N215" s="485"/>
      <c r="O215" s="485"/>
      <c r="P215" s="486"/>
      <c r="Q215" s="485"/>
      <c r="R215" s="485"/>
      <c r="S215" s="485"/>
      <c r="T215" s="485"/>
      <c r="U215" s="485"/>
    </row>
    <row r="217" spans="2:37" x14ac:dyDescent="0.2">
      <c r="B217" s="347"/>
      <c r="D217" s="347"/>
      <c r="E217" s="347"/>
      <c r="F217" s="347"/>
      <c r="G217" s="347"/>
      <c r="H217" s="347"/>
      <c r="I217" s="525"/>
      <c r="J217" s="525"/>
      <c r="K217" s="525"/>
      <c r="L217" s="525"/>
      <c r="M217" s="525"/>
      <c r="N217" s="525"/>
      <c r="O217" s="525"/>
      <c r="P217" s="526"/>
      <c r="Q217" s="525"/>
      <c r="R217" s="525"/>
      <c r="S217" s="525"/>
      <c r="T217" s="525"/>
      <c r="U217" s="525"/>
    </row>
    <row r="219" spans="2:37" x14ac:dyDescent="0.2">
      <c r="B219" s="144"/>
      <c r="D219" s="348"/>
      <c r="E219" s="348"/>
      <c r="F219" s="348"/>
      <c r="G219" s="348"/>
      <c r="H219" s="348"/>
      <c r="I219" s="527"/>
      <c r="J219" s="527"/>
      <c r="K219" s="527"/>
      <c r="L219" s="527"/>
      <c r="M219" s="527"/>
      <c r="N219" s="527"/>
      <c r="O219" s="527"/>
      <c r="P219" s="528"/>
      <c r="Q219" s="527"/>
      <c r="R219" s="527"/>
      <c r="S219" s="527"/>
      <c r="T219" s="527"/>
      <c r="U219" s="527"/>
    </row>
    <row r="220" spans="2:37" x14ac:dyDescent="0.2">
      <c r="K220" s="529"/>
    </row>
    <row r="221" spans="2:37" x14ac:dyDescent="0.2">
      <c r="K221" s="529"/>
    </row>
    <row r="222" spans="2:37" x14ac:dyDescent="0.2">
      <c r="K222" s="529"/>
      <c r="AD222" s="378"/>
      <c r="AE222" s="102"/>
      <c r="AF222" s="102"/>
      <c r="AG222" s="102"/>
      <c r="AH222" s="102"/>
      <c r="AI222" s="377"/>
      <c r="AJ222" s="102"/>
      <c r="AK222" s="382"/>
    </row>
    <row r="223" spans="2:37" x14ac:dyDescent="0.2">
      <c r="Q223" s="529"/>
      <c r="U223" s="529"/>
      <c r="AD223" s="145"/>
      <c r="AE223" s="145"/>
      <c r="AF223" s="145"/>
      <c r="AG223" s="145"/>
      <c r="AH223" s="145"/>
      <c r="AI223" s="370"/>
      <c r="AJ223" s="145"/>
      <c r="AK223" s="382"/>
    </row>
    <row r="224" spans="2:37" x14ac:dyDescent="0.2">
      <c r="Q224" s="529"/>
      <c r="U224" s="529"/>
      <c r="AI224" s="376"/>
    </row>
    <row r="225" spans="2:38" x14ac:dyDescent="0.2">
      <c r="Q225" s="529"/>
      <c r="U225" s="529"/>
      <c r="AD225" s="148"/>
      <c r="AE225" s="145"/>
      <c r="AF225" s="145"/>
      <c r="AG225" s="145"/>
      <c r="AH225" s="145"/>
      <c r="AI225" s="370"/>
      <c r="AJ225" s="145"/>
      <c r="AK225" s="382"/>
      <c r="AL225" s="125"/>
    </row>
    <row r="226" spans="2:38" x14ac:dyDescent="0.2">
      <c r="B226" s="144"/>
      <c r="U226" s="529"/>
      <c r="AD226" s="148"/>
      <c r="AE226" s="148"/>
      <c r="AF226" s="148"/>
      <c r="AG226" s="148"/>
      <c r="AH226" s="148"/>
      <c r="AI226" s="371"/>
      <c r="AJ226" s="148"/>
      <c r="AK226" s="382"/>
      <c r="AL226" s="125"/>
    </row>
    <row r="227" spans="2:38" x14ac:dyDescent="0.2">
      <c r="D227" s="102"/>
      <c r="U227" s="529"/>
      <c r="AD227" s="148"/>
      <c r="AE227" s="148"/>
      <c r="AF227" s="148"/>
      <c r="AG227" s="148"/>
      <c r="AH227" s="148"/>
      <c r="AI227" s="371"/>
      <c r="AJ227" s="148"/>
      <c r="AK227" s="382"/>
      <c r="AL227" s="125"/>
    </row>
    <row r="228" spans="2:38" x14ac:dyDescent="0.2">
      <c r="D228" s="102"/>
      <c r="U228" s="529"/>
      <c r="AD228" s="146"/>
      <c r="AE228" s="146"/>
      <c r="AF228" s="146"/>
      <c r="AG228" s="146"/>
      <c r="AH228" s="146"/>
      <c r="AI228" s="146"/>
      <c r="AJ228" s="146"/>
      <c r="AK228" s="382"/>
    </row>
    <row r="229" spans="2:38" x14ac:dyDescent="0.2">
      <c r="D229" s="102"/>
      <c r="U229" s="471"/>
      <c r="AD229" s="145"/>
      <c r="AE229" s="145"/>
      <c r="AF229" s="145"/>
      <c r="AG229" s="145"/>
      <c r="AH229" s="145"/>
      <c r="AI229" s="370"/>
      <c r="AJ229" s="145"/>
      <c r="AK229" s="382"/>
    </row>
    <row r="230" spans="2:38" x14ac:dyDescent="0.2">
      <c r="D230" s="349"/>
      <c r="U230" s="471"/>
    </row>
    <row r="231" spans="2:38" x14ac:dyDescent="0.2">
      <c r="D231" s="102"/>
      <c r="U231" s="471"/>
    </row>
    <row r="238" spans="2:38" x14ac:dyDescent="0.2">
      <c r="Q238" s="471"/>
    </row>
  </sheetData>
  <sheetProtection algorithmName="SHA-512" hashValue="2NAh22Ygu2bvsSvZ6Tlc+dq/2DGr6HeQOvLbU0BjIbrX07/2S/gdb3trDbM/T/2j7ww89TFKl8+Yr83yj30z9A==" saltValue="8j2C9RGiva0huKaEoouhPA==" spinCount="100000" sheet="1" objects="1" scenarios="1"/>
  <mergeCells count="1">
    <mergeCell ref="G11:H11"/>
  </mergeCells>
  <conditionalFormatting sqref="G11">
    <cfRule type="containsText" dxfId="10" priority="6" operator="containsText" text="Bull">
      <formula>NOT(ISERROR(SEARCH("Bull",G11)))</formula>
    </cfRule>
    <cfRule type="containsText" dxfId="9" priority="7" operator="containsText" text="Base">
      <formula>NOT(ISERROR(SEARCH("Base",G11)))</formula>
    </cfRule>
    <cfRule type="containsText" dxfId="8" priority="8" operator="containsText" text="Base">
      <formula>NOT(ISERROR(SEARCH("Base",G11)))</formula>
    </cfRule>
    <cfRule type="cellIs" dxfId="7" priority="9" operator="equal">
      <formula>"Bull"</formula>
    </cfRule>
    <cfRule type="cellIs" dxfId="6" priority="10" operator="equal">
      <formula>"Base"</formula>
    </cfRule>
    <cfRule type="cellIs" dxfId="5" priority="11" operator="equal">
      <formula>"Bear"</formula>
    </cfRule>
  </conditionalFormatting>
  <conditionalFormatting sqref="G11">
    <cfRule type="containsText" dxfId="4" priority="5" operator="containsText" text="Bear">
      <formula>NOT(ISERROR(SEARCH("Bear",G11)))</formula>
    </cfRule>
  </conditionalFormatting>
  <conditionalFormatting sqref="G11:H11">
    <cfRule type="cellIs" dxfId="3" priority="1" operator="equal">
      <formula>"Bull"</formula>
    </cfRule>
    <cfRule type="cellIs" dxfId="2" priority="2" operator="equal">
      <formula>"Base"</formula>
    </cfRule>
    <cfRule type="cellIs" dxfId="1" priority="3" operator="equal">
      <formula>"Base"</formula>
    </cfRule>
    <cfRule type="cellIs" dxfId="0" priority="4" operator="equal">
      <formula>"Bear"</formula>
    </cfRule>
  </conditionalFormatting>
  <dataValidations count="1">
    <dataValidation type="list" allowBlank="1" showInputMessage="1" showErrorMessage="1" sqref="G11" xr:uid="{37FE974A-9766-ED49-99EF-52D045B350E4}">
      <formula1>"Bull, Base, Bear"</formula1>
    </dataValidation>
  </dataValidations>
  <pageMargins left="0.7" right="0.7" top="0.75" bottom="0.75" header="0.3" footer="0.3"/>
  <pageSetup orientation="portrait" horizontalDpi="1200" verticalDpi="1200" r:id="rId1"/>
  <ignoredErrors>
    <ignoredError sqref="P61" formula="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B6483-71BE-7A49-B8A2-E25286EC0186}">
  <sheetPr>
    <tabColor theme="9"/>
  </sheetPr>
  <dimension ref="B2:U162"/>
  <sheetViews>
    <sheetView topLeftCell="A37" zoomScaleNormal="130" workbookViewId="0">
      <selection activeCell="H140" sqref="H140"/>
    </sheetView>
  </sheetViews>
  <sheetFormatPr baseColWidth="10" defaultColWidth="10.83203125" defaultRowHeight="16" x14ac:dyDescent="0.2"/>
  <cols>
    <col min="1" max="1" width="10.83203125" style="92"/>
    <col min="2" max="2" width="60.83203125" style="92" customWidth="1"/>
    <col min="3" max="6" width="10.83203125" style="92"/>
    <col min="7" max="7" width="20.83203125" style="92" customWidth="1"/>
    <col min="8" max="8" width="10.83203125" style="92"/>
    <col min="9" max="9" width="250.83203125" style="92" customWidth="1"/>
    <col min="10" max="16384" width="10.83203125" style="92"/>
  </cols>
  <sheetData>
    <row r="2" spans="2:21" ht="26" x14ac:dyDescent="0.3">
      <c r="B2" s="272" t="s">
        <v>102</v>
      </c>
    </row>
    <row r="3" spans="2:21" x14ac:dyDescent="0.2">
      <c r="B3" s="271" t="s">
        <v>103</v>
      </c>
    </row>
    <row r="5" spans="2:21" x14ac:dyDescent="0.2">
      <c r="B5" s="271" t="s">
        <v>457</v>
      </c>
    </row>
    <row r="6" spans="2:21" x14ac:dyDescent="0.2">
      <c r="B6" s="271" t="s">
        <v>104</v>
      </c>
    </row>
    <row r="8" spans="2:21" x14ac:dyDescent="0.2">
      <c r="B8" s="271" t="s">
        <v>105</v>
      </c>
    </row>
    <row r="9" spans="2:21" x14ac:dyDescent="0.2">
      <c r="B9" s="271" t="s">
        <v>106</v>
      </c>
    </row>
    <row r="11" spans="2:21" x14ac:dyDescent="0.2">
      <c r="J11" s="100"/>
      <c r="K11" s="100"/>
      <c r="L11" s="100"/>
      <c r="M11" s="100"/>
      <c r="N11" s="100"/>
      <c r="O11" s="100"/>
      <c r="P11" s="100"/>
      <c r="Q11" s="100"/>
      <c r="R11" s="100"/>
      <c r="S11" s="100"/>
      <c r="T11" s="100"/>
      <c r="U11" s="100"/>
    </row>
    <row r="12" spans="2:21" ht="19" x14ac:dyDescent="0.25">
      <c r="B12" s="256" t="s">
        <v>107</v>
      </c>
      <c r="C12" s="368" t="s">
        <v>108</v>
      </c>
      <c r="D12" s="369" t="s">
        <v>14</v>
      </c>
      <c r="E12" s="396" t="s">
        <v>109</v>
      </c>
      <c r="F12" s="255"/>
      <c r="G12" s="255" t="s">
        <v>110</v>
      </c>
      <c r="H12" s="109"/>
      <c r="I12" s="273" t="s">
        <v>111</v>
      </c>
      <c r="J12" s="101"/>
      <c r="K12" s="100"/>
      <c r="L12" s="100"/>
      <c r="M12" s="100"/>
      <c r="N12" s="100"/>
      <c r="O12" s="100"/>
      <c r="P12" s="100"/>
      <c r="Q12" s="100"/>
      <c r="R12" s="100"/>
      <c r="S12" s="100"/>
      <c r="T12" s="100"/>
      <c r="U12" s="100"/>
    </row>
    <row r="13" spans="2:21" x14ac:dyDescent="0.2">
      <c r="B13" s="262" t="s">
        <v>112</v>
      </c>
      <c r="C13" s="257">
        <v>0.45</v>
      </c>
      <c r="D13" s="257">
        <v>0.4</v>
      </c>
      <c r="E13" s="258">
        <v>0.2</v>
      </c>
      <c r="F13" s="257"/>
      <c r="G13" s="259">
        <f>IF(DASHBOARD!G11="BULL", C13, IF(DASHBOARD!G11="BASE", D13, IF(DASHBOARD!G11="BEAR", E13, 0)))</f>
        <v>0.4</v>
      </c>
      <c r="H13" s="260"/>
      <c r="I13" s="261" t="s">
        <v>113</v>
      </c>
      <c r="J13" s="101"/>
      <c r="K13" s="100"/>
      <c r="L13" s="100"/>
      <c r="M13" s="100"/>
      <c r="N13" s="100"/>
      <c r="O13" s="100"/>
      <c r="P13" s="100"/>
      <c r="Q13" s="100"/>
      <c r="R13" s="100"/>
      <c r="S13" s="100"/>
      <c r="T13" s="100"/>
      <c r="U13" s="100"/>
    </row>
    <row r="14" spans="2:21" x14ac:dyDescent="0.2">
      <c r="B14" s="100" t="s">
        <v>114</v>
      </c>
      <c r="C14" s="103">
        <v>0.85</v>
      </c>
      <c r="D14" s="103">
        <v>0.8</v>
      </c>
      <c r="E14" s="149">
        <v>0.7</v>
      </c>
      <c r="F14" s="104"/>
      <c r="G14" s="138">
        <f>IF(DASHBOARD!G11="BULL", C14, IF(DASHBOARD!G11="BASE", D14, IF(DASHBOARD!G11="BEAR", E14, 0)))</f>
        <v>0.8</v>
      </c>
      <c r="H14" s="106"/>
      <c r="I14" s="105" t="s">
        <v>115</v>
      </c>
      <c r="J14" s="101"/>
      <c r="K14" s="100"/>
      <c r="L14" s="100"/>
      <c r="M14" s="100"/>
      <c r="N14" s="100"/>
      <c r="O14" s="100"/>
      <c r="P14" s="100"/>
      <c r="Q14" s="100"/>
      <c r="R14" s="100"/>
      <c r="S14" s="100"/>
      <c r="T14" s="100"/>
      <c r="U14" s="100"/>
    </row>
    <row r="15" spans="2:21" x14ac:dyDescent="0.2">
      <c r="B15" s="262" t="s">
        <v>116</v>
      </c>
      <c r="C15" s="257">
        <v>0.7</v>
      </c>
      <c r="D15" s="263">
        <v>0.65</v>
      </c>
      <c r="E15" s="258">
        <v>0.5</v>
      </c>
      <c r="F15" s="257"/>
      <c r="G15" s="259">
        <f>IF(DASHBOARD!G11="BULL", C15, IF(DASHBOARD!G11="BASE", D15, IF(DASHBOARD!G11="BEAR", E15, 0)))</f>
        <v>0.65</v>
      </c>
      <c r="H15" s="260"/>
      <c r="I15" s="264" t="s">
        <v>117</v>
      </c>
      <c r="J15" s="100"/>
      <c r="K15" s="100"/>
      <c r="L15" s="100"/>
      <c r="M15" s="100"/>
      <c r="N15" s="100"/>
      <c r="O15" s="100"/>
      <c r="P15" s="100"/>
      <c r="Q15" s="100"/>
      <c r="R15" s="100"/>
      <c r="S15" s="100"/>
      <c r="T15" s="100"/>
      <c r="U15" s="100"/>
    </row>
    <row r="16" spans="2:21" x14ac:dyDescent="0.2">
      <c r="B16" s="100" t="s">
        <v>118</v>
      </c>
      <c r="C16" s="280">
        <v>300</v>
      </c>
      <c r="D16" s="280">
        <v>250</v>
      </c>
      <c r="E16" s="281">
        <v>0</v>
      </c>
      <c r="F16" s="129"/>
      <c r="G16" s="286">
        <f>IF(DASHBOARD!G11="BULL",C16,IF(DASHBOARD!G11="BASE",D16,IF(DASHBOARD!G11="BEAR",E16,0)))</f>
        <v>250</v>
      </c>
      <c r="H16" s="106"/>
      <c r="I16" s="108" t="s">
        <v>119</v>
      </c>
      <c r="J16" s="100"/>
      <c r="K16" s="100"/>
      <c r="L16" s="100"/>
      <c r="M16" s="100"/>
      <c r="N16" s="100"/>
      <c r="O16" s="100"/>
      <c r="P16" s="100"/>
      <c r="Q16" s="100"/>
      <c r="R16" s="100"/>
      <c r="S16" s="100"/>
      <c r="T16" s="100"/>
      <c r="U16" s="100"/>
    </row>
    <row r="17" spans="2:21" x14ac:dyDescent="0.2">
      <c r="B17" s="262" t="s">
        <v>120</v>
      </c>
      <c r="C17" s="282">
        <v>1000</v>
      </c>
      <c r="D17" s="283">
        <v>800</v>
      </c>
      <c r="E17" s="284">
        <v>0</v>
      </c>
      <c r="F17" s="265"/>
      <c r="G17" s="287">
        <f>IF(DASHBOARD!G11="BULL", C17, IF(DASHBOARD!G11="BASE", D17, IF(DASHBOARD!G11="BEAR", E17, 0)))</f>
        <v>800</v>
      </c>
      <c r="H17" s="260"/>
      <c r="I17" s="261" t="s">
        <v>121</v>
      </c>
      <c r="J17" s="100"/>
      <c r="K17" s="100"/>
      <c r="L17" s="100"/>
      <c r="M17" s="100"/>
      <c r="N17" s="100"/>
      <c r="O17" s="100"/>
      <c r="P17" s="100"/>
      <c r="Q17" s="100"/>
      <c r="R17" s="100"/>
      <c r="S17" s="100"/>
      <c r="T17" s="100"/>
      <c r="U17" s="100"/>
    </row>
    <row r="18" spans="2:21" x14ac:dyDescent="0.2">
      <c r="B18" s="100" t="s">
        <v>122</v>
      </c>
      <c r="C18" s="280">
        <v>150</v>
      </c>
      <c r="D18" s="285">
        <v>100</v>
      </c>
      <c r="E18" s="281">
        <v>0</v>
      </c>
      <c r="F18" s="129"/>
      <c r="G18" s="286">
        <f>IF(DASHBOARD!G11="BULL", C18, IF(DASHBOARD!G11="BASE", D18, IF(DASHBOARD!G11="BEAR", E18, 0)))</f>
        <v>100</v>
      </c>
      <c r="H18" s="106"/>
      <c r="I18" s="107" t="s">
        <v>123</v>
      </c>
      <c r="J18" s="100"/>
      <c r="K18" s="100"/>
      <c r="L18" s="100"/>
      <c r="M18" s="100"/>
      <c r="N18" s="100"/>
      <c r="O18" s="100"/>
      <c r="P18" s="100"/>
      <c r="Q18" s="100"/>
      <c r="R18" s="100"/>
      <c r="S18" s="100"/>
      <c r="T18" s="100"/>
      <c r="U18" s="100"/>
    </row>
    <row r="19" spans="2:21" x14ac:dyDescent="0.2">
      <c r="B19" s="262" t="s">
        <v>124</v>
      </c>
      <c r="C19" s="266">
        <v>2026</v>
      </c>
      <c r="D19" s="266">
        <v>2027</v>
      </c>
      <c r="E19" s="267">
        <v>2028</v>
      </c>
      <c r="F19" s="266"/>
      <c r="G19" s="268">
        <f>IF(DASHBOARD!G11="BULL", C19, IF(DASHBOARD!G11="BASE", D19, IF(DASHBOARD!G11="BEAR", E19, 0)))</f>
        <v>2027</v>
      </c>
      <c r="H19" s="260"/>
      <c r="I19" s="269" t="s">
        <v>125</v>
      </c>
      <c r="J19" s="100"/>
      <c r="K19" s="100"/>
      <c r="L19" s="100"/>
      <c r="M19" s="100"/>
      <c r="N19" s="100"/>
      <c r="O19" s="100"/>
      <c r="P19" s="100"/>
      <c r="Q19" s="100"/>
      <c r="R19" s="100"/>
      <c r="S19" s="100"/>
      <c r="T19" s="100"/>
      <c r="U19" s="100"/>
    </row>
    <row r="20" spans="2:21" x14ac:dyDescent="0.2">
      <c r="B20" s="100" t="s">
        <v>126</v>
      </c>
      <c r="C20" s="117">
        <v>2026</v>
      </c>
      <c r="D20" s="117">
        <v>2027</v>
      </c>
      <c r="E20" s="92">
        <v>2028</v>
      </c>
      <c r="F20" s="117"/>
      <c r="G20" s="143">
        <f>IF(DASHBOARD!G11="BULL", C20, IF(DASHBOARD!G11="BASE", D20, IF(DASHBOARD!G11="BEAR", E20, 0)))</f>
        <v>2027</v>
      </c>
      <c r="H20" s="106"/>
      <c r="I20" s="105" t="s">
        <v>127</v>
      </c>
      <c r="J20" s="100"/>
      <c r="K20" s="100"/>
      <c r="L20" s="100"/>
      <c r="M20" s="100"/>
      <c r="N20" s="100"/>
      <c r="O20" s="100"/>
      <c r="P20" s="100"/>
      <c r="Q20" s="100"/>
      <c r="R20" s="100"/>
      <c r="S20" s="100"/>
      <c r="T20" s="100"/>
      <c r="U20" s="100"/>
    </row>
    <row r="21" spans="2:21" x14ac:dyDescent="0.2">
      <c r="B21" s="262" t="s">
        <v>128</v>
      </c>
      <c r="C21" s="257">
        <v>0.25</v>
      </c>
      <c r="D21" s="263">
        <v>0.2</v>
      </c>
      <c r="E21" s="258">
        <v>0.15</v>
      </c>
      <c r="F21" s="257"/>
      <c r="G21" s="259">
        <f>IF(DASHBOARD!G11="BULL", C21, IF(DASHBOARD!G11="BASE", D21, IF(DASHBOARD!G11="BEAR", E21, 0)))</f>
        <v>0.2</v>
      </c>
      <c r="H21" s="260"/>
      <c r="I21" s="269" t="s">
        <v>129</v>
      </c>
      <c r="J21" s="100"/>
      <c r="K21" s="100"/>
      <c r="L21" s="100"/>
      <c r="M21" s="100"/>
      <c r="N21" s="100"/>
      <c r="O21" s="100"/>
      <c r="P21" s="100"/>
      <c r="Q21" s="100"/>
      <c r="R21" s="100"/>
      <c r="S21" s="100"/>
      <c r="T21" s="100"/>
      <c r="U21" s="100"/>
    </row>
    <row r="22" spans="2:21" x14ac:dyDescent="0.2">
      <c r="B22" s="100" t="s">
        <v>130</v>
      </c>
      <c r="C22" s="103">
        <v>0.5</v>
      </c>
      <c r="D22" s="115">
        <v>0.4</v>
      </c>
      <c r="E22" s="149">
        <v>0.3</v>
      </c>
      <c r="F22" s="103"/>
      <c r="G22" s="138">
        <f>IF(DASHBOARD!G11="BULL", C22, IF(DASHBOARD!G11="BASE", D22, IF(DASHBOARD!G11="BEAR", E22, 0)))</f>
        <v>0.4</v>
      </c>
      <c r="H22" s="106"/>
      <c r="I22" s="105" t="s">
        <v>131</v>
      </c>
      <c r="J22" s="100"/>
      <c r="K22" s="100"/>
      <c r="L22" s="100"/>
      <c r="M22" s="100"/>
      <c r="N22" s="100"/>
      <c r="O22" s="100"/>
      <c r="P22" s="100"/>
      <c r="Q22" s="100"/>
      <c r="R22" s="100"/>
      <c r="S22" s="100"/>
      <c r="T22" s="100"/>
      <c r="U22" s="100"/>
    </row>
    <row r="23" spans="2:21" x14ac:dyDescent="0.2">
      <c r="B23" s="262" t="s">
        <v>132</v>
      </c>
      <c r="C23" s="266">
        <v>2027</v>
      </c>
      <c r="D23" s="266">
        <v>2028</v>
      </c>
      <c r="E23" s="267">
        <v>2029</v>
      </c>
      <c r="F23" s="266"/>
      <c r="G23" s="268">
        <f>IF(DASHBOARD!G11="BULL", C23, IF(DASHBOARD!G11="BASE",D23, IF(DASHBOARD!G11="BEAR", E23, 0)))</f>
        <v>2028</v>
      </c>
      <c r="H23" s="260"/>
      <c r="I23" s="261" t="s">
        <v>133</v>
      </c>
      <c r="J23" s="100"/>
      <c r="K23" s="100"/>
      <c r="L23" s="100"/>
      <c r="M23" s="100"/>
      <c r="N23" s="100"/>
      <c r="O23" s="100"/>
      <c r="P23" s="100"/>
      <c r="Q23" s="100"/>
      <c r="R23" s="100"/>
      <c r="S23" s="100"/>
      <c r="T23" s="100"/>
      <c r="U23" s="100"/>
    </row>
    <row r="24" spans="2:21" x14ac:dyDescent="0.2">
      <c r="B24" s="100" t="s">
        <v>134</v>
      </c>
      <c r="C24" s="117">
        <v>2028</v>
      </c>
      <c r="D24" s="117">
        <v>2029</v>
      </c>
      <c r="E24" s="92">
        <v>2030</v>
      </c>
      <c r="F24" s="117"/>
      <c r="G24" s="143">
        <f>IF(DASHBOARD!G11="BULL", C24, IF(DASHBOARD!G11="BASE", D24, IF(DASHBOARD!G11="BEAR", E24, 0)))</f>
        <v>2029</v>
      </c>
      <c r="H24" s="106"/>
      <c r="I24" s="107" t="s">
        <v>135</v>
      </c>
      <c r="J24" s="100"/>
      <c r="K24" s="100"/>
      <c r="L24" s="100"/>
      <c r="M24" s="100"/>
      <c r="N24" s="100"/>
      <c r="O24" s="100"/>
      <c r="P24" s="100"/>
      <c r="Q24" s="100"/>
      <c r="R24" s="100"/>
      <c r="S24" s="100"/>
      <c r="T24" s="100"/>
      <c r="U24" s="100"/>
    </row>
    <row r="25" spans="2:21" x14ac:dyDescent="0.2">
      <c r="B25" s="262" t="s">
        <v>136</v>
      </c>
      <c r="C25" s="257">
        <v>0.6</v>
      </c>
      <c r="D25" s="263">
        <v>0.4</v>
      </c>
      <c r="E25" s="258">
        <v>0.2</v>
      </c>
      <c r="F25" s="257"/>
      <c r="G25" s="259">
        <f>IF(DASHBOARD!G11="BULL", C25, IF(DASHBOARD!G11="BASE", D25, IF(DASHBOARD!G11="BEAR", E25, 0)))</f>
        <v>0.4</v>
      </c>
      <c r="H25" s="260"/>
      <c r="I25" s="269" t="s">
        <v>137</v>
      </c>
      <c r="J25" s="100"/>
      <c r="K25" s="100"/>
      <c r="L25" s="100"/>
      <c r="M25" s="100"/>
      <c r="N25" s="100"/>
      <c r="O25" s="100"/>
      <c r="P25" s="100"/>
      <c r="Q25" s="100"/>
      <c r="R25" s="100"/>
      <c r="S25" s="100"/>
      <c r="T25" s="100"/>
      <c r="U25" s="100"/>
    </row>
    <row r="26" spans="2:21" x14ac:dyDescent="0.2">
      <c r="B26" s="100" t="s">
        <v>138</v>
      </c>
      <c r="C26" s="103">
        <v>0.25</v>
      </c>
      <c r="D26" s="115">
        <v>0.15</v>
      </c>
      <c r="E26" s="149">
        <v>0.1</v>
      </c>
      <c r="F26" s="103"/>
      <c r="G26" s="138">
        <f>IF(DASHBOARD!G11="BULL", C26, IF(DASHBOARD!G11="BASE", D26, IF(DASHBOARD!G11="BEAR", E26, 0)))</f>
        <v>0.15</v>
      </c>
      <c r="H26" s="110"/>
      <c r="I26" s="105" t="s">
        <v>139</v>
      </c>
      <c r="J26" s="100"/>
      <c r="K26" s="100"/>
      <c r="L26" s="100"/>
      <c r="M26" s="100"/>
      <c r="N26" s="100"/>
      <c r="O26" s="100"/>
      <c r="P26" s="100"/>
      <c r="Q26" s="100"/>
      <c r="R26" s="100"/>
      <c r="S26" s="100"/>
      <c r="T26" s="100"/>
      <c r="U26" s="100"/>
    </row>
    <row r="27" spans="2:21" x14ac:dyDescent="0.2">
      <c r="B27" s="262" t="s">
        <v>140</v>
      </c>
      <c r="C27" s="257">
        <v>0.15</v>
      </c>
      <c r="D27" s="263">
        <v>0.1</v>
      </c>
      <c r="E27" s="258">
        <v>0.05</v>
      </c>
      <c r="F27" s="257"/>
      <c r="G27" s="259">
        <f>IF(DASHBOARD!G11="BULL", C27, IF(DASHBOARD!G11="BASE", D27, IF(DASHBOARD!G11="BEAR", E27, 0)))</f>
        <v>0.1</v>
      </c>
      <c r="H27" s="270"/>
      <c r="I27" s="269" t="s">
        <v>141</v>
      </c>
      <c r="J27" s="100"/>
      <c r="K27" s="100"/>
      <c r="L27" s="100"/>
      <c r="M27" s="100"/>
      <c r="N27" s="100"/>
      <c r="O27" s="100"/>
      <c r="P27" s="100"/>
      <c r="Q27" s="100"/>
      <c r="R27" s="100"/>
      <c r="S27" s="100"/>
      <c r="T27" s="100"/>
      <c r="U27" s="100"/>
    </row>
    <row r="28" spans="2:21" x14ac:dyDescent="0.2">
      <c r="B28" s="100" t="s">
        <v>142</v>
      </c>
      <c r="C28" s="117">
        <v>2026</v>
      </c>
      <c r="D28" s="117">
        <v>2027</v>
      </c>
      <c r="E28" s="92">
        <v>2028</v>
      </c>
      <c r="F28" s="117"/>
      <c r="G28" s="143">
        <f>IF(DASHBOARD!G11="BULL", C28, IF(DASHBOARD!G11="BASE", D28, IF(DASHBOARD!G11="BEAR", E28, 0)))</f>
        <v>2027</v>
      </c>
      <c r="H28" s="110"/>
      <c r="I28" s="105" t="s">
        <v>143</v>
      </c>
      <c r="J28" s="100"/>
      <c r="K28" s="100"/>
      <c r="L28" s="100"/>
      <c r="M28" s="100"/>
      <c r="N28" s="100"/>
      <c r="O28" s="100"/>
      <c r="P28" s="100"/>
      <c r="Q28" s="100"/>
      <c r="R28" s="100"/>
      <c r="S28" s="100"/>
      <c r="T28" s="100"/>
      <c r="U28" s="100"/>
    </row>
    <row r="29" spans="2:21" x14ac:dyDescent="0.2">
      <c r="B29" s="262" t="s">
        <v>144</v>
      </c>
      <c r="C29" s="266">
        <v>2026</v>
      </c>
      <c r="D29" s="266">
        <v>2027</v>
      </c>
      <c r="E29" s="267">
        <v>2028</v>
      </c>
      <c r="F29" s="266"/>
      <c r="G29" s="268">
        <f>IF(DASHBOARD!G11="BULL", C29, IF(DASHBOARD!G11="BASE", D29, IF(DASHBOARD!G11="BEAR", E29, 0)))</f>
        <v>2027</v>
      </c>
      <c r="H29" s="270"/>
      <c r="I29" s="269" t="s">
        <v>145</v>
      </c>
      <c r="J29" s="100"/>
      <c r="K29" s="100"/>
      <c r="L29" s="100"/>
      <c r="M29" s="100"/>
      <c r="N29" s="100"/>
      <c r="O29" s="100"/>
      <c r="P29" s="100"/>
      <c r="Q29" s="100"/>
      <c r="R29" s="100"/>
      <c r="S29" s="100"/>
      <c r="T29" s="100"/>
      <c r="U29" s="100"/>
    </row>
    <row r="30" spans="2:21" x14ac:dyDescent="0.2">
      <c r="B30" s="100" t="s">
        <v>146</v>
      </c>
      <c r="C30" s="103">
        <v>0.15</v>
      </c>
      <c r="D30" s="115">
        <v>0.1</v>
      </c>
      <c r="E30" s="149">
        <v>0.05</v>
      </c>
      <c r="F30" s="103"/>
      <c r="G30" s="138">
        <f>IF(DASHBOARD!G11="BULL", C30, IF(DASHBOARD!G11="BASE", D30, IF(DASHBOARD!G11="BEAR", E30, 0)))</f>
        <v>0.1</v>
      </c>
      <c r="H30" s="110"/>
      <c r="I30" s="105" t="s">
        <v>147</v>
      </c>
    </row>
    <row r="31" spans="2:21" x14ac:dyDescent="0.2">
      <c r="B31" s="267" t="s">
        <v>148</v>
      </c>
      <c r="C31" s="267">
        <v>24</v>
      </c>
      <c r="D31" s="267">
        <v>20</v>
      </c>
      <c r="E31" s="267">
        <v>18</v>
      </c>
      <c r="F31" s="267"/>
      <c r="G31" s="364">
        <f>IF(DASHBOARD!G11="BULL", C31, IF(DASHBOARD!G11="BASE", D31, IF(DASHBOARD!G11="BEAR", E31, 0)))</f>
        <v>20</v>
      </c>
      <c r="H31" s="267"/>
      <c r="I31" s="383" t="s">
        <v>149</v>
      </c>
    </row>
    <row r="32" spans="2:21" ht="17" thickBot="1" x14ac:dyDescent="0.25">
      <c r="B32" s="165" t="s">
        <v>150</v>
      </c>
      <c r="C32" s="125">
        <v>0.04</v>
      </c>
      <c r="D32" s="125">
        <v>0.05</v>
      </c>
      <c r="E32" s="125">
        <v>0.06</v>
      </c>
      <c r="F32" s="100"/>
      <c r="G32" s="365">
        <f>IF(DASHBOARD!G11="BULL", C32, IF(DASHBOARD!G11="BASE", D32, IF(DASHBOARD!G11="BEAR", E32, 0)))</f>
        <v>0.05</v>
      </c>
      <c r="H32" s="110"/>
      <c r="I32" s="205" t="s">
        <v>151</v>
      </c>
    </row>
    <row r="33" spans="2:21" ht="17" thickTop="1" x14ac:dyDescent="0.2"/>
    <row r="35" spans="2:21" ht="26" x14ac:dyDescent="0.2">
      <c r="B35" s="251" t="s">
        <v>152</v>
      </c>
      <c r="C35" s="100"/>
      <c r="D35" s="100"/>
      <c r="E35" s="100"/>
      <c r="F35" s="100"/>
      <c r="G35" s="100"/>
      <c r="H35" s="106"/>
      <c r="I35" s="105"/>
    </row>
    <row r="36" spans="2:21" x14ac:dyDescent="0.2">
      <c r="B36" s="144" t="s">
        <v>153</v>
      </c>
      <c r="C36" s="121"/>
      <c r="D36" s="122"/>
      <c r="E36" s="132"/>
      <c r="F36" s="123"/>
      <c r="G36" s="100"/>
      <c r="H36" s="106"/>
      <c r="I36" s="105"/>
    </row>
    <row r="37" spans="2:21" x14ac:dyDescent="0.2">
      <c r="B37" s="100"/>
      <c r="C37" s="100"/>
      <c r="D37" s="100"/>
      <c r="E37" s="100"/>
      <c r="F37" s="100"/>
      <c r="G37" s="100"/>
      <c r="H37" s="110"/>
      <c r="I37" s="105"/>
      <c r="J37" s="100"/>
      <c r="K37" s="100"/>
      <c r="L37" s="100"/>
      <c r="M37" s="100"/>
      <c r="N37" s="100"/>
      <c r="O37" s="100"/>
      <c r="P37" s="100"/>
      <c r="Q37" s="100"/>
      <c r="R37" s="100"/>
      <c r="S37" s="100"/>
      <c r="T37" s="100"/>
      <c r="U37" s="100"/>
    </row>
    <row r="38" spans="2:21" ht="19" x14ac:dyDescent="0.2">
      <c r="B38" s="150" t="s">
        <v>25</v>
      </c>
      <c r="C38" s="100"/>
      <c r="D38" s="100"/>
      <c r="E38" s="100"/>
      <c r="F38" s="100"/>
      <c r="G38" s="245" t="s">
        <v>110</v>
      </c>
      <c r="H38" s="246"/>
      <c r="I38" s="274" t="s">
        <v>111</v>
      </c>
      <c r="J38" s="100"/>
      <c r="K38" s="100"/>
      <c r="L38" s="100"/>
      <c r="M38" s="100"/>
      <c r="N38" s="100"/>
      <c r="O38" s="100"/>
      <c r="P38" s="100"/>
      <c r="Q38" s="100"/>
      <c r="R38" s="100"/>
      <c r="S38" s="100"/>
      <c r="T38" s="100"/>
      <c r="U38" s="100"/>
    </row>
    <row r="39" spans="2:21" x14ac:dyDescent="0.2">
      <c r="B39" s="151" t="s">
        <v>154</v>
      </c>
      <c r="C39" s="151"/>
      <c r="D39" s="151"/>
      <c r="E39" s="151"/>
      <c r="F39" s="151"/>
      <c r="G39" s="152">
        <v>135000000</v>
      </c>
      <c r="H39" s="153"/>
      <c r="I39" s="177" t="s">
        <v>155</v>
      </c>
      <c r="J39" s="100"/>
      <c r="K39" s="100"/>
      <c r="L39" s="100"/>
      <c r="M39" s="100"/>
      <c r="O39" s="100"/>
      <c r="P39" s="100"/>
      <c r="Q39" s="100"/>
      <c r="R39" s="100"/>
      <c r="S39" s="100"/>
      <c r="T39" s="100"/>
      <c r="U39" s="100"/>
    </row>
    <row r="40" spans="2:21" x14ac:dyDescent="0.2">
      <c r="B40" s="100" t="s">
        <v>156</v>
      </c>
      <c r="C40" s="100"/>
      <c r="D40" s="100"/>
      <c r="E40" s="100"/>
      <c r="F40" s="100"/>
      <c r="G40" s="135">
        <v>325000</v>
      </c>
      <c r="H40" s="110"/>
      <c r="I40" s="105" t="s">
        <v>157</v>
      </c>
      <c r="J40" s="100"/>
      <c r="K40" s="100"/>
      <c r="L40" s="100"/>
      <c r="M40" s="100"/>
      <c r="N40" s="100"/>
      <c r="O40" s="100"/>
      <c r="P40" s="100"/>
      <c r="Q40" s="100"/>
      <c r="R40" s="100"/>
      <c r="S40" s="100"/>
      <c r="T40" s="100"/>
      <c r="U40" s="100"/>
    </row>
    <row r="41" spans="2:21" x14ac:dyDescent="0.2">
      <c r="B41" s="151" t="s">
        <v>158</v>
      </c>
      <c r="C41" s="151"/>
      <c r="D41" s="151"/>
      <c r="E41" s="151"/>
      <c r="F41" s="151"/>
      <c r="G41" s="152">
        <v>3</v>
      </c>
      <c r="H41" s="153"/>
      <c r="I41" s="177" t="s">
        <v>159</v>
      </c>
      <c r="J41" s="100"/>
      <c r="K41" s="100"/>
      <c r="L41" s="100"/>
      <c r="M41" s="100"/>
      <c r="N41" s="100"/>
      <c r="O41" s="100"/>
      <c r="P41" s="100"/>
      <c r="Q41" s="100"/>
      <c r="R41" s="100"/>
      <c r="S41" s="100"/>
      <c r="T41" s="100"/>
      <c r="U41" s="100"/>
    </row>
    <row r="42" spans="2:21" x14ac:dyDescent="0.2">
      <c r="B42" s="100" t="s">
        <v>160</v>
      </c>
      <c r="C42" s="100"/>
      <c r="D42" s="100"/>
      <c r="E42" s="100"/>
      <c r="F42" s="100"/>
      <c r="G42" s="136">
        <v>500</v>
      </c>
      <c r="H42" s="110"/>
      <c r="I42" s="105" t="s">
        <v>161</v>
      </c>
      <c r="J42" s="100"/>
      <c r="K42" s="100"/>
      <c r="L42" s="100"/>
      <c r="M42" s="100"/>
      <c r="N42" s="100"/>
      <c r="O42" s="100"/>
      <c r="P42" s="100"/>
      <c r="Q42" s="100"/>
      <c r="R42" s="100"/>
      <c r="S42" s="100"/>
      <c r="T42" s="100"/>
      <c r="U42" s="100"/>
    </row>
    <row r="43" spans="2:21" x14ac:dyDescent="0.2">
      <c r="B43" s="151" t="s">
        <v>162</v>
      </c>
      <c r="C43" s="151"/>
      <c r="D43" s="151"/>
      <c r="E43" s="151"/>
      <c r="F43" s="151"/>
      <c r="G43" s="154">
        <v>0.03</v>
      </c>
      <c r="H43" s="153"/>
      <c r="I43" s="177" t="s">
        <v>163</v>
      </c>
      <c r="J43" s="100"/>
      <c r="K43" s="100"/>
      <c r="L43" s="100"/>
      <c r="M43" s="100"/>
      <c r="N43" s="100"/>
      <c r="O43" s="100"/>
      <c r="P43" s="100"/>
      <c r="Q43" s="100"/>
      <c r="R43" s="100"/>
      <c r="S43" s="100"/>
      <c r="T43" s="100"/>
      <c r="U43" s="100"/>
    </row>
    <row r="44" spans="2:21" x14ac:dyDescent="0.2">
      <c r="B44" s="100" t="s">
        <v>164</v>
      </c>
      <c r="C44" s="100"/>
      <c r="D44" s="100"/>
      <c r="E44" s="100"/>
      <c r="F44" s="100"/>
      <c r="G44" s="137">
        <v>0.6</v>
      </c>
      <c r="H44" s="110"/>
      <c r="I44" s="105" t="s">
        <v>165</v>
      </c>
      <c r="J44" s="100"/>
      <c r="K44" s="100"/>
      <c r="L44" s="100"/>
      <c r="M44" s="100"/>
      <c r="N44" s="100"/>
      <c r="O44" s="100"/>
      <c r="P44" s="100"/>
      <c r="Q44" s="100"/>
      <c r="R44" s="100"/>
      <c r="S44" s="100"/>
      <c r="T44" s="100"/>
      <c r="U44" s="100"/>
    </row>
    <row r="45" spans="2:21" x14ac:dyDescent="0.2">
      <c r="B45" s="151" t="s">
        <v>166</v>
      </c>
      <c r="C45" s="155"/>
      <c r="D45" s="156"/>
      <c r="E45" s="157"/>
      <c r="F45" s="158"/>
      <c r="G45" s="159">
        <v>15</v>
      </c>
      <c r="H45" s="153"/>
      <c r="I45" s="160" t="s">
        <v>167</v>
      </c>
      <c r="J45" s="100"/>
      <c r="K45" s="100"/>
      <c r="L45" s="100"/>
      <c r="M45" s="100"/>
      <c r="N45" s="100"/>
      <c r="O45" s="100"/>
      <c r="P45" s="100"/>
      <c r="Q45" s="100"/>
      <c r="R45" s="100"/>
      <c r="S45" s="100"/>
      <c r="T45" s="100"/>
      <c r="U45" s="100"/>
    </row>
    <row r="46" spans="2:21" x14ac:dyDescent="0.2">
      <c r="B46" s="100" t="s">
        <v>168</v>
      </c>
      <c r="C46" s="100"/>
      <c r="D46" s="100"/>
      <c r="E46" s="100"/>
      <c r="F46" s="100"/>
      <c r="G46" s="137">
        <v>0.75</v>
      </c>
      <c r="H46" s="110"/>
      <c r="I46" s="107" t="s">
        <v>169</v>
      </c>
      <c r="J46" s="100"/>
      <c r="K46" s="100"/>
      <c r="L46" s="100"/>
      <c r="M46" s="100"/>
      <c r="N46" s="100"/>
      <c r="O46" s="100"/>
      <c r="P46" s="100"/>
      <c r="Q46" s="100"/>
      <c r="R46" s="100"/>
      <c r="S46" s="100"/>
      <c r="T46" s="100"/>
      <c r="U46" s="100"/>
    </row>
    <row r="47" spans="2:21" ht="17" thickBot="1" x14ac:dyDescent="0.25">
      <c r="B47" s="163" t="s">
        <v>170</v>
      </c>
      <c r="C47" s="151"/>
      <c r="D47" s="151"/>
      <c r="E47" s="151"/>
      <c r="F47" s="151"/>
      <c r="G47" s="161">
        <v>2021</v>
      </c>
      <c r="H47" s="153"/>
      <c r="I47" s="162" t="s">
        <v>171</v>
      </c>
      <c r="J47" s="100"/>
      <c r="K47" s="100"/>
      <c r="L47" s="100"/>
      <c r="M47" s="100"/>
      <c r="N47" s="100"/>
      <c r="O47" s="100"/>
      <c r="P47" s="100"/>
      <c r="Q47" s="100"/>
      <c r="R47" s="100"/>
      <c r="S47" s="100"/>
      <c r="T47" s="100"/>
      <c r="U47" s="100"/>
    </row>
    <row r="48" spans="2:21" ht="17" thickTop="1" x14ac:dyDescent="0.2">
      <c r="B48" s="100"/>
      <c r="C48" s="117"/>
      <c r="D48" s="124"/>
      <c r="F48" s="118"/>
      <c r="G48" s="100"/>
      <c r="H48" s="110"/>
      <c r="I48" s="107"/>
      <c r="J48" s="100"/>
      <c r="K48" s="100"/>
      <c r="L48" s="100"/>
      <c r="M48" s="100"/>
      <c r="N48" s="100"/>
      <c r="O48" s="100"/>
      <c r="P48" s="100"/>
      <c r="Q48" s="100"/>
      <c r="R48" s="100"/>
      <c r="S48" s="100"/>
      <c r="T48" s="100"/>
      <c r="U48" s="100"/>
    </row>
    <row r="49" spans="2:21" ht="19" x14ac:dyDescent="0.2">
      <c r="B49" s="150" t="s">
        <v>27</v>
      </c>
      <c r="C49" s="115"/>
      <c r="D49" s="111"/>
      <c r="E49" s="133"/>
      <c r="F49" s="115"/>
      <c r="G49" s="100"/>
      <c r="H49" s="110"/>
      <c r="I49" s="107"/>
      <c r="J49" s="100"/>
      <c r="K49" s="100"/>
      <c r="L49" s="100"/>
      <c r="M49" s="100"/>
      <c r="N49" s="100"/>
      <c r="O49" s="100"/>
      <c r="P49" s="100"/>
      <c r="Q49" s="100"/>
      <c r="R49" s="100"/>
      <c r="S49" s="100"/>
      <c r="T49" s="100"/>
      <c r="U49" s="100"/>
    </row>
    <row r="50" spans="2:21" x14ac:dyDescent="0.2">
      <c r="B50" s="151" t="s">
        <v>172</v>
      </c>
      <c r="C50" s="151"/>
      <c r="D50" s="151"/>
      <c r="E50" s="151"/>
      <c r="F50" s="151"/>
      <c r="G50" s="166">
        <v>2000000</v>
      </c>
      <c r="H50" s="153"/>
      <c r="I50" s="160" t="s">
        <v>173</v>
      </c>
      <c r="J50" s="100"/>
      <c r="K50" s="100"/>
      <c r="L50" s="100"/>
      <c r="M50" s="100"/>
      <c r="N50" s="100"/>
      <c r="O50" s="100"/>
      <c r="P50" s="100"/>
      <c r="Q50" s="100"/>
      <c r="R50" s="100"/>
      <c r="S50" s="100"/>
      <c r="T50" s="100"/>
      <c r="U50" s="100"/>
    </row>
    <row r="51" spans="2:21" x14ac:dyDescent="0.2">
      <c r="B51" s="100" t="s">
        <v>174</v>
      </c>
      <c r="C51" s="117"/>
      <c r="D51" s="124"/>
      <c r="F51" s="117"/>
      <c r="G51" s="137">
        <v>0.02</v>
      </c>
      <c r="H51" s="110"/>
      <c r="I51" s="105" t="s">
        <v>175</v>
      </c>
      <c r="J51" s="100"/>
      <c r="K51" s="100"/>
      <c r="L51" s="100"/>
      <c r="M51" s="100"/>
      <c r="N51" s="100"/>
      <c r="O51" s="100"/>
      <c r="P51" s="100"/>
      <c r="Q51" s="100"/>
      <c r="R51" s="100"/>
      <c r="S51" s="100"/>
      <c r="T51" s="100"/>
      <c r="U51" s="100"/>
    </row>
    <row r="52" spans="2:21" x14ac:dyDescent="0.2">
      <c r="B52" s="151" t="s">
        <v>176</v>
      </c>
      <c r="C52" s="167"/>
      <c r="D52" s="168"/>
      <c r="E52" s="169"/>
      <c r="F52" s="167"/>
      <c r="G52" s="154">
        <v>0.4</v>
      </c>
      <c r="H52" s="153"/>
      <c r="I52" s="160" t="s">
        <v>177</v>
      </c>
      <c r="J52" s="100"/>
      <c r="K52" s="100"/>
      <c r="L52" s="100"/>
      <c r="M52" s="100"/>
      <c r="N52" s="100"/>
      <c r="O52" s="100"/>
      <c r="P52" s="100"/>
      <c r="Q52" s="100"/>
      <c r="R52" s="100"/>
      <c r="S52" s="100"/>
      <c r="T52" s="100"/>
      <c r="U52" s="100"/>
    </row>
    <row r="53" spans="2:21" x14ac:dyDescent="0.2">
      <c r="B53" s="100" t="s">
        <v>170</v>
      </c>
      <c r="C53" s="100"/>
      <c r="D53" s="100"/>
      <c r="E53" s="100"/>
      <c r="F53" s="100"/>
      <c r="G53" s="140">
        <v>2025</v>
      </c>
      <c r="H53" s="110"/>
      <c r="I53" s="107" t="s">
        <v>127</v>
      </c>
      <c r="J53" s="100"/>
      <c r="K53" s="100"/>
      <c r="L53" s="100"/>
      <c r="M53" s="100"/>
      <c r="N53" s="100"/>
      <c r="O53" s="100"/>
      <c r="P53" s="100"/>
      <c r="Q53" s="100"/>
      <c r="R53" s="100"/>
      <c r="S53" s="100"/>
      <c r="T53" s="100"/>
      <c r="U53" s="100"/>
    </row>
    <row r="54" spans="2:21" x14ac:dyDescent="0.2">
      <c r="B54" s="151" t="s">
        <v>166</v>
      </c>
      <c r="C54" s="170"/>
      <c r="D54" s="171"/>
      <c r="E54" s="172"/>
      <c r="F54" s="170"/>
      <c r="G54" s="173">
        <v>10</v>
      </c>
      <c r="H54" s="153"/>
      <c r="I54" s="160" t="s">
        <v>167</v>
      </c>
      <c r="J54" s="100"/>
      <c r="K54" s="100"/>
      <c r="L54" s="100"/>
      <c r="M54" s="100"/>
      <c r="N54" s="100"/>
      <c r="O54" s="100"/>
      <c r="P54" s="100"/>
      <c r="Q54" s="100"/>
      <c r="R54" s="100"/>
      <c r="S54" s="100"/>
      <c r="T54" s="100"/>
      <c r="U54" s="100"/>
    </row>
    <row r="55" spans="2:21" x14ac:dyDescent="0.2">
      <c r="B55" s="100" t="s">
        <v>168</v>
      </c>
      <c r="C55" s="113"/>
      <c r="D55" s="112"/>
      <c r="E55" s="134"/>
      <c r="F55" s="113"/>
      <c r="G55" s="137">
        <v>0.7</v>
      </c>
      <c r="H55" s="110"/>
      <c r="I55" s="107" t="s">
        <v>178</v>
      </c>
      <c r="J55" s="100"/>
      <c r="K55" s="100"/>
      <c r="L55" s="100"/>
      <c r="M55" s="100"/>
      <c r="N55" s="100"/>
      <c r="O55" s="100"/>
      <c r="P55" s="100"/>
      <c r="Q55" s="100"/>
      <c r="R55" s="100"/>
      <c r="S55" s="100"/>
      <c r="T55" s="100"/>
      <c r="U55" s="100"/>
    </row>
    <row r="56" spans="2:21" x14ac:dyDescent="0.2">
      <c r="B56" s="151" t="s">
        <v>179</v>
      </c>
      <c r="C56" s="174"/>
      <c r="D56" s="175"/>
      <c r="E56" s="176"/>
      <c r="F56" s="174"/>
      <c r="G56" s="166">
        <v>1</v>
      </c>
      <c r="H56" s="153"/>
      <c r="I56" s="160" t="s">
        <v>180</v>
      </c>
      <c r="J56" s="100"/>
      <c r="K56" s="100"/>
      <c r="L56" s="100"/>
      <c r="M56" s="100"/>
      <c r="N56" s="100"/>
      <c r="O56" s="100"/>
      <c r="P56" s="100"/>
      <c r="Q56" s="100"/>
      <c r="R56" s="100"/>
      <c r="S56" s="100"/>
      <c r="T56" s="100"/>
      <c r="U56" s="100"/>
    </row>
    <row r="57" spans="2:21" x14ac:dyDescent="0.2">
      <c r="B57" s="100" t="s">
        <v>181</v>
      </c>
      <c r="C57" s="115"/>
      <c r="D57" s="111"/>
      <c r="E57" s="133"/>
      <c r="F57" s="115"/>
      <c r="G57" s="141">
        <v>3300000</v>
      </c>
      <c r="H57" s="110"/>
      <c r="I57" s="107" t="s">
        <v>182</v>
      </c>
      <c r="J57" s="100"/>
      <c r="K57" s="100"/>
      <c r="L57" s="100"/>
      <c r="M57" s="100"/>
      <c r="N57" s="100"/>
      <c r="O57" s="100"/>
      <c r="P57" s="100"/>
      <c r="Q57" s="100"/>
      <c r="R57" s="100"/>
      <c r="S57" s="100"/>
      <c r="T57" s="100"/>
      <c r="U57" s="100"/>
    </row>
    <row r="58" spans="2:21" x14ac:dyDescent="0.2">
      <c r="B58" s="177" t="s">
        <v>183</v>
      </c>
      <c r="C58" s="170"/>
      <c r="D58" s="171"/>
      <c r="E58" s="172"/>
      <c r="F58" s="170"/>
      <c r="G58" s="178">
        <v>60000000</v>
      </c>
      <c r="H58" s="153"/>
      <c r="I58" s="160" t="s">
        <v>184</v>
      </c>
      <c r="J58" s="100"/>
      <c r="K58" s="100"/>
      <c r="L58" s="100"/>
      <c r="M58" s="100"/>
      <c r="N58" s="100"/>
      <c r="O58" s="100"/>
      <c r="P58" s="100"/>
      <c r="Q58" s="100"/>
      <c r="R58" s="100"/>
      <c r="S58" s="100"/>
      <c r="T58" s="100"/>
      <c r="U58" s="100"/>
    </row>
    <row r="59" spans="2:21" x14ac:dyDescent="0.2">
      <c r="B59" s="100" t="s">
        <v>185</v>
      </c>
      <c r="C59" s="100"/>
      <c r="D59" s="100"/>
      <c r="E59" s="100"/>
      <c r="F59" s="100"/>
      <c r="G59" s="142">
        <v>3</v>
      </c>
      <c r="H59" s="110"/>
      <c r="I59" s="107" t="s">
        <v>186</v>
      </c>
      <c r="J59" s="100"/>
      <c r="K59" s="100"/>
      <c r="L59" s="100"/>
      <c r="M59" s="100"/>
      <c r="N59" s="100"/>
      <c r="O59" s="100"/>
      <c r="P59" s="100"/>
      <c r="Q59" s="100"/>
      <c r="R59" s="100"/>
      <c r="S59" s="100"/>
      <c r="T59" s="100"/>
      <c r="U59" s="100"/>
    </row>
    <row r="60" spans="2:21" x14ac:dyDescent="0.2">
      <c r="B60" s="151" t="s">
        <v>187</v>
      </c>
      <c r="C60" s="170"/>
      <c r="D60" s="171"/>
      <c r="E60" s="172"/>
      <c r="F60" s="170"/>
      <c r="G60" s="154">
        <v>0.2</v>
      </c>
      <c r="H60" s="153"/>
      <c r="I60" s="177" t="s">
        <v>188</v>
      </c>
      <c r="J60" s="100"/>
      <c r="K60" s="100"/>
      <c r="L60" s="100"/>
      <c r="M60" s="100"/>
      <c r="N60" s="100"/>
      <c r="O60" s="100"/>
      <c r="P60" s="100"/>
      <c r="Q60" s="100"/>
      <c r="R60" s="100"/>
      <c r="S60" s="100"/>
      <c r="T60" s="100"/>
      <c r="U60" s="100"/>
    </row>
    <row r="61" spans="2:21" x14ac:dyDescent="0.2">
      <c r="B61" s="100" t="s">
        <v>166</v>
      </c>
      <c r="C61" s="127"/>
      <c r="D61" s="111"/>
      <c r="E61" s="133"/>
      <c r="F61" s="115"/>
      <c r="G61" s="142">
        <v>10</v>
      </c>
      <c r="H61" s="110"/>
      <c r="I61" s="105" t="s">
        <v>167</v>
      </c>
      <c r="J61" s="100"/>
      <c r="K61" s="100"/>
      <c r="L61" s="100"/>
      <c r="M61" s="100"/>
      <c r="N61" s="100"/>
      <c r="O61" s="100"/>
      <c r="P61" s="100"/>
      <c r="Q61" s="100"/>
      <c r="R61" s="100"/>
      <c r="S61" s="100"/>
      <c r="T61" s="100"/>
      <c r="U61" s="100"/>
    </row>
    <row r="62" spans="2:21" x14ac:dyDescent="0.2">
      <c r="B62" s="151" t="s">
        <v>189</v>
      </c>
      <c r="C62" s="151"/>
      <c r="D62" s="151"/>
      <c r="E62" s="151"/>
      <c r="F62" s="151"/>
      <c r="G62" s="154">
        <v>0.05</v>
      </c>
      <c r="H62" s="153"/>
      <c r="I62" s="177" t="s">
        <v>190</v>
      </c>
      <c r="J62" s="100"/>
      <c r="K62" s="100"/>
      <c r="L62" s="100"/>
      <c r="M62" s="100"/>
      <c r="N62" s="100"/>
      <c r="O62" s="100"/>
      <c r="P62" s="100"/>
      <c r="Q62" s="100"/>
      <c r="R62" s="100"/>
      <c r="S62" s="100"/>
      <c r="T62" s="100"/>
      <c r="U62" s="100"/>
    </row>
    <row r="63" spans="2:21" ht="17" thickBot="1" x14ac:dyDescent="0.25">
      <c r="B63" s="165" t="s">
        <v>166</v>
      </c>
      <c r="C63" s="117"/>
      <c r="D63" s="124"/>
      <c r="F63" s="117"/>
      <c r="G63" s="164">
        <v>20</v>
      </c>
      <c r="H63" s="110"/>
      <c r="I63" s="205" t="s">
        <v>167</v>
      </c>
      <c r="J63" s="100"/>
      <c r="K63" s="100"/>
      <c r="L63" s="100"/>
      <c r="M63" s="100"/>
      <c r="N63" s="100"/>
      <c r="O63" s="100"/>
      <c r="P63" s="100"/>
      <c r="Q63" s="100"/>
      <c r="R63" s="100"/>
      <c r="S63" s="100"/>
      <c r="T63" s="100"/>
      <c r="U63" s="100"/>
    </row>
    <row r="64" spans="2:21" ht="17" thickTop="1" x14ac:dyDescent="0.2">
      <c r="B64" s="100"/>
      <c r="C64" s="100"/>
      <c r="D64" s="100"/>
      <c r="E64" s="100"/>
      <c r="F64" s="100"/>
      <c r="G64" s="100"/>
      <c r="H64" s="110"/>
      <c r="I64" s="206"/>
      <c r="J64" s="100"/>
      <c r="K64" s="100"/>
      <c r="L64" s="100"/>
      <c r="M64" s="100"/>
      <c r="N64" s="100"/>
      <c r="O64" s="100"/>
      <c r="P64" s="100"/>
      <c r="Q64" s="100"/>
      <c r="R64" s="100"/>
      <c r="S64" s="100"/>
      <c r="T64" s="100"/>
      <c r="U64" s="100"/>
    </row>
    <row r="65" spans="2:21" ht="19" x14ac:dyDescent="0.2">
      <c r="B65" s="150" t="s">
        <v>191</v>
      </c>
      <c r="C65" s="115"/>
      <c r="D65" s="111"/>
      <c r="E65" s="133"/>
      <c r="F65" s="100"/>
      <c r="G65" s="100"/>
      <c r="H65" s="110"/>
      <c r="I65" s="206"/>
      <c r="J65" s="100"/>
      <c r="K65" s="100"/>
      <c r="L65" s="100"/>
      <c r="M65" s="100"/>
      <c r="N65" s="100"/>
      <c r="O65" s="100"/>
      <c r="P65" s="100"/>
      <c r="Q65" s="100"/>
      <c r="R65" s="100"/>
      <c r="S65" s="100"/>
      <c r="T65" s="100"/>
      <c r="U65" s="100"/>
    </row>
    <row r="66" spans="2:21" x14ac:dyDescent="0.2">
      <c r="B66" s="151" t="s">
        <v>192</v>
      </c>
      <c r="C66" s="151"/>
      <c r="D66" s="151"/>
      <c r="E66" s="151"/>
      <c r="F66" s="151"/>
      <c r="G66" s="179">
        <v>800</v>
      </c>
      <c r="H66" s="153"/>
      <c r="I66" s="160" t="s">
        <v>193</v>
      </c>
      <c r="J66" s="100"/>
      <c r="K66" s="100"/>
      <c r="L66" s="100"/>
      <c r="M66" s="100"/>
      <c r="N66" s="100"/>
      <c r="O66" s="100"/>
      <c r="P66" s="100"/>
      <c r="Q66" s="100"/>
      <c r="R66" s="100"/>
      <c r="S66" s="100"/>
      <c r="T66" s="100"/>
      <c r="U66" s="100"/>
    </row>
    <row r="67" spans="2:21" x14ac:dyDescent="0.2">
      <c r="B67" s="100" t="s">
        <v>194</v>
      </c>
      <c r="C67" s="113"/>
      <c r="D67" s="112"/>
      <c r="E67" s="134"/>
      <c r="F67" s="114"/>
      <c r="G67" s="136">
        <v>450</v>
      </c>
      <c r="H67" s="110"/>
      <c r="I67" s="107" t="s">
        <v>195</v>
      </c>
      <c r="J67" s="100"/>
      <c r="K67" s="100"/>
      <c r="L67" s="100"/>
      <c r="M67" s="100"/>
      <c r="N67" s="100"/>
      <c r="O67" s="100"/>
      <c r="P67" s="100"/>
      <c r="Q67" s="100"/>
      <c r="R67" s="100"/>
      <c r="S67" s="100"/>
      <c r="T67" s="100"/>
      <c r="U67" s="100"/>
    </row>
    <row r="68" spans="2:21" x14ac:dyDescent="0.2">
      <c r="B68" s="151" t="s">
        <v>196</v>
      </c>
      <c r="C68" s="167"/>
      <c r="D68" s="168"/>
      <c r="E68" s="169"/>
      <c r="F68" s="180"/>
      <c r="G68" s="154">
        <v>0.2</v>
      </c>
      <c r="H68" s="153"/>
      <c r="I68" s="160" t="s">
        <v>197</v>
      </c>
      <c r="J68" s="100"/>
      <c r="K68" s="100"/>
      <c r="L68" s="100"/>
      <c r="M68" s="100"/>
      <c r="N68" s="100"/>
      <c r="O68" s="100"/>
      <c r="P68" s="100"/>
      <c r="Q68" s="100"/>
      <c r="R68" s="100"/>
      <c r="S68" s="100"/>
      <c r="T68" s="100"/>
      <c r="U68" s="100"/>
    </row>
    <row r="69" spans="2:21" x14ac:dyDescent="0.2">
      <c r="B69" s="100" t="s">
        <v>198</v>
      </c>
      <c r="C69" s="115"/>
      <c r="D69" s="111"/>
      <c r="E69" s="133"/>
      <c r="F69" s="116"/>
      <c r="G69" s="142">
        <v>15</v>
      </c>
      <c r="H69" s="110"/>
      <c r="I69" s="107" t="s">
        <v>167</v>
      </c>
      <c r="J69" s="100"/>
      <c r="K69" s="100"/>
      <c r="L69" s="100"/>
      <c r="M69" s="100"/>
      <c r="N69" s="100"/>
      <c r="O69" s="100"/>
      <c r="P69" s="100"/>
      <c r="Q69" s="100"/>
      <c r="R69" s="100"/>
      <c r="S69" s="100"/>
      <c r="T69" s="100"/>
      <c r="U69" s="100"/>
    </row>
    <row r="70" spans="2:21" x14ac:dyDescent="0.2">
      <c r="B70" s="151" t="s">
        <v>199</v>
      </c>
      <c r="C70" s="167"/>
      <c r="D70" s="168"/>
      <c r="E70" s="169"/>
      <c r="F70" s="180"/>
      <c r="G70" s="181">
        <v>20</v>
      </c>
      <c r="H70" s="153"/>
      <c r="I70" s="160" t="s">
        <v>167</v>
      </c>
      <c r="J70" s="100"/>
      <c r="K70" s="100"/>
      <c r="L70" s="100"/>
      <c r="M70" s="100"/>
      <c r="N70" s="100"/>
      <c r="O70" s="100"/>
      <c r="P70" s="100"/>
      <c r="Q70" s="100"/>
      <c r="R70" s="100"/>
      <c r="S70" s="100"/>
      <c r="T70" s="100"/>
      <c r="U70" s="100"/>
    </row>
    <row r="71" spans="2:21" x14ac:dyDescent="0.2">
      <c r="B71" s="100" t="s">
        <v>168</v>
      </c>
      <c r="C71" s="121"/>
      <c r="D71" s="122"/>
      <c r="E71" s="132"/>
      <c r="F71" s="123"/>
      <c r="G71" s="137">
        <v>0.8</v>
      </c>
      <c r="H71" s="110"/>
      <c r="I71" s="128" t="s">
        <v>200</v>
      </c>
      <c r="J71" s="100"/>
      <c r="K71" s="100"/>
      <c r="L71" s="100"/>
      <c r="M71" s="100"/>
      <c r="N71" s="100"/>
      <c r="O71" s="100"/>
      <c r="P71" s="100"/>
      <c r="Q71" s="100"/>
      <c r="R71" s="100"/>
      <c r="S71" s="100"/>
      <c r="T71" s="100"/>
      <c r="U71" s="100"/>
    </row>
    <row r="72" spans="2:21" x14ac:dyDescent="0.2">
      <c r="B72" s="151" t="s">
        <v>201</v>
      </c>
      <c r="C72" s="155"/>
      <c r="D72" s="156"/>
      <c r="E72" s="157"/>
      <c r="F72" s="158"/>
      <c r="G72" s="181">
        <v>1</v>
      </c>
      <c r="H72" s="153"/>
      <c r="I72" s="160" t="s">
        <v>202</v>
      </c>
      <c r="J72" s="100"/>
      <c r="K72" s="100"/>
      <c r="L72" s="100"/>
      <c r="M72" s="100"/>
      <c r="N72" s="100"/>
      <c r="O72" s="100"/>
      <c r="P72" s="100"/>
      <c r="Q72" s="100"/>
      <c r="R72" s="100"/>
      <c r="S72" s="100"/>
      <c r="T72" s="100"/>
      <c r="U72" s="100"/>
    </row>
    <row r="73" spans="2:21" ht="17" thickBot="1" x14ac:dyDescent="0.25">
      <c r="B73" s="165" t="s">
        <v>203</v>
      </c>
      <c r="C73" s="121"/>
      <c r="D73" s="122"/>
      <c r="E73" s="132"/>
      <c r="F73" s="123"/>
      <c r="G73" s="182">
        <v>0.1</v>
      </c>
      <c r="H73" s="110"/>
      <c r="I73" s="183" t="s">
        <v>204</v>
      </c>
      <c r="J73" s="100"/>
      <c r="K73" s="100"/>
      <c r="L73" s="100"/>
      <c r="M73" s="100"/>
      <c r="N73" s="100"/>
      <c r="O73" s="100"/>
      <c r="P73" s="100"/>
      <c r="Q73" s="100"/>
      <c r="R73" s="100"/>
      <c r="S73" s="100"/>
      <c r="T73" s="100"/>
      <c r="U73" s="100"/>
    </row>
    <row r="74" spans="2:21" ht="17" thickTop="1" x14ac:dyDescent="0.2">
      <c r="B74" s="100"/>
      <c r="C74" s="117"/>
      <c r="D74" s="124"/>
      <c r="F74" s="118"/>
      <c r="G74" s="100"/>
      <c r="H74" s="110"/>
      <c r="I74" s="105"/>
      <c r="J74" s="100"/>
      <c r="K74" s="100"/>
      <c r="L74" s="100"/>
      <c r="M74" s="100"/>
      <c r="N74" s="100"/>
      <c r="O74" s="100"/>
      <c r="P74" s="100"/>
      <c r="Q74" s="100"/>
      <c r="R74" s="100"/>
      <c r="S74" s="100"/>
      <c r="T74" s="100"/>
      <c r="U74" s="100"/>
    </row>
    <row r="75" spans="2:21" ht="19" x14ac:dyDescent="0.2">
      <c r="B75" s="150" t="s">
        <v>205</v>
      </c>
      <c r="C75" s="113"/>
      <c r="D75" s="112"/>
      <c r="E75" s="131"/>
      <c r="F75" s="114"/>
      <c r="G75" s="100"/>
      <c r="H75" s="110"/>
      <c r="I75" s="105"/>
      <c r="J75" s="100"/>
      <c r="K75" s="100"/>
      <c r="L75" s="100"/>
      <c r="M75" s="100"/>
      <c r="N75" s="100"/>
      <c r="O75" s="100"/>
      <c r="P75" s="100"/>
      <c r="Q75" s="100"/>
      <c r="R75" s="100"/>
      <c r="S75" s="100"/>
      <c r="T75" s="100"/>
      <c r="U75" s="100"/>
    </row>
    <row r="76" spans="2:21" x14ac:dyDescent="0.2">
      <c r="B76" s="184" t="s">
        <v>206</v>
      </c>
      <c r="C76" s="167"/>
      <c r="D76" s="168"/>
      <c r="E76" s="169"/>
      <c r="F76" s="180"/>
      <c r="G76" s="179">
        <v>500</v>
      </c>
      <c r="H76" s="153"/>
      <c r="I76" s="160" t="s">
        <v>207</v>
      </c>
      <c r="J76" s="100"/>
      <c r="K76" s="100"/>
      <c r="L76" s="100"/>
      <c r="M76" s="100"/>
      <c r="N76" s="100"/>
      <c r="O76" s="100"/>
      <c r="P76" s="100"/>
      <c r="Q76" s="100"/>
      <c r="R76" s="100"/>
      <c r="S76" s="100"/>
      <c r="T76" s="100"/>
      <c r="U76" s="100"/>
    </row>
    <row r="77" spans="2:21" x14ac:dyDescent="0.2">
      <c r="B77" s="185" t="s">
        <v>208</v>
      </c>
      <c r="C77" s="115"/>
      <c r="D77" s="111"/>
      <c r="E77" s="133"/>
      <c r="F77" s="116"/>
      <c r="G77" s="137">
        <v>0.04</v>
      </c>
      <c r="H77" s="110"/>
      <c r="I77" s="107" t="s">
        <v>209</v>
      </c>
      <c r="J77" s="100"/>
      <c r="K77" s="100"/>
      <c r="L77" s="100"/>
      <c r="M77" s="100"/>
      <c r="N77" s="100"/>
      <c r="O77" s="100"/>
      <c r="P77" s="100"/>
      <c r="Q77" s="100"/>
      <c r="R77" s="100"/>
      <c r="S77" s="100"/>
      <c r="T77" s="100"/>
      <c r="U77" s="100"/>
    </row>
    <row r="78" spans="2:21" x14ac:dyDescent="0.2">
      <c r="B78" s="184" t="s">
        <v>168</v>
      </c>
      <c r="C78" s="170"/>
      <c r="D78" s="171"/>
      <c r="E78" s="172"/>
      <c r="F78" s="170"/>
      <c r="G78" s="154">
        <v>0.65</v>
      </c>
      <c r="H78" s="153"/>
      <c r="I78" s="160" t="s">
        <v>210</v>
      </c>
      <c r="J78" s="100"/>
      <c r="K78" s="100"/>
      <c r="L78" s="100"/>
      <c r="M78" s="100"/>
      <c r="N78" s="100"/>
      <c r="O78" s="100"/>
      <c r="P78" s="100"/>
      <c r="Q78" s="100"/>
      <c r="R78" s="100"/>
      <c r="S78" s="100"/>
      <c r="T78" s="100"/>
      <c r="U78" s="100"/>
    </row>
    <row r="79" spans="2:21" ht="17" thickBot="1" x14ac:dyDescent="0.25">
      <c r="B79" s="165" t="s">
        <v>211</v>
      </c>
      <c r="C79" s="117"/>
      <c r="D79" s="124"/>
      <c r="F79" s="117"/>
      <c r="G79" s="182">
        <v>0.05</v>
      </c>
      <c r="H79" s="110"/>
      <c r="I79" s="183" t="s">
        <v>212</v>
      </c>
      <c r="J79" s="100"/>
      <c r="K79" s="100"/>
      <c r="L79" s="100"/>
      <c r="M79" s="100"/>
      <c r="N79" s="100"/>
      <c r="O79" s="100"/>
      <c r="P79" s="100"/>
      <c r="Q79" s="100"/>
      <c r="R79" s="100"/>
      <c r="S79" s="100"/>
      <c r="T79" s="100"/>
      <c r="U79" s="100"/>
    </row>
    <row r="80" spans="2:21" ht="17" thickTop="1" x14ac:dyDescent="0.2">
      <c r="J80" s="100"/>
      <c r="K80" s="100"/>
      <c r="L80" s="100"/>
      <c r="M80" s="100"/>
      <c r="N80" s="100"/>
      <c r="O80" s="100"/>
      <c r="P80" s="100"/>
      <c r="Q80" s="100"/>
      <c r="R80" s="100"/>
      <c r="S80" s="100"/>
      <c r="T80" s="100"/>
      <c r="U80" s="100"/>
    </row>
    <row r="81" spans="2:21" x14ac:dyDescent="0.2">
      <c r="J81" s="100"/>
      <c r="K81" s="100"/>
      <c r="L81" s="100"/>
      <c r="M81" s="100"/>
      <c r="N81" s="100"/>
      <c r="O81" s="100"/>
      <c r="P81" s="100"/>
      <c r="Q81" s="100"/>
      <c r="R81" s="100"/>
      <c r="S81" s="100"/>
      <c r="T81" s="100"/>
      <c r="U81" s="100"/>
    </row>
    <row r="82" spans="2:21" ht="26" x14ac:dyDescent="0.2">
      <c r="B82" s="252" t="s">
        <v>213</v>
      </c>
      <c r="C82" s="100"/>
      <c r="D82" s="100"/>
      <c r="E82" s="100"/>
      <c r="F82" s="100"/>
      <c r="G82" s="100"/>
      <c r="H82" s="110"/>
      <c r="I82" s="105"/>
      <c r="J82" s="100"/>
      <c r="K82" s="100"/>
      <c r="L82" s="100"/>
      <c r="M82" s="100"/>
      <c r="N82" s="100"/>
      <c r="O82" s="100"/>
      <c r="P82" s="100"/>
      <c r="Q82" s="100"/>
      <c r="R82" s="100"/>
      <c r="S82" s="100"/>
      <c r="T82" s="100"/>
      <c r="U82" s="100"/>
    </row>
    <row r="83" spans="2:21" x14ac:dyDescent="0.2">
      <c r="B83" s="144" t="s">
        <v>214</v>
      </c>
      <c r="C83" s="100"/>
      <c r="D83" s="100"/>
      <c r="E83" s="100"/>
      <c r="F83" s="100"/>
      <c r="G83" s="100"/>
      <c r="H83" s="110"/>
      <c r="I83" s="105"/>
      <c r="J83" s="100"/>
      <c r="K83" s="100"/>
      <c r="L83" s="100"/>
      <c r="M83" s="100"/>
      <c r="N83" s="100"/>
      <c r="O83" s="100"/>
      <c r="P83" s="100"/>
      <c r="Q83" s="100"/>
      <c r="R83" s="100"/>
      <c r="S83" s="100"/>
      <c r="T83" s="100"/>
      <c r="U83" s="100"/>
    </row>
    <row r="84" spans="2:21" x14ac:dyDescent="0.2">
      <c r="B84" s="100"/>
      <c r="C84" s="100"/>
      <c r="D84" s="100"/>
      <c r="E84" s="100"/>
      <c r="F84" s="100"/>
      <c r="G84" s="100"/>
      <c r="H84" s="110"/>
      <c r="I84" s="105"/>
      <c r="J84" s="100"/>
      <c r="K84" s="100"/>
      <c r="L84" s="100"/>
      <c r="M84" s="100"/>
      <c r="N84" s="100"/>
      <c r="O84" s="100"/>
      <c r="P84" s="100"/>
      <c r="Q84" s="100"/>
      <c r="R84" s="100"/>
      <c r="S84" s="100"/>
      <c r="T84" s="100"/>
      <c r="U84" s="100"/>
    </row>
    <row r="85" spans="2:21" ht="19" x14ac:dyDescent="0.2">
      <c r="B85" s="186" t="s">
        <v>215</v>
      </c>
      <c r="C85" s="100"/>
      <c r="D85" s="100"/>
      <c r="E85" s="100"/>
      <c r="F85" s="100"/>
      <c r="G85" s="243" t="s">
        <v>110</v>
      </c>
      <c r="H85" s="244"/>
      <c r="I85" s="275" t="s">
        <v>111</v>
      </c>
      <c r="J85" s="100"/>
      <c r="K85" s="100"/>
      <c r="L85" s="100"/>
      <c r="M85" s="100"/>
      <c r="N85" s="100"/>
      <c r="O85" s="100"/>
      <c r="P85" s="100"/>
      <c r="Q85" s="100"/>
      <c r="R85" s="100"/>
      <c r="S85" s="100"/>
      <c r="T85" s="100"/>
      <c r="U85" s="100"/>
    </row>
    <row r="86" spans="2:21" x14ac:dyDescent="0.2">
      <c r="B86" s="187" t="s">
        <v>216</v>
      </c>
      <c r="C86" s="188"/>
      <c r="D86" s="189"/>
      <c r="E86" s="1"/>
      <c r="F86" s="188"/>
      <c r="G86" s="190">
        <v>300000</v>
      </c>
      <c r="H86" s="191"/>
      <c r="I86" s="192" t="s">
        <v>217</v>
      </c>
      <c r="J86" s="100"/>
      <c r="K86" s="100"/>
      <c r="L86" s="100"/>
      <c r="M86" s="100"/>
      <c r="N86" s="100"/>
      <c r="O86" s="100"/>
      <c r="P86" s="100"/>
      <c r="Q86" s="100"/>
      <c r="R86" s="100"/>
      <c r="S86" s="100"/>
      <c r="T86" s="100"/>
      <c r="U86" s="100"/>
    </row>
    <row r="87" spans="2:21" x14ac:dyDescent="0.2">
      <c r="B87" s="100" t="s">
        <v>218</v>
      </c>
      <c r="C87" s="100"/>
      <c r="D87" s="100"/>
      <c r="E87" s="100"/>
      <c r="F87" s="100"/>
      <c r="G87" s="141">
        <v>270000</v>
      </c>
      <c r="H87" s="110"/>
      <c r="I87" s="107" t="s">
        <v>219</v>
      </c>
      <c r="J87" s="100"/>
      <c r="K87" s="100"/>
      <c r="L87" s="100"/>
      <c r="M87" s="100"/>
      <c r="N87" s="100"/>
      <c r="O87" s="100"/>
      <c r="P87" s="100"/>
      <c r="Q87" s="100"/>
      <c r="R87" s="100"/>
      <c r="S87" s="100"/>
      <c r="T87" s="100"/>
      <c r="U87" s="100"/>
    </row>
    <row r="88" spans="2:21" x14ac:dyDescent="0.2">
      <c r="B88" s="187" t="s">
        <v>220</v>
      </c>
      <c r="C88" s="193"/>
      <c r="D88" s="194"/>
      <c r="E88" s="195"/>
      <c r="F88" s="193"/>
      <c r="G88" s="190">
        <v>115000</v>
      </c>
      <c r="H88" s="191"/>
      <c r="I88" s="192" t="s">
        <v>221</v>
      </c>
      <c r="J88" s="100"/>
      <c r="K88" s="100"/>
      <c r="L88" s="100"/>
      <c r="M88" s="100"/>
      <c r="N88" s="100"/>
      <c r="O88" s="100"/>
      <c r="P88" s="100"/>
      <c r="Q88" s="100"/>
      <c r="R88" s="100"/>
      <c r="S88" s="100"/>
      <c r="T88" s="100"/>
      <c r="U88" s="100"/>
    </row>
    <row r="89" spans="2:21" x14ac:dyDescent="0.2">
      <c r="B89" s="100" t="s">
        <v>222</v>
      </c>
      <c r="C89" s="119"/>
      <c r="D89" s="120"/>
      <c r="E89" s="132"/>
      <c r="F89" s="119"/>
      <c r="G89" s="142">
        <v>210</v>
      </c>
      <c r="H89" s="110"/>
      <c r="I89" s="107" t="s">
        <v>223</v>
      </c>
      <c r="J89" s="100"/>
      <c r="K89" s="100"/>
      <c r="L89" s="100"/>
      <c r="M89" s="100"/>
      <c r="N89" s="100"/>
      <c r="O89" s="100"/>
      <c r="P89" s="100"/>
      <c r="Q89" s="100"/>
      <c r="R89" s="100"/>
      <c r="S89" s="100"/>
      <c r="T89" s="100"/>
      <c r="U89" s="100"/>
    </row>
    <row r="90" spans="2:21" x14ac:dyDescent="0.2">
      <c r="B90" s="187" t="s">
        <v>224</v>
      </c>
      <c r="C90" s="196"/>
      <c r="D90" s="197"/>
      <c r="E90" s="198"/>
      <c r="F90" s="196"/>
      <c r="G90" s="199">
        <v>3000</v>
      </c>
      <c r="H90" s="191"/>
      <c r="I90" s="192" t="s">
        <v>225</v>
      </c>
      <c r="J90" s="100"/>
      <c r="K90" s="100"/>
      <c r="L90" s="100"/>
      <c r="M90" s="100"/>
      <c r="N90" s="100"/>
      <c r="O90" s="100"/>
      <c r="P90" s="100"/>
      <c r="Q90" s="100"/>
      <c r="R90" s="100"/>
      <c r="S90" s="100"/>
      <c r="T90" s="100"/>
      <c r="U90" s="100"/>
    </row>
    <row r="91" spans="2:21" x14ac:dyDescent="0.2">
      <c r="B91" s="100" t="s">
        <v>226</v>
      </c>
      <c r="C91" s="119"/>
      <c r="D91" s="120"/>
      <c r="E91" s="132"/>
      <c r="F91" s="119"/>
      <c r="G91" s="137">
        <v>0.01</v>
      </c>
      <c r="H91" s="110"/>
      <c r="I91" s="107" t="s">
        <v>227</v>
      </c>
      <c r="J91" s="100"/>
      <c r="K91" s="100"/>
      <c r="L91" s="100"/>
      <c r="M91" s="100"/>
      <c r="N91" s="100"/>
      <c r="O91" s="100"/>
      <c r="P91" s="100"/>
      <c r="Q91" s="100"/>
      <c r="R91" s="100"/>
      <c r="S91" s="100"/>
      <c r="T91" s="100"/>
      <c r="U91" s="100"/>
    </row>
    <row r="92" spans="2:21" x14ac:dyDescent="0.2">
      <c r="B92" s="187" t="s">
        <v>168</v>
      </c>
      <c r="C92" s="193"/>
      <c r="D92" s="194"/>
      <c r="E92" s="195"/>
      <c r="F92" s="193"/>
      <c r="G92" s="200">
        <v>0.85</v>
      </c>
      <c r="H92" s="191"/>
      <c r="I92" s="192" t="s">
        <v>228</v>
      </c>
      <c r="J92" s="100"/>
      <c r="K92" s="100"/>
      <c r="L92" s="100"/>
      <c r="M92" s="100"/>
      <c r="N92" s="100"/>
      <c r="O92" s="100"/>
      <c r="P92" s="100"/>
      <c r="Q92" s="100"/>
      <c r="R92" s="100"/>
      <c r="S92" s="100"/>
      <c r="T92" s="100"/>
      <c r="U92" s="100"/>
    </row>
    <row r="93" spans="2:21" x14ac:dyDescent="0.2">
      <c r="B93" s="100" t="s">
        <v>229</v>
      </c>
      <c r="C93" s="113"/>
      <c r="D93" s="112"/>
      <c r="E93" s="131"/>
      <c r="F93" s="113"/>
      <c r="G93" s="142">
        <v>60</v>
      </c>
      <c r="H93" s="110"/>
      <c r="I93" s="107" t="s">
        <v>230</v>
      </c>
      <c r="J93" s="100"/>
      <c r="K93" s="100"/>
      <c r="L93" s="100"/>
      <c r="M93" s="100"/>
      <c r="N93" s="100"/>
      <c r="O93" s="100"/>
      <c r="P93" s="100"/>
      <c r="Q93" s="100"/>
      <c r="R93" s="100"/>
      <c r="S93" s="100"/>
      <c r="T93" s="100"/>
      <c r="U93" s="100"/>
    </row>
    <row r="94" spans="2:21" x14ac:dyDescent="0.2">
      <c r="B94" s="187" t="s">
        <v>170</v>
      </c>
      <c r="C94" s="193"/>
      <c r="D94" s="194"/>
      <c r="E94" s="195"/>
      <c r="F94" s="193"/>
      <c r="G94" s="201">
        <v>2012</v>
      </c>
      <c r="H94" s="191"/>
      <c r="I94" s="192" t="s">
        <v>231</v>
      </c>
      <c r="J94" s="100"/>
      <c r="K94" s="100"/>
      <c r="L94" s="100"/>
      <c r="M94" s="100"/>
      <c r="N94" s="100"/>
      <c r="O94" s="100"/>
      <c r="P94" s="100"/>
      <c r="Q94" s="100"/>
      <c r="R94" s="100"/>
      <c r="S94" s="100"/>
      <c r="T94" s="100"/>
      <c r="U94" s="100"/>
    </row>
    <row r="95" spans="2:21" x14ac:dyDescent="0.2">
      <c r="B95" s="100" t="s">
        <v>166</v>
      </c>
      <c r="C95" s="115"/>
      <c r="D95" s="111"/>
      <c r="E95" s="133"/>
      <c r="F95" s="115"/>
      <c r="G95" s="142">
        <v>20</v>
      </c>
      <c r="H95" s="110"/>
      <c r="I95" s="107" t="s">
        <v>167</v>
      </c>
      <c r="J95" s="100"/>
      <c r="K95" s="100"/>
      <c r="L95" s="100"/>
      <c r="M95" s="100"/>
      <c r="N95" s="100"/>
      <c r="O95" s="100"/>
      <c r="P95" s="100"/>
      <c r="Q95" s="100"/>
      <c r="R95" s="100"/>
      <c r="S95" s="100"/>
      <c r="T95" s="100"/>
      <c r="U95" s="100"/>
    </row>
    <row r="96" spans="2:21" ht="17" thickBot="1" x14ac:dyDescent="0.25">
      <c r="B96" s="202" t="s">
        <v>232</v>
      </c>
      <c r="C96" s="188"/>
      <c r="D96" s="189"/>
      <c r="E96" s="1"/>
      <c r="F96" s="188"/>
      <c r="G96" s="203">
        <v>0.7</v>
      </c>
      <c r="H96" s="191"/>
      <c r="I96" s="204" t="s">
        <v>432</v>
      </c>
      <c r="J96" s="100"/>
      <c r="K96" s="100"/>
      <c r="L96" s="100"/>
      <c r="M96" s="100"/>
      <c r="N96" s="100"/>
      <c r="O96" s="100"/>
      <c r="P96" s="100"/>
      <c r="Q96" s="100"/>
      <c r="R96" s="100"/>
      <c r="S96" s="100"/>
      <c r="T96" s="100"/>
      <c r="U96" s="100"/>
    </row>
    <row r="97" spans="2:21" ht="17" thickTop="1" x14ac:dyDescent="0.2">
      <c r="B97" s="100"/>
      <c r="C97" s="100"/>
      <c r="D97" s="100"/>
      <c r="E97" s="100"/>
      <c r="F97" s="100"/>
      <c r="G97" s="100"/>
      <c r="H97" s="110"/>
      <c r="I97" s="105"/>
      <c r="J97" s="100"/>
      <c r="K97" s="100"/>
      <c r="L97" s="100"/>
      <c r="M97" s="100"/>
      <c r="N97" s="100"/>
      <c r="O97" s="100"/>
      <c r="P97" s="100"/>
      <c r="Q97" s="100"/>
      <c r="R97" s="100"/>
      <c r="S97" s="100"/>
      <c r="T97" s="100"/>
      <c r="U97" s="100"/>
    </row>
    <row r="98" spans="2:21" ht="19" x14ac:dyDescent="0.2">
      <c r="B98" s="186" t="s">
        <v>233</v>
      </c>
      <c r="C98" s="100"/>
      <c r="D98" s="100"/>
      <c r="E98" s="100"/>
      <c r="F98" s="100"/>
      <c r="G98" s="100"/>
      <c r="H98" s="110"/>
      <c r="I98" s="105"/>
      <c r="J98" s="100"/>
      <c r="K98" s="100"/>
      <c r="L98" s="100"/>
      <c r="M98" s="100"/>
      <c r="N98" s="100"/>
      <c r="O98" s="100"/>
      <c r="P98" s="100"/>
      <c r="Q98" s="100"/>
      <c r="R98" s="100"/>
      <c r="S98" s="100"/>
      <c r="T98" s="100"/>
      <c r="U98" s="100"/>
    </row>
    <row r="99" spans="2:21" x14ac:dyDescent="0.2">
      <c r="B99" s="187" t="s">
        <v>234</v>
      </c>
      <c r="C99" s="188"/>
      <c r="D99" s="189"/>
      <c r="E99" s="1"/>
      <c r="F99" s="188"/>
      <c r="G99" s="207">
        <v>2000000</v>
      </c>
      <c r="H99" s="191"/>
      <c r="I99" s="208" t="s">
        <v>235</v>
      </c>
      <c r="J99" s="100"/>
      <c r="K99" s="100"/>
      <c r="L99" s="100"/>
      <c r="M99" s="100"/>
      <c r="N99" s="100"/>
      <c r="O99" s="100"/>
      <c r="P99" s="100"/>
      <c r="Q99" s="100"/>
      <c r="R99" s="100"/>
      <c r="S99" s="100"/>
      <c r="T99" s="100"/>
      <c r="U99" s="100"/>
    </row>
    <row r="100" spans="2:21" x14ac:dyDescent="0.2">
      <c r="B100" s="100" t="s">
        <v>236</v>
      </c>
      <c r="C100" s="121"/>
      <c r="D100" s="122"/>
      <c r="E100" s="132"/>
      <c r="F100" s="121"/>
      <c r="G100" s="139">
        <v>1150000</v>
      </c>
      <c r="H100" s="110"/>
      <c r="I100" s="105" t="s">
        <v>237</v>
      </c>
      <c r="J100" s="100"/>
      <c r="K100" s="100"/>
      <c r="L100" s="100"/>
      <c r="M100" s="100"/>
      <c r="N100" s="100"/>
      <c r="O100" s="100"/>
      <c r="P100" s="100"/>
      <c r="Q100" s="100"/>
      <c r="R100" s="100"/>
      <c r="S100" s="100"/>
      <c r="T100" s="100"/>
      <c r="U100" s="100"/>
    </row>
    <row r="101" spans="2:21" x14ac:dyDescent="0.2">
      <c r="B101" s="187" t="s">
        <v>238</v>
      </c>
      <c r="C101" s="193"/>
      <c r="D101" s="194"/>
      <c r="E101" s="195"/>
      <c r="F101" s="193"/>
      <c r="G101" s="207">
        <v>1000000</v>
      </c>
      <c r="H101" s="191"/>
      <c r="I101" s="208" t="s">
        <v>239</v>
      </c>
      <c r="J101" s="100"/>
      <c r="K101" s="100"/>
      <c r="L101" s="100"/>
      <c r="M101" s="100"/>
      <c r="N101" s="100"/>
      <c r="O101" s="100"/>
      <c r="P101" s="100"/>
      <c r="Q101" s="100"/>
      <c r="R101" s="100"/>
      <c r="S101" s="100"/>
      <c r="T101" s="100"/>
      <c r="U101" s="100"/>
    </row>
    <row r="102" spans="2:21" x14ac:dyDescent="0.2">
      <c r="B102" s="100" t="s">
        <v>168</v>
      </c>
      <c r="C102" s="115"/>
      <c r="D102" s="111"/>
      <c r="E102" s="133"/>
      <c r="F102" s="115"/>
      <c r="G102" s="137">
        <v>0.75</v>
      </c>
      <c r="H102" s="110"/>
      <c r="I102" s="105" t="s">
        <v>240</v>
      </c>
      <c r="J102" s="100"/>
      <c r="K102" s="100"/>
      <c r="L102" s="100"/>
      <c r="M102" s="100"/>
      <c r="N102" s="100"/>
      <c r="O102" s="100"/>
      <c r="P102" s="100"/>
      <c r="Q102" s="100"/>
      <c r="R102" s="100"/>
      <c r="S102" s="100"/>
      <c r="T102" s="100"/>
      <c r="U102" s="100"/>
    </row>
    <row r="103" spans="2:21" x14ac:dyDescent="0.2">
      <c r="B103" s="187" t="s">
        <v>224</v>
      </c>
      <c r="C103" s="188"/>
      <c r="D103" s="189"/>
      <c r="E103" s="1"/>
      <c r="F103" s="188"/>
      <c r="G103" s="199">
        <v>1350</v>
      </c>
      <c r="H103" s="191"/>
      <c r="I103" s="208" t="s">
        <v>241</v>
      </c>
      <c r="J103" s="100"/>
      <c r="K103" s="100"/>
      <c r="L103" s="100"/>
      <c r="M103" s="100"/>
      <c r="N103" s="100"/>
      <c r="O103" s="100"/>
      <c r="P103" s="100"/>
      <c r="Q103" s="100"/>
      <c r="R103" s="100"/>
      <c r="S103" s="100"/>
      <c r="T103" s="100"/>
      <c r="U103" s="100"/>
    </row>
    <row r="104" spans="2:21" x14ac:dyDescent="0.2">
      <c r="B104" s="100" t="s">
        <v>226</v>
      </c>
      <c r="C104" s="115"/>
      <c r="D104" s="111"/>
      <c r="E104" s="133"/>
      <c r="F104" s="115"/>
      <c r="G104" s="137">
        <v>0.02</v>
      </c>
      <c r="H104" s="110"/>
      <c r="I104" s="105" t="s">
        <v>242</v>
      </c>
      <c r="J104" s="100"/>
      <c r="K104" s="100"/>
      <c r="L104" s="100"/>
      <c r="M104" s="100"/>
      <c r="N104" s="100"/>
      <c r="O104" s="100"/>
      <c r="P104" s="100"/>
      <c r="Q104" s="100"/>
      <c r="R104" s="100"/>
      <c r="S104" s="100"/>
      <c r="T104" s="100"/>
      <c r="U104" s="100"/>
    </row>
    <row r="105" spans="2:21" x14ac:dyDescent="0.2">
      <c r="B105" s="187" t="s">
        <v>232</v>
      </c>
      <c r="C105" s="193"/>
      <c r="D105" s="194"/>
      <c r="E105" s="195"/>
      <c r="F105" s="193"/>
      <c r="G105" s="200">
        <v>0.2</v>
      </c>
      <c r="H105" s="191"/>
      <c r="I105" s="208" t="s">
        <v>243</v>
      </c>
      <c r="J105" s="100"/>
      <c r="K105" s="100"/>
      <c r="L105" s="100"/>
      <c r="M105" s="100"/>
      <c r="N105" s="100"/>
      <c r="O105" s="100"/>
      <c r="P105" s="100"/>
      <c r="Q105" s="100"/>
      <c r="R105" s="100"/>
      <c r="S105" s="100"/>
      <c r="T105" s="100"/>
      <c r="U105" s="100"/>
    </row>
    <row r="106" spans="2:21" x14ac:dyDescent="0.2">
      <c r="B106" s="100" t="s">
        <v>170</v>
      </c>
      <c r="C106" s="113"/>
      <c r="D106" s="112"/>
      <c r="E106" s="134"/>
      <c r="F106" s="114"/>
      <c r="G106" s="142">
        <v>2020</v>
      </c>
      <c r="H106" s="110"/>
      <c r="I106" s="105" t="s">
        <v>244</v>
      </c>
      <c r="J106" s="100"/>
      <c r="K106" s="100"/>
      <c r="L106" s="100"/>
      <c r="M106" s="100"/>
      <c r="N106" s="100"/>
      <c r="O106" s="100"/>
      <c r="P106" s="100"/>
      <c r="Q106" s="100"/>
      <c r="R106" s="100"/>
      <c r="S106" s="100"/>
      <c r="T106" s="100"/>
      <c r="U106" s="100"/>
    </row>
    <row r="107" spans="2:21" ht="17" thickBot="1" x14ac:dyDescent="0.25">
      <c r="B107" s="202" t="s">
        <v>166</v>
      </c>
      <c r="C107" s="193"/>
      <c r="D107" s="194"/>
      <c r="E107" s="195"/>
      <c r="F107" s="209"/>
      <c r="G107" s="210">
        <v>25</v>
      </c>
      <c r="H107" s="191"/>
      <c r="I107" s="211" t="s">
        <v>167</v>
      </c>
      <c r="J107" s="100"/>
      <c r="K107" s="100"/>
      <c r="L107" s="100"/>
      <c r="M107" s="100"/>
      <c r="N107" s="100"/>
      <c r="O107" s="100"/>
      <c r="P107" s="100"/>
      <c r="Q107" s="100"/>
      <c r="R107" s="100"/>
      <c r="S107" s="100"/>
      <c r="T107" s="100"/>
      <c r="U107" s="100"/>
    </row>
    <row r="108" spans="2:21" ht="17" thickTop="1" x14ac:dyDescent="0.2">
      <c r="B108" s="100"/>
      <c r="C108" s="100"/>
      <c r="D108" s="100"/>
      <c r="E108" s="100"/>
      <c r="F108" s="100"/>
      <c r="G108" s="100"/>
      <c r="H108" s="110"/>
      <c r="I108" s="105"/>
      <c r="J108" s="100"/>
      <c r="K108" s="100"/>
      <c r="L108" s="100"/>
      <c r="M108" s="100"/>
      <c r="N108" s="100"/>
      <c r="O108" s="100"/>
      <c r="P108" s="100"/>
      <c r="Q108" s="100"/>
      <c r="R108" s="100"/>
      <c r="S108" s="100"/>
      <c r="T108" s="100"/>
      <c r="U108" s="100"/>
    </row>
    <row r="109" spans="2:21" ht="19" x14ac:dyDescent="0.2">
      <c r="B109" s="186" t="s">
        <v>245</v>
      </c>
      <c r="C109" s="100"/>
      <c r="D109" s="100"/>
      <c r="E109" s="100"/>
      <c r="F109" s="100"/>
      <c r="G109" s="100"/>
      <c r="H109" s="110"/>
      <c r="I109" s="105"/>
      <c r="J109" s="100"/>
      <c r="K109" s="100"/>
      <c r="L109" s="100"/>
      <c r="M109" s="100"/>
      <c r="N109" s="100"/>
      <c r="O109" s="100"/>
      <c r="P109" s="100"/>
      <c r="Q109" s="100"/>
      <c r="R109" s="100"/>
      <c r="S109" s="100"/>
      <c r="T109" s="100"/>
      <c r="U109" s="100"/>
    </row>
    <row r="110" spans="2:21" x14ac:dyDescent="0.2">
      <c r="B110" s="187" t="s">
        <v>246</v>
      </c>
      <c r="C110" s="193"/>
      <c r="D110" s="216"/>
      <c r="E110" s="217"/>
      <c r="F110" s="193"/>
      <c r="G110" s="218">
        <v>1100000</v>
      </c>
      <c r="H110" s="191"/>
      <c r="I110" s="192" t="s">
        <v>247</v>
      </c>
      <c r="J110" s="100"/>
      <c r="K110" s="100"/>
      <c r="L110" s="100"/>
      <c r="M110" s="100"/>
      <c r="N110" s="100"/>
      <c r="O110" s="100"/>
      <c r="P110" s="100"/>
      <c r="Q110" s="100"/>
      <c r="R110" s="100"/>
      <c r="S110" s="100"/>
      <c r="T110" s="100"/>
      <c r="U110" s="100"/>
    </row>
    <row r="111" spans="2:21" x14ac:dyDescent="0.2">
      <c r="B111" s="100" t="s">
        <v>248</v>
      </c>
      <c r="C111" s="113"/>
      <c r="D111" s="130"/>
      <c r="E111" s="213"/>
      <c r="F111" s="113"/>
      <c r="G111" s="103">
        <v>0.9</v>
      </c>
      <c r="H111" s="110"/>
      <c r="I111" s="107" t="s">
        <v>249</v>
      </c>
      <c r="J111" s="100"/>
      <c r="K111" s="100"/>
      <c r="L111" s="100"/>
      <c r="M111" s="100"/>
      <c r="N111" s="100"/>
      <c r="O111" s="100"/>
      <c r="P111" s="100"/>
      <c r="Q111" s="100"/>
      <c r="R111" s="100"/>
      <c r="S111" s="100"/>
      <c r="T111" s="100"/>
      <c r="U111" s="100"/>
    </row>
    <row r="112" spans="2:21" x14ac:dyDescent="0.2">
      <c r="B112" s="187" t="s">
        <v>250</v>
      </c>
      <c r="C112" s="187"/>
      <c r="D112" s="187"/>
      <c r="E112" s="187"/>
      <c r="F112" s="187"/>
      <c r="G112" s="216">
        <v>0.8</v>
      </c>
      <c r="H112" s="191"/>
      <c r="I112" s="192" t="s">
        <v>251</v>
      </c>
      <c r="J112" s="100"/>
      <c r="K112" s="100"/>
      <c r="L112" s="100"/>
      <c r="M112" s="100"/>
      <c r="N112" s="100"/>
      <c r="O112" s="100"/>
      <c r="P112" s="100"/>
      <c r="Q112" s="100"/>
      <c r="R112" s="100"/>
      <c r="S112" s="100"/>
      <c r="T112" s="100"/>
      <c r="U112" s="100"/>
    </row>
    <row r="113" spans="2:21" x14ac:dyDescent="0.2">
      <c r="B113" s="100" t="s">
        <v>252</v>
      </c>
      <c r="C113" s="117"/>
      <c r="D113" s="117"/>
      <c r="E113" s="214"/>
      <c r="F113" s="117"/>
      <c r="G113" s="103">
        <v>0.02</v>
      </c>
      <c r="H113" s="110"/>
      <c r="I113" s="107" t="s">
        <v>253</v>
      </c>
      <c r="J113" s="100"/>
      <c r="K113" s="100"/>
      <c r="L113" s="100"/>
      <c r="M113" s="100"/>
      <c r="N113" s="100"/>
      <c r="O113" s="100"/>
      <c r="P113" s="100"/>
      <c r="Q113" s="100"/>
      <c r="R113" s="100"/>
      <c r="S113" s="100"/>
      <c r="T113" s="100"/>
      <c r="U113" s="100"/>
    </row>
    <row r="114" spans="2:21" x14ac:dyDescent="0.2">
      <c r="B114" s="187" t="s">
        <v>254</v>
      </c>
      <c r="C114" s="187"/>
      <c r="D114" s="187"/>
      <c r="E114" s="187"/>
      <c r="F114" s="187"/>
      <c r="G114" s="219">
        <v>1000</v>
      </c>
      <c r="H114" s="191"/>
      <c r="I114" s="192" t="s">
        <v>255</v>
      </c>
      <c r="J114" s="100"/>
      <c r="K114" s="100"/>
      <c r="L114" s="100"/>
      <c r="M114" s="100"/>
      <c r="N114" s="100"/>
      <c r="O114" s="100"/>
      <c r="P114" s="100"/>
      <c r="Q114" s="100"/>
      <c r="R114" s="100"/>
      <c r="S114" s="100"/>
      <c r="T114" s="100"/>
      <c r="U114" s="100"/>
    </row>
    <row r="115" spans="2:21" x14ac:dyDescent="0.2">
      <c r="B115" s="100" t="s">
        <v>256</v>
      </c>
      <c r="C115" s="113"/>
      <c r="D115" s="130"/>
      <c r="E115" s="213"/>
      <c r="F115" s="113"/>
      <c r="G115" s="103">
        <v>0.02</v>
      </c>
      <c r="H115" s="110"/>
      <c r="I115" s="107" t="s">
        <v>257</v>
      </c>
      <c r="J115" s="100"/>
      <c r="K115" s="100"/>
      <c r="L115" s="100"/>
      <c r="M115" s="100"/>
      <c r="N115" s="100"/>
      <c r="O115" s="100"/>
      <c r="P115" s="100"/>
      <c r="Q115" s="100"/>
      <c r="R115" s="100"/>
      <c r="S115" s="100"/>
      <c r="T115" s="100"/>
      <c r="U115" s="100"/>
    </row>
    <row r="116" spans="2:21" x14ac:dyDescent="0.2">
      <c r="B116" s="187" t="s">
        <v>166</v>
      </c>
      <c r="C116" s="193"/>
      <c r="D116" s="216"/>
      <c r="E116" s="217"/>
      <c r="F116" s="193"/>
      <c r="G116" s="188">
        <v>10</v>
      </c>
      <c r="H116" s="191"/>
      <c r="I116" s="192" t="s">
        <v>167</v>
      </c>
      <c r="J116" s="100"/>
      <c r="K116" s="100"/>
      <c r="L116" s="100"/>
      <c r="M116" s="100"/>
      <c r="N116" s="100"/>
      <c r="O116" s="100"/>
      <c r="P116" s="100"/>
      <c r="Q116" s="100"/>
      <c r="R116" s="100"/>
      <c r="S116" s="100"/>
      <c r="T116" s="100"/>
      <c r="U116" s="100"/>
    </row>
    <row r="117" spans="2:21" x14ac:dyDescent="0.2">
      <c r="B117" s="100" t="s">
        <v>168</v>
      </c>
      <c r="C117" s="117"/>
      <c r="D117" s="117"/>
      <c r="E117" s="214"/>
      <c r="F117" s="117"/>
      <c r="G117" s="103">
        <v>0.7</v>
      </c>
      <c r="H117" s="110"/>
      <c r="I117" s="107" t="s">
        <v>258</v>
      </c>
      <c r="J117" s="100"/>
      <c r="K117" s="100"/>
      <c r="L117" s="100"/>
      <c r="M117" s="100"/>
      <c r="N117" s="100"/>
      <c r="O117" s="100"/>
      <c r="P117" s="100"/>
      <c r="Q117" s="100"/>
      <c r="R117" s="100"/>
      <c r="S117" s="100"/>
      <c r="T117" s="100"/>
      <c r="U117" s="100"/>
    </row>
    <row r="118" spans="2:21" x14ac:dyDescent="0.2">
      <c r="B118" s="187" t="s">
        <v>259</v>
      </c>
      <c r="C118" s="193"/>
      <c r="D118" s="216"/>
      <c r="E118" s="217"/>
      <c r="F118" s="193"/>
      <c r="G118" s="219">
        <v>2000</v>
      </c>
      <c r="H118" s="191"/>
      <c r="I118" s="192" t="s">
        <v>260</v>
      </c>
      <c r="J118" s="100"/>
      <c r="K118" s="100"/>
      <c r="L118" s="100"/>
      <c r="M118" s="100"/>
      <c r="N118" s="100"/>
      <c r="O118" s="100"/>
      <c r="P118" s="100"/>
      <c r="Q118" s="100"/>
      <c r="R118" s="100"/>
      <c r="S118" s="100"/>
      <c r="T118" s="100"/>
      <c r="U118" s="100"/>
    </row>
    <row r="119" spans="2:21" x14ac:dyDescent="0.2">
      <c r="B119" s="100" t="s">
        <v>261</v>
      </c>
      <c r="C119" s="100"/>
      <c r="D119" s="100"/>
      <c r="E119" s="100"/>
      <c r="F119" s="100"/>
      <c r="G119" s="117">
        <v>1.5</v>
      </c>
      <c r="H119" s="110"/>
      <c r="I119" s="107" t="s">
        <v>262</v>
      </c>
      <c r="J119" s="100"/>
      <c r="K119" s="100"/>
      <c r="L119" s="100"/>
      <c r="M119" s="100"/>
      <c r="N119" s="100"/>
      <c r="O119" s="100"/>
      <c r="P119" s="100"/>
      <c r="Q119" s="100"/>
      <c r="R119" s="100"/>
      <c r="S119" s="100"/>
      <c r="T119" s="100"/>
      <c r="U119" s="100"/>
    </row>
    <row r="120" spans="2:21" x14ac:dyDescent="0.2">
      <c r="B120" s="187" t="s">
        <v>263</v>
      </c>
      <c r="C120" s="187"/>
      <c r="D120" s="187"/>
      <c r="E120" s="187"/>
      <c r="F120" s="187"/>
      <c r="G120" s="219">
        <v>2500</v>
      </c>
      <c r="H120" s="191"/>
      <c r="I120" s="208" t="s">
        <v>264</v>
      </c>
      <c r="J120" s="100"/>
      <c r="K120" s="100"/>
      <c r="L120" s="100"/>
      <c r="M120" s="100"/>
      <c r="N120" s="100"/>
      <c r="O120" s="100"/>
      <c r="P120" s="100"/>
      <c r="Q120" s="100"/>
      <c r="R120" s="100"/>
      <c r="S120" s="100"/>
      <c r="T120" s="100"/>
      <c r="U120" s="100"/>
    </row>
    <row r="121" spans="2:21" x14ac:dyDescent="0.2">
      <c r="B121" s="100" t="s">
        <v>265</v>
      </c>
      <c r="C121" s="102"/>
      <c r="D121" s="146"/>
      <c r="E121" s="212"/>
      <c r="F121" s="102"/>
      <c r="G121" s="103">
        <v>0.02</v>
      </c>
      <c r="H121" s="110"/>
      <c r="I121" s="105" t="s">
        <v>257</v>
      </c>
      <c r="J121" s="100"/>
      <c r="K121" s="100"/>
      <c r="L121" s="100"/>
      <c r="M121" s="100"/>
      <c r="N121" s="100"/>
      <c r="O121" s="100"/>
      <c r="P121" s="100"/>
      <c r="Q121" s="100"/>
      <c r="R121" s="100"/>
      <c r="S121" s="100"/>
      <c r="T121" s="100"/>
      <c r="U121" s="100"/>
    </row>
    <row r="122" spans="2:21" x14ac:dyDescent="0.2">
      <c r="B122" s="187" t="s">
        <v>166</v>
      </c>
      <c r="C122" s="220"/>
      <c r="D122" s="221"/>
      <c r="E122" s="222"/>
      <c r="F122" s="220"/>
      <c r="G122" s="188">
        <v>10</v>
      </c>
      <c r="H122" s="191"/>
      <c r="I122" s="208" t="s">
        <v>167</v>
      </c>
      <c r="J122" s="100"/>
      <c r="K122" s="100"/>
      <c r="L122" s="100"/>
      <c r="M122" s="100"/>
      <c r="N122" s="100"/>
      <c r="O122" s="100"/>
      <c r="P122" s="100"/>
      <c r="Q122" s="100"/>
      <c r="R122" s="100"/>
      <c r="S122" s="100"/>
      <c r="T122" s="100"/>
      <c r="U122" s="100"/>
    </row>
    <row r="123" spans="2:21" ht="17" thickBot="1" x14ac:dyDescent="0.25">
      <c r="B123" s="165" t="s">
        <v>168</v>
      </c>
      <c r="C123" s="102"/>
      <c r="D123" s="146"/>
      <c r="E123" s="212"/>
      <c r="F123" s="102"/>
      <c r="G123" s="215">
        <v>0.7</v>
      </c>
      <c r="H123" s="110"/>
      <c r="I123" s="205" t="s">
        <v>266</v>
      </c>
      <c r="J123" s="100"/>
      <c r="K123" s="100"/>
      <c r="L123" s="100"/>
      <c r="M123" s="100"/>
      <c r="N123" s="100"/>
      <c r="O123" s="100"/>
      <c r="P123" s="100"/>
      <c r="Q123" s="100"/>
      <c r="R123" s="100"/>
      <c r="S123" s="100"/>
      <c r="T123" s="100"/>
      <c r="U123" s="100"/>
    </row>
    <row r="124" spans="2:21" ht="17" thickTop="1" x14ac:dyDescent="0.2">
      <c r="J124" s="100"/>
      <c r="K124" s="100"/>
      <c r="L124" s="100"/>
      <c r="M124" s="100"/>
      <c r="N124" s="100"/>
      <c r="O124" s="100"/>
      <c r="P124" s="100"/>
      <c r="Q124" s="100"/>
      <c r="R124" s="100"/>
      <c r="S124" s="100"/>
      <c r="T124" s="100"/>
      <c r="U124" s="100"/>
    </row>
    <row r="125" spans="2:21" x14ac:dyDescent="0.2">
      <c r="J125" s="100"/>
      <c r="K125" s="100"/>
      <c r="L125" s="100"/>
      <c r="M125" s="100"/>
      <c r="N125" s="100"/>
      <c r="O125" s="100"/>
      <c r="P125" s="100"/>
      <c r="Q125" s="100"/>
      <c r="R125" s="100"/>
      <c r="S125" s="100"/>
      <c r="T125" s="100"/>
      <c r="U125" s="100"/>
    </row>
    <row r="126" spans="2:21" ht="26" x14ac:dyDescent="0.2">
      <c r="B126" s="253" t="s">
        <v>267</v>
      </c>
      <c r="C126" s="100"/>
      <c r="D126" s="100"/>
      <c r="E126" s="100"/>
      <c r="F126" s="100"/>
      <c r="G126" s="240"/>
      <c r="H126" s="241"/>
      <c r="I126" s="276"/>
      <c r="J126" s="100"/>
      <c r="K126" s="100"/>
      <c r="L126" s="100"/>
      <c r="M126" s="100"/>
      <c r="N126" s="100"/>
      <c r="O126" s="100"/>
      <c r="P126" s="100"/>
      <c r="Q126" s="100"/>
      <c r="R126" s="100"/>
      <c r="S126" s="100"/>
      <c r="T126" s="100"/>
      <c r="U126" s="100"/>
    </row>
    <row r="127" spans="2:21" ht="24" x14ac:dyDescent="0.2">
      <c r="B127" s="144" t="s">
        <v>268</v>
      </c>
      <c r="C127" s="100"/>
      <c r="D127" s="100"/>
      <c r="E127" s="100"/>
      <c r="F127" s="100"/>
      <c r="G127" s="100"/>
      <c r="H127" s="110"/>
      <c r="I127" s="105"/>
      <c r="J127" s="363"/>
      <c r="K127" s="100"/>
      <c r="L127" s="100"/>
      <c r="M127" s="100"/>
      <c r="N127" s="100"/>
      <c r="O127" s="100"/>
      <c r="P127" s="100"/>
      <c r="Q127" s="100"/>
      <c r="R127" s="100"/>
      <c r="S127" s="100"/>
      <c r="T127" s="100"/>
      <c r="U127" s="100"/>
    </row>
    <row r="128" spans="2:21" x14ac:dyDescent="0.2">
      <c r="B128" s="100"/>
      <c r="C128" s="100"/>
      <c r="D128" s="100"/>
      <c r="E128" s="100"/>
      <c r="F128" s="100"/>
      <c r="G128" s="100"/>
      <c r="H128" s="110"/>
      <c r="I128" s="105"/>
      <c r="J128" s="100"/>
      <c r="K128" s="100"/>
      <c r="L128" s="100"/>
      <c r="M128" s="100"/>
      <c r="N128" s="100"/>
      <c r="O128" s="100"/>
      <c r="P128" s="100"/>
      <c r="Q128" s="100"/>
      <c r="R128" s="100"/>
      <c r="S128" s="100"/>
      <c r="T128" s="100"/>
      <c r="U128" s="100"/>
    </row>
    <row r="129" spans="2:21" ht="19" x14ac:dyDescent="0.2">
      <c r="B129" s="223" t="s">
        <v>38</v>
      </c>
      <c r="C129" s="100"/>
      <c r="D129" s="100"/>
      <c r="E129" s="100"/>
      <c r="F129" s="100"/>
      <c r="G129" s="242" t="s">
        <v>110</v>
      </c>
      <c r="H129" s="110"/>
      <c r="I129" s="277" t="s">
        <v>111</v>
      </c>
      <c r="J129" s="100"/>
      <c r="K129" s="100"/>
      <c r="L129" s="100"/>
      <c r="M129" s="100"/>
      <c r="N129" s="100"/>
      <c r="O129" s="100"/>
      <c r="P129" s="100"/>
      <c r="Q129" s="100"/>
      <c r="R129" s="100"/>
      <c r="S129" s="100"/>
      <c r="T129" s="100"/>
      <c r="U129" s="100"/>
    </row>
    <row r="130" spans="2:21" x14ac:dyDescent="0.2">
      <c r="B130" s="224" t="s">
        <v>269</v>
      </c>
      <c r="C130" s="225"/>
      <c r="D130" s="226"/>
      <c r="E130" s="227"/>
      <c r="F130" s="225"/>
      <c r="G130" s="228">
        <v>700000</v>
      </c>
      <c r="H130" s="229"/>
      <c r="I130" s="230" t="s">
        <v>270</v>
      </c>
      <c r="J130" s="100"/>
      <c r="K130" s="100"/>
      <c r="L130" s="100"/>
      <c r="M130" s="100"/>
      <c r="N130" s="100"/>
      <c r="O130" s="100"/>
      <c r="P130" s="100"/>
      <c r="Q130" s="100"/>
      <c r="R130" s="100"/>
      <c r="S130" s="100"/>
      <c r="T130" s="100"/>
      <c r="U130" s="100"/>
    </row>
    <row r="131" spans="2:21" x14ac:dyDescent="0.2">
      <c r="B131" s="100" t="s">
        <v>248</v>
      </c>
      <c r="C131" s="113"/>
      <c r="D131" s="112"/>
      <c r="E131" s="134"/>
      <c r="F131" s="113"/>
      <c r="G131" s="137">
        <v>0.9</v>
      </c>
      <c r="H131" s="110"/>
      <c r="I131" s="107" t="s">
        <v>249</v>
      </c>
      <c r="J131" s="100"/>
      <c r="K131" s="100"/>
      <c r="L131" s="100"/>
      <c r="M131" s="100"/>
      <c r="N131" s="100"/>
      <c r="O131" s="100"/>
      <c r="P131" s="100"/>
      <c r="Q131" s="100"/>
      <c r="R131" s="100"/>
      <c r="S131" s="100"/>
      <c r="T131" s="100"/>
      <c r="U131" s="100"/>
    </row>
    <row r="132" spans="2:21" x14ac:dyDescent="0.2">
      <c r="B132" s="224" t="s">
        <v>162</v>
      </c>
      <c r="C132" s="231"/>
      <c r="D132" s="232"/>
      <c r="E132" s="233"/>
      <c r="F132" s="231"/>
      <c r="G132" s="234">
        <v>0.03</v>
      </c>
      <c r="H132" s="229"/>
      <c r="I132" s="230" t="s">
        <v>271</v>
      </c>
      <c r="J132" s="100"/>
      <c r="K132" s="100"/>
      <c r="L132" s="100"/>
      <c r="M132" s="100"/>
      <c r="N132" s="100"/>
      <c r="O132" s="100"/>
      <c r="P132" s="100"/>
      <c r="Q132" s="100"/>
      <c r="R132" s="100"/>
      <c r="S132" s="100"/>
      <c r="T132" s="100"/>
      <c r="U132" s="100"/>
    </row>
    <row r="133" spans="2:21" x14ac:dyDescent="0.2">
      <c r="B133" s="100" t="s">
        <v>166</v>
      </c>
      <c r="C133" s="117"/>
      <c r="D133" s="124"/>
      <c r="F133" s="117"/>
      <c r="G133" s="142">
        <v>10</v>
      </c>
      <c r="H133" s="110"/>
      <c r="I133" s="107" t="s">
        <v>167</v>
      </c>
      <c r="J133" s="100"/>
      <c r="K133" s="100"/>
      <c r="L133" s="100"/>
      <c r="M133" s="100"/>
      <c r="N133" s="100"/>
      <c r="O133" s="100"/>
      <c r="P133" s="100"/>
      <c r="Q133" s="100"/>
      <c r="R133" s="100"/>
      <c r="S133" s="100"/>
      <c r="T133" s="100"/>
      <c r="U133" s="100"/>
    </row>
    <row r="134" spans="2:21" x14ac:dyDescent="0.2">
      <c r="B134" s="224" t="s">
        <v>168</v>
      </c>
      <c r="C134" s="225"/>
      <c r="D134" s="226"/>
      <c r="E134" s="227"/>
      <c r="F134" s="225"/>
      <c r="G134" s="234">
        <v>0.8</v>
      </c>
      <c r="H134" s="229"/>
      <c r="I134" s="230" t="s">
        <v>272</v>
      </c>
      <c r="J134" s="100"/>
      <c r="K134" s="100"/>
      <c r="L134" s="100"/>
      <c r="M134" s="100"/>
      <c r="N134" s="100"/>
      <c r="O134" s="100"/>
      <c r="P134" s="100"/>
      <c r="Q134" s="100"/>
      <c r="R134" s="100"/>
      <c r="S134" s="100"/>
      <c r="T134" s="100"/>
      <c r="U134" s="100"/>
    </row>
    <row r="135" spans="2:21" x14ac:dyDescent="0.2">
      <c r="B135" s="100" t="s">
        <v>273</v>
      </c>
      <c r="C135" s="115"/>
      <c r="D135" s="111"/>
      <c r="E135" s="133"/>
      <c r="F135" s="115"/>
      <c r="G135" s="137">
        <v>0.75</v>
      </c>
      <c r="H135" s="110"/>
      <c r="I135" s="107" t="s">
        <v>274</v>
      </c>
      <c r="J135" s="100"/>
      <c r="K135" s="100"/>
      <c r="L135" s="100"/>
      <c r="M135" s="100"/>
      <c r="N135" s="100"/>
      <c r="O135" s="100"/>
      <c r="P135" s="100"/>
      <c r="Q135" s="100"/>
      <c r="R135" s="100"/>
      <c r="S135" s="100"/>
      <c r="T135" s="100"/>
      <c r="U135" s="100"/>
    </row>
    <row r="136" spans="2:21" x14ac:dyDescent="0.2">
      <c r="B136" s="224" t="s">
        <v>275</v>
      </c>
      <c r="C136" s="231"/>
      <c r="D136" s="232"/>
      <c r="E136" s="233"/>
      <c r="F136" s="231"/>
      <c r="G136" s="235">
        <v>5000</v>
      </c>
      <c r="H136" s="229"/>
      <c r="I136" s="230" t="s">
        <v>276</v>
      </c>
      <c r="J136" s="100"/>
      <c r="K136" s="100"/>
      <c r="L136" s="100"/>
      <c r="M136" s="100"/>
      <c r="N136" s="100"/>
      <c r="O136" s="100"/>
      <c r="P136" s="100"/>
      <c r="Q136" s="100"/>
      <c r="R136" s="100"/>
      <c r="S136" s="100"/>
      <c r="T136" s="100"/>
      <c r="U136" s="100"/>
    </row>
    <row r="137" spans="2:21" x14ac:dyDescent="0.2">
      <c r="B137" s="100" t="s">
        <v>232</v>
      </c>
      <c r="C137" s="119"/>
      <c r="D137" s="120"/>
      <c r="E137" s="132"/>
      <c r="F137" s="119"/>
      <c r="G137" s="137">
        <v>0.15</v>
      </c>
      <c r="H137" s="110"/>
      <c r="I137" s="107" t="s">
        <v>277</v>
      </c>
      <c r="J137" s="100"/>
      <c r="K137" s="100"/>
      <c r="L137" s="100"/>
      <c r="M137" s="100"/>
      <c r="N137" s="100"/>
      <c r="O137" s="100"/>
      <c r="P137" s="100"/>
      <c r="Q137" s="100"/>
      <c r="R137" s="100"/>
      <c r="S137" s="100"/>
      <c r="T137" s="100"/>
      <c r="U137" s="100"/>
    </row>
    <row r="138" spans="2:21" ht="17" thickBot="1" x14ac:dyDescent="0.25">
      <c r="B138" s="236" t="s">
        <v>170</v>
      </c>
      <c r="C138" s="231"/>
      <c r="D138" s="232"/>
      <c r="E138" s="233"/>
      <c r="F138" s="231"/>
      <c r="G138" s="237">
        <v>2023</v>
      </c>
      <c r="H138" s="229"/>
      <c r="I138" s="238" t="s">
        <v>278</v>
      </c>
      <c r="J138" s="100"/>
      <c r="K138" s="100"/>
      <c r="L138" s="100"/>
      <c r="M138" s="100"/>
      <c r="N138" s="100"/>
      <c r="O138" s="100"/>
      <c r="P138" s="100"/>
      <c r="Q138" s="100"/>
      <c r="R138" s="100"/>
      <c r="S138" s="100"/>
      <c r="T138" s="100"/>
      <c r="U138" s="100"/>
    </row>
    <row r="139" spans="2:21" ht="17" thickTop="1" x14ac:dyDescent="0.2">
      <c r="B139" s="100"/>
      <c r="C139" s="100"/>
      <c r="D139" s="100"/>
      <c r="E139" s="100"/>
      <c r="F139" s="100"/>
      <c r="G139" s="100"/>
      <c r="H139" s="110"/>
      <c r="I139" s="105"/>
      <c r="J139" s="100"/>
      <c r="K139" s="100"/>
      <c r="L139" s="100"/>
      <c r="M139" s="100"/>
      <c r="N139" s="100"/>
      <c r="O139" s="100"/>
      <c r="P139" s="100"/>
      <c r="Q139" s="100"/>
      <c r="R139" s="100"/>
      <c r="S139" s="100"/>
      <c r="T139" s="100"/>
      <c r="U139" s="100"/>
    </row>
    <row r="140" spans="2:21" ht="19" x14ac:dyDescent="0.2">
      <c r="B140" s="223" t="s">
        <v>40</v>
      </c>
      <c r="C140" s="100"/>
      <c r="D140" s="100"/>
      <c r="E140" s="100"/>
      <c r="F140" s="100"/>
      <c r="G140" s="100"/>
      <c r="H140" s="110" t="s">
        <v>462</v>
      </c>
      <c r="I140" s="105"/>
      <c r="J140" s="100"/>
      <c r="K140" s="100"/>
      <c r="L140" s="100"/>
      <c r="M140" s="100"/>
      <c r="N140" s="100"/>
      <c r="O140" s="100"/>
      <c r="P140" s="100"/>
      <c r="Q140" s="100"/>
      <c r="R140" s="100"/>
      <c r="S140" s="100"/>
      <c r="T140" s="100"/>
      <c r="U140" s="100"/>
    </row>
    <row r="141" spans="2:21" x14ac:dyDescent="0.2">
      <c r="B141" s="224" t="s">
        <v>279</v>
      </c>
      <c r="C141" s="231"/>
      <c r="D141" s="232"/>
      <c r="E141" s="233"/>
      <c r="F141" s="231"/>
      <c r="G141" s="235">
        <v>6000</v>
      </c>
      <c r="H141" s="229"/>
      <c r="I141" s="230" t="s">
        <v>280</v>
      </c>
      <c r="J141" s="100"/>
      <c r="K141" s="100"/>
      <c r="L141" s="100"/>
      <c r="M141" s="100"/>
      <c r="N141" s="100"/>
      <c r="O141" s="100"/>
      <c r="P141" s="100"/>
      <c r="Q141" s="100"/>
      <c r="R141" s="100"/>
      <c r="S141" s="100"/>
      <c r="T141" s="100"/>
      <c r="U141" s="100"/>
    </row>
    <row r="142" spans="2:21" x14ac:dyDescent="0.2">
      <c r="B142" s="100" t="s">
        <v>162</v>
      </c>
      <c r="C142" s="100"/>
      <c r="D142" s="100"/>
      <c r="E142" s="100"/>
      <c r="F142" s="100"/>
      <c r="G142" s="137">
        <v>0</v>
      </c>
      <c r="H142" s="110"/>
      <c r="I142" s="107" t="s">
        <v>281</v>
      </c>
      <c r="J142" s="100"/>
      <c r="K142" s="100"/>
      <c r="L142" s="100"/>
      <c r="M142" s="100"/>
      <c r="N142" s="100"/>
      <c r="O142" s="100"/>
      <c r="P142" s="100"/>
      <c r="Q142" s="100"/>
      <c r="R142" s="100"/>
      <c r="S142" s="100"/>
      <c r="T142" s="100"/>
      <c r="U142" s="100"/>
    </row>
    <row r="143" spans="2:21" x14ac:dyDescent="0.2">
      <c r="B143" s="224" t="s">
        <v>170</v>
      </c>
      <c r="C143" s="231"/>
      <c r="D143" s="232"/>
      <c r="E143" s="233"/>
      <c r="F143" s="231"/>
      <c r="G143" s="239">
        <v>2023</v>
      </c>
      <c r="H143" s="229"/>
      <c r="I143" s="230" t="s">
        <v>282</v>
      </c>
      <c r="J143" s="100"/>
      <c r="K143" s="100"/>
      <c r="L143" s="100"/>
      <c r="M143" s="100"/>
      <c r="N143" s="100"/>
      <c r="O143" s="100"/>
      <c r="P143" s="100"/>
      <c r="Q143" s="100"/>
      <c r="R143" s="100"/>
      <c r="S143" s="100"/>
      <c r="T143" s="100"/>
      <c r="U143" s="100"/>
    </row>
    <row r="144" spans="2:21" x14ac:dyDescent="0.2">
      <c r="B144" s="100" t="s">
        <v>166</v>
      </c>
      <c r="C144" s="113"/>
      <c r="D144" s="112"/>
      <c r="E144" s="134"/>
      <c r="F144" s="113"/>
      <c r="G144" s="142">
        <v>8</v>
      </c>
      <c r="H144" s="110"/>
      <c r="I144" s="107" t="s">
        <v>167</v>
      </c>
      <c r="J144" s="100"/>
      <c r="K144" s="100"/>
      <c r="L144" s="100"/>
      <c r="M144" s="100"/>
      <c r="N144" s="100"/>
      <c r="O144" s="100"/>
      <c r="P144" s="100"/>
      <c r="Q144" s="100"/>
      <c r="R144" s="100"/>
      <c r="S144" s="100"/>
      <c r="T144" s="100"/>
      <c r="U144" s="100"/>
    </row>
    <row r="145" spans="2:21" x14ac:dyDescent="0.2">
      <c r="B145" s="224" t="s">
        <v>168</v>
      </c>
      <c r="C145" s="231"/>
      <c r="D145" s="232"/>
      <c r="E145" s="233"/>
      <c r="F145" s="231"/>
      <c r="G145" s="234">
        <v>0.6</v>
      </c>
      <c r="H145" s="229"/>
      <c r="I145" s="230" t="s">
        <v>283</v>
      </c>
      <c r="J145" s="100"/>
      <c r="K145" s="100"/>
      <c r="L145" s="100"/>
      <c r="M145" s="100"/>
      <c r="N145" s="100"/>
      <c r="O145" s="100"/>
      <c r="P145" s="100"/>
      <c r="Q145" s="100"/>
      <c r="R145" s="100"/>
      <c r="S145" s="100"/>
      <c r="T145" s="100"/>
      <c r="U145" s="100"/>
    </row>
    <row r="146" spans="2:21" ht="17" thickBot="1" x14ac:dyDescent="0.25">
      <c r="B146" s="165" t="s">
        <v>232</v>
      </c>
      <c r="C146" s="117"/>
      <c r="D146" s="124"/>
      <c r="F146" s="117"/>
      <c r="G146" s="182">
        <v>0.1</v>
      </c>
      <c r="H146" s="110"/>
      <c r="I146" s="183" t="s">
        <v>284</v>
      </c>
      <c r="J146" s="100"/>
      <c r="K146" s="100"/>
      <c r="L146" s="100"/>
      <c r="M146" s="100"/>
      <c r="N146" s="100"/>
      <c r="O146" s="100"/>
      <c r="P146" s="100"/>
      <c r="Q146" s="100"/>
      <c r="R146" s="100"/>
      <c r="S146" s="100"/>
      <c r="T146" s="100"/>
      <c r="U146" s="100"/>
    </row>
    <row r="147" spans="2:21" ht="17" thickTop="1" x14ac:dyDescent="0.2">
      <c r="J147" s="100"/>
      <c r="K147" s="100"/>
      <c r="L147" s="100"/>
      <c r="M147" s="100"/>
      <c r="N147" s="100"/>
      <c r="O147" s="100"/>
      <c r="P147" s="100"/>
      <c r="Q147" s="100"/>
      <c r="R147" s="100"/>
      <c r="S147" s="100"/>
      <c r="T147" s="100"/>
      <c r="U147" s="100"/>
    </row>
    <row r="148" spans="2:21" x14ac:dyDescent="0.2">
      <c r="J148" s="100"/>
      <c r="K148" s="100"/>
      <c r="L148" s="100"/>
      <c r="M148" s="100"/>
      <c r="N148" s="100"/>
      <c r="O148" s="100"/>
      <c r="P148" s="100"/>
      <c r="Q148" s="100"/>
      <c r="R148" s="100"/>
      <c r="S148" s="100"/>
      <c r="T148" s="100"/>
      <c r="U148" s="100"/>
    </row>
    <row r="149" spans="2:21" ht="26" x14ac:dyDescent="0.2">
      <c r="B149" s="254" t="s">
        <v>285</v>
      </c>
      <c r="C149" s="126"/>
      <c r="D149" s="126"/>
      <c r="E149" s="126"/>
      <c r="F149" s="126"/>
      <c r="G149" s="126"/>
      <c r="H149" s="126"/>
      <c r="I149" s="278"/>
      <c r="J149" s="126"/>
      <c r="K149" s="126"/>
      <c r="L149" s="126"/>
      <c r="M149" s="126"/>
      <c r="N149" s="126"/>
      <c r="O149" s="126"/>
      <c r="P149" s="126"/>
      <c r="Q149" s="126"/>
      <c r="R149" s="126"/>
      <c r="S149" s="126"/>
      <c r="T149" s="126"/>
      <c r="U149" s="126"/>
    </row>
    <row r="150" spans="2:21" x14ac:dyDescent="0.2">
      <c r="B150" s="144" t="s">
        <v>286</v>
      </c>
      <c r="C150" s="100"/>
      <c r="D150" s="100"/>
      <c r="E150" s="100"/>
      <c r="F150" s="100"/>
      <c r="G150" s="100"/>
      <c r="H150" s="110"/>
      <c r="I150" s="105"/>
      <c r="J150" s="100"/>
      <c r="K150" s="100"/>
      <c r="L150" s="100"/>
      <c r="M150" s="100"/>
      <c r="N150" s="100"/>
      <c r="O150" s="100"/>
      <c r="P150" s="100"/>
      <c r="Q150" s="100"/>
      <c r="R150" s="100"/>
      <c r="S150" s="100"/>
      <c r="T150" s="100"/>
      <c r="U150" s="100"/>
    </row>
    <row r="151" spans="2:21" x14ac:dyDescent="0.2">
      <c r="B151" s="100"/>
      <c r="C151" s="100"/>
      <c r="D151" s="100"/>
      <c r="E151" s="100"/>
      <c r="F151" s="100"/>
      <c r="G151" s="100"/>
      <c r="H151" s="110"/>
      <c r="I151" s="105"/>
      <c r="J151" s="100"/>
      <c r="K151" s="100"/>
      <c r="L151" s="100"/>
      <c r="M151" s="100"/>
      <c r="N151" s="100"/>
      <c r="O151" s="100"/>
      <c r="P151" s="100"/>
      <c r="Q151" s="100"/>
      <c r="R151" s="100"/>
      <c r="S151" s="100"/>
      <c r="T151" s="100"/>
      <c r="U151" s="100"/>
    </row>
    <row r="152" spans="2:21" ht="19" x14ac:dyDescent="0.2">
      <c r="B152" s="247" t="s">
        <v>287</v>
      </c>
      <c r="C152" s="100"/>
      <c r="D152" s="100"/>
      <c r="E152" s="100"/>
      <c r="F152" s="100"/>
      <c r="G152" s="248" t="s">
        <v>110</v>
      </c>
      <c r="H152" s="249"/>
      <c r="I152" s="279" t="s">
        <v>111</v>
      </c>
      <c r="J152" s="100"/>
      <c r="K152" s="100"/>
      <c r="L152" s="100"/>
      <c r="M152" s="100"/>
      <c r="N152" s="100"/>
      <c r="O152" s="100"/>
      <c r="P152" s="100"/>
      <c r="Q152" s="100"/>
      <c r="R152" s="100"/>
      <c r="S152" s="100"/>
      <c r="T152" s="100"/>
      <c r="U152" s="100"/>
    </row>
    <row r="153" spans="2:21" x14ac:dyDescent="0.2">
      <c r="B153" s="389" t="s">
        <v>288</v>
      </c>
      <c r="C153" s="379"/>
      <c r="D153" s="379"/>
      <c r="E153" s="379"/>
      <c r="F153" s="379"/>
      <c r="G153" s="390">
        <v>0.05</v>
      </c>
      <c r="H153" s="379"/>
      <c r="I153" s="379" t="s">
        <v>289</v>
      </c>
      <c r="J153" s="100"/>
      <c r="K153" s="100"/>
      <c r="L153" s="100"/>
      <c r="M153" s="100"/>
      <c r="N153" s="100"/>
      <c r="O153" s="100"/>
      <c r="P153" s="100"/>
      <c r="Q153" s="100"/>
      <c r="R153" s="100"/>
      <c r="S153" s="100"/>
      <c r="T153" s="100"/>
      <c r="U153" s="100"/>
    </row>
    <row r="154" spans="2:21" x14ac:dyDescent="0.2">
      <c r="B154" s="386" t="s">
        <v>290</v>
      </c>
      <c r="G154" s="381">
        <v>0.7</v>
      </c>
      <c r="I154" s="392" t="s">
        <v>291</v>
      </c>
      <c r="J154" s="100"/>
      <c r="K154" s="100"/>
      <c r="L154" s="100"/>
      <c r="M154" s="100"/>
      <c r="N154" s="100"/>
      <c r="O154" s="100"/>
      <c r="P154" s="100"/>
      <c r="Q154" s="100"/>
      <c r="R154" s="100"/>
      <c r="S154" s="100"/>
      <c r="T154" s="100"/>
      <c r="U154" s="100"/>
    </row>
    <row r="155" spans="2:21" x14ac:dyDescent="0.2">
      <c r="B155" s="387" t="s">
        <v>459</v>
      </c>
      <c r="C155" s="379"/>
      <c r="D155" s="379"/>
      <c r="E155" s="379"/>
      <c r="F155" s="379"/>
      <c r="G155" s="380">
        <v>0.03</v>
      </c>
      <c r="H155" s="379"/>
      <c r="I155" s="379" t="s">
        <v>292</v>
      </c>
      <c r="J155" s="100"/>
      <c r="K155" s="100"/>
      <c r="L155" s="100"/>
      <c r="M155" s="100"/>
      <c r="N155" s="100"/>
      <c r="O155" s="100"/>
      <c r="P155" s="100"/>
      <c r="Q155" s="100"/>
      <c r="R155" s="100"/>
      <c r="S155" s="100"/>
      <c r="T155" s="100"/>
      <c r="U155" s="100"/>
    </row>
    <row r="156" spans="2:21" x14ac:dyDescent="0.2">
      <c r="B156" s="271" t="s">
        <v>293</v>
      </c>
      <c r="G156" s="391">
        <v>0.08</v>
      </c>
      <c r="I156" s="92" t="s">
        <v>294</v>
      </c>
      <c r="J156" s="100"/>
      <c r="K156" s="100"/>
      <c r="L156" s="100"/>
      <c r="M156" s="100"/>
      <c r="N156" s="100"/>
      <c r="O156" s="100"/>
      <c r="P156" s="100"/>
      <c r="Q156" s="100"/>
      <c r="R156" s="100"/>
      <c r="S156" s="100"/>
      <c r="T156" s="100"/>
      <c r="U156" s="100"/>
    </row>
    <row r="157" spans="2:21" x14ac:dyDescent="0.2">
      <c r="B157" s="387" t="s">
        <v>295</v>
      </c>
      <c r="C157" s="379"/>
      <c r="D157" s="379"/>
      <c r="E157" s="379"/>
      <c r="F157" s="379"/>
      <c r="G157" s="388">
        <v>0.02</v>
      </c>
      <c r="H157" s="379"/>
      <c r="I157" s="379" t="s">
        <v>296</v>
      </c>
    </row>
    <row r="158" spans="2:21" x14ac:dyDescent="0.2">
      <c r="B158" s="386" t="s">
        <v>460</v>
      </c>
      <c r="G158" s="381">
        <v>7.0000000000000007E-2</v>
      </c>
      <c r="I158" s="92" t="s">
        <v>297</v>
      </c>
    </row>
    <row r="159" spans="2:21" x14ac:dyDescent="0.2">
      <c r="B159" s="389" t="s">
        <v>298</v>
      </c>
      <c r="C159" s="379"/>
      <c r="D159" s="379"/>
      <c r="E159" s="379"/>
      <c r="F159" s="379"/>
      <c r="G159" s="390">
        <v>7.0000000000000007E-2</v>
      </c>
      <c r="H159" s="379"/>
      <c r="I159" s="379" t="s">
        <v>458</v>
      </c>
    </row>
    <row r="160" spans="2:21" x14ac:dyDescent="0.2">
      <c r="B160" s="386" t="s">
        <v>299</v>
      </c>
      <c r="G160" s="381">
        <v>0.1</v>
      </c>
      <c r="I160" s="92" t="s">
        <v>300</v>
      </c>
    </row>
    <row r="161" spans="2:9" x14ac:dyDescent="0.2">
      <c r="B161" s="387" t="s">
        <v>461</v>
      </c>
      <c r="C161" s="379"/>
      <c r="D161" s="379"/>
      <c r="E161" s="379"/>
      <c r="F161" s="379"/>
      <c r="G161" s="380">
        <v>0.05</v>
      </c>
      <c r="H161" s="379"/>
      <c r="I161" s="379" t="s">
        <v>301</v>
      </c>
    </row>
    <row r="162" spans="2:9" x14ac:dyDescent="0.2">
      <c r="B162" s="393" t="s">
        <v>302</v>
      </c>
      <c r="C162" s="271"/>
      <c r="D162" s="271"/>
      <c r="E162" s="271"/>
      <c r="F162" s="271"/>
      <c r="G162" s="393">
        <v>6</v>
      </c>
      <c r="I162" s="384" t="s">
        <v>434</v>
      </c>
    </row>
  </sheetData>
  <hyperlinks>
    <hyperlink ref="I31" r:id="rId1" xr:uid="{3522AE67-FF79-3141-9168-A64F67B2D8A5}"/>
    <hyperlink ref="I154" r:id="rId2" xr:uid="{36EE68AC-2869-8B49-B13E-D3EA2C70675D}"/>
  </hyperlinks>
  <pageMargins left="0.7" right="0.7" top="0.75" bottom="0.75" header="0.3" footer="0.3"/>
  <ignoredErrors>
    <ignoredError sqref="G16 G23"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D27B5-CF64-F441-80CD-D54A4167DA15}">
  <sheetPr>
    <tabColor theme="4"/>
  </sheetPr>
  <dimension ref="B3:S92"/>
  <sheetViews>
    <sheetView topLeftCell="A10" zoomScaleNormal="100" workbookViewId="0">
      <selection activeCell="S91" sqref="S91"/>
    </sheetView>
  </sheetViews>
  <sheetFormatPr baseColWidth="10" defaultColWidth="10.83203125" defaultRowHeight="16" x14ac:dyDescent="0.2"/>
  <cols>
    <col min="1" max="1" width="10.83203125" style="2"/>
    <col min="2" max="2" width="50.83203125" style="2" customWidth="1"/>
    <col min="3" max="11" width="15.83203125" style="2" customWidth="1"/>
    <col min="12" max="15" width="15.83203125" style="2" hidden="1" customWidth="1"/>
    <col min="16" max="16" width="15.83203125" style="2" customWidth="1"/>
    <col min="17" max="18" width="15.83203125" style="2" hidden="1" customWidth="1"/>
    <col min="19" max="19" width="15.83203125" style="2" customWidth="1"/>
    <col min="20" max="20" width="250.83203125" style="2" customWidth="1"/>
    <col min="21" max="16384" width="10.83203125" style="2"/>
  </cols>
  <sheetData>
    <row r="3" spans="8:11" ht="19" x14ac:dyDescent="0.2">
      <c r="H3" s="53" t="s">
        <v>303</v>
      </c>
      <c r="I3" s="51"/>
      <c r="J3" s="51"/>
      <c r="K3" s="51"/>
    </row>
    <row r="4" spans="8:11" ht="19" x14ac:dyDescent="0.2">
      <c r="H4" s="52" t="s">
        <v>304</v>
      </c>
      <c r="I4" s="51"/>
      <c r="J4" s="51"/>
      <c r="K4" s="51"/>
    </row>
    <row r="5" spans="8:11" ht="19" x14ac:dyDescent="0.2">
      <c r="H5" s="52"/>
      <c r="I5" s="51"/>
      <c r="J5" s="51"/>
      <c r="K5" s="51"/>
    </row>
    <row r="6" spans="8:11" ht="19" x14ac:dyDescent="0.2">
      <c r="H6" s="52" t="s">
        <v>305</v>
      </c>
      <c r="I6" s="51"/>
      <c r="J6" s="51"/>
      <c r="K6" s="51"/>
    </row>
    <row r="7" spans="8:11" ht="19" x14ac:dyDescent="0.2">
      <c r="H7" s="52" t="s">
        <v>306</v>
      </c>
      <c r="I7" s="51"/>
      <c r="J7" s="51"/>
      <c r="K7" s="51"/>
    </row>
    <row r="8" spans="8:11" ht="19" x14ac:dyDescent="0.2">
      <c r="H8" s="52" t="s">
        <v>307</v>
      </c>
      <c r="I8" s="51"/>
      <c r="J8" s="51"/>
      <c r="K8" s="51"/>
    </row>
    <row r="9" spans="8:11" ht="19" x14ac:dyDescent="0.2">
      <c r="H9" s="52"/>
      <c r="I9" s="51"/>
      <c r="J9" s="51"/>
      <c r="K9" s="51"/>
    </row>
    <row r="10" spans="8:11" ht="19" x14ac:dyDescent="0.2">
      <c r="H10" s="52" t="s">
        <v>308</v>
      </c>
      <c r="I10" s="51"/>
      <c r="J10" s="51"/>
      <c r="K10" s="51"/>
    </row>
    <row r="11" spans="8:11" ht="19" x14ac:dyDescent="0.2">
      <c r="H11" s="52" t="s">
        <v>309</v>
      </c>
      <c r="I11" s="51"/>
      <c r="J11" s="51"/>
      <c r="K11" s="51"/>
    </row>
    <row r="12" spans="8:11" ht="19" x14ac:dyDescent="0.2">
      <c r="H12" s="52" t="s">
        <v>310</v>
      </c>
      <c r="I12" s="51"/>
      <c r="J12" s="51"/>
      <c r="K12" s="51"/>
    </row>
    <row r="13" spans="8:11" ht="19" x14ac:dyDescent="0.2">
      <c r="H13" s="52" t="s">
        <v>311</v>
      </c>
      <c r="I13" s="51"/>
      <c r="J13" s="51"/>
      <c r="K13" s="51"/>
    </row>
    <row r="14" spans="8:11" ht="19" x14ac:dyDescent="0.2">
      <c r="H14" s="52" t="s">
        <v>312</v>
      </c>
      <c r="I14" s="51"/>
      <c r="J14" s="51"/>
      <c r="K14" s="51"/>
    </row>
    <row r="15" spans="8:11" ht="19" x14ac:dyDescent="0.2">
      <c r="H15" s="52" t="s">
        <v>313</v>
      </c>
      <c r="I15" s="51"/>
      <c r="J15" s="51"/>
      <c r="K15" s="51"/>
    </row>
    <row r="16" spans="8:11" ht="19" x14ac:dyDescent="0.2">
      <c r="H16" s="52" t="s">
        <v>314</v>
      </c>
      <c r="I16" s="51"/>
      <c r="J16" s="51"/>
      <c r="K16" s="51"/>
    </row>
    <row r="17" spans="2:19" ht="19" x14ac:dyDescent="0.2">
      <c r="H17" s="52"/>
      <c r="I17" s="51"/>
      <c r="J17" s="51"/>
      <c r="K17" s="51"/>
    </row>
    <row r="18" spans="2:19" ht="19" x14ac:dyDescent="0.2">
      <c r="H18" s="52"/>
      <c r="I18" s="51"/>
      <c r="J18" s="51"/>
      <c r="K18" s="51"/>
    </row>
    <row r="19" spans="2:19" ht="19" x14ac:dyDescent="0.2">
      <c r="H19" s="52"/>
      <c r="I19" s="51"/>
      <c r="J19" s="51"/>
      <c r="K19" s="51"/>
    </row>
    <row r="20" spans="2:19" ht="19" x14ac:dyDescent="0.2">
      <c r="H20" s="52"/>
      <c r="I20" s="51"/>
      <c r="J20" s="51"/>
      <c r="K20" s="51"/>
    </row>
    <row r="21" spans="2:19" ht="19" x14ac:dyDescent="0.2">
      <c r="H21" s="52"/>
      <c r="I21" s="51"/>
      <c r="J21" s="51"/>
      <c r="K21" s="51"/>
    </row>
    <row r="22" spans="2:19" ht="19" x14ac:dyDescent="0.2">
      <c r="H22" s="52"/>
      <c r="I22" s="51"/>
      <c r="J22" s="51"/>
      <c r="K22" s="51"/>
    </row>
    <row r="23" spans="2:19" ht="19" x14ac:dyDescent="0.2">
      <c r="H23" s="52"/>
      <c r="I23" s="51"/>
      <c r="J23" s="51"/>
      <c r="K23" s="51"/>
    </row>
    <row r="24" spans="2:19" ht="19" x14ac:dyDescent="0.2">
      <c r="H24" s="52"/>
      <c r="I24" s="51"/>
      <c r="J24" s="51"/>
      <c r="K24" s="51"/>
    </row>
    <row r="25" spans="2:19" ht="19" x14ac:dyDescent="0.2">
      <c r="H25" s="52"/>
      <c r="I25" s="51"/>
      <c r="J25" s="51"/>
      <c r="K25" s="51"/>
    </row>
    <row r="26" spans="2:19" ht="19" x14ac:dyDescent="0.2">
      <c r="H26" s="52"/>
      <c r="I26" s="51"/>
      <c r="J26" s="51"/>
      <c r="K26" s="51"/>
    </row>
    <row r="27" spans="2:19" ht="19" x14ac:dyDescent="0.2">
      <c r="H27" s="52"/>
      <c r="I27" s="51"/>
      <c r="J27" s="51"/>
      <c r="K27" s="51"/>
    </row>
    <row r="28" spans="2:19" ht="19" x14ac:dyDescent="0.2">
      <c r="H28" s="52"/>
      <c r="I28" s="51"/>
      <c r="J28" s="51"/>
      <c r="K28" s="51"/>
    </row>
    <row r="29" spans="2:19" ht="19" x14ac:dyDescent="0.2">
      <c r="H29" s="52"/>
      <c r="I29" s="51"/>
      <c r="J29" s="51"/>
      <c r="K29" s="51"/>
    </row>
    <row r="30" spans="2:19" ht="19" x14ac:dyDescent="0.2">
      <c r="H30" s="52"/>
      <c r="I30" s="51"/>
      <c r="J30" s="51"/>
      <c r="K30" s="51"/>
    </row>
    <row r="31" spans="2:19" ht="19" x14ac:dyDescent="0.2">
      <c r="H31" s="52"/>
      <c r="I31" s="51"/>
      <c r="J31" s="51"/>
      <c r="K31" s="51"/>
    </row>
    <row r="32" spans="2:19" ht="17" thickBot="1" x14ac:dyDescent="0.25">
      <c r="B32" s="43" t="s">
        <v>315</v>
      </c>
      <c r="C32" s="43">
        <v>2014</v>
      </c>
      <c r="D32" s="43">
        <v>2015</v>
      </c>
      <c r="E32" s="43">
        <v>2016</v>
      </c>
      <c r="F32" s="43">
        <v>2017</v>
      </c>
      <c r="G32" s="43">
        <v>2018</v>
      </c>
      <c r="H32" s="43">
        <v>2019</v>
      </c>
      <c r="I32" s="43">
        <v>2020</v>
      </c>
      <c r="J32" s="43">
        <v>2021</v>
      </c>
      <c r="K32" s="43">
        <v>2022</v>
      </c>
      <c r="L32" s="43">
        <v>2023</v>
      </c>
      <c r="M32" s="43">
        <v>2024</v>
      </c>
      <c r="N32" s="43">
        <v>2025</v>
      </c>
      <c r="O32" s="43">
        <v>2026</v>
      </c>
      <c r="P32" s="43">
        <v>2027</v>
      </c>
      <c r="Q32" s="43">
        <v>2028</v>
      </c>
      <c r="R32" s="43">
        <v>2029</v>
      </c>
      <c r="S32" s="43">
        <v>2030</v>
      </c>
    </row>
    <row r="33" spans="2:19" ht="17" thickTop="1" x14ac:dyDescent="0.2">
      <c r="B33" s="2" t="s">
        <v>205</v>
      </c>
      <c r="C33" s="44">
        <f t="shared" ref="C33:S33" si="0">C44</f>
        <v>0</v>
      </c>
      <c r="D33" s="44">
        <f t="shared" si="0"/>
        <v>0</v>
      </c>
      <c r="E33" s="44">
        <f t="shared" si="0"/>
        <v>0</v>
      </c>
      <c r="F33" s="44">
        <f t="shared" si="0"/>
        <v>0</v>
      </c>
      <c r="G33" s="44">
        <f t="shared" si="0"/>
        <v>0</v>
      </c>
      <c r="H33" s="44">
        <f t="shared" si="0"/>
        <v>0</v>
      </c>
      <c r="I33" s="44">
        <f t="shared" si="0"/>
        <v>0</v>
      </c>
      <c r="J33" s="44">
        <f t="shared" si="0"/>
        <v>0</v>
      </c>
      <c r="K33" s="44">
        <f t="shared" si="0"/>
        <v>77735.999947628588</v>
      </c>
      <c r="L33" s="44">
        <f t="shared" si="0"/>
        <v>100779.9173310934</v>
      </c>
      <c r="M33" s="44">
        <f t="shared" si="0"/>
        <v>121134.03349765576</v>
      </c>
      <c r="N33" s="44">
        <f t="shared" si="0"/>
        <v>143238.34692872647</v>
      </c>
      <c r="O33" s="44">
        <f t="shared" si="0"/>
        <v>168493.5376689627</v>
      </c>
      <c r="P33" s="44">
        <f t="shared" si="0"/>
        <v>197110.59651242703</v>
      </c>
      <c r="Q33" s="44">
        <f t="shared" si="0"/>
        <v>229053.9989009061</v>
      </c>
      <c r="R33" s="44">
        <f t="shared" si="0"/>
        <v>264069.19712800713</v>
      </c>
      <c r="S33" s="44">
        <f t="shared" si="0"/>
        <v>301690.4864986153</v>
      </c>
    </row>
    <row r="34" spans="2:19" x14ac:dyDescent="0.2">
      <c r="B34" s="47" t="s">
        <v>25</v>
      </c>
      <c r="C34" s="48">
        <f t="shared" ref="C34:J34" si="1">C50</f>
        <v>1798</v>
      </c>
      <c r="D34" s="48">
        <f t="shared" si="1"/>
        <v>39440</v>
      </c>
      <c r="E34" s="48">
        <f t="shared" si="1"/>
        <v>99380</v>
      </c>
      <c r="F34" s="48">
        <f t="shared" si="1"/>
        <v>266000</v>
      </c>
      <c r="G34" s="48">
        <f t="shared" si="1"/>
        <v>454460</v>
      </c>
      <c r="H34" s="48">
        <f t="shared" si="1"/>
        <v>876290</v>
      </c>
      <c r="I34" s="48">
        <f t="shared" si="1"/>
        <v>815000</v>
      </c>
      <c r="J34" s="48">
        <f t="shared" si="1"/>
        <v>1062000</v>
      </c>
      <c r="K34" s="48">
        <f t="shared" ref="K34:S34" si="2">K62</f>
        <v>1382000</v>
      </c>
      <c r="L34" s="48">
        <f t="shared" si="2"/>
        <v>1829631.4168851133</v>
      </c>
      <c r="M34" s="48">
        <f t="shared" si="2"/>
        <v>2085079.9872958823</v>
      </c>
      <c r="N34" s="48">
        <f t="shared" si="2"/>
        <v>2364144.3835163545</v>
      </c>
      <c r="O34" s="48">
        <f t="shared" si="2"/>
        <v>2665664.4877066528</v>
      </c>
      <c r="P34" s="48">
        <f t="shared" si="2"/>
        <v>2985969.939066452</v>
      </c>
      <c r="Q34" s="48">
        <f t="shared" si="2"/>
        <v>3318846.398778134</v>
      </c>
      <c r="R34" s="48">
        <f t="shared" si="2"/>
        <v>3656153.601221866</v>
      </c>
      <c r="S34" s="48">
        <f t="shared" si="2"/>
        <v>3989030.060933548</v>
      </c>
    </row>
    <row r="35" spans="2:19" x14ac:dyDescent="0.2">
      <c r="B35" s="2" t="s">
        <v>27</v>
      </c>
      <c r="C35" s="3">
        <f t="shared" ref="C35:S35" si="3">C78</f>
        <v>0</v>
      </c>
      <c r="D35" s="3">
        <f t="shared" si="3"/>
        <v>0</v>
      </c>
      <c r="E35" s="3">
        <f t="shared" si="3"/>
        <v>0</v>
      </c>
      <c r="F35" s="3">
        <f t="shared" si="3"/>
        <v>0</v>
      </c>
      <c r="G35" s="3">
        <f t="shared" si="3"/>
        <v>0</v>
      </c>
      <c r="H35" s="3">
        <f t="shared" si="3"/>
        <v>0</v>
      </c>
      <c r="I35" s="3">
        <f t="shared" si="3"/>
        <v>0</v>
      </c>
      <c r="J35" s="3">
        <f t="shared" si="3"/>
        <v>0</v>
      </c>
      <c r="K35" s="3">
        <f t="shared" si="3"/>
        <v>3753.4572911457508</v>
      </c>
      <c r="L35" s="3">
        <f t="shared" si="3"/>
        <v>5848.1022475981326</v>
      </c>
      <c r="M35" s="3">
        <f t="shared" si="3"/>
        <v>19553.704603954364</v>
      </c>
      <c r="N35" s="3">
        <f t="shared" si="3"/>
        <v>28528.3052296553</v>
      </c>
      <c r="O35" s="3">
        <f t="shared" si="3"/>
        <v>41449.314472585611</v>
      </c>
      <c r="P35" s="3">
        <f t="shared" si="3"/>
        <v>59587.98176833363</v>
      </c>
      <c r="Q35" s="3">
        <f t="shared" si="3"/>
        <v>84133.793724827454</v>
      </c>
      <c r="R35" s="3">
        <f t="shared" si="3"/>
        <v>115775.35778610515</v>
      </c>
      <c r="S35" s="3">
        <f t="shared" si="3"/>
        <v>154225.21316615329</v>
      </c>
    </row>
    <row r="36" spans="2:19" x14ac:dyDescent="0.2">
      <c r="B36" s="49" t="s">
        <v>316</v>
      </c>
      <c r="C36" s="50">
        <f t="shared" ref="C36:S36" si="4">C91</f>
        <v>0</v>
      </c>
      <c r="D36" s="50">
        <f t="shared" si="4"/>
        <v>0</v>
      </c>
      <c r="E36" s="50">
        <f t="shared" si="4"/>
        <v>0</v>
      </c>
      <c r="F36" s="50">
        <f t="shared" si="4"/>
        <v>0</v>
      </c>
      <c r="G36" s="50">
        <f t="shared" si="4"/>
        <v>0</v>
      </c>
      <c r="H36" s="50">
        <f t="shared" si="4"/>
        <v>0</v>
      </c>
      <c r="I36" s="50">
        <f t="shared" si="4"/>
        <v>0</v>
      </c>
      <c r="J36" s="50">
        <f t="shared" si="4"/>
        <v>0</v>
      </c>
      <c r="K36" s="50">
        <f t="shared" si="4"/>
        <v>0</v>
      </c>
      <c r="L36" s="50">
        <f t="shared" si="4"/>
        <v>21632.048746419106</v>
      </c>
      <c r="M36" s="50">
        <f t="shared" si="4"/>
        <v>28750.434378032514</v>
      </c>
      <c r="N36" s="50">
        <f t="shared" si="4"/>
        <v>231013.26978068647</v>
      </c>
      <c r="O36" s="50">
        <f t="shared" si="4"/>
        <v>288055.619824533</v>
      </c>
      <c r="P36" s="50">
        <f t="shared" si="4"/>
        <v>358388.81080924039</v>
      </c>
      <c r="Q36" s="50">
        <f t="shared" si="4"/>
        <v>444584.65365200967</v>
      </c>
      <c r="R36" s="50">
        <f t="shared" si="4"/>
        <v>549397.67531108414</v>
      </c>
      <c r="S36" s="50">
        <f t="shared" si="4"/>
        <v>675591.31312545948</v>
      </c>
    </row>
    <row r="37" spans="2:19" x14ac:dyDescent="0.2">
      <c r="B37" s="45" t="s">
        <v>317</v>
      </c>
      <c r="C37" s="46">
        <f>SUM(C33:C36)</f>
        <v>1798</v>
      </c>
      <c r="D37" s="46">
        <f t="shared" ref="D37:S37" si="5">SUM(D33:D36)</f>
        <v>39440</v>
      </c>
      <c r="E37" s="46">
        <f t="shared" si="5"/>
        <v>99380</v>
      </c>
      <c r="F37" s="46">
        <f t="shared" si="5"/>
        <v>266000</v>
      </c>
      <c r="G37" s="46">
        <f t="shared" si="5"/>
        <v>454460</v>
      </c>
      <c r="H37" s="46">
        <f t="shared" si="5"/>
        <v>876290</v>
      </c>
      <c r="I37" s="46">
        <f t="shared" si="5"/>
        <v>815000</v>
      </c>
      <c r="J37" s="46">
        <f t="shared" si="5"/>
        <v>1062000</v>
      </c>
      <c r="K37" s="46">
        <f t="shared" si="5"/>
        <v>1463489.4572387743</v>
      </c>
      <c r="L37" s="46">
        <f t="shared" si="5"/>
        <v>1957891.4852102241</v>
      </c>
      <c r="M37" s="46">
        <f t="shared" si="5"/>
        <v>2254518.1597755249</v>
      </c>
      <c r="N37" s="46">
        <f t="shared" si="5"/>
        <v>2766924.305455423</v>
      </c>
      <c r="O37" s="46">
        <f t="shared" si="5"/>
        <v>3163662.9596727337</v>
      </c>
      <c r="P37" s="46">
        <f t="shared" si="5"/>
        <v>3601057.3281564531</v>
      </c>
      <c r="Q37" s="46">
        <f t="shared" si="5"/>
        <v>4076618.8450558772</v>
      </c>
      <c r="R37" s="46">
        <f t="shared" si="5"/>
        <v>4585395.8314470621</v>
      </c>
      <c r="S37" s="46">
        <f t="shared" si="5"/>
        <v>5120537.0737237763</v>
      </c>
    </row>
    <row r="40" spans="2:19" ht="17" thickBot="1" x14ac:dyDescent="0.25">
      <c r="B40" s="38" t="s">
        <v>205</v>
      </c>
      <c r="C40" s="38">
        <v>2014</v>
      </c>
      <c r="D40" s="38">
        <v>2015</v>
      </c>
      <c r="E40" s="38">
        <v>2016</v>
      </c>
      <c r="F40" s="38">
        <v>2017</v>
      </c>
      <c r="G40" s="38">
        <v>2018</v>
      </c>
      <c r="H40" s="38">
        <v>2019</v>
      </c>
      <c r="I40" s="38">
        <v>2020</v>
      </c>
      <c r="J40" s="38">
        <v>2021</v>
      </c>
      <c r="K40" s="38">
        <v>2022</v>
      </c>
      <c r="L40" s="38">
        <v>2023</v>
      </c>
      <c r="M40" s="38">
        <v>2024</v>
      </c>
      <c r="N40" s="38">
        <v>2025</v>
      </c>
      <c r="O40" s="38">
        <v>2026</v>
      </c>
      <c r="P40" s="38">
        <v>2027</v>
      </c>
      <c r="Q40" s="38">
        <v>2028</v>
      </c>
      <c r="R40" s="38">
        <v>2029</v>
      </c>
      <c r="S40" s="38">
        <v>2030</v>
      </c>
    </row>
    <row r="41" spans="2:19" ht="17" thickTop="1" x14ac:dyDescent="0.2">
      <c r="B41" s="2" t="s">
        <v>318</v>
      </c>
      <c r="K41" s="12">
        <f>K61+K67+K71+K75+'PROGNOSTICS &amp; MRD'!L52+'PROGNOSTICS &amp; MRD'!L70+'PROGNOSTICS &amp; MRD'!L90</f>
        <v>3109439.9979051435</v>
      </c>
      <c r="L41" s="12">
        <f>L61+L67+L71+L75+'PROGNOSTICS &amp; MRD'!M52+'PROGNOSTICS &amp; MRD'!M70+'PROGNOSTICS &amp; MRD'!M90</f>
        <v>3876150.6665805154</v>
      </c>
      <c r="M41" s="12">
        <f>M61+M67+M71+M75+'PROGNOSTICS &amp; MRD'!N52+'PROGNOSTICS &amp; MRD'!N70+'PROGNOSTICS &amp; MRD'!N90</f>
        <v>4479808.9311263217</v>
      </c>
      <c r="N41" s="12">
        <f>N61+N67+N71+N75+'PROGNOSTICS &amp; MRD'!O52+'PROGNOSTICS &amp; MRD'!O70+'PROGNOSTICS &amp; MRD'!O90</f>
        <v>5093534.7536671609</v>
      </c>
      <c r="O41" s="12">
        <f>O61+O67+O71+O75+'PROGNOSTICS &amp; MRD'!P52+'PROGNOSTICS &amp; MRD'!P70+'PROGNOSTICS &amp; MRD'!P90</f>
        <v>5761159.2864341699</v>
      </c>
      <c r="P41" s="12">
        <f>P61+P67+P71+P75+'PROGNOSTICS &amp; MRD'!Q52+'PROGNOSTICS &amp; MRD'!Q70+'PROGNOSTICS &amp; MRD'!Q90</f>
        <v>6480421.692122763</v>
      </c>
      <c r="Q41" s="12">
        <f>Q61+Q67+Q71+Q75+'PROGNOSTICS &amp; MRD'!R52+'PROGNOSTICS &amp; MRD'!R70+'PROGNOSTICS &amp; MRD'!R90</f>
        <v>7240988.1003185157</v>
      </c>
      <c r="R41" s="12">
        <f>R61+R67+R71+R75+'PROGNOSTICS &amp; MRD'!S52+'PROGNOSTICS &amp; MRD'!S70+'PROGNOSTICS &amp; MRD'!S90</f>
        <v>8026835.472621589</v>
      </c>
      <c r="S41" s="12">
        <f>S61+S67+S71+S75+'PROGNOSTICS &amp; MRD'!T52+'PROGNOSTICS &amp; MRD'!T70+'PROGNOSTICS &amp; MRD'!T90</f>
        <v>8817691.3370728567</v>
      </c>
    </row>
    <row r="42" spans="2:19" x14ac:dyDescent="0.2">
      <c r="B42" s="39" t="s">
        <v>319</v>
      </c>
      <c r="C42" s="1"/>
      <c r="D42" s="39"/>
      <c r="E42" s="39"/>
      <c r="F42" s="39"/>
      <c r="G42" s="39"/>
      <c r="H42" s="39"/>
      <c r="I42" s="39"/>
      <c r="J42" s="39"/>
      <c r="K42" s="40">
        <f>'MODEL INPUT'!G76</f>
        <v>500</v>
      </c>
      <c r="L42" s="40">
        <f>K42*(1+'MODEL INPUT'!$G$77)</f>
        <v>520</v>
      </c>
      <c r="M42" s="40">
        <f>L42*(1+'MODEL INPUT'!$G$77)</f>
        <v>540.80000000000007</v>
      </c>
      <c r="N42" s="40">
        <f>M42*(1+'MODEL INPUT'!$G$77)</f>
        <v>562.43200000000013</v>
      </c>
      <c r="O42" s="40">
        <f>N42*(1+'MODEL INPUT'!$G$77)</f>
        <v>584.92928000000018</v>
      </c>
      <c r="P42" s="40">
        <f>O42*(1+'MODEL INPUT'!$G$77)</f>
        <v>608.32645120000018</v>
      </c>
      <c r="Q42" s="40">
        <f>P42*(1+'MODEL INPUT'!$G$77)</f>
        <v>632.65950924800018</v>
      </c>
      <c r="R42" s="40">
        <f>Q42*(1+'MODEL INPUT'!$G$77)</f>
        <v>657.9658896179202</v>
      </c>
      <c r="S42" s="40">
        <f>R42*(1+'MODEL INPUT'!$G$77)</f>
        <v>684.28452520263704</v>
      </c>
    </row>
    <row r="43" spans="2:19" x14ac:dyDescent="0.2">
      <c r="B43" s="31" t="s">
        <v>320</v>
      </c>
      <c r="C43" s="31"/>
      <c r="D43" s="31"/>
      <c r="E43" s="31"/>
      <c r="F43" s="31"/>
      <c r="G43" s="31"/>
      <c r="H43" s="31"/>
      <c r="I43" s="31"/>
      <c r="J43" s="31"/>
      <c r="K43" s="32">
        <f>K41*'MODEL INPUT'!$G$79</f>
        <v>155471.99989525718</v>
      </c>
      <c r="L43" s="32">
        <f>L41*'MODEL INPUT'!$G$79</f>
        <v>193807.53332902578</v>
      </c>
      <c r="M43" s="32">
        <f>M41*'MODEL INPUT'!$G$79</f>
        <v>223990.44655631611</v>
      </c>
      <c r="N43" s="32">
        <f>N41*'MODEL INPUT'!$G$79</f>
        <v>254676.73768335805</v>
      </c>
      <c r="O43" s="32">
        <f>O41*'MODEL INPUT'!$G$79</f>
        <v>288057.96432170848</v>
      </c>
      <c r="P43" s="32">
        <f>P41*'MODEL INPUT'!$G$79</f>
        <v>324021.08460613817</v>
      </c>
      <c r="Q43" s="32">
        <f>Q41*'MODEL INPUT'!$G$79</f>
        <v>362049.40501592582</v>
      </c>
      <c r="R43" s="32">
        <f>R41*'MODEL INPUT'!$G$79</f>
        <v>401341.77363107947</v>
      </c>
      <c r="S43" s="32">
        <f>S41*'MODEL INPUT'!$G$79</f>
        <v>440884.56685364287</v>
      </c>
    </row>
    <row r="44" spans="2:19" ht="17" thickBot="1" x14ac:dyDescent="0.25">
      <c r="B44" s="41" t="s">
        <v>321</v>
      </c>
      <c r="C44" s="41"/>
      <c r="D44" s="41"/>
      <c r="E44" s="41"/>
      <c r="F44" s="41"/>
      <c r="G44" s="41"/>
      <c r="H44" s="41"/>
      <c r="I44" s="41"/>
      <c r="J44" s="41"/>
      <c r="K44" s="42">
        <f>K43*K42/1000</f>
        <v>77735.999947628588</v>
      </c>
      <c r="L44" s="42">
        <f t="shared" ref="L44:S44" si="6">L43*L42/1000</f>
        <v>100779.9173310934</v>
      </c>
      <c r="M44" s="42">
        <f t="shared" si="6"/>
        <v>121134.03349765576</v>
      </c>
      <c r="N44" s="42">
        <f t="shared" si="6"/>
        <v>143238.34692872647</v>
      </c>
      <c r="O44" s="42">
        <f t="shared" si="6"/>
        <v>168493.5376689627</v>
      </c>
      <c r="P44" s="42">
        <f t="shared" si="6"/>
        <v>197110.59651242703</v>
      </c>
      <c r="Q44" s="42">
        <f t="shared" si="6"/>
        <v>229053.9989009061</v>
      </c>
      <c r="R44" s="42">
        <f t="shared" si="6"/>
        <v>264069.19712800713</v>
      </c>
      <c r="S44" s="42">
        <f t="shared" si="6"/>
        <v>301690.4864986153</v>
      </c>
    </row>
    <row r="45" spans="2:19" ht="17" thickTop="1" x14ac:dyDescent="0.2"/>
    <row r="47" spans="2:19" ht="17" thickBot="1" x14ac:dyDescent="0.25">
      <c r="B47" s="17" t="s">
        <v>322</v>
      </c>
      <c r="C47" s="17">
        <v>2014</v>
      </c>
      <c r="D47" s="17">
        <v>2015</v>
      </c>
      <c r="E47" s="17">
        <v>2016</v>
      </c>
      <c r="F47" s="17">
        <v>2017</v>
      </c>
      <c r="G47" s="17">
        <v>2018</v>
      </c>
      <c r="H47" s="17">
        <v>2019</v>
      </c>
      <c r="I47" s="17">
        <v>2020</v>
      </c>
      <c r="J47" s="17">
        <v>2021</v>
      </c>
      <c r="K47" s="17">
        <v>2022</v>
      </c>
      <c r="L47" s="17">
        <v>2023</v>
      </c>
      <c r="M47" s="17">
        <v>2024</v>
      </c>
      <c r="N47" s="17">
        <v>2025</v>
      </c>
      <c r="O47" s="17">
        <v>2026</v>
      </c>
      <c r="P47" s="17">
        <v>2027</v>
      </c>
      <c r="Q47" s="17">
        <v>2028</v>
      </c>
      <c r="R47" s="17">
        <v>2029</v>
      </c>
      <c r="S47" s="17">
        <v>2030</v>
      </c>
    </row>
    <row r="48" spans="2:19" ht="17" thickTop="1" x14ac:dyDescent="0.2">
      <c r="B48" s="2" t="s">
        <v>323</v>
      </c>
      <c r="C48" s="5">
        <v>4100</v>
      </c>
      <c r="D48" s="5">
        <v>27000</v>
      </c>
      <c r="E48" s="5">
        <v>60000</v>
      </c>
      <c r="F48" s="5">
        <v>84000</v>
      </c>
      <c r="G48" s="5">
        <v>147000</v>
      </c>
      <c r="H48" s="5">
        <v>197000</v>
      </c>
      <c r="I48" s="5">
        <v>227000</v>
      </c>
      <c r="J48" s="5">
        <v>260000</v>
      </c>
    </row>
    <row r="49" spans="2:19" x14ac:dyDescent="0.2">
      <c r="B49" s="8" t="s">
        <v>324</v>
      </c>
      <c r="C49" s="9">
        <v>4100</v>
      </c>
      <c r="D49" s="9">
        <v>104000</v>
      </c>
      <c r="E49" s="9">
        <v>244000</v>
      </c>
      <c r="F49" s="9">
        <v>572000</v>
      </c>
      <c r="G49" s="9">
        <v>934000</v>
      </c>
      <c r="H49" s="9">
        <v>1680000</v>
      </c>
      <c r="I49" s="13">
        <f>I50/I51*1000</f>
        <v>1561302.6819923371</v>
      </c>
      <c r="J49" s="13">
        <f>J50/J51*1000</f>
        <v>2034482.7586206899</v>
      </c>
      <c r="K49" s="8"/>
      <c r="L49" s="8"/>
      <c r="M49" s="8"/>
      <c r="N49" s="8"/>
      <c r="O49" s="8"/>
      <c r="P49" s="8"/>
      <c r="Q49" s="8"/>
      <c r="R49" s="8"/>
      <c r="S49" s="8"/>
    </row>
    <row r="50" spans="2:19" x14ac:dyDescent="0.2">
      <c r="B50" s="2" t="s">
        <v>325</v>
      </c>
      <c r="C50" s="6">
        <v>1798</v>
      </c>
      <c r="D50" s="6">
        <v>39440</v>
      </c>
      <c r="E50" s="6">
        <v>99380</v>
      </c>
      <c r="F50" s="6">
        <v>266000</v>
      </c>
      <c r="G50" s="6">
        <v>454460</v>
      </c>
      <c r="H50" s="6">
        <v>876290</v>
      </c>
      <c r="I50" s="6">
        <v>815000</v>
      </c>
      <c r="J50" s="6">
        <v>1062000</v>
      </c>
    </row>
    <row r="51" spans="2:19" x14ac:dyDescent="0.2">
      <c r="B51" s="250" t="s">
        <v>326</v>
      </c>
      <c r="C51" s="10">
        <f>(C50*1000)/C49</f>
        <v>438.53658536585368</v>
      </c>
      <c r="D51" s="10">
        <f t="shared" ref="D51:H51" si="7">(D50*1000)/D49</f>
        <v>379.23076923076923</v>
      </c>
      <c r="E51" s="10">
        <f t="shared" si="7"/>
        <v>407.29508196721309</v>
      </c>
      <c r="F51" s="10">
        <f t="shared" si="7"/>
        <v>465.03496503496501</v>
      </c>
      <c r="G51" s="10">
        <f t="shared" si="7"/>
        <v>486.57387580299786</v>
      </c>
      <c r="H51" s="10">
        <f t="shared" si="7"/>
        <v>521.60119047619048</v>
      </c>
      <c r="I51" s="11">
        <v>522</v>
      </c>
      <c r="J51" s="11">
        <v>522</v>
      </c>
      <c r="K51" s="8"/>
      <c r="L51" s="8"/>
      <c r="M51" s="8"/>
      <c r="N51" s="8"/>
      <c r="O51" s="8"/>
      <c r="P51" s="8"/>
      <c r="Q51" s="8"/>
      <c r="R51" s="8"/>
      <c r="S51" s="8"/>
    </row>
    <row r="52" spans="2:19" x14ac:dyDescent="0.2">
      <c r="B52" s="2" t="s">
        <v>327</v>
      </c>
      <c r="K52" s="4">
        <f>'MODEL INPUT'!$G40</f>
        <v>325000</v>
      </c>
      <c r="L52" s="4">
        <f>'MODEL INPUT'!$G40</f>
        <v>325000</v>
      </c>
      <c r="M52" s="4">
        <f>'MODEL INPUT'!$G40</f>
        <v>325000</v>
      </c>
      <c r="N52" s="4">
        <f>'MODEL INPUT'!$G40</f>
        <v>325000</v>
      </c>
      <c r="O52" s="4">
        <f>'MODEL INPUT'!$G40</f>
        <v>325000</v>
      </c>
      <c r="P52" s="4">
        <f>'MODEL INPUT'!$G40</f>
        <v>325000</v>
      </c>
      <c r="Q52" s="4">
        <f>'MODEL INPUT'!$G40</f>
        <v>325000</v>
      </c>
      <c r="R52" s="4">
        <f>'MODEL INPUT'!$G40</f>
        <v>325000</v>
      </c>
      <c r="S52" s="4">
        <f>'MODEL INPUT'!$G40</f>
        <v>325000</v>
      </c>
    </row>
    <row r="53" spans="2:19" x14ac:dyDescent="0.2">
      <c r="B53" s="8" t="s">
        <v>328</v>
      </c>
      <c r="C53" s="14">
        <f>((C48-0)/2)+0</f>
        <v>2050</v>
      </c>
      <c r="D53" s="14">
        <f t="shared" ref="D53:J53" si="8">((D48-C48)/2)+C48</f>
        <v>15550</v>
      </c>
      <c r="E53" s="14">
        <f t="shared" si="8"/>
        <v>43500</v>
      </c>
      <c r="F53" s="14">
        <f t="shared" si="8"/>
        <v>72000</v>
      </c>
      <c r="G53" s="14">
        <f t="shared" si="8"/>
        <v>115500</v>
      </c>
      <c r="H53" s="14">
        <f t="shared" si="8"/>
        <v>172000</v>
      </c>
      <c r="I53" s="14">
        <f t="shared" si="8"/>
        <v>212000</v>
      </c>
      <c r="J53" s="14">
        <f t="shared" si="8"/>
        <v>243500</v>
      </c>
      <c r="K53" s="14">
        <f>((K52-J48)/2)+J48</f>
        <v>292500</v>
      </c>
      <c r="L53" s="14">
        <f>((L52-K52)/2)+K52</f>
        <v>325000</v>
      </c>
      <c r="M53" s="14">
        <f t="shared" ref="M53:S53" si="9">((M52-L52)/2)+L52</f>
        <v>325000</v>
      </c>
      <c r="N53" s="14">
        <f t="shared" si="9"/>
        <v>325000</v>
      </c>
      <c r="O53" s="14">
        <f t="shared" si="9"/>
        <v>325000</v>
      </c>
      <c r="P53" s="14">
        <f t="shared" si="9"/>
        <v>325000</v>
      </c>
      <c r="Q53" s="14">
        <f t="shared" si="9"/>
        <v>325000</v>
      </c>
      <c r="R53" s="14">
        <f t="shared" si="9"/>
        <v>325000</v>
      </c>
      <c r="S53" s="14">
        <f t="shared" si="9"/>
        <v>325000</v>
      </c>
    </row>
    <row r="54" spans="2:19" x14ac:dyDescent="0.2">
      <c r="B54" s="2" t="s">
        <v>329</v>
      </c>
      <c r="C54" s="4">
        <f>C49/C53</f>
        <v>2</v>
      </c>
      <c r="D54" s="4">
        <f t="shared" ref="D54:H54" si="10">D49/D53</f>
        <v>6.688102893890675</v>
      </c>
      <c r="E54" s="4">
        <f t="shared" si="10"/>
        <v>5.6091954022988508</v>
      </c>
      <c r="F54" s="4">
        <f t="shared" si="10"/>
        <v>7.9444444444444446</v>
      </c>
      <c r="G54" s="4">
        <f t="shared" si="10"/>
        <v>8.0865800865800868</v>
      </c>
      <c r="H54" s="4">
        <f t="shared" si="10"/>
        <v>9.7674418604651159</v>
      </c>
      <c r="I54" s="4">
        <f t="shared" ref="I54" si="11">I49/I53</f>
        <v>7.3646352924166845</v>
      </c>
      <c r="J54" s="4">
        <f t="shared" ref="J54" si="12">J49/J53</f>
        <v>8.3551653331445177</v>
      </c>
      <c r="K54" s="12">
        <f t="shared" ref="K54:S54" si="13">(1.3*(K47-$C$47))+2.15</f>
        <v>12.55</v>
      </c>
      <c r="L54" s="12">
        <f t="shared" si="13"/>
        <v>13.850000000000001</v>
      </c>
      <c r="M54" s="12">
        <f t="shared" si="13"/>
        <v>15.15</v>
      </c>
      <c r="N54" s="12">
        <f t="shared" si="13"/>
        <v>16.45</v>
      </c>
      <c r="O54" s="12">
        <f t="shared" si="13"/>
        <v>17.75</v>
      </c>
      <c r="P54" s="12">
        <f t="shared" si="13"/>
        <v>19.05</v>
      </c>
      <c r="Q54" s="12">
        <f t="shared" si="13"/>
        <v>20.349999999999998</v>
      </c>
      <c r="R54" s="12">
        <f t="shared" si="13"/>
        <v>21.65</v>
      </c>
      <c r="S54" s="12">
        <f t="shared" si="13"/>
        <v>22.95</v>
      </c>
    </row>
    <row r="55" spans="2:19" x14ac:dyDescent="0.2">
      <c r="B55" s="8" t="s">
        <v>330</v>
      </c>
      <c r="C55" s="8"/>
      <c r="D55" s="8"/>
      <c r="E55" s="8"/>
      <c r="F55" s="8"/>
      <c r="G55" s="8"/>
      <c r="H55" s="8"/>
      <c r="I55" s="8"/>
      <c r="J55" s="8"/>
      <c r="K55" s="10">
        <f>'MODEL INPUT'!$G$42</f>
        <v>500</v>
      </c>
      <c r="L55" s="10">
        <f>'MODEL INPUT'!$G$42</f>
        <v>500</v>
      </c>
      <c r="M55" s="10">
        <f>'MODEL INPUT'!$G$42</f>
        <v>500</v>
      </c>
      <c r="N55" s="10">
        <f>'MODEL INPUT'!$G$42</f>
        <v>500</v>
      </c>
      <c r="O55" s="10">
        <f>'MODEL INPUT'!$G$42</f>
        <v>500</v>
      </c>
      <c r="P55" s="10">
        <f>'MODEL INPUT'!$G$42</f>
        <v>500</v>
      </c>
      <c r="Q55" s="10">
        <f>'MODEL INPUT'!$G$42</f>
        <v>500</v>
      </c>
      <c r="R55" s="10">
        <f>'MODEL INPUT'!$G$42</f>
        <v>500</v>
      </c>
      <c r="S55" s="10">
        <f>'MODEL INPUT'!$G$42</f>
        <v>500</v>
      </c>
    </row>
    <row r="56" spans="2:19" x14ac:dyDescent="0.2">
      <c r="B56" s="2" t="s">
        <v>331</v>
      </c>
      <c r="K56" s="4">
        <f>K54*K53</f>
        <v>3670875</v>
      </c>
      <c r="L56" s="4">
        <f t="shared" ref="L56:S56" si="14">L54*L53</f>
        <v>4501250</v>
      </c>
      <c r="M56" s="4">
        <f t="shared" si="14"/>
        <v>4923750</v>
      </c>
      <c r="N56" s="4">
        <f t="shared" si="14"/>
        <v>5346250</v>
      </c>
      <c r="O56" s="4">
        <f t="shared" si="14"/>
        <v>5768750</v>
      </c>
      <c r="P56" s="4">
        <f t="shared" si="14"/>
        <v>6191250</v>
      </c>
      <c r="Q56" s="4">
        <f t="shared" si="14"/>
        <v>6613749.9999999991</v>
      </c>
      <c r="R56" s="4">
        <f t="shared" si="14"/>
        <v>7036250</v>
      </c>
      <c r="S56" s="4">
        <f t="shared" si="14"/>
        <v>7458750</v>
      </c>
    </row>
    <row r="57" spans="2:19" x14ac:dyDescent="0.2">
      <c r="B57" s="8" t="s">
        <v>332</v>
      </c>
      <c r="C57" s="8"/>
      <c r="D57" s="8"/>
      <c r="E57" s="8"/>
      <c r="F57" s="8"/>
      <c r="G57" s="8"/>
      <c r="H57" s="8"/>
      <c r="I57" s="8"/>
      <c r="J57" s="8"/>
      <c r="K57" s="10">
        <f>K56*K55/1000</f>
        <v>1835437.5</v>
      </c>
      <c r="L57" s="10">
        <f t="shared" ref="L57:S57" si="15">L56*L55/1000</f>
        <v>2250625</v>
      </c>
      <c r="M57" s="10">
        <f t="shared" si="15"/>
        <v>2461875</v>
      </c>
      <c r="N57" s="10">
        <f t="shared" si="15"/>
        <v>2673125</v>
      </c>
      <c r="O57" s="10">
        <f t="shared" si="15"/>
        <v>2884375</v>
      </c>
      <c r="P57" s="10">
        <f t="shared" si="15"/>
        <v>3095625</v>
      </c>
      <c r="Q57" s="10">
        <f t="shared" si="15"/>
        <v>3306874.9999999995</v>
      </c>
      <c r="R57" s="10">
        <f t="shared" si="15"/>
        <v>3518125</v>
      </c>
      <c r="S57" s="10">
        <f t="shared" si="15"/>
        <v>3729375</v>
      </c>
    </row>
    <row r="58" spans="2:19" x14ac:dyDescent="0.2">
      <c r="B58" s="2" t="s">
        <v>333</v>
      </c>
      <c r="C58" s="7">
        <f>'MODEL INPUT'!$G$13/(1+POWER(81, ('MODEL INPUT'!$G$47+('MODEL INPUT'!$G$45/2)-C47)/'MODEL INPUT'!$G$45))</f>
        <v>5.6367347974553127E-3</v>
      </c>
      <c r="D58" s="7">
        <f>'MODEL INPUT'!$G$13/(1+POWER(81, ('MODEL INPUT'!$G$47+('MODEL INPUT'!$G$45/2)-D47)/'MODEL INPUT'!$G$45))</f>
        <v>7.5193743428830593E-3</v>
      </c>
      <c r="E58" s="7">
        <f>'MODEL INPUT'!$G$13/(1+POWER(81, ('MODEL INPUT'!$G$47+('MODEL INPUT'!$G$45/2)-E47)/'MODEL INPUT'!$G$45))</f>
        <v>1.0014837382601439E-2</v>
      </c>
      <c r="F58" s="7">
        <f>'MODEL INPUT'!$G$13/(1+POWER(81, ('MODEL INPUT'!$G$47+('MODEL INPUT'!$G$45/2)-F47)/'MODEL INPUT'!$G$45))</f>
        <v>1.3310386286126163E-2</v>
      </c>
      <c r="G58" s="7">
        <f>'MODEL INPUT'!$G$13/(1+POWER(81, ('MODEL INPUT'!$G$47+('MODEL INPUT'!$G$45/2)-G47)/'MODEL INPUT'!$G$45))</f>
        <v>1.7641334080235695E-2</v>
      </c>
      <c r="H58" s="7">
        <f>'MODEL INPUT'!$G$13/(1+POWER(81, ('MODEL INPUT'!$G$47+('MODEL INPUT'!$G$45/2)-H47)/'MODEL INPUT'!$G$45))</f>
        <v>2.3296590827807002E-2</v>
      </c>
      <c r="I58" s="7">
        <f>'MODEL INPUT'!$G$13/(1+POWER(81, ('MODEL INPUT'!$G$47+('MODEL INPUT'!$G$45/2)-I47)/'MODEL INPUT'!$G$45))</f>
        <v>3.0619566811173889E-2</v>
      </c>
      <c r="J58" s="7">
        <f>'MODEL INPUT'!$G$13/(1+POWER(81, ('MODEL INPUT'!$G$47+('MODEL INPUT'!$G$45/2)-J47)/'MODEL INPUT'!$G$45))</f>
        <v>0.04</v>
      </c>
      <c r="K58" s="7">
        <f>'MODEL INPUT'!$G$13/(1+POWER(81, ('MODEL INPUT'!$G$47+('MODEL INPUT'!$G$45/2)-K47)/'MODEL INPUT'!$G$45))</f>
        <v>5.1850775606983389E-2</v>
      </c>
      <c r="L58" s="7">
        <f>'MODEL INPUT'!$G$13/(1+POWER(81, ('MODEL INPUT'!$G$47+('MODEL INPUT'!$G$45/2)-L47)/'MODEL INPUT'!$G$45))</f>
        <v>6.6563391234043534E-2</v>
      </c>
      <c r="M58" s="7">
        <f>'MODEL INPUT'!$G$13/(1+POWER(81, ('MODEL INPUT'!$G$47+('MODEL INPUT'!$G$45/2)-M47)/'MODEL INPUT'!$G$45))</f>
        <v>8.4438192679983648E-2</v>
      </c>
      <c r="N58" s="7">
        <f>'MODEL INPUT'!$G$13/(1+POWER(81, ('MODEL INPUT'!$G$47+('MODEL INPUT'!$G$45/2)-N47)/'MODEL INPUT'!$G$45))</f>
        <v>0.10559296993282702</v>
      </c>
      <c r="O58" s="7">
        <f>'MODEL INPUT'!$G$13/(1+POWER(81, ('MODEL INPUT'!$G$47+('MODEL INPUT'!$G$45/2)-O47)/'MODEL INPUT'!$G$45))</f>
        <v>0.12986659551481286</v>
      </c>
      <c r="P58" s="7">
        <f>'MODEL INPUT'!$G$13/(1+POWER(81, ('MODEL INPUT'!$G$47+('MODEL INPUT'!$G$45/2)-P47)/'MODEL INPUT'!$G$45))</f>
        <v>0.15674929709256274</v>
      </c>
      <c r="Q58" s="7">
        <f>'MODEL INPUT'!$G$13/(1+POWER(81, ('MODEL INPUT'!$G$47+('MODEL INPUT'!$G$45/2)-Q47)/'MODEL INPUT'!$G$45))</f>
        <v>0.18537797205251866</v>
      </c>
      <c r="R58" s="7">
        <f>'MODEL INPUT'!$G$13/(1+POWER(81, ('MODEL INPUT'!$G$47+('MODEL INPUT'!$G$45/2)-R47)/'MODEL INPUT'!$G$45))</f>
        <v>0.21462202794748136</v>
      </c>
      <c r="S58" s="7">
        <f>'MODEL INPUT'!$G$13/(1+POWER(81, ('MODEL INPUT'!$G$47+('MODEL INPUT'!$G$45/2)-S47)/'MODEL INPUT'!$G$45))</f>
        <v>0.24325070290743728</v>
      </c>
    </row>
    <row r="59" spans="2:19" x14ac:dyDescent="0.2">
      <c r="B59" s="8" t="s">
        <v>334</v>
      </c>
      <c r="C59" s="15"/>
      <c r="D59" s="15"/>
      <c r="E59" s="15"/>
      <c r="F59" s="15"/>
      <c r="G59" s="15"/>
      <c r="H59" s="15"/>
      <c r="I59" s="15"/>
      <c r="J59" s="15"/>
      <c r="K59" s="15">
        <f>K58*('MODEL INPUT'!$G$39*'MODEL INPUT'!$G$14/'MODEL INPUT'!$G$41)</f>
        <v>1866627.9218514019</v>
      </c>
      <c r="L59" s="15">
        <f>L58*('MODEL INPUT'!$G$39*'MODEL INPUT'!$G$14/'MODEL INPUT'!$G$41)</f>
        <v>2396282.0844255672</v>
      </c>
      <c r="M59" s="15">
        <f>M58*('MODEL INPUT'!$G$39*'MODEL INPUT'!$G$14/'MODEL INPUT'!$G$41)</f>
        <v>3039774.9364794116</v>
      </c>
      <c r="N59" s="15">
        <f>N58*('MODEL INPUT'!$G$39*'MODEL INPUT'!$G$14/'MODEL INPUT'!$G$41)</f>
        <v>3801346.9175817729</v>
      </c>
      <c r="O59" s="15">
        <f>O58*('MODEL INPUT'!$G$39*'MODEL INPUT'!$G$14/'MODEL INPUT'!$G$41)</f>
        <v>4675197.4385332633</v>
      </c>
      <c r="P59" s="15">
        <f>P58*('MODEL INPUT'!$G$39*'MODEL INPUT'!$G$14/'MODEL INPUT'!$G$41)</f>
        <v>5642974.6953322589</v>
      </c>
      <c r="Q59" s="15">
        <f>Q58*('MODEL INPUT'!$G$39*'MODEL INPUT'!$G$14/'MODEL INPUT'!$G$41)</f>
        <v>6673606.993890672</v>
      </c>
      <c r="R59" s="15">
        <f>R58*('MODEL INPUT'!$G$39*'MODEL INPUT'!$G$14/'MODEL INPUT'!$G$41)</f>
        <v>7726393.0061093289</v>
      </c>
      <c r="S59" s="15">
        <f>S58*('MODEL INPUT'!$G$39*'MODEL INPUT'!$G$14/'MODEL INPUT'!$G$41)</f>
        <v>8757025.3046677411</v>
      </c>
    </row>
    <row r="60" spans="2:19" x14ac:dyDescent="0.2">
      <c r="B60" s="2" t="s">
        <v>335</v>
      </c>
      <c r="K60" s="3">
        <f>K59*K55/1000</f>
        <v>933313.96092570096</v>
      </c>
      <c r="L60" s="3">
        <f t="shared" ref="L60:S60" si="16">L59*L55/1000</f>
        <v>1198141.0422127836</v>
      </c>
      <c r="M60" s="3">
        <f t="shared" si="16"/>
        <v>1519887.4682397058</v>
      </c>
      <c r="N60" s="3">
        <f t="shared" si="16"/>
        <v>1900673.4587908864</v>
      </c>
      <c r="O60" s="3">
        <f t="shared" si="16"/>
        <v>2337598.7192666316</v>
      </c>
      <c r="P60" s="3">
        <f t="shared" si="16"/>
        <v>2821487.3476661295</v>
      </c>
      <c r="Q60" s="3">
        <f t="shared" si="16"/>
        <v>3336803.496945336</v>
      </c>
      <c r="R60" s="3">
        <f t="shared" si="16"/>
        <v>3863196.5030546645</v>
      </c>
      <c r="S60" s="3">
        <f t="shared" si="16"/>
        <v>4378512.6523338705</v>
      </c>
    </row>
    <row r="61" spans="2:19" x14ac:dyDescent="0.2">
      <c r="B61" s="18" t="s">
        <v>336</v>
      </c>
      <c r="C61" s="18"/>
      <c r="D61" s="18"/>
      <c r="E61" s="18"/>
      <c r="F61" s="18"/>
      <c r="G61" s="18"/>
      <c r="H61" s="18"/>
      <c r="I61" s="18"/>
      <c r="J61" s="18"/>
      <c r="K61" s="19">
        <f>('MODEL INPUT'!$G$44*K56)+((1-'MODEL INPUT'!$G$44)*'PREVENTION &amp; SCREENING'!K59)</f>
        <v>2949176.1687405608</v>
      </c>
      <c r="L61" s="19">
        <f>('MODEL INPUT'!$G$44*L56)+((1-'MODEL INPUT'!$G$44)*'PREVENTION &amp; SCREENING'!L59)</f>
        <v>3659262.8337702267</v>
      </c>
      <c r="M61" s="19">
        <f>('MODEL INPUT'!$G$44*M56)+((1-'MODEL INPUT'!$G$44)*'PREVENTION &amp; SCREENING'!M59)</f>
        <v>4170159.9745917646</v>
      </c>
      <c r="N61" s="19">
        <f>('MODEL INPUT'!$G$44*N56)+((1-'MODEL INPUT'!$G$44)*'PREVENTION &amp; SCREENING'!N59)</f>
        <v>4728288.767032709</v>
      </c>
      <c r="O61" s="19">
        <f>('MODEL INPUT'!$G$44*O56)+((1-'MODEL INPUT'!$G$44)*'PREVENTION &amp; SCREENING'!O59)</f>
        <v>5331328.9754133057</v>
      </c>
      <c r="P61" s="19">
        <f>('MODEL INPUT'!$G$44*P56)+((1-'MODEL INPUT'!$G$44)*'PREVENTION &amp; SCREENING'!P59)</f>
        <v>5971939.8781329039</v>
      </c>
      <c r="Q61" s="19">
        <f>('MODEL INPUT'!$G$44*Q56)+((1-'MODEL INPUT'!$G$44)*'PREVENTION &amp; SCREENING'!Q59)</f>
        <v>6637692.7975562681</v>
      </c>
      <c r="R61" s="19">
        <f>('MODEL INPUT'!$G$44*R56)+((1-'MODEL INPUT'!$G$44)*'PREVENTION &amp; SCREENING'!R59)</f>
        <v>7312307.2024437319</v>
      </c>
      <c r="S61" s="19">
        <f>('MODEL INPUT'!$G$44*S56)+((1-'MODEL INPUT'!$G$44)*'PREVENTION &amp; SCREENING'!S59)</f>
        <v>7978060.1218670961</v>
      </c>
    </row>
    <row r="62" spans="2:19" ht="17" thickBot="1" x14ac:dyDescent="0.25">
      <c r="B62" s="20" t="s">
        <v>337</v>
      </c>
      <c r="C62" s="20"/>
      <c r="D62" s="20"/>
      <c r="E62" s="20"/>
      <c r="F62" s="20"/>
      <c r="G62" s="20"/>
      <c r="H62" s="20"/>
      <c r="I62" s="20"/>
      <c r="J62" s="20"/>
      <c r="K62" s="373">
        <v>1382000</v>
      </c>
      <c r="L62" s="21">
        <f>('MODEL INPUT'!$G$44*L57)+((1-'MODEL INPUT'!$G$44)*'PREVENTION &amp; SCREENING'!L60)</f>
        <v>1829631.4168851133</v>
      </c>
      <c r="M62" s="21">
        <f>('MODEL INPUT'!$G$44*M57)+((1-'MODEL INPUT'!$G$44)*'PREVENTION &amp; SCREENING'!M60)</f>
        <v>2085079.9872958823</v>
      </c>
      <c r="N62" s="21">
        <f>('MODEL INPUT'!$G$44*N57)+((1-'MODEL INPUT'!$G$44)*'PREVENTION &amp; SCREENING'!N60)</f>
        <v>2364144.3835163545</v>
      </c>
      <c r="O62" s="21">
        <f>('MODEL INPUT'!$G$44*O57)+((1-'MODEL INPUT'!$G$44)*'PREVENTION &amp; SCREENING'!O60)</f>
        <v>2665664.4877066528</v>
      </c>
      <c r="P62" s="21">
        <f>('MODEL INPUT'!$G$44*P57)+((1-'MODEL INPUT'!$G$44)*'PREVENTION &amp; SCREENING'!P60)</f>
        <v>2985969.939066452</v>
      </c>
      <c r="Q62" s="21">
        <f>('MODEL INPUT'!$G$44*Q57)+((1-'MODEL INPUT'!$G$44)*'PREVENTION &amp; SCREENING'!Q60)</f>
        <v>3318846.398778134</v>
      </c>
      <c r="R62" s="21">
        <f>('MODEL INPUT'!$G$44*R57)+((1-'MODEL INPUT'!$G$44)*'PREVENTION &amp; SCREENING'!R60)</f>
        <v>3656153.601221866</v>
      </c>
      <c r="S62" s="21">
        <f>('MODEL INPUT'!$G$44*S57)+((1-'MODEL INPUT'!$G$44)*'PREVENTION &amp; SCREENING'!S60)</f>
        <v>3989030.060933548</v>
      </c>
    </row>
    <row r="63" spans="2:19" ht="17" thickTop="1" x14ac:dyDescent="0.2">
      <c r="L63" s="7"/>
      <c r="M63" s="7"/>
      <c r="N63" s="7"/>
      <c r="O63" s="7"/>
      <c r="P63" s="7"/>
      <c r="Q63" s="7"/>
      <c r="R63" s="7"/>
      <c r="S63" s="7"/>
    </row>
    <row r="65" spans="2:19" ht="17" thickBot="1" x14ac:dyDescent="0.25">
      <c r="B65" s="27" t="s">
        <v>338</v>
      </c>
      <c r="C65" s="27">
        <v>2014</v>
      </c>
      <c r="D65" s="27">
        <v>2015</v>
      </c>
      <c r="E65" s="27">
        <v>2016</v>
      </c>
      <c r="F65" s="27">
        <v>2017</v>
      </c>
      <c r="G65" s="27">
        <v>2018</v>
      </c>
      <c r="H65" s="27">
        <v>2019</v>
      </c>
      <c r="I65" s="27">
        <v>2020</v>
      </c>
      <c r="J65" s="27">
        <v>2021</v>
      </c>
      <c r="K65" s="27">
        <v>2022</v>
      </c>
      <c r="L65" s="27">
        <v>2023</v>
      </c>
      <c r="M65" s="27">
        <v>2024</v>
      </c>
      <c r="N65" s="27">
        <v>2025</v>
      </c>
      <c r="O65" s="27">
        <v>2026</v>
      </c>
      <c r="P65" s="27">
        <v>2027</v>
      </c>
      <c r="Q65" s="27">
        <v>2028</v>
      </c>
      <c r="R65" s="27">
        <v>2029</v>
      </c>
      <c r="S65" s="27">
        <v>2030</v>
      </c>
    </row>
    <row r="66" spans="2:19" ht="17" thickTop="1" x14ac:dyDescent="0.2">
      <c r="B66" s="2" t="s">
        <v>339</v>
      </c>
      <c r="K66" s="7">
        <f>'MODEL INPUT'!$G$52/(1+POWER(81, ('MODEL INPUT'!$G$53+('MODEL INPUT'!$G$54/2)-K65)/'MODEL INPUT'!$G$54))</f>
        <v>1.1549099357371541E-2</v>
      </c>
      <c r="L66" s="7">
        <f>'MODEL INPUT'!$G$52/(1+POWER(81, ('MODEL INPUT'!$G$53+('MODEL INPUT'!$G$54/2)-L65)/'MODEL INPUT'!$G$54))</f>
        <v>1.7641334080235695E-2</v>
      </c>
      <c r="M66" s="7">
        <f>'MODEL INPUT'!$G$52/(1+POWER(81, ('MODEL INPUT'!$G$53+('MODEL INPUT'!$G$54/2)-M65)/'MODEL INPUT'!$G$54))</f>
        <v>2.672615880174713E-2</v>
      </c>
      <c r="N66" s="7">
        <f>'MODEL INPUT'!$G$52/(1+POWER(81, ('MODEL INPUT'!$G$53+('MODEL INPUT'!$G$54/2)-N65)/'MODEL INPUT'!$G$54))</f>
        <v>0.04</v>
      </c>
      <c r="O66" s="7">
        <f>'MODEL INPUT'!$G$52/(1+POWER(81, ('MODEL INPUT'!$G$53+('MODEL INPUT'!$G$54/2)-O65)/'MODEL INPUT'!$G$54))</f>
        <v>5.8827455843424852E-2</v>
      </c>
      <c r="P66" s="7">
        <f>'MODEL INPUT'!$G$52/(1+POWER(81, ('MODEL INPUT'!$G$53+('MODEL INPUT'!$G$54/2)-P65)/'MODEL INPUT'!$G$54))</f>
        <v>8.4438192679983648E-2</v>
      </c>
      <c r="Q66" s="7">
        <f>'MODEL INPUT'!$G$52/(1+POWER(81, ('MODEL INPUT'!$G$53+('MODEL INPUT'!$G$54/2)-Q65)/'MODEL INPUT'!$G$54))</f>
        <v>0.1173631544092455</v>
      </c>
      <c r="R66" s="7">
        <f>'MODEL INPUT'!$G$52/(1+POWER(81, ('MODEL INPUT'!$G$53+('MODEL INPUT'!$G$54/2)-R65)/'MODEL INPUT'!$G$54))</f>
        <v>0.15674929709256274</v>
      </c>
      <c r="S66" s="7">
        <f>'MODEL INPUT'!$G$52/(1+POWER(81, ('MODEL INPUT'!$G$53+('MODEL INPUT'!$G$54/2)-S65)/'MODEL INPUT'!$G$54))</f>
        <v>0.2</v>
      </c>
    </row>
    <row r="67" spans="2:19" x14ac:dyDescent="0.2">
      <c r="B67" s="22" t="s">
        <v>340</v>
      </c>
      <c r="C67" s="22"/>
      <c r="D67" s="22"/>
      <c r="E67" s="22"/>
      <c r="F67" s="22"/>
      <c r="G67" s="22"/>
      <c r="H67" s="22"/>
      <c r="I67" s="22"/>
      <c r="J67" s="22"/>
      <c r="K67" s="23">
        <f>K66*('MODEL INPUT'!$G$50*'MODEL INPUT'!$G$56*'MODEL INPUT'!$G$15)</f>
        <v>15013.829164583003</v>
      </c>
      <c r="L67" s="23">
        <f>L66*('MODEL INPUT'!$G$50*'MODEL INPUT'!$G$56*'MODEL INPUT'!$G$15)</f>
        <v>22933.734304306403</v>
      </c>
      <c r="M67" s="23">
        <f>M66*('MODEL INPUT'!$G$50*'MODEL INPUT'!$G$56*'MODEL INPUT'!$G$15)</f>
        <v>34744.006442271268</v>
      </c>
      <c r="N67" s="23">
        <f>N66*('MODEL INPUT'!$G$50*'MODEL INPUT'!$G$56*'MODEL INPUT'!$G$15)</f>
        <v>52000</v>
      </c>
      <c r="O67" s="23">
        <f>O66*('MODEL INPUT'!$G$50*'MODEL INPUT'!$G$56*'MODEL INPUT'!$G$15)</f>
        <v>76475.692596452311</v>
      </c>
      <c r="P67" s="23">
        <f>P66*('MODEL INPUT'!$G$50*'MODEL INPUT'!$G$56*'MODEL INPUT'!$G$15)</f>
        <v>109769.65048397874</v>
      </c>
      <c r="Q67" s="23">
        <f>Q66*('MODEL INPUT'!$G$50*'MODEL INPUT'!$G$56*'MODEL INPUT'!$G$15)</f>
        <v>152572.10073201914</v>
      </c>
      <c r="R67" s="23">
        <f>R66*('MODEL INPUT'!$G$50*'MODEL INPUT'!$G$56*'MODEL INPUT'!$G$15)</f>
        <v>203774.08622033158</v>
      </c>
      <c r="S67" s="23">
        <f>S66*('MODEL INPUT'!$G$50*'MODEL INPUT'!$G$56*'MODEL INPUT'!$G$15)</f>
        <v>260000</v>
      </c>
    </row>
    <row r="68" spans="2:19" x14ac:dyDescent="0.2">
      <c r="B68" s="2" t="s">
        <v>341</v>
      </c>
      <c r="K68" s="3">
        <f>'MODEL INPUT'!G16</f>
        <v>250</v>
      </c>
      <c r="L68" s="3">
        <f>K68*(1+'MODEL INPUT'!$G$51)</f>
        <v>255</v>
      </c>
      <c r="M68" s="3">
        <f>L68*(1+'MODEL INPUT'!$G$51)</f>
        <v>260.10000000000002</v>
      </c>
      <c r="N68" s="3">
        <f>M68*(1+'MODEL INPUT'!$G$51)</f>
        <v>265.30200000000002</v>
      </c>
      <c r="O68" s="3">
        <f>N68*(1+'MODEL INPUT'!$G$51)</f>
        <v>270.60804000000002</v>
      </c>
      <c r="P68" s="3">
        <f>O68*(1+'MODEL INPUT'!$G$51)</f>
        <v>276.0202008</v>
      </c>
      <c r="Q68" s="3">
        <f>P68*(1+'MODEL INPUT'!$G$51)</f>
        <v>281.54060481599998</v>
      </c>
      <c r="R68" s="3">
        <f>Q68*(1+'MODEL INPUT'!$G$51)</f>
        <v>287.17141691232001</v>
      </c>
      <c r="S68" s="3">
        <f>R68*(1+'MODEL INPUT'!$G$51)</f>
        <v>292.91484525056643</v>
      </c>
    </row>
    <row r="69" spans="2:19" x14ac:dyDescent="0.2">
      <c r="B69" s="22" t="s">
        <v>342</v>
      </c>
      <c r="C69" s="22"/>
      <c r="D69" s="22"/>
      <c r="E69" s="22"/>
      <c r="F69" s="22"/>
      <c r="G69" s="22"/>
      <c r="H69" s="22"/>
      <c r="I69" s="22"/>
      <c r="J69" s="22"/>
      <c r="K69" s="24">
        <f>K68*K67/1000</f>
        <v>3753.4572911457508</v>
      </c>
      <c r="L69" s="24">
        <f t="shared" ref="L69:S69" si="17">L68*L67/1000</f>
        <v>5848.1022475981326</v>
      </c>
      <c r="M69" s="24">
        <f t="shared" si="17"/>
        <v>9036.9160756347574</v>
      </c>
      <c r="N69" s="24">
        <f t="shared" si="17"/>
        <v>13795.704000000002</v>
      </c>
      <c r="O69" s="24">
        <f t="shared" si="17"/>
        <v>20694.937281168473</v>
      </c>
      <c r="P69" s="24">
        <f t="shared" si="17"/>
        <v>30298.640968333628</v>
      </c>
      <c r="Q69" s="24">
        <f t="shared" si="17"/>
        <v>42955.241518140348</v>
      </c>
      <c r="R69" s="24">
        <f t="shared" si="17"/>
        <v>58518.093069905888</v>
      </c>
      <c r="S69" s="24">
        <f t="shared" si="17"/>
        <v>76157.859765147266</v>
      </c>
    </row>
    <row r="70" spans="2:19" x14ac:dyDescent="0.2">
      <c r="B70" s="2" t="s">
        <v>343</v>
      </c>
      <c r="M70" s="7">
        <f>'MODEL INPUT'!$G$60/(1+POWER(81, ('MODEL INPUT'!$G$19+('MODEL INPUT'!$G$61/2)-M65)/'MODEL INPUT'!$G$61))</f>
        <v>5.7745496786857703E-3</v>
      </c>
      <c r="N70" s="7">
        <f>'MODEL INPUT'!$G$60/(1+POWER(81, ('MODEL INPUT'!$G$19+('MODEL INPUT'!$G$61/2)-N65)/'MODEL INPUT'!$G$61))</f>
        <v>8.8206670401178473E-3</v>
      </c>
      <c r="O70" s="7">
        <f>'MODEL INPUT'!$G$60/(1+POWER(81, ('MODEL INPUT'!$G$19+('MODEL INPUT'!$G$61/2)-O65)/'MODEL INPUT'!$G$61))</f>
        <v>1.3363079400873565E-2</v>
      </c>
      <c r="P70" s="7">
        <f>'MODEL INPUT'!$G$60/(1+POWER(81, ('MODEL INPUT'!$G$19+('MODEL INPUT'!$G$61/2)-P65)/'MODEL INPUT'!$G$61))</f>
        <v>0.02</v>
      </c>
      <c r="Q70" s="7">
        <f>'MODEL INPUT'!$G$60/(1+POWER(81, ('MODEL INPUT'!$G$19+('MODEL INPUT'!$G$61/2)-Q65)/'MODEL INPUT'!$G$61))</f>
        <v>2.9413727921712426E-2</v>
      </c>
      <c r="R70" s="7">
        <f>'MODEL INPUT'!$G$60/(1+POWER(81, ('MODEL INPUT'!$G$19+('MODEL INPUT'!$G$61/2)-R65)/'MODEL INPUT'!$G$61))</f>
        <v>4.2219096339991824E-2</v>
      </c>
      <c r="S70" s="7">
        <f>'MODEL INPUT'!$G$60/(1+POWER(81, ('MODEL INPUT'!$G$19+('MODEL INPUT'!$G$61/2)-S65)/'MODEL INPUT'!$G$61))</f>
        <v>5.8681577204622748E-2</v>
      </c>
    </row>
    <row r="71" spans="2:19" x14ac:dyDescent="0.2">
      <c r="B71" s="22" t="s">
        <v>344</v>
      </c>
      <c r="C71" s="22"/>
      <c r="D71" s="22"/>
      <c r="E71" s="22"/>
      <c r="F71" s="22"/>
      <c r="G71" s="22"/>
      <c r="H71" s="22"/>
      <c r="I71" s="22"/>
      <c r="J71" s="22"/>
      <c r="K71" s="22"/>
      <c r="L71" s="22"/>
      <c r="M71" s="23">
        <f>M70*('MODEL INPUT'!$G$57/'MODEL INPUT'!$G$59)</f>
        <v>6352.0046465543473</v>
      </c>
      <c r="N71" s="23">
        <f>N70*('MODEL INPUT'!$G$57/'MODEL INPUT'!$G$59)</f>
        <v>9702.7337441296313</v>
      </c>
      <c r="O71" s="23">
        <f>O70*('MODEL INPUT'!$G$57/'MODEL INPUT'!$G$59)</f>
        <v>14699.387340960922</v>
      </c>
      <c r="P71" s="23">
        <f>P70*('MODEL INPUT'!$G$57/'MODEL INPUT'!$G$59)</f>
        <v>22000</v>
      </c>
      <c r="Q71" s="23">
        <f>Q70*('MODEL INPUT'!$G$57/'MODEL INPUT'!$G$59)</f>
        <v>32355.100713883669</v>
      </c>
      <c r="R71" s="23">
        <f>R70*('MODEL INPUT'!$G$57/'MODEL INPUT'!$G$59)</f>
        <v>46441.005973991007</v>
      </c>
      <c r="S71" s="23">
        <f>S70*('MODEL INPUT'!$G$57/'MODEL INPUT'!$G$59)</f>
        <v>64549.734925085024</v>
      </c>
    </row>
    <row r="72" spans="2:19" x14ac:dyDescent="0.2">
      <c r="B72" s="2" t="s">
        <v>345</v>
      </c>
      <c r="M72" s="3">
        <f>'MODEL INPUT'!G17</f>
        <v>800</v>
      </c>
      <c r="N72" s="3">
        <f>M72*(1+'MODEL INPUT'!$G$51)</f>
        <v>816</v>
      </c>
      <c r="O72" s="3">
        <f>N72*(1+'MODEL INPUT'!$G$51)</f>
        <v>832.32</v>
      </c>
      <c r="P72" s="3">
        <f>O72*(1+'MODEL INPUT'!$G$51)</f>
        <v>848.96640000000002</v>
      </c>
      <c r="Q72" s="3">
        <f>P72*(1+'MODEL INPUT'!$G$51)</f>
        <v>865.94572800000003</v>
      </c>
      <c r="R72" s="3">
        <f>Q72*(1+'MODEL INPUT'!$G$51)</f>
        <v>883.26464256000008</v>
      </c>
      <c r="S72" s="3">
        <f>R72*(1+'MODEL INPUT'!$G$51)</f>
        <v>900.92993541120006</v>
      </c>
    </row>
    <row r="73" spans="2:19" x14ac:dyDescent="0.2">
      <c r="B73" s="22" t="s">
        <v>346</v>
      </c>
      <c r="C73" s="22"/>
      <c r="D73" s="22"/>
      <c r="E73" s="22"/>
      <c r="F73" s="22"/>
      <c r="G73" s="22"/>
      <c r="H73" s="22"/>
      <c r="I73" s="22"/>
      <c r="J73" s="22"/>
      <c r="K73" s="22"/>
      <c r="L73" s="22"/>
      <c r="M73" s="24">
        <f>M71*M72/1000</f>
        <v>5081.6037172434781</v>
      </c>
      <c r="N73" s="24">
        <f t="shared" ref="N73:S73" si="18">N71*N72/1000</f>
        <v>7917.4307352097785</v>
      </c>
      <c r="O73" s="24">
        <f t="shared" si="18"/>
        <v>12234.594071628595</v>
      </c>
      <c r="P73" s="24">
        <f t="shared" si="18"/>
        <v>18677.2608</v>
      </c>
      <c r="Q73" s="24">
        <f t="shared" si="18"/>
        <v>28017.761242197314</v>
      </c>
      <c r="R73" s="24">
        <f t="shared" si="18"/>
        <v>41019.698541743994</v>
      </c>
      <c r="S73" s="24">
        <f t="shared" si="18"/>
        <v>58154.788516866938</v>
      </c>
    </row>
    <row r="74" spans="2:19" x14ac:dyDescent="0.2">
      <c r="B74" s="2" t="s">
        <v>347</v>
      </c>
      <c r="M74" s="7">
        <f>'MODEL INPUT'!$G$62/(1+POWER(81, ('MODEL INPUT'!$G$20+('MODEL INPUT'!$G$63/2)-M65)/'MODEL INPUT'!$G$63))</f>
        <v>2.7175924055380645E-3</v>
      </c>
      <c r="N74" s="7">
        <f>'MODEL INPUT'!$G$62/(1+POWER(81, ('MODEL INPUT'!$G$20+('MODEL INPUT'!$G$63/2)-N65)/'MODEL INPUT'!$G$63))</f>
        <v>3.3407698502183913E-3</v>
      </c>
      <c r="O74" s="7">
        <f>'MODEL INPUT'!$G$62/(1+POWER(81, ('MODEL INPUT'!$G$20+('MODEL INPUT'!$G$63/2)-O65)/'MODEL INPUT'!$G$63))</f>
        <v>4.0944747788295571E-3</v>
      </c>
      <c r="P74" s="7">
        <f>'MODEL INPUT'!$G$62/(1+POWER(81, ('MODEL INPUT'!$G$20+('MODEL INPUT'!$G$63/2)-P65)/'MODEL INPUT'!$G$63))</f>
        <v>5.0000000000000001E-3</v>
      </c>
      <c r="Q74" s="7">
        <f>'MODEL INPUT'!$G$62/(1+POWER(81, ('MODEL INPUT'!$G$20+('MODEL INPUT'!$G$63/2)-Q65)/'MODEL INPUT'!$G$63))</f>
        <v>6.0792682677174841E-3</v>
      </c>
      <c r="R74" s="7">
        <f>'MODEL INPUT'!$G$62/(1+POWER(81, ('MODEL INPUT'!$G$20+('MODEL INPUT'!$G$63/2)-R65)/'MODEL INPUT'!$G$63))</f>
        <v>7.3534319804281064E-3</v>
      </c>
      <c r="S74" s="7">
        <f>'MODEL INPUT'!$G$62/(1+POWER(81, ('MODEL INPUT'!$G$20+('MODEL INPUT'!$G$63/2)-S65)/'MODEL INPUT'!$G$63))</f>
        <v>8.8408938815206038E-3</v>
      </c>
    </row>
    <row r="75" spans="2:19" x14ac:dyDescent="0.2">
      <c r="B75" s="22" t="s">
        <v>348</v>
      </c>
      <c r="C75" s="22"/>
      <c r="D75" s="22"/>
      <c r="E75" s="22"/>
      <c r="F75" s="22"/>
      <c r="G75" s="22"/>
      <c r="H75" s="22"/>
      <c r="I75" s="22"/>
      <c r="J75" s="22"/>
      <c r="K75" s="22"/>
      <c r="L75" s="22"/>
      <c r="M75" s="23">
        <f>M74*'MODEL INPUT'!$G$58/'MODEL INPUT'!$G$59</f>
        <v>54351.84811076129</v>
      </c>
      <c r="N75" s="23">
        <f>N74*'MODEL INPUT'!$G$58/'MODEL INPUT'!$G$59</f>
        <v>66815.397004367827</v>
      </c>
      <c r="O75" s="23">
        <f>O74*'MODEL INPUT'!$G$58/'MODEL INPUT'!$G$59</f>
        <v>81889.495576591144</v>
      </c>
      <c r="P75" s="23">
        <f>P74*'MODEL INPUT'!$G$58/'MODEL INPUT'!$G$59</f>
        <v>100000</v>
      </c>
      <c r="Q75" s="23">
        <f>Q74*'MODEL INPUT'!$G$58/'MODEL INPUT'!$G$59</f>
        <v>121585.36535434968</v>
      </c>
      <c r="R75" s="23">
        <f>R74*'MODEL INPUT'!$G$58/'MODEL INPUT'!$G$59</f>
        <v>147068.63960856214</v>
      </c>
      <c r="S75" s="23">
        <f>S74*'MODEL INPUT'!$G$58/'MODEL INPUT'!$G$59</f>
        <v>176817.87763041208</v>
      </c>
    </row>
    <row r="76" spans="2:19" x14ac:dyDescent="0.2">
      <c r="B76" s="2" t="s">
        <v>349</v>
      </c>
      <c r="M76" s="3">
        <f>'MODEL INPUT'!G18</f>
        <v>100</v>
      </c>
      <c r="N76" s="16">
        <f>M76*(1+'MODEL INPUT'!$G$51)</f>
        <v>102</v>
      </c>
      <c r="O76" s="16">
        <f>N76*(1+'MODEL INPUT'!$G$51)</f>
        <v>104.04</v>
      </c>
      <c r="P76" s="16">
        <f>O76*(1+'MODEL INPUT'!$G$51)</f>
        <v>106.1208</v>
      </c>
      <c r="Q76" s="16">
        <f>P76*(1+'MODEL INPUT'!$G$51)</f>
        <v>108.243216</v>
      </c>
      <c r="R76" s="16">
        <f>Q76*(1+'MODEL INPUT'!$G$51)</f>
        <v>110.40808032000001</v>
      </c>
      <c r="S76" s="16">
        <f>R76*(1+'MODEL INPUT'!$G$51)</f>
        <v>112.61624192640001</v>
      </c>
    </row>
    <row r="77" spans="2:19" x14ac:dyDescent="0.2">
      <c r="B77" s="25" t="s">
        <v>350</v>
      </c>
      <c r="C77" s="25"/>
      <c r="D77" s="25"/>
      <c r="E77" s="25"/>
      <c r="F77" s="25"/>
      <c r="G77" s="25"/>
      <c r="H77" s="25"/>
      <c r="I77" s="25"/>
      <c r="J77" s="25"/>
      <c r="K77" s="25"/>
      <c r="L77" s="25"/>
      <c r="M77" s="26">
        <f>M75*M76/1000</f>
        <v>5435.1848110761284</v>
      </c>
      <c r="N77" s="26">
        <f t="shared" ref="N77:S77" si="19">N75*N76/1000</f>
        <v>6815.1704944455187</v>
      </c>
      <c r="O77" s="26">
        <f t="shared" si="19"/>
        <v>8519.7831197885425</v>
      </c>
      <c r="P77" s="26">
        <f t="shared" si="19"/>
        <v>10612.08</v>
      </c>
      <c r="Q77" s="26">
        <f t="shared" si="19"/>
        <v>13160.79096448979</v>
      </c>
      <c r="R77" s="26">
        <f t="shared" si="19"/>
        <v>16237.566174455264</v>
      </c>
      <c r="S77" s="26">
        <f t="shared" si="19"/>
        <v>19912.564884139079</v>
      </c>
    </row>
    <row r="78" spans="2:19" ht="17" thickBot="1" x14ac:dyDescent="0.25">
      <c r="B78" s="28" t="s">
        <v>351</v>
      </c>
      <c r="C78" s="28"/>
      <c r="D78" s="28"/>
      <c r="E78" s="28"/>
      <c r="F78" s="28"/>
      <c r="G78" s="28"/>
      <c r="H78" s="28"/>
      <c r="I78" s="28"/>
      <c r="J78" s="28"/>
      <c r="K78" s="29">
        <f>K77+K73+K69</f>
        <v>3753.4572911457508</v>
      </c>
      <c r="L78" s="29">
        <f t="shared" ref="L78:S78" si="20">L77+L73+L69</f>
        <v>5848.1022475981326</v>
      </c>
      <c r="M78" s="29">
        <f t="shared" si="20"/>
        <v>19553.704603954364</v>
      </c>
      <c r="N78" s="29">
        <f t="shared" si="20"/>
        <v>28528.3052296553</v>
      </c>
      <c r="O78" s="29">
        <f t="shared" si="20"/>
        <v>41449.314472585611</v>
      </c>
      <c r="P78" s="29">
        <f t="shared" si="20"/>
        <v>59587.98176833363</v>
      </c>
      <c r="Q78" s="29">
        <f t="shared" si="20"/>
        <v>84133.793724827454</v>
      </c>
      <c r="R78" s="29">
        <f t="shared" si="20"/>
        <v>115775.35778610515</v>
      </c>
      <c r="S78" s="29">
        <f t="shared" si="20"/>
        <v>154225.21316615329</v>
      </c>
    </row>
    <row r="79" spans="2:19" ht="17" thickTop="1" x14ac:dyDescent="0.2"/>
    <row r="81" spans="2:19" ht="17" thickBot="1" x14ac:dyDescent="0.25">
      <c r="B81" s="30" t="s">
        <v>316</v>
      </c>
      <c r="C81" s="30">
        <v>2014</v>
      </c>
      <c r="D81" s="30">
        <v>2015</v>
      </c>
      <c r="E81" s="30">
        <v>2016</v>
      </c>
      <c r="F81" s="30">
        <v>2017</v>
      </c>
      <c r="G81" s="30">
        <v>2018</v>
      </c>
      <c r="H81" s="30">
        <v>2019</v>
      </c>
      <c r="I81" s="30">
        <v>2020</v>
      </c>
      <c r="J81" s="30">
        <v>2021</v>
      </c>
      <c r="K81" s="30">
        <v>2022</v>
      </c>
      <c r="L81" s="30">
        <v>2023</v>
      </c>
      <c r="M81" s="30">
        <v>2024</v>
      </c>
      <c r="N81" s="30">
        <v>2025</v>
      </c>
      <c r="O81" s="30">
        <v>2026</v>
      </c>
      <c r="P81" s="30">
        <v>2027</v>
      </c>
      <c r="Q81" s="30">
        <v>2028</v>
      </c>
      <c r="R81" s="30">
        <v>2029</v>
      </c>
      <c r="S81" s="30">
        <v>2030</v>
      </c>
    </row>
    <row r="82" spans="2:19" ht="17" thickTop="1" x14ac:dyDescent="0.2">
      <c r="B82" s="2" t="s">
        <v>352</v>
      </c>
      <c r="L82" s="7">
        <f>'MODEL INPUT'!$G$68/(1+POWER(81, ('MODEL INPUT'!$G$23+('MODEL INPUT'!$G$69/2)-L81)/'MODEL INPUT'!$G$69))</f>
        <v>5.0074186913007194E-3</v>
      </c>
      <c r="M82" s="7">
        <f>'MODEL INPUT'!$G$68/(1+POWER(81, ('MODEL INPUT'!$G$23+('MODEL INPUT'!$G$69/2)-M81)/'MODEL INPUT'!$G$69))</f>
        <v>6.6551931430630816E-3</v>
      </c>
      <c r="N82" s="7">
        <f>'MODEL INPUT'!$G$68/(1+POWER(81, ('MODEL INPUT'!$G$23+('MODEL INPUT'!$G$69/2)-N81)/'MODEL INPUT'!$G$69))</f>
        <v>8.8206670401178473E-3</v>
      </c>
      <c r="O82" s="7">
        <f>'MODEL INPUT'!$G$68/(1+POWER(81, ('MODEL INPUT'!$G$23+('MODEL INPUT'!$G$69/2)-O81)/'MODEL INPUT'!$G$69))</f>
        <v>1.1648295413903501E-2</v>
      </c>
      <c r="P82" s="7">
        <f>'MODEL INPUT'!$G$68/(1+POWER(81, ('MODEL INPUT'!$G$23+('MODEL INPUT'!$G$69/2)-P81)/'MODEL INPUT'!$G$69))</f>
        <v>1.5309783405586945E-2</v>
      </c>
      <c r="Q82" s="7">
        <f>'MODEL INPUT'!$G$68/(1+POWER(81, ('MODEL INPUT'!$G$23+('MODEL INPUT'!$G$69/2)-Q81)/'MODEL INPUT'!$G$69))</f>
        <v>0.02</v>
      </c>
      <c r="R82" s="7">
        <f>'MODEL INPUT'!$G$68/(1+POWER(81, ('MODEL INPUT'!$G$23+('MODEL INPUT'!$G$69/2)-R81)/'MODEL INPUT'!$G$69))</f>
        <v>2.5925387803491694E-2</v>
      </c>
      <c r="S82" s="7">
        <f>'MODEL INPUT'!$G$68/(1+POWER(81, ('MODEL INPUT'!$G$23+('MODEL INPUT'!$G$69/2)-S81)/'MODEL INPUT'!$G$69))</f>
        <v>3.3281695617021767E-2</v>
      </c>
    </row>
    <row r="83" spans="2:19" x14ac:dyDescent="0.2">
      <c r="B83" s="35" t="s">
        <v>353</v>
      </c>
      <c r="C83" s="35"/>
      <c r="D83" s="35"/>
      <c r="E83" s="35"/>
      <c r="F83" s="35"/>
      <c r="G83" s="35"/>
      <c r="H83" s="35"/>
      <c r="I83" s="35"/>
      <c r="J83" s="35"/>
      <c r="K83" s="35"/>
      <c r="L83" s="36">
        <f>L82*('MODEL INPUT'!$G$39*'MODEL INPUT'!$G$22/'MODEL INPUT'!$G$72*'MODEL INPUT'!$G$73)</f>
        <v>27040.060933023884</v>
      </c>
      <c r="M83" s="36">
        <f>M82*('MODEL INPUT'!$G$39*'MODEL INPUT'!$G$22/'MODEL INPUT'!$G$72*'MODEL INPUT'!$G$73)</f>
        <v>35938.042972540643</v>
      </c>
      <c r="N83" s="36">
        <f>N82*('MODEL INPUT'!$G$39*'MODEL INPUT'!$G$22/'MODEL INPUT'!$G$72*'MODEL INPUT'!$G$73)</f>
        <v>47631.602016636374</v>
      </c>
      <c r="O83" s="36">
        <f>O82*('MODEL INPUT'!$G$39*'MODEL INPUT'!$G$22/'MODEL INPUT'!$G$72*'MODEL INPUT'!$G$73)</f>
        <v>62900.795235078906</v>
      </c>
      <c r="P83" s="36">
        <f>P82*('MODEL INPUT'!$G$39*'MODEL INPUT'!$G$22/'MODEL INPUT'!$G$72*'MODEL INPUT'!$G$73)</f>
        <v>82672.830390169504</v>
      </c>
      <c r="Q83" s="36">
        <f>Q82*('MODEL INPUT'!$G$39*'MODEL INPUT'!$G$22/'MODEL INPUT'!$G$72*'MODEL INPUT'!$G$73)</f>
        <v>108000</v>
      </c>
      <c r="R83" s="36">
        <f>R82*('MODEL INPUT'!$G$39*'MODEL INPUT'!$G$22/'MODEL INPUT'!$G$72*'MODEL INPUT'!$G$73)</f>
        <v>139997.09413885514</v>
      </c>
      <c r="S83" s="36">
        <f>S82*('MODEL INPUT'!$G$39*'MODEL INPUT'!$G$22/'MODEL INPUT'!$G$72*'MODEL INPUT'!$G$73)</f>
        <v>179721.15633191753</v>
      </c>
    </row>
    <row r="84" spans="2:19" x14ac:dyDescent="0.2">
      <c r="B84" s="2" t="s">
        <v>354</v>
      </c>
      <c r="L84" s="3">
        <f>'MODEL INPUT'!$G$66</f>
        <v>800</v>
      </c>
      <c r="M84" s="3">
        <f>'MODEL INPUT'!$G$66</f>
        <v>800</v>
      </c>
      <c r="N84" s="3">
        <f>'MODEL INPUT'!$G$66</f>
        <v>800</v>
      </c>
      <c r="O84" s="3">
        <f>'MODEL INPUT'!$G$66</f>
        <v>800</v>
      </c>
      <c r="P84" s="3">
        <f>'MODEL INPUT'!$G$66</f>
        <v>800</v>
      </c>
      <c r="Q84" s="3">
        <f>'MODEL INPUT'!$G$66</f>
        <v>800</v>
      </c>
      <c r="R84" s="3">
        <f>'MODEL INPUT'!$G$66</f>
        <v>800</v>
      </c>
      <c r="S84" s="3">
        <f>'MODEL INPUT'!$G$66</f>
        <v>800</v>
      </c>
    </row>
    <row r="85" spans="2:19" x14ac:dyDescent="0.2">
      <c r="B85" s="35" t="s">
        <v>355</v>
      </c>
      <c r="C85" s="35"/>
      <c r="D85" s="35"/>
      <c r="E85" s="35"/>
      <c r="F85" s="35"/>
      <c r="G85" s="35"/>
      <c r="H85" s="35"/>
      <c r="I85" s="35"/>
      <c r="J85" s="35"/>
      <c r="K85" s="35"/>
      <c r="L85" s="37">
        <f>L83*L84/1000</f>
        <v>21632.048746419106</v>
      </c>
      <c r="M85" s="37">
        <f t="shared" ref="M85:S85" si="21">M83*M84/1000</f>
        <v>28750.434378032514</v>
      </c>
      <c r="N85" s="37">
        <f t="shared" si="21"/>
        <v>38105.281613309104</v>
      </c>
      <c r="O85" s="37">
        <f t="shared" si="21"/>
        <v>50320.636188063123</v>
      </c>
      <c r="P85" s="37">
        <f t="shared" si="21"/>
        <v>66138.264312135594</v>
      </c>
      <c r="Q85" s="37">
        <f t="shared" si="21"/>
        <v>86400</v>
      </c>
      <c r="R85" s="37">
        <f t="shared" si="21"/>
        <v>111997.67531108412</v>
      </c>
      <c r="S85" s="37">
        <f t="shared" si="21"/>
        <v>143776.92506553401</v>
      </c>
    </row>
    <row r="86" spans="2:19" x14ac:dyDescent="0.2">
      <c r="B86" s="2" t="s">
        <v>356</v>
      </c>
      <c r="N86" s="7">
        <f>'MODEL INPUT'!$G$21/(1+POWER(81, ('MODEL INPUT'!$G$24+('MODEL INPUT'!$G$70/2)-N81)/'MODEL INPUT'!$G$70))</f>
        <v>8.8206670401178473E-3</v>
      </c>
      <c r="O86" s="7">
        <f>'MODEL INPUT'!$G$21/(1+POWER(81, ('MODEL INPUT'!$G$24+('MODEL INPUT'!$G$70/2)-O81)/'MODEL INPUT'!$G$70))</f>
        <v>1.0870369622152258E-2</v>
      </c>
      <c r="P86" s="7">
        <f>'MODEL INPUT'!$G$21/(1+POWER(81, ('MODEL INPUT'!$G$24+('MODEL INPUT'!$G$70/2)-P81)/'MODEL INPUT'!$G$70))</f>
        <v>1.3363079400873565E-2</v>
      </c>
      <c r="Q86" s="7">
        <f>'MODEL INPUT'!$G$21/(1+POWER(81, ('MODEL INPUT'!$G$24+('MODEL INPUT'!$G$70/2)-Q81)/'MODEL INPUT'!$G$70))</f>
        <v>1.6377899115318229E-2</v>
      </c>
      <c r="R86" s="7">
        <f>'MODEL INPUT'!$G$21/(1+POWER(81, ('MODEL INPUT'!$G$24+('MODEL INPUT'!$G$70/2)-R81)/'MODEL INPUT'!$G$70))</f>
        <v>0.02</v>
      </c>
      <c r="S86" s="7">
        <f>'MODEL INPUT'!$G$21/(1+POWER(81, ('MODEL INPUT'!$G$24+('MODEL INPUT'!$G$70/2)-S81)/'MODEL INPUT'!$G$70))</f>
        <v>2.4317073070869936E-2</v>
      </c>
    </row>
    <row r="87" spans="2:19" x14ac:dyDescent="0.2">
      <c r="B87" s="35" t="s">
        <v>357</v>
      </c>
      <c r="C87" s="35"/>
      <c r="D87" s="35"/>
      <c r="E87" s="35"/>
      <c r="F87" s="35"/>
      <c r="G87" s="35"/>
      <c r="H87" s="35"/>
      <c r="I87" s="35"/>
      <c r="J87" s="35"/>
      <c r="K87" s="35"/>
      <c r="L87" s="35"/>
      <c r="M87" s="35"/>
      <c r="N87" s="36">
        <f>(N86)*(1-'MODEL INPUT'!$G$73)*('MODEL INPUT'!$G$39*'MODEL INPUT'!$G$22/'MODEL INPUT'!$G$72)</f>
        <v>428684.41814972745</v>
      </c>
      <c r="O87" s="36">
        <f>(O86)*(1-'MODEL INPUT'!$G$73)*('MODEL INPUT'!$G$39*'MODEL INPUT'!$G$22/'MODEL INPUT'!$G$72)</f>
        <v>528299.96363659971</v>
      </c>
      <c r="P87" s="36">
        <f>(P86)*(1-'MODEL INPUT'!$G$73)*('MODEL INPUT'!$G$39*'MODEL INPUT'!$G$22/'MODEL INPUT'!$G$72)</f>
        <v>649445.6588824552</v>
      </c>
      <c r="Q87" s="36">
        <f>(Q86)*(1-'MODEL INPUT'!$G$73)*('MODEL INPUT'!$G$39*'MODEL INPUT'!$G$22/'MODEL INPUT'!$G$72)</f>
        <v>795965.89700446592</v>
      </c>
      <c r="R87" s="36">
        <f>(R86)*(1-'MODEL INPUT'!$G$73)*('MODEL INPUT'!$G$39*'MODEL INPUT'!$G$22/'MODEL INPUT'!$G$72)</f>
        <v>972000.00000000012</v>
      </c>
      <c r="S87" s="36">
        <f>(S86)*(1-'MODEL INPUT'!$G$73)*('MODEL INPUT'!$G$39*'MODEL INPUT'!$G$22/'MODEL INPUT'!$G$72)</f>
        <v>1181809.7512442789</v>
      </c>
    </row>
    <row r="88" spans="2:19" x14ac:dyDescent="0.2">
      <c r="B88" s="2" t="s">
        <v>358</v>
      </c>
      <c r="N88" s="3">
        <f>'MODEL INPUT'!$G$67</f>
        <v>450</v>
      </c>
      <c r="O88" s="3">
        <f>'MODEL INPUT'!$G$67</f>
        <v>450</v>
      </c>
      <c r="P88" s="3">
        <f>'MODEL INPUT'!$G$67</f>
        <v>450</v>
      </c>
      <c r="Q88" s="3">
        <f>'MODEL INPUT'!$G$67</f>
        <v>450</v>
      </c>
      <c r="R88" s="3">
        <f>'MODEL INPUT'!$G$67</f>
        <v>450</v>
      </c>
      <c r="S88" s="3">
        <f>'MODEL INPUT'!$G$67</f>
        <v>450</v>
      </c>
    </row>
    <row r="89" spans="2:19" x14ac:dyDescent="0.2">
      <c r="B89" s="35" t="s">
        <v>359</v>
      </c>
      <c r="C89" s="35"/>
      <c r="D89" s="35"/>
      <c r="E89" s="35"/>
      <c r="F89" s="35"/>
      <c r="G89" s="35"/>
      <c r="H89" s="35"/>
      <c r="I89" s="35"/>
      <c r="J89" s="35"/>
      <c r="K89" s="35"/>
      <c r="L89" s="35"/>
      <c r="M89" s="35"/>
      <c r="N89" s="37">
        <f>N87*N88/1000</f>
        <v>192907.98816737736</v>
      </c>
      <c r="O89" s="37">
        <f t="shared" ref="O89:S89" si="22">O87*O88/1000</f>
        <v>237734.98363646987</v>
      </c>
      <c r="P89" s="37">
        <f t="shared" si="22"/>
        <v>292250.54649710481</v>
      </c>
      <c r="Q89" s="37">
        <f t="shared" si="22"/>
        <v>358184.65365200967</v>
      </c>
      <c r="R89" s="37">
        <f t="shared" si="22"/>
        <v>437400.00000000006</v>
      </c>
      <c r="S89" s="37">
        <f t="shared" si="22"/>
        <v>531814.38805992552</v>
      </c>
    </row>
    <row r="90" spans="2:19" x14ac:dyDescent="0.2">
      <c r="B90" s="31" t="s">
        <v>360</v>
      </c>
      <c r="C90" s="31"/>
      <c r="D90" s="31"/>
      <c r="E90" s="31"/>
      <c r="F90" s="31"/>
      <c r="G90" s="31"/>
      <c r="H90" s="31"/>
      <c r="I90" s="31"/>
      <c r="J90" s="31"/>
      <c r="K90" s="31"/>
      <c r="L90" s="32">
        <f>L83+L87</f>
        <v>27040.060933023884</v>
      </c>
      <c r="M90" s="32">
        <f t="shared" ref="M90:N90" si="23">M83+M87</f>
        <v>35938.042972540643</v>
      </c>
      <c r="N90" s="32">
        <f t="shared" si="23"/>
        <v>476316.0201663638</v>
      </c>
      <c r="O90" s="32">
        <f t="shared" ref="O90:S90" si="24">O83+O87</f>
        <v>591200.75887167861</v>
      </c>
      <c r="P90" s="32">
        <f t="shared" si="24"/>
        <v>732118.48927262472</v>
      </c>
      <c r="Q90" s="32">
        <f t="shared" si="24"/>
        <v>903965.89700446592</v>
      </c>
      <c r="R90" s="32">
        <f t="shared" si="24"/>
        <v>1111997.0941388553</v>
      </c>
      <c r="S90" s="32">
        <f t="shared" si="24"/>
        <v>1361530.9075761964</v>
      </c>
    </row>
    <row r="91" spans="2:19" ht="17" thickBot="1" x14ac:dyDescent="0.25">
      <c r="B91" s="33" t="s">
        <v>361</v>
      </c>
      <c r="C91" s="33"/>
      <c r="D91" s="33"/>
      <c r="E91" s="33"/>
      <c r="F91" s="33"/>
      <c r="G91" s="33"/>
      <c r="H91" s="33"/>
      <c r="I91" s="33"/>
      <c r="J91" s="33"/>
      <c r="K91" s="33"/>
      <c r="L91" s="34">
        <f>L85+L89</f>
        <v>21632.048746419106</v>
      </c>
      <c r="M91" s="34">
        <f t="shared" ref="M91:N91" si="25">M85+M89</f>
        <v>28750.434378032514</v>
      </c>
      <c r="N91" s="34">
        <f t="shared" si="25"/>
        <v>231013.26978068647</v>
      </c>
      <c r="O91" s="34">
        <f t="shared" ref="O91:S91" si="26">O85+O89</f>
        <v>288055.619824533</v>
      </c>
      <c r="P91" s="34">
        <f t="shared" si="26"/>
        <v>358388.81080924039</v>
      </c>
      <c r="Q91" s="34">
        <f t="shared" si="26"/>
        <v>444584.65365200967</v>
      </c>
      <c r="R91" s="34">
        <f t="shared" si="26"/>
        <v>549397.67531108414</v>
      </c>
      <c r="S91" s="34">
        <f t="shared" si="26"/>
        <v>675591.31312545948</v>
      </c>
    </row>
    <row r="92" spans="2:19" ht="17" thickTop="1" x14ac:dyDescent="0.2"/>
  </sheetData>
  <sheetProtection algorithmName="SHA-512" hashValue="oWpr0zn5hn7OLuSUlKEisH37eT4+qbTnDL7AutclosRXZ5krILkuzs/9/qea/X6/EI/tlY5ty6Vy96VVcDYavA==" saltValue="diBz0OhztM8BiWgrddcPBQ==" spinCount="100000" sheet="1" objects="1" scenarios="1"/>
  <pageMargins left="0.7" right="0.7" top="0.75" bottom="0.75" header="0.3" footer="0.3"/>
  <pageSetup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B133-21C0-4023-83AE-07BB3C7C0841}">
  <sheetPr>
    <tabColor theme="5"/>
  </sheetPr>
  <dimension ref="A1:BW212"/>
  <sheetViews>
    <sheetView zoomScaleNormal="100" workbookViewId="0">
      <selection activeCell="T114" sqref="T114"/>
    </sheetView>
  </sheetViews>
  <sheetFormatPr baseColWidth="10" defaultColWidth="8.83203125" defaultRowHeight="16" x14ac:dyDescent="0.2"/>
  <cols>
    <col min="2" max="2" width="11.6640625" customWidth="1"/>
    <col min="3" max="3" width="52.33203125" customWidth="1"/>
    <col min="4" max="12" width="15.6640625" customWidth="1"/>
    <col min="13" max="16" width="15.6640625" hidden="1" customWidth="1"/>
    <col min="17" max="17" width="15.6640625" customWidth="1"/>
    <col min="18" max="19" width="15.6640625" hidden="1" customWidth="1"/>
    <col min="20" max="20" width="15.6640625" customWidth="1"/>
    <col min="22" max="22" width="28.6640625" customWidth="1"/>
    <col min="23" max="23" width="39.33203125" customWidth="1"/>
  </cols>
  <sheetData>
    <row r="1" spans="1:75" x14ac:dyDescent="0.2">
      <c r="A1" s="51"/>
      <c r="B1" s="51"/>
      <c r="C1" s="51"/>
      <c r="D1" s="51"/>
      <c r="E1" s="51"/>
      <c r="F1" s="2"/>
      <c r="G1" s="51"/>
      <c r="H1" s="51"/>
      <c r="I1" s="51"/>
      <c r="J1" s="2"/>
      <c r="K1" s="51"/>
      <c r="L1" s="51"/>
      <c r="M1" s="51"/>
      <c r="N1" s="2"/>
      <c r="O1" s="51"/>
      <c r="P1" s="51"/>
      <c r="Q1" s="51"/>
      <c r="R1" s="2"/>
      <c r="S1" s="51"/>
      <c r="T1" s="51"/>
      <c r="U1" s="51"/>
      <c r="V1" s="2"/>
      <c r="W1" s="51"/>
      <c r="X1" s="51"/>
      <c r="Y1" s="51"/>
      <c r="Z1" s="2"/>
      <c r="AA1" s="51"/>
      <c r="AB1" s="51"/>
      <c r="AC1" s="51"/>
      <c r="AD1" s="2"/>
      <c r="AE1" s="51"/>
      <c r="AF1" s="51"/>
      <c r="AG1" s="51"/>
      <c r="AH1" s="2"/>
      <c r="AI1" s="51"/>
      <c r="AJ1" s="51"/>
      <c r="AK1" s="51"/>
      <c r="AL1" s="2"/>
      <c r="AM1" s="51"/>
      <c r="AN1" s="51"/>
      <c r="AO1" s="51"/>
      <c r="AP1" s="2"/>
      <c r="AQ1" s="51"/>
      <c r="AR1" s="51"/>
      <c r="AS1" s="51"/>
      <c r="AT1" s="2"/>
      <c r="AU1" s="51"/>
      <c r="AV1" s="51"/>
      <c r="AW1" s="51"/>
      <c r="AX1" s="2"/>
      <c r="AY1" s="51"/>
      <c r="AZ1" s="51"/>
      <c r="BA1" s="51"/>
      <c r="BB1" s="2"/>
      <c r="BC1" s="51"/>
      <c r="BD1" s="51"/>
      <c r="BE1" s="51"/>
      <c r="BF1" s="2"/>
      <c r="BG1" s="51"/>
      <c r="BH1" s="51"/>
      <c r="BI1" s="51"/>
      <c r="BJ1" s="2"/>
      <c r="BK1" s="51"/>
      <c r="BL1" s="51"/>
      <c r="BM1" s="51"/>
      <c r="BN1" s="2"/>
      <c r="BO1" s="51"/>
      <c r="BP1" s="51"/>
      <c r="BQ1" s="51"/>
      <c r="BR1" s="2"/>
      <c r="BS1" s="51"/>
      <c r="BT1" s="51"/>
      <c r="BU1" s="51"/>
      <c r="BV1" s="2"/>
      <c r="BW1" s="51"/>
    </row>
    <row r="2" spans="1:75" x14ac:dyDescent="0.2">
      <c r="A2" s="51"/>
      <c r="B2" s="51"/>
      <c r="C2" s="51"/>
      <c r="D2" s="51"/>
      <c r="E2" s="51"/>
      <c r="F2" s="2"/>
      <c r="G2" s="51"/>
      <c r="H2" s="51"/>
      <c r="I2" s="51"/>
      <c r="J2" s="2"/>
      <c r="K2" s="51"/>
      <c r="L2" s="51"/>
      <c r="M2" s="51"/>
      <c r="N2" s="2"/>
      <c r="O2" s="51"/>
      <c r="P2" s="51"/>
      <c r="Q2" s="51"/>
      <c r="R2" s="2"/>
      <c r="S2" s="51"/>
      <c r="T2" s="51"/>
      <c r="U2" s="51"/>
      <c r="V2" s="2"/>
      <c r="W2" s="51"/>
      <c r="X2" s="51"/>
      <c r="Y2" s="51"/>
      <c r="Z2" s="2"/>
      <c r="AA2" s="51"/>
      <c r="AB2" s="51"/>
      <c r="AC2" s="51"/>
      <c r="AD2" s="2"/>
      <c r="AE2" s="51"/>
      <c r="AF2" s="51"/>
      <c r="AG2" s="51"/>
      <c r="AH2" s="2"/>
      <c r="AI2" s="51"/>
      <c r="AJ2" s="51"/>
      <c r="AK2" s="51"/>
      <c r="AL2" s="2"/>
      <c r="AM2" s="51"/>
      <c r="AN2" s="51"/>
      <c r="AO2" s="51"/>
      <c r="AP2" s="2"/>
      <c r="AQ2" s="51"/>
      <c r="AR2" s="51"/>
      <c r="AS2" s="51"/>
      <c r="AT2" s="2"/>
      <c r="AU2" s="51"/>
      <c r="AV2" s="51"/>
      <c r="AW2" s="51"/>
      <c r="AX2" s="2"/>
      <c r="AY2" s="51"/>
      <c r="AZ2" s="51"/>
      <c r="BA2" s="51"/>
      <c r="BB2" s="2"/>
      <c r="BC2" s="51"/>
      <c r="BD2" s="51"/>
      <c r="BE2" s="51"/>
      <c r="BF2" s="2"/>
      <c r="BG2" s="51"/>
      <c r="BH2" s="51"/>
      <c r="BI2" s="51"/>
      <c r="BJ2" s="2"/>
      <c r="BK2" s="51"/>
      <c r="BL2" s="51"/>
      <c r="BM2" s="51"/>
      <c r="BN2" s="2"/>
      <c r="BO2" s="51"/>
      <c r="BP2" s="51"/>
      <c r="BQ2" s="51"/>
      <c r="BR2" s="2"/>
      <c r="BS2" s="51"/>
      <c r="BT2" s="51"/>
      <c r="BU2" s="51"/>
      <c r="BV2" s="2"/>
      <c r="BW2" s="51"/>
    </row>
    <row r="3" spans="1:75" x14ac:dyDescent="0.2">
      <c r="A3" s="51"/>
      <c r="B3" s="51"/>
      <c r="C3" s="51"/>
      <c r="D3" s="51"/>
      <c r="E3" s="51"/>
      <c r="F3" s="2"/>
      <c r="G3" s="51"/>
      <c r="H3" s="51"/>
      <c r="I3" s="51"/>
      <c r="J3" s="2"/>
      <c r="K3" s="51"/>
      <c r="L3" s="51"/>
      <c r="M3" s="51"/>
      <c r="N3" s="2"/>
      <c r="O3" s="51"/>
      <c r="P3" s="51"/>
      <c r="Q3" s="51"/>
      <c r="R3" s="2"/>
      <c r="S3" s="51"/>
      <c r="T3" s="51"/>
      <c r="U3" s="51"/>
      <c r="V3" s="2"/>
      <c r="W3" s="51"/>
      <c r="X3" s="51"/>
      <c r="Y3" s="51"/>
      <c r="Z3" s="2"/>
      <c r="AA3" s="51"/>
      <c r="AB3" s="51"/>
      <c r="AC3" s="51"/>
      <c r="AD3" s="2"/>
      <c r="AE3" s="51"/>
      <c r="AF3" s="51"/>
      <c r="AG3" s="51"/>
      <c r="AH3" s="2"/>
      <c r="AI3" s="51"/>
      <c r="AJ3" s="51"/>
      <c r="AK3" s="51"/>
      <c r="AL3" s="2"/>
      <c r="AM3" s="51"/>
      <c r="AN3" s="51"/>
      <c r="AO3" s="51"/>
      <c r="AP3" s="2"/>
      <c r="AQ3" s="51"/>
      <c r="AR3" s="51"/>
      <c r="AS3" s="51"/>
      <c r="AT3" s="2"/>
      <c r="AU3" s="51"/>
      <c r="AV3" s="51"/>
      <c r="AW3" s="51"/>
      <c r="AX3" s="2"/>
      <c r="AY3" s="51"/>
      <c r="AZ3" s="51"/>
      <c r="BA3" s="51"/>
      <c r="BB3" s="2"/>
      <c r="BC3" s="51"/>
      <c r="BD3" s="51"/>
      <c r="BE3" s="51"/>
      <c r="BF3" s="2"/>
      <c r="BG3" s="51"/>
      <c r="BH3" s="51"/>
      <c r="BI3" s="51"/>
      <c r="BJ3" s="2"/>
      <c r="BK3" s="51"/>
      <c r="BL3" s="51"/>
      <c r="BM3" s="51"/>
      <c r="BN3" s="2"/>
      <c r="BO3" s="51"/>
      <c r="BP3" s="51"/>
      <c r="BQ3" s="51"/>
      <c r="BR3" s="2"/>
      <c r="BS3" s="51"/>
      <c r="BT3" s="51"/>
      <c r="BU3" s="51"/>
      <c r="BV3" s="2"/>
      <c r="BW3" s="51"/>
    </row>
    <row r="4" spans="1:75" ht="19" x14ac:dyDescent="0.2">
      <c r="A4" s="51"/>
      <c r="B4" s="51"/>
      <c r="C4" s="51"/>
      <c r="D4" s="51"/>
      <c r="E4" s="51"/>
      <c r="F4" s="2"/>
      <c r="G4" s="51"/>
      <c r="H4" s="51"/>
      <c r="I4" s="51"/>
      <c r="J4" s="53" t="s">
        <v>362</v>
      </c>
      <c r="K4" s="51"/>
      <c r="L4" s="51"/>
      <c r="M4" s="51"/>
      <c r="N4" s="2"/>
      <c r="O4" s="2"/>
      <c r="P4" s="2"/>
      <c r="Q4" s="2"/>
      <c r="R4" s="2"/>
      <c r="S4" s="2"/>
      <c r="T4" s="2"/>
      <c r="U4" s="51"/>
      <c r="V4" s="2"/>
      <c r="W4" s="51"/>
      <c r="X4" s="51"/>
      <c r="Y4" s="51"/>
      <c r="Z4" s="2"/>
      <c r="AA4" s="51"/>
      <c r="AB4" s="51"/>
      <c r="AC4" s="51"/>
      <c r="AD4" s="2"/>
      <c r="AE4" s="51"/>
      <c r="AF4" s="51"/>
      <c r="AG4" s="51"/>
      <c r="AH4" s="2"/>
      <c r="AI4" s="51"/>
      <c r="AJ4" s="51"/>
      <c r="AK4" s="51"/>
      <c r="AL4" s="2"/>
      <c r="AM4" s="51"/>
      <c r="AN4" s="51"/>
      <c r="AO4" s="51"/>
      <c r="AP4" s="2"/>
      <c r="AQ4" s="51"/>
      <c r="AR4" s="51"/>
      <c r="AS4" s="51"/>
      <c r="AT4" s="2"/>
      <c r="AU4" s="51"/>
      <c r="AV4" s="51"/>
      <c r="AW4" s="51"/>
      <c r="AX4" s="2"/>
      <c r="AY4" s="51"/>
      <c r="AZ4" s="51"/>
      <c r="BA4" s="51"/>
      <c r="BB4" s="2"/>
      <c r="BC4" s="51"/>
      <c r="BD4" s="51"/>
      <c r="BE4" s="51"/>
      <c r="BF4" s="2"/>
      <c r="BG4" s="51"/>
      <c r="BH4" s="51"/>
      <c r="BI4" s="51"/>
      <c r="BJ4" s="2"/>
      <c r="BK4" s="51"/>
      <c r="BL4" s="51"/>
      <c r="BM4" s="51"/>
      <c r="BN4" s="2"/>
      <c r="BO4" s="51"/>
      <c r="BP4" s="51"/>
      <c r="BQ4" s="51"/>
      <c r="BR4" s="2"/>
      <c r="BS4" s="51"/>
      <c r="BT4" s="51"/>
      <c r="BU4" s="51"/>
      <c r="BV4" s="2"/>
      <c r="BW4" s="51"/>
    </row>
    <row r="5" spans="1:75" ht="19" x14ac:dyDescent="0.2">
      <c r="A5" s="51"/>
      <c r="B5" s="51"/>
      <c r="C5" s="51"/>
      <c r="D5" s="51"/>
      <c r="E5" s="51"/>
      <c r="F5" s="2"/>
      <c r="G5" s="51"/>
      <c r="H5" s="51"/>
      <c r="I5" s="51"/>
      <c r="J5" s="52" t="s">
        <v>363</v>
      </c>
      <c r="K5" s="51"/>
      <c r="L5" s="51"/>
      <c r="M5" s="51"/>
      <c r="N5" s="2"/>
      <c r="O5" s="2"/>
      <c r="P5" s="2"/>
      <c r="Q5" s="2"/>
      <c r="R5" s="2"/>
      <c r="S5" s="2"/>
      <c r="T5" s="2"/>
      <c r="U5" s="51"/>
      <c r="V5" s="2"/>
      <c r="W5" s="51"/>
      <c r="X5" s="51"/>
      <c r="Y5" s="51"/>
      <c r="Z5" s="2"/>
      <c r="AA5" s="51"/>
      <c r="AB5" s="51"/>
      <c r="AC5" s="51"/>
      <c r="AD5" s="2"/>
      <c r="AE5" s="51"/>
      <c r="AF5" s="51"/>
      <c r="AG5" s="51"/>
      <c r="AH5" s="2"/>
      <c r="AI5" s="51"/>
      <c r="AJ5" s="51"/>
      <c r="AK5" s="51"/>
      <c r="AL5" s="2"/>
      <c r="AM5" s="51"/>
      <c r="AN5" s="51"/>
      <c r="AO5" s="51"/>
      <c r="AP5" s="2"/>
      <c r="AQ5" s="51"/>
      <c r="AR5" s="51"/>
      <c r="AS5" s="51"/>
      <c r="AT5" s="2"/>
      <c r="AU5" s="51"/>
      <c r="AV5" s="51"/>
      <c r="AW5" s="51"/>
      <c r="AX5" s="2"/>
      <c r="AY5" s="51"/>
      <c r="AZ5" s="51"/>
      <c r="BA5" s="51"/>
      <c r="BB5" s="2"/>
      <c r="BC5" s="51"/>
      <c r="BD5" s="51"/>
      <c r="BE5" s="51"/>
      <c r="BF5" s="2"/>
      <c r="BG5" s="51"/>
      <c r="BH5" s="51"/>
      <c r="BI5" s="51"/>
      <c r="BJ5" s="2"/>
      <c r="BK5" s="51"/>
      <c r="BL5" s="51"/>
      <c r="BM5" s="51"/>
      <c r="BN5" s="2"/>
      <c r="BO5" s="51"/>
      <c r="BP5" s="51"/>
      <c r="BQ5" s="51"/>
      <c r="BR5" s="2"/>
      <c r="BS5" s="51"/>
      <c r="BT5" s="51"/>
      <c r="BU5" s="51"/>
      <c r="BV5" s="2"/>
      <c r="BW5" s="51"/>
    </row>
    <row r="6" spans="1:75" ht="19" x14ac:dyDescent="0.2">
      <c r="A6" s="51"/>
      <c r="B6" s="51"/>
      <c r="C6" s="51"/>
      <c r="D6" s="51"/>
      <c r="E6" s="51"/>
      <c r="F6" s="2"/>
      <c r="G6" s="51"/>
      <c r="H6" s="51"/>
      <c r="I6" s="51"/>
      <c r="J6" s="52"/>
      <c r="K6" s="51"/>
      <c r="L6" s="51"/>
      <c r="M6" s="51"/>
      <c r="N6" s="2"/>
      <c r="O6" s="2"/>
      <c r="P6" s="2"/>
      <c r="Q6" s="2"/>
      <c r="R6" s="2"/>
      <c r="S6" s="2"/>
      <c r="T6" s="2"/>
      <c r="U6" s="51"/>
      <c r="V6" s="2"/>
      <c r="W6" s="51"/>
      <c r="X6" s="51"/>
      <c r="Y6" s="51"/>
      <c r="Z6" s="2"/>
      <c r="AA6" s="51"/>
      <c r="AB6" s="51"/>
      <c r="AC6" s="51"/>
      <c r="AD6" s="2"/>
      <c r="AE6" s="51"/>
      <c r="AF6" s="51"/>
      <c r="AG6" s="51"/>
      <c r="AH6" s="2"/>
      <c r="AI6" s="51"/>
      <c r="AJ6" s="51"/>
      <c r="AK6" s="51"/>
      <c r="AL6" s="2"/>
      <c r="AM6" s="51"/>
      <c r="AN6" s="51"/>
      <c r="AO6" s="51"/>
      <c r="AP6" s="2"/>
      <c r="AQ6" s="51"/>
      <c r="AR6" s="51"/>
      <c r="AS6" s="51"/>
      <c r="AT6" s="2"/>
      <c r="AU6" s="51"/>
      <c r="AV6" s="51"/>
      <c r="AW6" s="51"/>
      <c r="AX6" s="2"/>
      <c r="AY6" s="51"/>
      <c r="AZ6" s="51"/>
      <c r="BA6" s="51"/>
      <c r="BB6" s="2"/>
      <c r="BC6" s="51"/>
      <c r="BD6" s="51"/>
      <c r="BE6" s="51"/>
      <c r="BF6" s="2"/>
      <c r="BG6" s="51"/>
      <c r="BH6" s="51"/>
      <c r="BI6" s="51"/>
      <c r="BJ6" s="2"/>
      <c r="BK6" s="51"/>
      <c r="BL6" s="51"/>
      <c r="BM6" s="51"/>
      <c r="BN6" s="2"/>
      <c r="BO6" s="51"/>
      <c r="BP6" s="51"/>
      <c r="BQ6" s="51"/>
      <c r="BR6" s="2"/>
      <c r="BS6" s="51"/>
      <c r="BT6" s="51"/>
      <c r="BU6" s="51"/>
      <c r="BV6" s="2"/>
      <c r="BW6" s="51"/>
    </row>
    <row r="7" spans="1:75" ht="19" x14ac:dyDescent="0.2">
      <c r="A7" s="51"/>
      <c r="B7" s="51"/>
      <c r="C7" s="51"/>
      <c r="D7" s="51"/>
      <c r="E7" s="51"/>
      <c r="F7" s="2"/>
      <c r="G7" s="51"/>
      <c r="H7" s="51"/>
      <c r="I7" s="51"/>
      <c r="J7" s="52" t="s">
        <v>364</v>
      </c>
      <c r="K7" s="51"/>
      <c r="L7" s="51"/>
      <c r="M7" s="51"/>
      <c r="N7" s="2"/>
      <c r="O7" s="2"/>
      <c r="P7" s="2"/>
      <c r="Q7" s="2"/>
      <c r="R7" s="2"/>
      <c r="S7" s="2"/>
      <c r="T7" s="2"/>
      <c r="U7" s="51"/>
      <c r="V7" s="2"/>
      <c r="W7" s="51"/>
      <c r="X7" s="51"/>
      <c r="Y7" s="51"/>
      <c r="Z7" s="2"/>
      <c r="AA7" s="51"/>
      <c r="AB7" s="51"/>
      <c r="AC7" s="51"/>
      <c r="AD7" s="2"/>
      <c r="AE7" s="51"/>
      <c r="AF7" s="51"/>
      <c r="AG7" s="51"/>
      <c r="AH7" s="2"/>
      <c r="AI7" s="51"/>
      <c r="AJ7" s="51"/>
      <c r="AK7" s="51"/>
      <c r="AL7" s="2"/>
      <c r="AM7" s="51"/>
      <c r="AN7" s="51"/>
      <c r="AO7" s="51"/>
      <c r="AP7" s="2"/>
      <c r="AQ7" s="51"/>
      <c r="AR7" s="51"/>
      <c r="AS7" s="51"/>
      <c r="AT7" s="2"/>
      <c r="AU7" s="51"/>
      <c r="AV7" s="51"/>
      <c r="AW7" s="51"/>
      <c r="AX7" s="2"/>
      <c r="AY7" s="51"/>
      <c r="AZ7" s="51"/>
      <c r="BA7" s="51"/>
      <c r="BB7" s="2"/>
      <c r="BC7" s="51"/>
      <c r="BD7" s="51"/>
      <c r="BE7" s="51"/>
      <c r="BF7" s="2"/>
      <c r="BG7" s="51"/>
      <c r="BH7" s="51"/>
      <c r="BI7" s="51"/>
      <c r="BJ7" s="2"/>
      <c r="BK7" s="51"/>
      <c r="BL7" s="51"/>
      <c r="BM7" s="51"/>
      <c r="BN7" s="2"/>
      <c r="BO7" s="51"/>
      <c r="BP7" s="51"/>
      <c r="BQ7" s="51"/>
      <c r="BR7" s="2"/>
      <c r="BS7" s="51"/>
      <c r="BT7" s="51"/>
      <c r="BU7" s="51"/>
      <c r="BV7" s="2"/>
      <c r="BW7" s="51"/>
    </row>
    <row r="8" spans="1:75" ht="19" x14ac:dyDescent="0.2">
      <c r="A8" s="51"/>
      <c r="B8" s="51"/>
      <c r="C8" s="51"/>
      <c r="D8" s="51"/>
      <c r="E8" s="51"/>
      <c r="F8" s="2"/>
      <c r="G8" s="51"/>
      <c r="H8" s="51"/>
      <c r="I8" s="51"/>
      <c r="J8" s="54" t="s">
        <v>365</v>
      </c>
      <c r="K8" s="51"/>
      <c r="L8" s="51"/>
      <c r="M8" s="51"/>
      <c r="N8" s="2"/>
      <c r="O8" s="2"/>
      <c r="P8" s="2"/>
      <c r="Q8" s="2"/>
      <c r="R8" s="2"/>
      <c r="S8" s="2"/>
      <c r="T8" s="2"/>
      <c r="U8" s="51"/>
      <c r="V8" s="2"/>
      <c r="W8" s="51"/>
      <c r="X8" s="51"/>
      <c r="Y8" s="51"/>
      <c r="Z8" s="2"/>
      <c r="AA8" s="51"/>
      <c r="AB8" s="51"/>
      <c r="AC8" s="51"/>
      <c r="AD8" s="2"/>
      <c r="AE8" s="51"/>
      <c r="AF8" s="51"/>
      <c r="AG8" s="51"/>
      <c r="AH8" s="2"/>
      <c r="AI8" s="51"/>
      <c r="AJ8" s="51"/>
      <c r="AK8" s="51"/>
      <c r="AL8" s="2"/>
      <c r="AM8" s="51"/>
      <c r="AN8" s="51"/>
      <c r="AO8" s="51"/>
      <c r="AP8" s="2"/>
      <c r="AQ8" s="51"/>
      <c r="AR8" s="51"/>
      <c r="AS8" s="51"/>
      <c r="AT8" s="2"/>
      <c r="AU8" s="51"/>
      <c r="AV8" s="51"/>
      <c r="AW8" s="51"/>
      <c r="AX8" s="2"/>
      <c r="AY8" s="51"/>
      <c r="AZ8" s="51"/>
      <c r="BA8" s="51"/>
      <c r="BB8" s="2"/>
      <c r="BC8" s="51"/>
      <c r="BD8" s="51"/>
      <c r="BE8" s="51"/>
      <c r="BF8" s="2"/>
      <c r="BG8" s="51"/>
      <c r="BH8" s="51"/>
      <c r="BI8" s="51"/>
      <c r="BJ8" s="2"/>
      <c r="BK8" s="51"/>
      <c r="BL8" s="51"/>
      <c r="BM8" s="51"/>
      <c r="BN8" s="2"/>
      <c r="BO8" s="51"/>
      <c r="BP8" s="51"/>
      <c r="BQ8" s="51"/>
      <c r="BR8" s="2"/>
      <c r="BS8" s="51"/>
      <c r="BT8" s="51"/>
      <c r="BU8" s="51"/>
      <c r="BV8" s="2"/>
      <c r="BW8" s="51"/>
    </row>
    <row r="9" spans="1:75" ht="19" x14ac:dyDescent="0.2">
      <c r="A9" s="51"/>
      <c r="B9" s="51"/>
      <c r="C9" s="51"/>
      <c r="D9" s="51"/>
      <c r="E9" s="51"/>
      <c r="F9" s="2"/>
      <c r="G9" s="51"/>
      <c r="H9" s="51"/>
      <c r="I9" s="51"/>
      <c r="J9" s="55" t="s">
        <v>366</v>
      </c>
      <c r="K9" s="51"/>
      <c r="L9" s="51"/>
      <c r="M9" s="51"/>
      <c r="N9" s="2"/>
      <c r="O9" s="2"/>
      <c r="P9" s="2"/>
      <c r="Q9" s="2"/>
      <c r="R9" s="2"/>
      <c r="S9" s="2"/>
      <c r="T9" s="2"/>
      <c r="U9" s="51"/>
      <c r="V9" s="2"/>
      <c r="W9" s="51"/>
      <c r="X9" s="51"/>
      <c r="Y9" s="51"/>
      <c r="Z9" s="2"/>
      <c r="AA9" s="51"/>
      <c r="AB9" s="51"/>
      <c r="AC9" s="51"/>
      <c r="AD9" s="2"/>
      <c r="AE9" s="51"/>
      <c r="AF9" s="51"/>
      <c r="AG9" s="51"/>
      <c r="AH9" s="2"/>
      <c r="AI9" s="51"/>
      <c r="AJ9" s="51"/>
      <c r="AK9" s="51"/>
      <c r="AL9" s="2"/>
      <c r="AM9" s="51"/>
      <c r="AN9" s="51"/>
      <c r="AO9" s="51"/>
      <c r="AP9" s="2"/>
      <c r="AQ9" s="51"/>
      <c r="AR9" s="51"/>
      <c r="AS9" s="51"/>
      <c r="AT9" s="2"/>
      <c r="AU9" s="51"/>
      <c r="AV9" s="51"/>
      <c r="AW9" s="51"/>
      <c r="AX9" s="2"/>
      <c r="AY9" s="51"/>
      <c r="AZ9" s="51"/>
      <c r="BA9" s="51"/>
      <c r="BB9" s="2"/>
      <c r="BC9" s="51"/>
      <c r="BD9" s="51"/>
      <c r="BE9" s="51"/>
      <c r="BF9" s="2"/>
      <c r="BG9" s="51"/>
      <c r="BH9" s="51"/>
      <c r="BI9" s="51"/>
      <c r="BJ9" s="2"/>
      <c r="BK9" s="51"/>
      <c r="BL9" s="51"/>
      <c r="BM9" s="51"/>
      <c r="BN9" s="2"/>
      <c r="BO9" s="51"/>
      <c r="BP9" s="51"/>
      <c r="BQ9" s="51"/>
      <c r="BR9" s="2"/>
      <c r="BS9" s="51"/>
      <c r="BT9" s="51"/>
      <c r="BU9" s="51"/>
      <c r="BV9" s="2"/>
      <c r="BW9" s="51"/>
    </row>
    <row r="10" spans="1:75" ht="19" x14ac:dyDescent="0.2">
      <c r="A10" s="51"/>
      <c r="B10" s="51"/>
      <c r="C10" s="51"/>
      <c r="D10" s="51"/>
      <c r="E10" s="51"/>
      <c r="F10" s="2"/>
      <c r="G10" s="51"/>
      <c r="H10" s="51"/>
      <c r="I10" s="51"/>
      <c r="J10" s="52" t="s">
        <v>367</v>
      </c>
      <c r="K10" s="51"/>
      <c r="L10" s="51"/>
      <c r="M10" s="51"/>
      <c r="N10" s="2"/>
      <c r="O10" s="2"/>
      <c r="P10" s="2"/>
      <c r="Q10" s="2"/>
      <c r="R10" s="2"/>
      <c r="S10" s="2"/>
      <c r="T10" s="2"/>
      <c r="U10" s="51"/>
      <c r="V10" s="2"/>
      <c r="W10" s="51"/>
      <c r="X10" s="51"/>
      <c r="Y10" s="51"/>
      <c r="Z10" s="2"/>
      <c r="AA10" s="51"/>
      <c r="AB10" s="51"/>
      <c r="AC10" s="51"/>
      <c r="AD10" s="2"/>
      <c r="AE10" s="51"/>
      <c r="AF10" s="51"/>
      <c r="AG10" s="51"/>
      <c r="AH10" s="2"/>
      <c r="AI10" s="51"/>
      <c r="AJ10" s="51"/>
      <c r="AK10" s="51"/>
      <c r="AL10" s="2"/>
      <c r="AM10" s="51"/>
      <c r="AN10" s="51"/>
      <c r="AO10" s="51"/>
      <c r="AP10" s="2"/>
      <c r="AQ10" s="51"/>
      <c r="AR10" s="51"/>
      <c r="AS10" s="51"/>
      <c r="AT10" s="2"/>
      <c r="AU10" s="51"/>
      <c r="AV10" s="51"/>
      <c r="AW10" s="51"/>
      <c r="AX10" s="2"/>
      <c r="AY10" s="51"/>
      <c r="AZ10" s="51"/>
      <c r="BA10" s="51"/>
      <c r="BB10" s="2"/>
      <c r="BC10" s="51"/>
      <c r="BD10" s="51"/>
      <c r="BE10" s="51"/>
      <c r="BF10" s="2"/>
      <c r="BG10" s="51"/>
      <c r="BH10" s="51"/>
      <c r="BI10" s="51"/>
      <c r="BJ10" s="2"/>
      <c r="BK10" s="51"/>
      <c r="BL10" s="51"/>
      <c r="BM10" s="51"/>
      <c r="BN10" s="2"/>
      <c r="BO10" s="51"/>
      <c r="BP10" s="51"/>
      <c r="BQ10" s="51"/>
      <c r="BR10" s="2"/>
      <c r="BS10" s="51"/>
      <c r="BT10" s="51"/>
      <c r="BU10" s="51"/>
      <c r="BV10" s="2"/>
      <c r="BW10" s="51"/>
    </row>
    <row r="11" spans="1:75" ht="19" x14ac:dyDescent="0.2">
      <c r="A11" s="51"/>
      <c r="B11" s="51"/>
      <c r="C11" s="51"/>
      <c r="D11" s="51"/>
      <c r="E11" s="51"/>
      <c r="F11" s="2"/>
      <c r="G11" s="51"/>
      <c r="H11" s="51"/>
      <c r="I11" s="51"/>
      <c r="J11" s="54" t="s">
        <v>368</v>
      </c>
      <c r="K11" s="51"/>
      <c r="L11" s="51"/>
      <c r="M11" s="51"/>
      <c r="N11" s="2"/>
      <c r="O11" s="2"/>
      <c r="P11" s="2"/>
      <c r="Q11" s="2"/>
      <c r="R11" s="2"/>
      <c r="S11" s="2"/>
      <c r="T11" s="2"/>
      <c r="U11" s="51"/>
      <c r="V11" s="2"/>
      <c r="W11" s="51"/>
      <c r="X11" s="51"/>
      <c r="Y11" s="51"/>
      <c r="Z11" s="2"/>
      <c r="AA11" s="51"/>
      <c r="AB11" s="51"/>
      <c r="AC11" s="51"/>
      <c r="AD11" s="2"/>
      <c r="AE11" s="51"/>
      <c r="AF11" s="51"/>
      <c r="AG11" s="51"/>
      <c r="AH11" s="2"/>
      <c r="AI11" s="51"/>
      <c r="AJ11" s="51"/>
      <c r="AK11" s="51"/>
      <c r="AL11" s="2"/>
      <c r="AM11" s="51"/>
      <c r="AN11" s="51"/>
      <c r="AO11" s="51"/>
      <c r="AP11" s="2"/>
      <c r="AQ11" s="51"/>
      <c r="AR11" s="51"/>
      <c r="AS11" s="51"/>
      <c r="AT11" s="2"/>
      <c r="AU11" s="51"/>
      <c r="AV11" s="51"/>
      <c r="AW11" s="51"/>
      <c r="AX11" s="2"/>
      <c r="AY11" s="51"/>
      <c r="AZ11" s="51"/>
      <c r="BA11" s="51"/>
      <c r="BB11" s="2"/>
      <c r="BC11" s="51"/>
      <c r="BD11" s="51"/>
      <c r="BE11" s="51"/>
      <c r="BF11" s="2"/>
      <c r="BG11" s="51"/>
      <c r="BH11" s="51"/>
      <c r="BI11" s="51"/>
      <c r="BJ11" s="2"/>
      <c r="BK11" s="51"/>
      <c r="BL11" s="51"/>
      <c r="BM11" s="51"/>
      <c r="BN11" s="2"/>
      <c r="BO11" s="51"/>
      <c r="BP11" s="51"/>
      <c r="BQ11" s="51"/>
      <c r="BR11" s="2"/>
      <c r="BS11" s="51"/>
      <c r="BT11" s="51"/>
      <c r="BU11" s="51"/>
      <c r="BV11" s="2"/>
      <c r="BW11" s="51"/>
    </row>
    <row r="12" spans="1:75" ht="19" x14ac:dyDescent="0.2">
      <c r="A12" s="51"/>
      <c r="B12" s="51"/>
      <c r="C12" s="51"/>
      <c r="D12" s="51"/>
      <c r="E12" s="51"/>
      <c r="F12" s="2"/>
      <c r="G12" s="51"/>
      <c r="H12" s="51"/>
      <c r="I12" s="51"/>
      <c r="J12" s="54" t="s">
        <v>369</v>
      </c>
      <c r="K12" s="51"/>
      <c r="L12" s="51"/>
      <c r="M12" s="51"/>
      <c r="N12" s="2"/>
      <c r="O12" s="2"/>
      <c r="P12" s="2"/>
      <c r="Q12" s="2"/>
      <c r="R12" s="2"/>
      <c r="S12" s="2"/>
      <c r="T12" s="2"/>
      <c r="U12" s="51"/>
      <c r="V12" s="2"/>
      <c r="W12" s="51"/>
      <c r="X12" s="51"/>
      <c r="Y12" s="51"/>
      <c r="Z12" s="2"/>
      <c r="AA12" s="51"/>
      <c r="AB12" s="51"/>
      <c r="AC12" s="51"/>
      <c r="AD12" s="2"/>
      <c r="AE12" s="51"/>
      <c r="AF12" s="51"/>
      <c r="AG12" s="51"/>
      <c r="AH12" s="2"/>
      <c r="AI12" s="51"/>
      <c r="AJ12" s="51"/>
      <c r="AK12" s="51"/>
      <c r="AL12" s="2"/>
      <c r="AM12" s="51"/>
      <c r="AN12" s="51"/>
      <c r="AO12" s="51"/>
      <c r="AP12" s="2"/>
      <c r="AQ12" s="51"/>
      <c r="AR12" s="51"/>
      <c r="AS12" s="51"/>
      <c r="AT12" s="2"/>
      <c r="AU12" s="51"/>
      <c r="AV12" s="51"/>
      <c r="AW12" s="51"/>
      <c r="AX12" s="2"/>
      <c r="AY12" s="51"/>
      <c r="AZ12" s="51"/>
      <c r="BA12" s="51"/>
      <c r="BB12" s="2"/>
      <c r="BC12" s="51"/>
      <c r="BD12" s="51"/>
      <c r="BE12" s="51"/>
      <c r="BF12" s="2"/>
      <c r="BG12" s="51"/>
      <c r="BH12" s="51"/>
      <c r="BI12" s="51"/>
      <c r="BJ12" s="2"/>
      <c r="BK12" s="51"/>
      <c r="BL12" s="51"/>
      <c r="BM12" s="51"/>
      <c r="BN12" s="2"/>
      <c r="BO12" s="51"/>
      <c r="BP12" s="51"/>
      <c r="BQ12" s="51"/>
      <c r="BR12" s="2"/>
      <c r="BS12" s="51"/>
      <c r="BT12" s="51"/>
      <c r="BU12" s="51"/>
      <c r="BV12" s="2"/>
      <c r="BW12" s="51"/>
    </row>
    <row r="13" spans="1:75" ht="19" x14ac:dyDescent="0.2">
      <c r="A13" s="51"/>
      <c r="B13" s="51"/>
      <c r="C13" s="51"/>
      <c r="D13" s="51"/>
      <c r="E13" s="51"/>
      <c r="F13" s="2"/>
      <c r="G13" s="51"/>
      <c r="H13" s="51"/>
      <c r="I13" s="51"/>
      <c r="J13" s="54"/>
      <c r="K13" s="51"/>
      <c r="L13" s="51"/>
      <c r="M13" s="51"/>
      <c r="N13" s="2"/>
      <c r="O13" s="2"/>
      <c r="P13" s="2"/>
      <c r="Q13" s="2"/>
      <c r="R13" s="2"/>
      <c r="S13" s="2"/>
      <c r="T13" s="2"/>
      <c r="U13" s="51"/>
      <c r="V13" s="2"/>
      <c r="W13" s="51"/>
      <c r="X13" s="51"/>
      <c r="Y13" s="51"/>
      <c r="Z13" s="2"/>
      <c r="AA13" s="51"/>
      <c r="AB13" s="51"/>
      <c r="AC13" s="51"/>
      <c r="AD13" s="2"/>
      <c r="AE13" s="51"/>
      <c r="AF13" s="51"/>
      <c r="AG13" s="51"/>
      <c r="AH13" s="2"/>
      <c r="AI13" s="51"/>
      <c r="AJ13" s="51"/>
      <c r="AK13" s="51"/>
      <c r="AL13" s="2"/>
      <c r="AM13" s="51"/>
      <c r="AN13" s="51"/>
      <c r="AO13" s="51"/>
      <c r="AP13" s="2"/>
      <c r="AQ13" s="51"/>
      <c r="AR13" s="51"/>
      <c r="AS13" s="51"/>
      <c r="AT13" s="2"/>
      <c r="AU13" s="51"/>
      <c r="AV13" s="51"/>
      <c r="AW13" s="51"/>
      <c r="AX13" s="2"/>
      <c r="AY13" s="51"/>
      <c r="AZ13" s="51"/>
      <c r="BA13" s="51"/>
      <c r="BB13" s="2"/>
      <c r="BC13" s="51"/>
      <c r="BD13" s="51"/>
      <c r="BE13" s="51"/>
      <c r="BF13" s="2"/>
      <c r="BG13" s="51"/>
      <c r="BH13" s="51"/>
      <c r="BI13" s="51"/>
      <c r="BJ13" s="2"/>
      <c r="BK13" s="51"/>
      <c r="BL13" s="51"/>
      <c r="BM13" s="51"/>
      <c r="BN13" s="2"/>
      <c r="BO13" s="51"/>
      <c r="BP13" s="51"/>
      <c r="BQ13" s="51"/>
      <c r="BR13" s="2"/>
      <c r="BS13" s="51"/>
      <c r="BT13" s="51"/>
      <c r="BU13" s="51"/>
      <c r="BV13" s="2"/>
      <c r="BW13" s="51"/>
    </row>
    <row r="14" spans="1:75" ht="19" x14ac:dyDescent="0.2">
      <c r="A14" s="51"/>
      <c r="B14" s="51"/>
      <c r="C14" s="51"/>
      <c r="D14" s="51"/>
      <c r="E14" s="51"/>
      <c r="F14" s="2"/>
      <c r="G14" s="51"/>
      <c r="H14" s="51"/>
      <c r="I14" s="51"/>
      <c r="J14" s="54"/>
      <c r="K14" s="51"/>
      <c r="L14" s="51"/>
      <c r="M14" s="51"/>
      <c r="N14" s="2"/>
      <c r="O14" s="2"/>
      <c r="P14" s="2"/>
      <c r="Q14" s="2"/>
      <c r="R14" s="2"/>
      <c r="S14" s="2"/>
      <c r="T14" s="2"/>
      <c r="U14" s="51"/>
      <c r="V14" s="2"/>
      <c r="W14" s="51"/>
      <c r="X14" s="51"/>
      <c r="Y14" s="51"/>
      <c r="Z14" s="2"/>
      <c r="AA14" s="51"/>
      <c r="AB14" s="51"/>
      <c r="AC14" s="51"/>
      <c r="AD14" s="2"/>
      <c r="AE14" s="51"/>
      <c r="AF14" s="51"/>
      <c r="AG14" s="51"/>
      <c r="AH14" s="2"/>
      <c r="AI14" s="51"/>
      <c r="AJ14" s="51"/>
      <c r="AK14" s="51"/>
      <c r="AL14" s="2"/>
      <c r="AM14" s="51"/>
      <c r="AN14" s="51"/>
      <c r="AO14" s="51"/>
      <c r="AP14" s="2"/>
      <c r="AQ14" s="51"/>
      <c r="AR14" s="51"/>
      <c r="AS14" s="51"/>
      <c r="AT14" s="2"/>
      <c r="AU14" s="51"/>
      <c r="AV14" s="51"/>
      <c r="AW14" s="51"/>
      <c r="AX14" s="2"/>
      <c r="AY14" s="51"/>
      <c r="AZ14" s="51"/>
      <c r="BA14" s="51"/>
      <c r="BB14" s="2"/>
      <c r="BC14" s="51"/>
      <c r="BD14" s="51"/>
      <c r="BE14" s="51"/>
      <c r="BF14" s="2"/>
      <c r="BG14" s="51"/>
      <c r="BH14" s="51"/>
      <c r="BI14" s="51"/>
      <c r="BJ14" s="2"/>
      <c r="BK14" s="51"/>
      <c r="BL14" s="51"/>
      <c r="BM14" s="51"/>
      <c r="BN14" s="2"/>
      <c r="BO14" s="51"/>
      <c r="BP14" s="51"/>
      <c r="BQ14" s="51"/>
      <c r="BR14" s="2"/>
      <c r="BS14" s="51"/>
      <c r="BT14" s="51"/>
      <c r="BU14" s="51"/>
      <c r="BV14" s="2"/>
      <c r="BW14" s="51"/>
    </row>
    <row r="15" spans="1:75" ht="19" x14ac:dyDescent="0.2">
      <c r="A15" s="51"/>
      <c r="B15" s="51"/>
      <c r="C15" s="51"/>
      <c r="D15" s="51"/>
      <c r="E15" s="51"/>
      <c r="F15" s="2"/>
      <c r="G15" s="51"/>
      <c r="H15" s="51"/>
      <c r="I15" s="51"/>
      <c r="J15" s="54"/>
      <c r="K15" s="51"/>
      <c r="L15" s="51"/>
      <c r="M15" s="51"/>
      <c r="N15" s="2"/>
      <c r="O15" s="2"/>
      <c r="P15" s="2"/>
      <c r="Q15" s="2"/>
      <c r="R15" s="2"/>
      <c r="S15" s="2"/>
      <c r="T15" s="2"/>
      <c r="U15" s="51"/>
      <c r="V15" s="2"/>
      <c r="W15" s="51"/>
      <c r="X15" s="51"/>
      <c r="Y15" s="51"/>
      <c r="Z15" s="2"/>
      <c r="AA15" s="51"/>
      <c r="AB15" s="51"/>
      <c r="AC15" s="51"/>
      <c r="AD15" s="2"/>
      <c r="AE15" s="51"/>
      <c r="AF15" s="51"/>
      <c r="AG15" s="51"/>
      <c r="AH15" s="2"/>
      <c r="AI15" s="51"/>
      <c r="AJ15" s="51"/>
      <c r="AK15" s="51"/>
      <c r="AL15" s="2"/>
      <c r="AM15" s="51"/>
      <c r="AN15" s="51"/>
      <c r="AO15" s="51"/>
      <c r="AP15" s="2"/>
      <c r="AQ15" s="51"/>
      <c r="AR15" s="51"/>
      <c r="AS15" s="51"/>
      <c r="AT15" s="2"/>
      <c r="AU15" s="51"/>
      <c r="AV15" s="51"/>
      <c r="AW15" s="51"/>
      <c r="AX15" s="2"/>
      <c r="AY15" s="51"/>
      <c r="AZ15" s="51"/>
      <c r="BA15" s="51"/>
      <c r="BB15" s="2"/>
      <c r="BC15" s="51"/>
      <c r="BD15" s="51"/>
      <c r="BE15" s="51"/>
      <c r="BF15" s="2"/>
      <c r="BG15" s="51"/>
      <c r="BH15" s="51"/>
      <c r="BI15" s="51"/>
      <c r="BJ15" s="2"/>
      <c r="BK15" s="51"/>
      <c r="BL15" s="51"/>
      <c r="BM15" s="51"/>
      <c r="BN15" s="2"/>
      <c r="BO15" s="51"/>
      <c r="BP15" s="51"/>
      <c r="BQ15" s="51"/>
      <c r="BR15" s="2"/>
      <c r="BS15" s="51"/>
      <c r="BT15" s="51"/>
      <c r="BU15" s="51"/>
      <c r="BV15" s="2"/>
      <c r="BW15" s="51"/>
    </row>
    <row r="16" spans="1:75" ht="19" x14ac:dyDescent="0.2">
      <c r="A16" s="51"/>
      <c r="B16" s="51"/>
      <c r="C16" s="51"/>
      <c r="D16" s="51"/>
      <c r="E16" s="51"/>
      <c r="F16" s="2"/>
      <c r="G16" s="51"/>
      <c r="H16" s="51"/>
      <c r="I16" s="51"/>
      <c r="J16" s="54"/>
      <c r="K16" s="51"/>
      <c r="L16" s="51"/>
      <c r="M16" s="51"/>
      <c r="N16" s="2"/>
      <c r="O16" s="2"/>
      <c r="P16" s="2"/>
      <c r="Q16" s="2"/>
      <c r="R16" s="2"/>
      <c r="S16" s="2"/>
      <c r="T16" s="2"/>
      <c r="U16" s="51"/>
      <c r="V16" s="2"/>
      <c r="W16" s="51"/>
      <c r="X16" s="51"/>
      <c r="Y16" s="51"/>
      <c r="Z16" s="2"/>
      <c r="AA16" s="51"/>
      <c r="AB16" s="51"/>
      <c r="AC16" s="51"/>
      <c r="AD16" s="2"/>
      <c r="AE16" s="51"/>
      <c r="AF16" s="51"/>
      <c r="AG16" s="51"/>
      <c r="AH16" s="2"/>
      <c r="AI16" s="51"/>
      <c r="AJ16" s="51"/>
      <c r="AK16" s="51"/>
      <c r="AL16" s="2"/>
      <c r="AM16" s="51"/>
      <c r="AN16" s="51"/>
      <c r="AO16" s="51"/>
      <c r="AP16" s="2"/>
      <c r="AQ16" s="51"/>
      <c r="AR16" s="51"/>
      <c r="AS16" s="51"/>
      <c r="AT16" s="2"/>
      <c r="AU16" s="51"/>
      <c r="AV16" s="51"/>
      <c r="AW16" s="51"/>
      <c r="AX16" s="2"/>
      <c r="AY16" s="51"/>
      <c r="AZ16" s="51"/>
      <c r="BA16" s="51"/>
      <c r="BB16" s="2"/>
      <c r="BC16" s="51"/>
      <c r="BD16" s="51"/>
      <c r="BE16" s="51"/>
      <c r="BF16" s="2"/>
      <c r="BG16" s="51"/>
      <c r="BH16" s="51"/>
      <c r="BI16" s="51"/>
      <c r="BJ16" s="2"/>
      <c r="BK16" s="51"/>
      <c r="BL16" s="51"/>
      <c r="BM16" s="51"/>
      <c r="BN16" s="2"/>
      <c r="BO16" s="51"/>
      <c r="BP16" s="51"/>
      <c r="BQ16" s="51"/>
      <c r="BR16" s="2"/>
      <c r="BS16" s="51"/>
      <c r="BT16" s="51"/>
      <c r="BU16" s="51"/>
      <c r="BV16" s="2"/>
      <c r="BW16" s="51"/>
    </row>
    <row r="17" spans="1:75" ht="19" x14ac:dyDescent="0.2">
      <c r="A17" s="51"/>
      <c r="B17" s="51"/>
      <c r="C17" s="51"/>
      <c r="D17" s="51"/>
      <c r="E17" s="51"/>
      <c r="F17" s="2"/>
      <c r="G17" s="51"/>
      <c r="H17" s="51"/>
      <c r="I17" s="51"/>
      <c r="J17" s="54"/>
      <c r="K17" s="51"/>
      <c r="L17" s="51"/>
      <c r="M17" s="51"/>
      <c r="N17" s="2"/>
      <c r="O17" s="2"/>
      <c r="P17" s="2"/>
      <c r="Q17" s="2"/>
      <c r="R17" s="2"/>
      <c r="S17" s="2"/>
      <c r="T17" s="2"/>
      <c r="U17" s="51"/>
      <c r="V17" s="2"/>
      <c r="W17" s="51"/>
      <c r="X17" s="51"/>
      <c r="Y17" s="51"/>
      <c r="Z17" s="2"/>
      <c r="AA17" s="51"/>
      <c r="AB17" s="51"/>
      <c r="AC17" s="51"/>
      <c r="AD17" s="2"/>
      <c r="AE17" s="51"/>
      <c r="AF17" s="51"/>
      <c r="AG17" s="51"/>
      <c r="AH17" s="2"/>
      <c r="AI17" s="51"/>
      <c r="AJ17" s="51"/>
      <c r="AK17" s="51"/>
      <c r="AL17" s="2"/>
      <c r="AM17" s="51"/>
      <c r="AN17" s="51"/>
      <c r="AO17" s="51"/>
      <c r="AP17" s="2"/>
      <c r="AQ17" s="51"/>
      <c r="AR17" s="51"/>
      <c r="AS17" s="51"/>
      <c r="AT17" s="2"/>
      <c r="AU17" s="51"/>
      <c r="AV17" s="51"/>
      <c r="AW17" s="51"/>
      <c r="AX17" s="2"/>
      <c r="AY17" s="51"/>
      <c r="AZ17" s="51"/>
      <c r="BA17" s="51"/>
      <c r="BB17" s="2"/>
      <c r="BC17" s="51"/>
      <c r="BD17" s="51"/>
      <c r="BE17" s="51"/>
      <c r="BF17" s="2"/>
      <c r="BG17" s="51"/>
      <c r="BH17" s="51"/>
      <c r="BI17" s="51"/>
      <c r="BJ17" s="2"/>
      <c r="BK17" s="51"/>
      <c r="BL17" s="51"/>
      <c r="BM17" s="51"/>
      <c r="BN17" s="2"/>
      <c r="BO17" s="51"/>
      <c r="BP17" s="51"/>
      <c r="BQ17" s="51"/>
      <c r="BR17" s="2"/>
      <c r="BS17" s="51"/>
      <c r="BT17" s="51"/>
      <c r="BU17" s="51"/>
      <c r="BV17" s="2"/>
      <c r="BW17" s="51"/>
    </row>
    <row r="18" spans="1:75" x14ac:dyDescent="0.2">
      <c r="A18" s="51"/>
      <c r="B18" s="51"/>
      <c r="C18" s="51"/>
      <c r="D18" s="51"/>
      <c r="E18" s="51"/>
      <c r="F18" s="2"/>
      <c r="G18" s="51"/>
      <c r="H18" s="51"/>
      <c r="I18" s="51"/>
      <c r="J18" s="2"/>
      <c r="K18" s="51"/>
      <c r="L18" s="51"/>
      <c r="M18" s="51"/>
      <c r="N18" s="2"/>
      <c r="O18" s="51"/>
      <c r="P18" s="51"/>
      <c r="Q18" s="51"/>
      <c r="R18" s="2"/>
      <c r="S18" s="51"/>
      <c r="T18" s="51"/>
      <c r="U18" s="51"/>
      <c r="V18" s="2"/>
      <c r="W18" s="51"/>
      <c r="X18" s="51"/>
      <c r="Y18" s="51"/>
      <c r="Z18" s="2"/>
      <c r="AA18" s="51"/>
      <c r="AB18" s="51"/>
      <c r="AC18" s="51"/>
      <c r="AD18" s="2"/>
      <c r="AE18" s="51"/>
      <c r="AF18" s="51"/>
      <c r="AG18" s="51"/>
      <c r="AH18" s="2"/>
      <c r="AI18" s="51"/>
      <c r="AJ18" s="51"/>
      <c r="AK18" s="51"/>
      <c r="AL18" s="2"/>
      <c r="AM18" s="51"/>
      <c r="AN18" s="51"/>
      <c r="AO18" s="51"/>
      <c r="AP18" s="2"/>
      <c r="AQ18" s="51"/>
      <c r="AR18" s="51"/>
      <c r="AS18" s="51"/>
      <c r="AT18" s="2"/>
      <c r="AU18" s="51"/>
      <c r="AV18" s="51"/>
      <c r="AW18" s="51"/>
      <c r="AX18" s="2"/>
      <c r="AY18" s="51"/>
      <c r="AZ18" s="51"/>
      <c r="BA18" s="51"/>
      <c r="BB18" s="2"/>
      <c r="BC18" s="51"/>
      <c r="BD18" s="51"/>
      <c r="BE18" s="51"/>
      <c r="BF18" s="2"/>
      <c r="BG18" s="51"/>
      <c r="BH18" s="51"/>
      <c r="BI18" s="51"/>
      <c r="BJ18" s="2"/>
      <c r="BK18" s="51"/>
      <c r="BL18" s="51"/>
      <c r="BM18" s="51"/>
      <c r="BN18" s="2"/>
      <c r="BO18" s="51"/>
      <c r="BP18" s="51"/>
      <c r="BQ18" s="51"/>
      <c r="BR18" s="2"/>
      <c r="BS18" s="51"/>
      <c r="BT18" s="51"/>
      <c r="BU18" s="51"/>
      <c r="BV18" s="2"/>
      <c r="BW18" s="51"/>
    </row>
    <row r="19" spans="1:75" x14ac:dyDescent="0.2">
      <c r="A19" s="51"/>
      <c r="B19" s="51"/>
      <c r="C19" s="51"/>
      <c r="D19" s="51"/>
      <c r="E19" s="51"/>
      <c r="F19" s="2"/>
      <c r="G19" s="51"/>
      <c r="H19" s="51"/>
      <c r="I19" s="51"/>
      <c r="J19" s="2"/>
      <c r="K19" s="51"/>
      <c r="L19" s="51"/>
      <c r="M19" s="51"/>
      <c r="N19" s="2"/>
      <c r="O19" s="51"/>
      <c r="P19" s="51"/>
      <c r="Q19" s="51"/>
      <c r="R19" s="2"/>
      <c r="S19" s="51"/>
      <c r="T19" s="51"/>
      <c r="U19" s="51"/>
      <c r="V19" s="2"/>
      <c r="W19" s="51"/>
      <c r="X19" s="51"/>
      <c r="Y19" s="51"/>
      <c r="Z19" s="2"/>
      <c r="AA19" s="51"/>
      <c r="AB19" s="51"/>
      <c r="AC19" s="51"/>
      <c r="AD19" s="2"/>
      <c r="AE19" s="51"/>
      <c r="AF19" s="51"/>
      <c r="AG19" s="51"/>
      <c r="AH19" s="2"/>
      <c r="AI19" s="51"/>
      <c r="AJ19" s="51"/>
      <c r="AK19" s="51"/>
      <c r="AL19" s="2"/>
      <c r="AM19" s="51"/>
      <c r="AN19" s="51"/>
      <c r="AO19" s="51"/>
      <c r="AP19" s="2"/>
      <c r="AQ19" s="51"/>
      <c r="AR19" s="51"/>
      <c r="AS19" s="51"/>
      <c r="AT19" s="2"/>
      <c r="AU19" s="51"/>
      <c r="AV19" s="51"/>
      <c r="AW19" s="51"/>
      <c r="AX19" s="2"/>
      <c r="AY19" s="51"/>
      <c r="AZ19" s="51"/>
      <c r="BA19" s="51"/>
      <c r="BB19" s="2"/>
      <c r="BC19" s="51"/>
      <c r="BD19" s="51"/>
      <c r="BE19" s="51"/>
      <c r="BF19" s="2"/>
      <c r="BG19" s="51"/>
      <c r="BH19" s="51"/>
      <c r="BI19" s="51"/>
      <c r="BJ19" s="2"/>
      <c r="BK19" s="51"/>
      <c r="BL19" s="51"/>
      <c r="BM19" s="51"/>
      <c r="BN19" s="2"/>
      <c r="BO19" s="51"/>
      <c r="BP19" s="51"/>
      <c r="BQ19" s="51"/>
      <c r="BR19" s="2"/>
      <c r="BS19" s="51"/>
      <c r="BT19" s="51"/>
      <c r="BU19" s="51"/>
      <c r="BV19" s="2"/>
      <c r="BW19" s="51"/>
    </row>
    <row r="20" spans="1:75" x14ac:dyDescent="0.2">
      <c r="A20" s="51"/>
      <c r="B20" s="51"/>
      <c r="C20" s="51"/>
      <c r="D20" s="51"/>
      <c r="E20" s="51"/>
      <c r="F20" s="2"/>
      <c r="G20" s="51"/>
      <c r="H20" s="51"/>
      <c r="I20" s="51"/>
      <c r="J20" s="2"/>
      <c r="K20" s="51"/>
      <c r="L20" s="51"/>
      <c r="M20" s="51"/>
      <c r="N20" s="2"/>
      <c r="O20" s="51"/>
      <c r="P20" s="51"/>
      <c r="Q20" s="51"/>
      <c r="R20" s="2"/>
      <c r="S20" s="51"/>
      <c r="T20" s="51"/>
      <c r="U20" s="51"/>
      <c r="V20" s="2"/>
      <c r="W20" s="51"/>
      <c r="X20" s="51"/>
      <c r="Y20" s="51"/>
      <c r="Z20" s="2"/>
      <c r="AA20" s="51"/>
      <c r="AB20" s="51"/>
      <c r="AC20" s="51"/>
      <c r="AD20" s="2"/>
      <c r="AE20" s="51"/>
      <c r="AF20" s="51"/>
      <c r="AG20" s="51"/>
      <c r="AH20" s="2"/>
      <c r="AI20" s="51"/>
      <c r="AJ20" s="51"/>
      <c r="AK20" s="51"/>
      <c r="AL20" s="2"/>
      <c r="AM20" s="51"/>
      <c r="AN20" s="51"/>
      <c r="AO20" s="51"/>
      <c r="AP20" s="2"/>
      <c r="AQ20" s="51"/>
      <c r="AR20" s="51"/>
      <c r="AS20" s="51"/>
      <c r="AT20" s="2"/>
      <c r="AU20" s="51"/>
      <c r="AV20" s="51"/>
      <c r="AW20" s="51"/>
      <c r="AX20" s="2"/>
      <c r="AY20" s="51"/>
      <c r="AZ20" s="51"/>
      <c r="BA20" s="51"/>
      <c r="BB20" s="2"/>
      <c r="BC20" s="51"/>
      <c r="BD20" s="51"/>
      <c r="BE20" s="51"/>
      <c r="BF20" s="2"/>
      <c r="BG20" s="51"/>
      <c r="BH20" s="51"/>
      <c r="BI20" s="51"/>
      <c r="BJ20" s="2"/>
      <c r="BK20" s="51"/>
      <c r="BL20" s="51"/>
      <c r="BM20" s="51"/>
      <c r="BN20" s="2"/>
      <c r="BO20" s="51"/>
      <c r="BP20" s="51"/>
      <c r="BQ20" s="51"/>
      <c r="BR20" s="2"/>
      <c r="BS20" s="51"/>
      <c r="BT20" s="51"/>
      <c r="BU20" s="51"/>
      <c r="BV20" s="2"/>
      <c r="BW20" s="51"/>
    </row>
    <row r="21" spans="1:75" x14ac:dyDescent="0.2">
      <c r="A21" s="51"/>
      <c r="B21" s="51"/>
      <c r="C21" s="51"/>
      <c r="D21" s="51"/>
      <c r="E21" s="51"/>
      <c r="F21" s="2"/>
      <c r="G21" s="51"/>
      <c r="H21" s="51"/>
      <c r="I21" s="51"/>
      <c r="J21" s="2"/>
      <c r="K21" s="51"/>
      <c r="L21" s="51"/>
      <c r="M21" s="51"/>
      <c r="N21" s="2"/>
      <c r="O21" s="51"/>
      <c r="P21" s="51"/>
      <c r="Q21" s="51"/>
      <c r="R21" s="2"/>
      <c r="S21" s="51"/>
      <c r="T21" s="51"/>
      <c r="U21" s="51"/>
      <c r="V21" s="2"/>
      <c r="W21" s="51"/>
      <c r="X21" s="51"/>
      <c r="Y21" s="51"/>
      <c r="Z21" s="2"/>
      <c r="AA21" s="51"/>
      <c r="AB21" s="51"/>
      <c r="AC21" s="51"/>
      <c r="AD21" s="2"/>
      <c r="AE21" s="51"/>
      <c r="AF21" s="51"/>
      <c r="AG21" s="51"/>
      <c r="AH21" s="2"/>
      <c r="AI21" s="51"/>
      <c r="AJ21" s="51"/>
      <c r="AK21" s="51"/>
      <c r="AL21" s="2"/>
      <c r="AM21" s="51"/>
      <c r="AN21" s="51"/>
      <c r="AO21" s="51"/>
      <c r="AP21" s="2"/>
      <c r="AQ21" s="51"/>
      <c r="AR21" s="51"/>
      <c r="AS21" s="51"/>
      <c r="AT21" s="2"/>
      <c r="AU21" s="51"/>
      <c r="AV21" s="51"/>
      <c r="AW21" s="51"/>
      <c r="AX21" s="2"/>
      <c r="AY21" s="51"/>
      <c r="AZ21" s="51"/>
      <c r="BA21" s="51"/>
      <c r="BB21" s="2"/>
      <c r="BC21" s="51"/>
      <c r="BD21" s="51"/>
      <c r="BE21" s="51"/>
      <c r="BF21" s="2"/>
      <c r="BG21" s="51"/>
      <c r="BH21" s="51"/>
      <c r="BI21" s="51"/>
      <c r="BJ21" s="2"/>
      <c r="BK21" s="51"/>
      <c r="BL21" s="51"/>
      <c r="BM21" s="51"/>
      <c r="BN21" s="2"/>
      <c r="BO21" s="51"/>
      <c r="BP21" s="51"/>
      <c r="BQ21" s="51"/>
      <c r="BR21" s="2"/>
      <c r="BS21" s="51"/>
      <c r="BT21" s="51"/>
      <c r="BU21" s="51"/>
      <c r="BV21" s="2"/>
      <c r="BW21" s="51"/>
    </row>
    <row r="22" spans="1:75" x14ac:dyDescent="0.2">
      <c r="A22" s="51"/>
      <c r="B22" s="51"/>
      <c r="C22" s="51"/>
      <c r="D22" s="51"/>
      <c r="E22" s="51"/>
      <c r="F22" s="2"/>
      <c r="G22" s="51"/>
      <c r="H22" s="51"/>
      <c r="I22" s="51"/>
      <c r="J22" s="2"/>
      <c r="K22" s="51"/>
      <c r="L22" s="51"/>
      <c r="M22" s="51"/>
      <c r="N22" s="2"/>
      <c r="O22" s="51"/>
      <c r="P22" s="51"/>
      <c r="Q22" s="51"/>
      <c r="R22" s="2"/>
      <c r="S22" s="51"/>
      <c r="T22" s="51"/>
      <c r="U22" s="51"/>
      <c r="V22" s="2"/>
      <c r="W22" s="51"/>
      <c r="X22" s="51"/>
      <c r="Y22" s="51"/>
      <c r="Z22" s="2"/>
      <c r="AA22" s="51"/>
      <c r="AB22" s="51"/>
      <c r="AC22" s="51"/>
      <c r="AD22" s="2"/>
      <c r="AE22" s="51"/>
      <c r="AF22" s="51"/>
      <c r="AG22" s="51"/>
      <c r="AH22" s="2"/>
      <c r="AI22" s="51"/>
      <c r="AJ22" s="51"/>
      <c r="AK22" s="51"/>
      <c r="AL22" s="2"/>
      <c r="AM22" s="51"/>
      <c r="AN22" s="51"/>
      <c r="AO22" s="51"/>
      <c r="AP22" s="2"/>
      <c r="AQ22" s="51"/>
      <c r="AR22" s="51"/>
      <c r="AS22" s="51"/>
      <c r="AT22" s="2"/>
      <c r="AU22" s="51"/>
      <c r="AV22" s="51"/>
      <c r="AW22" s="51"/>
      <c r="AX22" s="2"/>
      <c r="AY22" s="51"/>
      <c r="AZ22" s="51"/>
      <c r="BA22" s="51"/>
      <c r="BB22" s="2"/>
      <c r="BC22" s="51"/>
      <c r="BD22" s="51"/>
      <c r="BE22" s="51"/>
      <c r="BF22" s="2"/>
      <c r="BG22" s="51"/>
      <c r="BH22" s="51"/>
      <c r="BI22" s="51"/>
      <c r="BJ22" s="2"/>
      <c r="BK22" s="51"/>
      <c r="BL22" s="51"/>
      <c r="BM22" s="51"/>
      <c r="BN22" s="2"/>
      <c r="BO22" s="51"/>
      <c r="BP22" s="51"/>
      <c r="BQ22" s="51"/>
      <c r="BR22" s="2"/>
      <c r="BS22" s="51"/>
      <c r="BT22" s="51"/>
      <c r="BU22" s="51"/>
      <c r="BV22" s="2"/>
      <c r="BW22" s="51"/>
    </row>
    <row r="23" spans="1:75" x14ac:dyDescent="0.2">
      <c r="A23" s="51"/>
      <c r="B23" s="51"/>
      <c r="C23" s="51"/>
      <c r="D23" s="51"/>
      <c r="E23" s="51"/>
      <c r="F23" s="2"/>
      <c r="G23" s="51"/>
      <c r="H23" s="51"/>
      <c r="I23" s="51"/>
      <c r="J23" s="2"/>
      <c r="K23" s="51"/>
      <c r="L23" s="51"/>
      <c r="M23" s="51"/>
      <c r="N23" s="2"/>
      <c r="O23" s="51"/>
      <c r="P23" s="51"/>
      <c r="Q23" s="51"/>
      <c r="R23" s="2"/>
      <c r="S23" s="51"/>
      <c r="T23" s="51"/>
      <c r="U23" s="51"/>
      <c r="V23" s="2"/>
      <c r="W23" s="51"/>
      <c r="X23" s="51"/>
      <c r="Y23" s="51"/>
      <c r="Z23" s="2"/>
      <c r="AA23" s="51"/>
      <c r="AB23" s="51"/>
      <c r="AC23" s="51"/>
      <c r="AD23" s="2"/>
      <c r="AE23" s="51"/>
      <c r="AF23" s="51"/>
      <c r="AG23" s="51"/>
      <c r="AH23" s="2"/>
      <c r="AI23" s="51"/>
      <c r="AJ23" s="51"/>
      <c r="AK23" s="51"/>
      <c r="AL23" s="2"/>
      <c r="AM23" s="51"/>
      <c r="AN23" s="51"/>
      <c r="AO23" s="51"/>
      <c r="AP23" s="2"/>
      <c r="AQ23" s="51"/>
      <c r="AR23" s="51"/>
      <c r="AS23" s="51"/>
      <c r="AT23" s="2"/>
      <c r="AU23" s="51"/>
      <c r="AV23" s="51"/>
      <c r="AW23" s="51"/>
      <c r="AX23" s="2"/>
      <c r="AY23" s="51"/>
      <c r="AZ23" s="51"/>
      <c r="BA23" s="51"/>
      <c r="BB23" s="2"/>
      <c r="BC23" s="51"/>
      <c r="BD23" s="51"/>
      <c r="BE23" s="51"/>
      <c r="BF23" s="2"/>
      <c r="BG23" s="51"/>
      <c r="BH23" s="51"/>
      <c r="BI23" s="51"/>
      <c r="BJ23" s="2"/>
      <c r="BK23" s="51"/>
      <c r="BL23" s="51"/>
      <c r="BM23" s="51"/>
      <c r="BN23" s="2"/>
      <c r="BO23" s="51"/>
      <c r="BP23" s="51"/>
      <c r="BQ23" s="51"/>
      <c r="BR23" s="2"/>
      <c r="BS23" s="51"/>
      <c r="BT23" s="51"/>
      <c r="BU23" s="51"/>
      <c r="BV23" s="2"/>
      <c r="BW23" s="51"/>
    </row>
    <row r="24" spans="1:75" x14ac:dyDescent="0.2">
      <c r="A24" s="51"/>
      <c r="B24" s="51"/>
      <c r="C24" s="51"/>
      <c r="D24" s="51"/>
      <c r="E24" s="51"/>
      <c r="F24" s="2"/>
      <c r="G24" s="51"/>
      <c r="H24" s="51"/>
      <c r="I24" s="51"/>
      <c r="J24" s="2"/>
      <c r="K24" s="51"/>
      <c r="L24" s="51"/>
      <c r="M24" s="51"/>
      <c r="N24" s="2"/>
      <c r="O24" s="51"/>
      <c r="P24" s="51"/>
      <c r="Q24" s="51"/>
      <c r="R24" s="2"/>
      <c r="S24" s="51"/>
      <c r="T24" s="51"/>
      <c r="U24" s="51"/>
      <c r="V24" s="2"/>
      <c r="W24" s="51"/>
      <c r="X24" s="51"/>
      <c r="Y24" s="51"/>
      <c r="Z24" s="2"/>
      <c r="AA24" s="51"/>
      <c r="AB24" s="51"/>
      <c r="AC24" s="51"/>
      <c r="AD24" s="2"/>
      <c r="AE24" s="51"/>
      <c r="AF24" s="51"/>
      <c r="AG24" s="51"/>
      <c r="AH24" s="2"/>
      <c r="AI24" s="51"/>
      <c r="AJ24" s="51"/>
      <c r="AK24" s="51"/>
      <c r="AL24" s="2"/>
      <c r="AM24" s="51"/>
      <c r="AN24" s="51"/>
      <c r="AO24" s="51"/>
      <c r="AP24" s="2"/>
      <c r="AQ24" s="51"/>
      <c r="AR24" s="51"/>
      <c r="AS24" s="51"/>
      <c r="AT24" s="2"/>
      <c r="AU24" s="51"/>
      <c r="AV24" s="51"/>
      <c r="AW24" s="51"/>
      <c r="AX24" s="2"/>
      <c r="AY24" s="51"/>
      <c r="AZ24" s="51"/>
      <c r="BA24" s="51"/>
      <c r="BB24" s="2"/>
      <c r="BC24" s="51"/>
      <c r="BD24" s="51"/>
      <c r="BE24" s="51"/>
      <c r="BF24" s="2"/>
      <c r="BG24" s="51"/>
      <c r="BH24" s="51"/>
      <c r="BI24" s="51"/>
      <c r="BJ24" s="2"/>
      <c r="BK24" s="51"/>
      <c r="BL24" s="51"/>
      <c r="BM24" s="51"/>
      <c r="BN24" s="2"/>
      <c r="BO24" s="51"/>
      <c r="BP24" s="51"/>
      <c r="BQ24" s="51"/>
      <c r="BR24" s="2"/>
      <c r="BS24" s="51"/>
      <c r="BT24" s="51"/>
      <c r="BU24" s="51"/>
      <c r="BV24" s="2"/>
      <c r="BW24" s="51"/>
    </row>
    <row r="25" spans="1:75" x14ac:dyDescent="0.2">
      <c r="A25" s="51"/>
      <c r="B25" s="51"/>
      <c r="C25" s="51"/>
      <c r="D25" s="51"/>
      <c r="E25" s="51"/>
      <c r="F25" s="2"/>
      <c r="G25" s="51"/>
      <c r="H25" s="51"/>
      <c r="I25" s="51"/>
      <c r="J25" s="2"/>
      <c r="K25" s="51"/>
      <c r="L25" s="51"/>
      <c r="M25" s="51"/>
      <c r="N25" s="2"/>
      <c r="O25" s="51"/>
      <c r="P25" s="51"/>
      <c r="Q25" s="51"/>
      <c r="R25" s="2"/>
      <c r="S25" s="51"/>
      <c r="T25" s="51"/>
      <c r="U25" s="51"/>
      <c r="V25" s="2"/>
      <c r="W25" s="51"/>
      <c r="X25" s="51"/>
      <c r="Y25" s="51"/>
      <c r="Z25" s="2"/>
      <c r="AA25" s="51"/>
      <c r="AB25" s="51"/>
      <c r="AC25" s="51"/>
      <c r="AD25" s="2"/>
      <c r="AE25" s="51"/>
      <c r="AF25" s="51"/>
      <c r="AG25" s="51"/>
      <c r="AH25" s="2"/>
      <c r="AI25" s="51"/>
      <c r="AJ25" s="51"/>
      <c r="AK25" s="51"/>
      <c r="AL25" s="2"/>
      <c r="AM25" s="51"/>
      <c r="AN25" s="51"/>
      <c r="AO25" s="51"/>
      <c r="AP25" s="2"/>
      <c r="AQ25" s="51"/>
      <c r="AR25" s="51"/>
      <c r="AS25" s="51"/>
      <c r="AT25" s="2"/>
      <c r="AU25" s="51"/>
      <c r="AV25" s="51"/>
      <c r="AW25" s="51"/>
      <c r="AX25" s="2"/>
      <c r="AY25" s="51"/>
      <c r="AZ25" s="51"/>
      <c r="BA25" s="51"/>
      <c r="BB25" s="2"/>
      <c r="BC25" s="51"/>
      <c r="BD25" s="51"/>
      <c r="BE25" s="51"/>
      <c r="BF25" s="2"/>
      <c r="BG25" s="51"/>
      <c r="BH25" s="51"/>
      <c r="BI25" s="51"/>
      <c r="BJ25" s="2"/>
      <c r="BK25" s="51"/>
      <c r="BL25" s="51"/>
      <c r="BM25" s="51"/>
      <c r="BN25" s="2"/>
      <c r="BO25" s="51"/>
      <c r="BP25" s="51"/>
      <c r="BQ25" s="51"/>
      <c r="BR25" s="2"/>
      <c r="BS25" s="51"/>
      <c r="BT25" s="51"/>
      <c r="BU25" s="51"/>
      <c r="BV25" s="2"/>
      <c r="BW25" s="51"/>
    </row>
    <row r="26" spans="1:75" x14ac:dyDescent="0.2">
      <c r="A26" s="51"/>
      <c r="B26" s="51"/>
      <c r="C26" s="51"/>
      <c r="D26" s="51"/>
      <c r="E26" s="51"/>
      <c r="F26" s="2"/>
      <c r="G26" s="51"/>
      <c r="H26" s="51"/>
      <c r="I26" s="51"/>
      <c r="J26" s="2"/>
      <c r="K26" s="51"/>
      <c r="L26" s="51"/>
      <c r="M26" s="51"/>
      <c r="N26" s="2"/>
      <c r="O26" s="51"/>
      <c r="P26" s="51"/>
      <c r="Q26" s="51"/>
      <c r="R26" s="2"/>
      <c r="S26" s="51"/>
      <c r="T26" s="51"/>
      <c r="U26" s="51"/>
      <c r="V26" s="2"/>
      <c r="W26" s="51"/>
      <c r="X26" s="51"/>
      <c r="Y26" s="51"/>
      <c r="Z26" s="2"/>
      <c r="AA26" s="51"/>
      <c r="AB26" s="51"/>
      <c r="AC26" s="51"/>
      <c r="AD26" s="2"/>
      <c r="AE26" s="51"/>
      <c r="AF26" s="51"/>
      <c r="AG26" s="51"/>
      <c r="AH26" s="2"/>
      <c r="AI26" s="51"/>
      <c r="AJ26" s="51"/>
      <c r="AK26" s="51"/>
      <c r="AL26" s="2"/>
      <c r="AM26" s="51"/>
      <c r="AN26" s="51"/>
      <c r="AO26" s="51"/>
      <c r="AP26" s="2"/>
      <c r="AQ26" s="51"/>
      <c r="AR26" s="51"/>
      <c r="AS26" s="51"/>
      <c r="AT26" s="2"/>
      <c r="AU26" s="51"/>
      <c r="AV26" s="51"/>
      <c r="AW26" s="51"/>
      <c r="AX26" s="2"/>
      <c r="AY26" s="51"/>
      <c r="AZ26" s="51"/>
      <c r="BA26" s="51"/>
      <c r="BB26" s="2"/>
      <c r="BC26" s="51"/>
      <c r="BD26" s="51"/>
      <c r="BE26" s="51"/>
      <c r="BF26" s="2"/>
      <c r="BG26" s="51"/>
      <c r="BH26" s="51"/>
      <c r="BI26" s="51"/>
      <c r="BJ26" s="2"/>
      <c r="BK26" s="51"/>
      <c r="BL26" s="51"/>
      <c r="BM26" s="51"/>
      <c r="BN26" s="2"/>
      <c r="BO26" s="51"/>
      <c r="BP26" s="51"/>
      <c r="BQ26" s="51"/>
      <c r="BR26" s="2"/>
      <c r="BS26" s="51"/>
      <c r="BT26" s="51"/>
      <c r="BU26" s="51"/>
      <c r="BV26" s="2"/>
      <c r="BW26" s="51"/>
    </row>
    <row r="27" spans="1:75" x14ac:dyDescent="0.2">
      <c r="A27" s="51"/>
      <c r="B27" s="51"/>
      <c r="C27" s="51"/>
      <c r="D27" s="51"/>
      <c r="E27" s="51"/>
      <c r="F27" s="2"/>
      <c r="G27" s="51"/>
      <c r="H27" s="51"/>
      <c r="I27" s="51"/>
      <c r="J27" s="2"/>
      <c r="K27" s="51"/>
      <c r="L27" s="51"/>
      <c r="M27" s="51"/>
      <c r="N27" s="2"/>
      <c r="O27" s="51"/>
      <c r="P27" s="51"/>
      <c r="Q27" s="51"/>
      <c r="R27" s="2"/>
      <c r="S27" s="51"/>
      <c r="T27" s="51"/>
      <c r="U27" s="51"/>
      <c r="V27" s="2"/>
      <c r="W27" s="51"/>
      <c r="X27" s="51"/>
      <c r="Y27" s="51"/>
      <c r="Z27" s="2"/>
      <c r="AA27" s="51"/>
      <c r="AB27" s="51"/>
      <c r="AC27" s="51"/>
      <c r="AD27" s="2"/>
      <c r="AE27" s="51"/>
      <c r="AF27" s="51"/>
      <c r="AG27" s="51"/>
      <c r="AH27" s="2"/>
      <c r="AI27" s="51"/>
      <c r="AJ27" s="51"/>
      <c r="AK27" s="51"/>
      <c r="AL27" s="2"/>
      <c r="AM27" s="51"/>
      <c r="AN27" s="51"/>
      <c r="AO27" s="51"/>
      <c r="AP27" s="2"/>
      <c r="AQ27" s="51"/>
      <c r="AR27" s="51"/>
      <c r="AS27" s="51"/>
      <c r="AT27" s="2"/>
      <c r="AU27" s="51"/>
      <c r="AV27" s="51"/>
      <c r="AW27" s="51"/>
      <c r="AX27" s="2"/>
      <c r="AY27" s="51"/>
      <c r="AZ27" s="51"/>
      <c r="BA27" s="51"/>
      <c r="BB27" s="2"/>
      <c r="BC27" s="51"/>
      <c r="BD27" s="51"/>
      <c r="BE27" s="51"/>
      <c r="BF27" s="2"/>
      <c r="BG27" s="51"/>
      <c r="BH27" s="51"/>
      <c r="BI27" s="51"/>
      <c r="BJ27" s="2"/>
      <c r="BK27" s="51"/>
      <c r="BL27" s="51"/>
      <c r="BM27" s="51"/>
      <c r="BN27" s="2"/>
      <c r="BO27" s="51"/>
      <c r="BP27" s="51"/>
      <c r="BQ27" s="51"/>
      <c r="BR27" s="2"/>
      <c r="BS27" s="51"/>
      <c r="BT27" s="51"/>
      <c r="BU27" s="51"/>
      <c r="BV27" s="2"/>
      <c r="BW27" s="51"/>
    </row>
    <row r="28" spans="1:75" x14ac:dyDescent="0.2">
      <c r="A28" s="51"/>
      <c r="B28" s="51"/>
      <c r="C28" s="51"/>
      <c r="D28" s="51"/>
      <c r="E28" s="51"/>
      <c r="F28" s="2"/>
      <c r="G28" s="51"/>
      <c r="H28" s="51"/>
      <c r="I28" s="51"/>
      <c r="J28" s="2"/>
      <c r="K28" s="51"/>
      <c r="L28" s="51"/>
      <c r="M28" s="51"/>
      <c r="N28" s="2"/>
      <c r="O28" s="51"/>
      <c r="P28" s="51"/>
      <c r="Q28" s="51"/>
      <c r="R28" s="2"/>
      <c r="S28" s="51"/>
      <c r="T28" s="51"/>
      <c r="U28" s="51"/>
      <c r="V28" s="2"/>
      <c r="W28" s="51"/>
      <c r="X28" s="51"/>
      <c r="Y28" s="51"/>
      <c r="Z28" s="2"/>
      <c r="AA28" s="51"/>
      <c r="AB28" s="51"/>
      <c r="AC28" s="51"/>
      <c r="AD28" s="2"/>
      <c r="AE28" s="51"/>
      <c r="AF28" s="51"/>
      <c r="AG28" s="51"/>
      <c r="AH28" s="2"/>
      <c r="AI28" s="51"/>
      <c r="AJ28" s="51"/>
      <c r="AK28" s="51"/>
      <c r="AL28" s="2"/>
      <c r="AM28" s="51"/>
      <c r="AN28" s="51"/>
      <c r="AO28" s="51"/>
      <c r="AP28" s="2"/>
      <c r="AQ28" s="51"/>
      <c r="AR28" s="51"/>
      <c r="AS28" s="51"/>
      <c r="AT28" s="2"/>
      <c r="AU28" s="51"/>
      <c r="AV28" s="51"/>
      <c r="AW28" s="51"/>
      <c r="AX28" s="2"/>
      <c r="AY28" s="51"/>
      <c r="AZ28" s="51"/>
      <c r="BA28" s="51"/>
      <c r="BB28" s="2"/>
      <c r="BC28" s="51"/>
      <c r="BD28" s="51"/>
      <c r="BE28" s="51"/>
      <c r="BF28" s="2"/>
      <c r="BG28" s="51"/>
      <c r="BH28" s="51"/>
      <c r="BI28" s="51"/>
      <c r="BJ28" s="2"/>
      <c r="BK28" s="51"/>
      <c r="BL28" s="51"/>
      <c r="BM28" s="51"/>
      <c r="BN28" s="2"/>
      <c r="BO28" s="51"/>
      <c r="BP28" s="51"/>
      <c r="BQ28" s="51"/>
      <c r="BR28" s="2"/>
      <c r="BS28" s="51"/>
      <c r="BT28" s="51"/>
      <c r="BU28" s="51"/>
      <c r="BV28" s="2"/>
      <c r="BW28" s="51"/>
    </row>
    <row r="29" spans="1:75" x14ac:dyDescent="0.2">
      <c r="A29" s="51"/>
      <c r="B29" s="51"/>
      <c r="C29" s="51"/>
      <c r="D29" s="51"/>
      <c r="E29" s="51"/>
      <c r="F29" s="2"/>
      <c r="G29" s="51"/>
      <c r="H29" s="51"/>
      <c r="I29" s="51"/>
      <c r="J29" s="2"/>
      <c r="K29" s="51"/>
      <c r="L29" s="51"/>
      <c r="M29" s="51"/>
      <c r="N29" s="2"/>
      <c r="O29" s="51"/>
      <c r="P29" s="51"/>
      <c r="Q29" s="51"/>
      <c r="R29" s="2"/>
      <c r="S29" s="51"/>
      <c r="T29" s="51"/>
      <c r="U29" s="51"/>
      <c r="V29" s="2"/>
      <c r="W29" s="51"/>
      <c r="X29" s="51"/>
      <c r="Y29" s="51"/>
      <c r="Z29" s="2"/>
      <c r="AA29" s="51"/>
      <c r="AB29" s="51"/>
      <c r="AC29" s="51"/>
      <c r="AD29" s="2"/>
      <c r="AE29" s="51"/>
      <c r="AF29" s="51"/>
      <c r="AG29" s="51"/>
      <c r="AH29" s="2"/>
      <c r="AI29" s="51"/>
      <c r="AJ29" s="51"/>
      <c r="AK29" s="51"/>
      <c r="AL29" s="2"/>
      <c r="AM29" s="51"/>
      <c r="AN29" s="51"/>
      <c r="AO29" s="51"/>
      <c r="AP29" s="2"/>
      <c r="AQ29" s="51"/>
      <c r="AR29" s="51"/>
      <c r="AS29" s="51"/>
      <c r="AT29" s="2"/>
      <c r="AU29" s="51"/>
      <c r="AV29" s="51"/>
      <c r="AW29" s="51"/>
      <c r="AX29" s="2"/>
      <c r="AY29" s="51"/>
      <c r="AZ29" s="51"/>
      <c r="BA29" s="51"/>
      <c r="BB29" s="2"/>
      <c r="BC29" s="51"/>
      <c r="BD29" s="51"/>
      <c r="BE29" s="51"/>
      <c r="BF29" s="2"/>
      <c r="BG29" s="51"/>
      <c r="BH29" s="51"/>
      <c r="BI29" s="51"/>
      <c r="BJ29" s="2"/>
      <c r="BK29" s="51"/>
      <c r="BL29" s="51"/>
      <c r="BM29" s="51"/>
      <c r="BN29" s="2"/>
      <c r="BO29" s="51"/>
      <c r="BP29" s="51"/>
      <c r="BQ29" s="51"/>
      <c r="BR29" s="2"/>
      <c r="BS29" s="51"/>
      <c r="BT29" s="51"/>
      <c r="BU29" s="51"/>
      <c r="BV29" s="2"/>
      <c r="BW29" s="51"/>
    </row>
    <row r="30" spans="1:75" x14ac:dyDescent="0.2">
      <c r="A30" s="51"/>
      <c r="B30" s="51"/>
      <c r="C30" s="51"/>
      <c r="D30" s="51"/>
      <c r="E30" s="51"/>
      <c r="F30" s="2"/>
      <c r="G30" s="51"/>
      <c r="H30" s="51"/>
      <c r="I30" s="51"/>
      <c r="J30" s="2"/>
      <c r="K30" s="51"/>
      <c r="L30" s="51"/>
      <c r="M30" s="51"/>
      <c r="N30" s="2"/>
      <c r="O30" s="51"/>
      <c r="P30" s="51"/>
      <c r="Q30" s="51"/>
      <c r="R30" s="2"/>
      <c r="S30" s="51"/>
      <c r="T30" s="51"/>
      <c r="U30" s="51"/>
      <c r="V30" s="2"/>
      <c r="W30" s="51"/>
      <c r="X30" s="51"/>
      <c r="Y30" s="51"/>
      <c r="Z30" s="2"/>
      <c r="AA30" s="51"/>
      <c r="AB30" s="51"/>
      <c r="AC30" s="51"/>
      <c r="AD30" s="2"/>
      <c r="AE30" s="51"/>
      <c r="AF30" s="51"/>
      <c r="AG30" s="51"/>
      <c r="AH30" s="2"/>
      <c r="AI30" s="51"/>
      <c r="AJ30" s="51"/>
      <c r="AK30" s="51"/>
      <c r="AL30" s="2"/>
      <c r="AM30" s="51"/>
      <c r="AN30" s="51"/>
      <c r="AO30" s="51"/>
      <c r="AP30" s="2"/>
      <c r="AQ30" s="51"/>
      <c r="AR30" s="51"/>
      <c r="AS30" s="51"/>
      <c r="AT30" s="2"/>
      <c r="AU30" s="51"/>
      <c r="AV30" s="51"/>
      <c r="AW30" s="51"/>
      <c r="AX30" s="2"/>
      <c r="AY30" s="51"/>
      <c r="AZ30" s="51"/>
      <c r="BA30" s="51"/>
      <c r="BB30" s="2"/>
      <c r="BC30" s="51"/>
      <c r="BD30" s="51"/>
      <c r="BE30" s="51"/>
      <c r="BF30" s="2"/>
      <c r="BG30" s="51"/>
      <c r="BH30" s="51"/>
      <c r="BI30" s="51"/>
      <c r="BJ30" s="2"/>
      <c r="BK30" s="51"/>
      <c r="BL30" s="51"/>
      <c r="BM30" s="51"/>
      <c r="BN30" s="2"/>
      <c r="BO30" s="51"/>
      <c r="BP30" s="51"/>
      <c r="BQ30" s="51"/>
      <c r="BR30" s="2"/>
      <c r="BS30" s="51"/>
      <c r="BT30" s="51"/>
      <c r="BU30" s="51"/>
      <c r="BV30" s="2"/>
      <c r="BW30" s="51"/>
    </row>
    <row r="31" spans="1:75" x14ac:dyDescent="0.2">
      <c r="A31" s="51"/>
      <c r="B31" s="51"/>
      <c r="C31" s="51"/>
      <c r="D31" s="51"/>
      <c r="E31" s="51"/>
      <c r="F31" s="2"/>
      <c r="G31" s="51"/>
      <c r="H31" s="51"/>
      <c r="I31" s="51"/>
      <c r="J31" s="2"/>
      <c r="K31" s="51"/>
      <c r="L31" s="51"/>
      <c r="M31" s="51"/>
      <c r="N31" s="2"/>
      <c r="O31" s="51"/>
      <c r="P31" s="51"/>
      <c r="Q31" s="51"/>
      <c r="R31" s="2"/>
      <c r="S31" s="51"/>
      <c r="T31" s="51"/>
      <c r="U31" s="51"/>
      <c r="V31" s="2"/>
      <c r="W31" s="51"/>
      <c r="X31" s="51"/>
      <c r="Y31" s="51"/>
      <c r="Z31" s="2"/>
      <c r="AA31" s="51"/>
      <c r="AB31" s="51"/>
      <c r="AC31" s="51"/>
      <c r="AD31" s="2"/>
      <c r="AE31" s="51"/>
      <c r="AF31" s="51"/>
      <c r="AG31" s="51"/>
      <c r="AH31" s="2"/>
      <c r="AI31" s="51"/>
      <c r="AJ31" s="51"/>
      <c r="AK31" s="51"/>
      <c r="AL31" s="2"/>
      <c r="AM31" s="51"/>
      <c r="AN31" s="51"/>
      <c r="AO31" s="51"/>
      <c r="AP31" s="2"/>
      <c r="AQ31" s="51"/>
      <c r="AR31" s="51"/>
      <c r="AS31" s="51"/>
      <c r="AT31" s="2"/>
      <c r="AU31" s="51"/>
      <c r="AV31" s="51"/>
      <c r="AW31" s="51"/>
      <c r="AX31" s="2"/>
      <c r="AY31" s="51"/>
      <c r="AZ31" s="51"/>
      <c r="BA31" s="51"/>
      <c r="BB31" s="2"/>
      <c r="BC31" s="51"/>
      <c r="BD31" s="51"/>
      <c r="BE31" s="51"/>
      <c r="BF31" s="2"/>
      <c r="BG31" s="51"/>
      <c r="BH31" s="51"/>
      <c r="BI31" s="51"/>
      <c r="BJ31" s="2"/>
      <c r="BK31" s="51"/>
      <c r="BL31" s="51"/>
      <c r="BM31" s="51"/>
      <c r="BN31" s="2"/>
      <c r="BO31" s="51"/>
      <c r="BP31" s="51"/>
      <c r="BQ31" s="51"/>
      <c r="BR31" s="2"/>
      <c r="BS31" s="51"/>
      <c r="BT31" s="51"/>
      <c r="BU31" s="51"/>
      <c r="BV31" s="2"/>
      <c r="BW31" s="51"/>
    </row>
    <row r="32" spans="1:75" x14ac:dyDescent="0.2">
      <c r="A32" s="51"/>
      <c r="B32" s="51"/>
      <c r="C32" s="51"/>
      <c r="D32" s="51"/>
      <c r="E32" s="51"/>
      <c r="F32" s="2"/>
      <c r="G32" s="51"/>
      <c r="H32" s="51"/>
      <c r="I32" s="51"/>
      <c r="J32" s="2"/>
      <c r="K32" s="51"/>
      <c r="L32" s="51"/>
      <c r="M32" s="51"/>
      <c r="N32" s="2"/>
      <c r="O32" s="51"/>
      <c r="P32" s="51"/>
      <c r="Q32" s="51"/>
      <c r="R32" s="2"/>
      <c r="S32" s="51"/>
      <c r="T32" s="51"/>
      <c r="U32" s="51"/>
      <c r="V32" s="2"/>
      <c r="W32" s="51"/>
      <c r="X32" s="51"/>
      <c r="Y32" s="51"/>
      <c r="Z32" s="2"/>
      <c r="AA32" s="51"/>
      <c r="AB32" s="51"/>
      <c r="AC32" s="51"/>
      <c r="AD32" s="2"/>
      <c r="AE32" s="51"/>
      <c r="AF32" s="51"/>
      <c r="AG32" s="51"/>
      <c r="AH32" s="2"/>
      <c r="AI32" s="51"/>
      <c r="AJ32" s="51"/>
      <c r="AK32" s="51"/>
      <c r="AL32" s="2"/>
      <c r="AM32" s="51"/>
      <c r="AN32" s="51"/>
      <c r="AO32" s="51"/>
      <c r="AP32" s="2"/>
      <c r="AQ32" s="51"/>
      <c r="AR32" s="51"/>
      <c r="AS32" s="51"/>
      <c r="AT32" s="2"/>
      <c r="AU32" s="51"/>
      <c r="AV32" s="51"/>
      <c r="AW32" s="51"/>
      <c r="AX32" s="2"/>
      <c r="AY32" s="51"/>
      <c r="AZ32" s="51"/>
      <c r="BA32" s="51"/>
      <c r="BB32" s="2"/>
      <c r="BC32" s="51"/>
      <c r="BD32" s="51"/>
      <c r="BE32" s="51"/>
      <c r="BF32" s="2"/>
      <c r="BG32" s="51"/>
      <c r="BH32" s="51"/>
      <c r="BI32" s="51"/>
      <c r="BJ32" s="2"/>
      <c r="BK32" s="51"/>
      <c r="BL32" s="51"/>
      <c r="BM32" s="51"/>
      <c r="BN32" s="2"/>
      <c r="BO32" s="51"/>
      <c r="BP32" s="51"/>
      <c r="BQ32" s="51"/>
      <c r="BR32" s="2"/>
      <c r="BS32" s="51"/>
      <c r="BT32" s="51"/>
      <c r="BU32" s="51"/>
      <c r="BV32" s="2"/>
      <c r="BW32" s="51"/>
    </row>
    <row r="33" spans="1:75" x14ac:dyDescent="0.2">
      <c r="A33" s="51"/>
      <c r="B33" s="51"/>
      <c r="C33" s="51"/>
      <c r="D33" s="51"/>
      <c r="E33" s="51"/>
      <c r="F33" s="2"/>
      <c r="G33" s="51"/>
      <c r="H33" s="51"/>
      <c r="I33" s="51"/>
      <c r="J33" s="2"/>
      <c r="K33" s="51"/>
      <c r="L33" s="51"/>
      <c r="M33" s="51"/>
      <c r="N33" s="2"/>
      <c r="O33" s="51"/>
      <c r="P33" s="51"/>
      <c r="Q33" s="362"/>
      <c r="R33" s="2"/>
      <c r="S33" s="51"/>
      <c r="T33" s="51"/>
      <c r="U33" s="51"/>
      <c r="V33" s="2"/>
      <c r="W33" s="51"/>
      <c r="X33" s="51"/>
      <c r="Y33" s="51"/>
      <c r="Z33" s="2"/>
      <c r="AA33" s="51"/>
      <c r="AB33" s="51"/>
      <c r="AC33" s="51"/>
      <c r="AD33" s="2"/>
      <c r="AE33" s="51"/>
      <c r="AF33" s="51"/>
      <c r="AG33" s="51"/>
      <c r="AH33" s="2"/>
      <c r="AI33" s="51"/>
      <c r="AJ33" s="51"/>
      <c r="AK33" s="51"/>
      <c r="AL33" s="2"/>
      <c r="AM33" s="51"/>
      <c r="AN33" s="51"/>
      <c r="AO33" s="51"/>
      <c r="AP33" s="2"/>
      <c r="AQ33" s="51"/>
      <c r="AR33" s="51"/>
      <c r="AS33" s="51"/>
      <c r="AT33" s="2"/>
      <c r="AU33" s="51"/>
      <c r="AV33" s="51"/>
      <c r="AW33" s="51"/>
      <c r="AX33" s="2"/>
      <c r="AY33" s="51"/>
      <c r="AZ33" s="51"/>
      <c r="BA33" s="51"/>
      <c r="BB33" s="2"/>
      <c r="BC33" s="51"/>
      <c r="BD33" s="51"/>
      <c r="BE33" s="51"/>
      <c r="BF33" s="2"/>
      <c r="BG33" s="51"/>
      <c r="BH33" s="51"/>
      <c r="BI33" s="51"/>
      <c r="BJ33" s="2"/>
      <c r="BK33" s="51"/>
      <c r="BL33" s="51"/>
      <c r="BM33" s="51"/>
      <c r="BN33" s="2"/>
      <c r="BO33" s="51"/>
      <c r="BP33" s="51"/>
      <c r="BQ33" s="51"/>
      <c r="BR33" s="2"/>
      <c r="BS33" s="51"/>
      <c r="BT33" s="51"/>
      <c r="BU33" s="51"/>
      <c r="BV33" s="2"/>
      <c r="BW33" s="51"/>
    </row>
    <row r="34" spans="1:75" x14ac:dyDescent="0.2">
      <c r="A34" s="51"/>
      <c r="B34" s="51"/>
      <c r="C34" s="51"/>
      <c r="D34" s="51"/>
      <c r="E34" s="51"/>
      <c r="F34" s="2"/>
      <c r="G34" s="51"/>
      <c r="H34" s="51"/>
      <c r="I34" s="51"/>
      <c r="J34" s="2"/>
      <c r="K34" s="51"/>
      <c r="L34" s="51"/>
      <c r="M34" s="51"/>
      <c r="N34" s="2"/>
      <c r="O34" s="51"/>
      <c r="P34" s="51"/>
      <c r="Q34" s="51"/>
      <c r="R34" s="2"/>
      <c r="S34" s="51"/>
      <c r="T34" s="51"/>
      <c r="U34" s="51"/>
      <c r="V34" s="2"/>
      <c r="W34" s="51"/>
      <c r="X34" s="51"/>
      <c r="Y34" s="51"/>
      <c r="Z34" s="2"/>
      <c r="AA34" s="51"/>
      <c r="AB34" s="51"/>
      <c r="AC34" s="51"/>
      <c r="AD34" s="2"/>
      <c r="AE34" s="51"/>
      <c r="AF34" s="51"/>
      <c r="AG34" s="51"/>
      <c r="AH34" s="2"/>
      <c r="AI34" s="51"/>
      <c r="AJ34" s="51"/>
      <c r="AK34" s="51"/>
      <c r="AL34" s="2"/>
      <c r="AM34" s="51"/>
      <c r="AN34" s="51"/>
      <c r="AO34" s="51"/>
      <c r="AP34" s="2"/>
      <c r="AQ34" s="51"/>
      <c r="AR34" s="51"/>
      <c r="AS34" s="51"/>
      <c r="AT34" s="2"/>
      <c r="AU34" s="51"/>
      <c r="AV34" s="51"/>
      <c r="AW34" s="51"/>
      <c r="AX34" s="2"/>
      <c r="AY34" s="51"/>
      <c r="AZ34" s="51"/>
      <c r="BA34" s="51"/>
      <c r="BB34" s="2"/>
      <c r="BC34" s="51"/>
      <c r="BD34" s="51"/>
      <c r="BE34" s="51"/>
      <c r="BF34" s="2"/>
      <c r="BG34" s="51"/>
      <c r="BH34" s="51"/>
      <c r="BI34" s="51"/>
      <c r="BJ34" s="2"/>
      <c r="BK34" s="51"/>
      <c r="BL34" s="51"/>
      <c r="BM34" s="51"/>
      <c r="BN34" s="2"/>
      <c r="BO34" s="51"/>
      <c r="BP34" s="51"/>
      <c r="BQ34" s="51"/>
      <c r="BR34" s="2"/>
      <c r="BS34" s="51"/>
      <c r="BT34" s="51"/>
      <c r="BU34" s="51"/>
      <c r="BV34" s="2"/>
      <c r="BW34" s="51"/>
    </row>
    <row r="35" spans="1:75" ht="17" thickBot="1" x14ac:dyDescent="0.25">
      <c r="A35" s="51"/>
      <c r="B35" s="51"/>
      <c r="C35" s="43" t="s">
        <v>370</v>
      </c>
      <c r="D35" s="43">
        <v>2014</v>
      </c>
      <c r="E35" s="43">
        <v>2015</v>
      </c>
      <c r="F35" s="43">
        <v>2016</v>
      </c>
      <c r="G35" s="43">
        <v>2017</v>
      </c>
      <c r="H35" s="43">
        <v>2018</v>
      </c>
      <c r="I35" s="43">
        <v>2019</v>
      </c>
      <c r="J35" s="43">
        <v>2020</v>
      </c>
      <c r="K35" s="43">
        <v>2021</v>
      </c>
      <c r="L35" s="43">
        <v>2022</v>
      </c>
      <c r="M35" s="43">
        <v>2023</v>
      </c>
      <c r="N35" s="43">
        <v>2024</v>
      </c>
      <c r="O35" s="43">
        <v>2025</v>
      </c>
      <c r="P35" s="43">
        <v>2026</v>
      </c>
      <c r="Q35" s="43">
        <v>2027</v>
      </c>
      <c r="R35" s="43">
        <v>2028</v>
      </c>
      <c r="S35" s="43">
        <v>2029</v>
      </c>
      <c r="T35" s="43">
        <v>2030</v>
      </c>
      <c r="U35" s="51"/>
      <c r="V35" s="2"/>
      <c r="W35" s="51"/>
      <c r="X35" s="51"/>
      <c r="Y35" s="51"/>
      <c r="Z35" s="2"/>
      <c r="AA35" s="51"/>
      <c r="AB35" s="51"/>
      <c r="AC35" s="51"/>
      <c r="AD35" s="2"/>
      <c r="AE35" s="51"/>
      <c r="AF35" s="51"/>
      <c r="AG35" s="51"/>
      <c r="AH35" s="2"/>
      <c r="AI35" s="51"/>
      <c r="AJ35" s="51"/>
      <c r="AK35" s="51"/>
      <c r="AL35" s="2"/>
      <c r="AM35" s="51"/>
      <c r="AN35" s="51"/>
      <c r="AO35" s="51"/>
      <c r="AP35" s="2"/>
      <c r="AQ35" s="51"/>
      <c r="AR35" s="51"/>
      <c r="AS35" s="51"/>
      <c r="AT35" s="2"/>
      <c r="AU35" s="51"/>
      <c r="AV35" s="51"/>
      <c r="AW35" s="51"/>
      <c r="AX35" s="2"/>
      <c r="AY35" s="51"/>
      <c r="AZ35" s="51"/>
      <c r="BA35" s="51"/>
      <c r="BB35" s="2"/>
      <c r="BC35" s="51"/>
      <c r="BD35" s="51"/>
      <c r="BE35" s="51"/>
      <c r="BF35" s="2"/>
      <c r="BG35" s="51"/>
      <c r="BH35" s="51"/>
      <c r="BI35" s="51"/>
      <c r="BJ35" s="2"/>
      <c r="BK35" s="51"/>
      <c r="BL35" s="51"/>
      <c r="BM35" s="51"/>
      <c r="BN35" s="2"/>
      <c r="BO35" s="51"/>
      <c r="BP35" s="51"/>
      <c r="BQ35" s="51"/>
      <c r="BR35" s="2"/>
      <c r="BS35" s="51"/>
      <c r="BT35" s="51"/>
      <c r="BU35" s="51"/>
      <c r="BV35" s="2"/>
      <c r="BW35" s="51"/>
    </row>
    <row r="36" spans="1:75" ht="17" thickTop="1" x14ac:dyDescent="0.2">
      <c r="A36" s="51"/>
      <c r="B36" s="51"/>
      <c r="C36" s="63" t="s">
        <v>371</v>
      </c>
      <c r="D36" s="64">
        <f t="shared" ref="D36:T36" si="0">D64</f>
        <v>276000</v>
      </c>
      <c r="E36" s="64">
        <f t="shared" si="0"/>
        <v>286500</v>
      </c>
      <c r="F36" s="64">
        <f t="shared" si="0"/>
        <v>327800</v>
      </c>
      <c r="G36" s="64">
        <f t="shared" si="0"/>
        <v>341100</v>
      </c>
      <c r="H36" s="64">
        <f t="shared" si="0"/>
        <v>394400</v>
      </c>
      <c r="I36" s="64">
        <f t="shared" si="0"/>
        <v>445000</v>
      </c>
      <c r="J36" s="64">
        <f t="shared" si="0"/>
        <v>441000</v>
      </c>
      <c r="K36" s="64">
        <f t="shared" si="0"/>
        <v>562000</v>
      </c>
      <c r="L36" s="374">
        <v>600000</v>
      </c>
      <c r="M36" s="64">
        <f t="shared" si="0"/>
        <v>705553.84184610681</v>
      </c>
      <c r="N36" s="64">
        <f t="shared" si="0"/>
        <v>793539.82398009032</v>
      </c>
      <c r="O36" s="64">
        <f t="shared" si="0"/>
        <v>894193.75823069934</v>
      </c>
      <c r="P36" s="64">
        <f t="shared" si="0"/>
        <v>989993.21615244611</v>
      </c>
      <c r="Q36" s="64">
        <f t="shared" si="0"/>
        <v>1088087.3648596415</v>
      </c>
      <c r="R36" s="64">
        <f t="shared" si="0"/>
        <v>1188088.531904157</v>
      </c>
      <c r="S36" s="64">
        <f t="shared" si="0"/>
        <v>1289714.0882704931</v>
      </c>
      <c r="T36" s="64">
        <f t="shared" si="0"/>
        <v>1392745.10759483</v>
      </c>
      <c r="U36" s="51"/>
      <c r="V36" s="2"/>
      <c r="W36" s="51"/>
      <c r="X36" s="51"/>
      <c r="Y36" s="51"/>
      <c r="Z36" s="2"/>
      <c r="AA36" s="51"/>
      <c r="AB36" s="51"/>
      <c r="AC36" s="51"/>
      <c r="AD36" s="2"/>
      <c r="AE36" s="51"/>
      <c r="AF36" s="51"/>
      <c r="AG36" s="51"/>
      <c r="AH36" s="2"/>
      <c r="AI36" s="51"/>
      <c r="AJ36" s="51"/>
      <c r="AK36" s="51"/>
      <c r="AL36" s="2"/>
      <c r="AM36" s="51"/>
      <c r="AN36" s="51"/>
      <c r="AO36" s="51"/>
      <c r="AP36" s="2"/>
      <c r="AQ36" s="51"/>
      <c r="AR36" s="51"/>
      <c r="AS36" s="51"/>
      <c r="AT36" s="2"/>
      <c r="AU36" s="51"/>
      <c r="AV36" s="51"/>
      <c r="AW36" s="51"/>
      <c r="AX36" s="2"/>
      <c r="AY36" s="51"/>
      <c r="AZ36" s="51"/>
      <c r="BA36" s="51"/>
      <c r="BB36" s="2"/>
      <c r="BC36" s="51"/>
      <c r="BD36" s="51"/>
      <c r="BE36" s="51"/>
      <c r="BF36" s="2"/>
      <c r="BG36" s="51"/>
      <c r="BH36" s="51"/>
      <c r="BI36" s="51"/>
      <c r="BJ36" s="2"/>
      <c r="BK36" s="51"/>
      <c r="BL36" s="51"/>
      <c r="BM36" s="51"/>
      <c r="BN36" s="2"/>
      <c r="BO36" s="51"/>
      <c r="BP36" s="51"/>
      <c r="BQ36" s="51"/>
      <c r="BR36" s="2"/>
      <c r="BS36" s="51"/>
      <c r="BT36" s="51"/>
      <c r="BU36" s="51"/>
      <c r="BV36" s="2"/>
      <c r="BW36" s="51"/>
    </row>
    <row r="37" spans="1:75" x14ac:dyDescent="0.2">
      <c r="A37" s="51"/>
      <c r="B37" s="51"/>
      <c r="C37" s="47" t="s">
        <v>372</v>
      </c>
      <c r="D37" s="65">
        <f t="shared" ref="D37:T37" si="1">D113</f>
        <v>0</v>
      </c>
      <c r="E37" s="65">
        <f t="shared" si="1"/>
        <v>0</v>
      </c>
      <c r="F37" s="65">
        <f t="shared" si="1"/>
        <v>0</v>
      </c>
      <c r="G37" s="65">
        <f t="shared" si="1"/>
        <v>0</v>
      </c>
      <c r="H37" s="65">
        <f t="shared" si="1"/>
        <v>0</v>
      </c>
      <c r="I37" s="65">
        <f t="shared" si="1"/>
        <v>0</v>
      </c>
      <c r="J37" s="65">
        <f t="shared" si="1"/>
        <v>0</v>
      </c>
      <c r="K37" s="65">
        <f t="shared" si="1"/>
        <v>0</v>
      </c>
      <c r="L37" s="65">
        <f t="shared" si="1"/>
        <v>0</v>
      </c>
      <c r="M37" s="65">
        <f t="shared" si="1"/>
        <v>0</v>
      </c>
      <c r="N37" s="65">
        <f t="shared" si="1"/>
        <v>1429.2010454747276</v>
      </c>
      <c r="O37" s="65">
        <f t="shared" si="1"/>
        <v>4199.0748370328738</v>
      </c>
      <c r="P37" s="65">
        <f t="shared" si="1"/>
        <v>8452.203411013299</v>
      </c>
      <c r="Q37" s="65">
        <f t="shared" si="1"/>
        <v>14917.318590783858</v>
      </c>
      <c r="R37" s="65">
        <f t="shared" si="1"/>
        <v>24631.47468746706</v>
      </c>
      <c r="S37" s="65">
        <f t="shared" si="1"/>
        <v>38888.244543145745</v>
      </c>
      <c r="T37" s="65">
        <f t="shared" si="1"/>
        <v>59172.825459048203</v>
      </c>
      <c r="U37" s="51"/>
      <c r="V37" s="2"/>
      <c r="W37" s="51"/>
      <c r="X37" s="51"/>
      <c r="Y37" s="51"/>
      <c r="Z37" s="2"/>
      <c r="AA37" s="51"/>
      <c r="AB37" s="51"/>
      <c r="AC37" s="51"/>
      <c r="AD37" s="2"/>
      <c r="AE37" s="51"/>
      <c r="AF37" s="51"/>
      <c r="AG37" s="51"/>
      <c r="AH37" s="2"/>
      <c r="AI37" s="51"/>
      <c r="AJ37" s="51"/>
      <c r="AK37" s="51"/>
      <c r="AL37" s="2"/>
      <c r="AM37" s="51"/>
      <c r="AN37" s="51"/>
      <c r="AO37" s="51"/>
      <c r="AP37" s="2"/>
      <c r="AQ37" s="51"/>
      <c r="AR37" s="51"/>
      <c r="AS37" s="51"/>
      <c r="AT37" s="2"/>
      <c r="AU37" s="51"/>
      <c r="AV37" s="51"/>
      <c r="AW37" s="51"/>
      <c r="AX37" s="2"/>
      <c r="AY37" s="51"/>
      <c r="AZ37" s="51"/>
      <c r="BA37" s="51"/>
      <c r="BB37" s="2"/>
      <c r="BC37" s="51"/>
      <c r="BD37" s="51"/>
      <c r="BE37" s="51"/>
      <c r="BF37" s="2"/>
      <c r="BG37" s="51"/>
      <c r="BH37" s="51"/>
      <c r="BI37" s="51"/>
      <c r="BJ37" s="2"/>
      <c r="BK37" s="51"/>
      <c r="BL37" s="51"/>
      <c r="BM37" s="51"/>
      <c r="BN37" s="2"/>
      <c r="BO37" s="51"/>
      <c r="BP37" s="51"/>
      <c r="BQ37" s="51"/>
      <c r="BR37" s="2"/>
      <c r="BS37" s="51"/>
      <c r="BT37" s="51"/>
      <c r="BU37" s="51"/>
      <c r="BV37" s="2"/>
      <c r="BW37" s="51"/>
    </row>
    <row r="38" spans="1:75" x14ac:dyDescent="0.2">
      <c r="A38" s="51"/>
      <c r="B38" s="51"/>
      <c r="C38" s="31" t="s">
        <v>373</v>
      </c>
      <c r="D38" s="66">
        <f t="shared" ref="D38:T38" si="2">D112</f>
        <v>0</v>
      </c>
      <c r="E38" s="66">
        <f t="shared" si="2"/>
        <v>0</v>
      </c>
      <c r="F38" s="66">
        <f t="shared" si="2"/>
        <v>0</v>
      </c>
      <c r="G38" s="66">
        <f t="shared" si="2"/>
        <v>0</v>
      </c>
      <c r="H38" s="66">
        <f t="shared" si="2"/>
        <v>0</v>
      </c>
      <c r="I38" s="66">
        <f t="shared" si="2"/>
        <v>0</v>
      </c>
      <c r="J38" s="66">
        <f t="shared" si="2"/>
        <v>0</v>
      </c>
      <c r="K38" s="66">
        <f t="shared" si="2"/>
        <v>0</v>
      </c>
      <c r="L38" s="66">
        <f t="shared" si="2"/>
        <v>0</v>
      </c>
      <c r="M38" s="66">
        <f t="shared" si="2"/>
        <v>0</v>
      </c>
      <c r="N38" s="66">
        <f t="shared" si="2"/>
        <v>120694.62251446021</v>
      </c>
      <c r="O38" s="66">
        <f t="shared" si="2"/>
        <v>188909.16513780734</v>
      </c>
      <c r="P38" s="66">
        <f t="shared" si="2"/>
        <v>264899.51712690364</v>
      </c>
      <c r="Q38" s="66">
        <f t="shared" si="2"/>
        <v>352433.93297722749</v>
      </c>
      <c r="R38" s="66">
        <f t="shared" si="2"/>
        <v>453539.68706813053</v>
      </c>
      <c r="S38" s="66">
        <f t="shared" si="2"/>
        <v>570714.6149690313</v>
      </c>
      <c r="T38" s="66">
        <f t="shared" si="2"/>
        <v>706935.33020455879</v>
      </c>
      <c r="U38" s="51"/>
      <c r="V38" s="2"/>
      <c r="W38" s="51"/>
      <c r="X38" s="51"/>
      <c r="Y38" s="51"/>
      <c r="Z38" s="2"/>
      <c r="AA38" s="51"/>
      <c r="AB38" s="51"/>
      <c r="AC38" s="51"/>
      <c r="AD38" s="2"/>
      <c r="AE38" s="51"/>
      <c r="AF38" s="51"/>
      <c r="AG38" s="51"/>
      <c r="AH38" s="2"/>
      <c r="AI38" s="51"/>
      <c r="AJ38" s="51"/>
      <c r="AK38" s="51"/>
      <c r="AL38" s="2"/>
      <c r="AM38" s="51"/>
      <c r="AN38" s="51"/>
      <c r="AO38" s="51"/>
      <c r="AP38" s="2"/>
      <c r="AQ38" s="51"/>
      <c r="AR38" s="51"/>
      <c r="AS38" s="51"/>
      <c r="AT38" s="2"/>
      <c r="AU38" s="51"/>
      <c r="AV38" s="51"/>
      <c r="AW38" s="51"/>
      <c r="AX38" s="2"/>
      <c r="AY38" s="51"/>
      <c r="AZ38" s="51"/>
      <c r="BA38" s="51"/>
      <c r="BB38" s="2"/>
      <c r="BC38" s="51"/>
      <c r="BD38" s="51"/>
      <c r="BE38" s="51"/>
      <c r="BF38" s="2"/>
      <c r="BG38" s="51"/>
      <c r="BH38" s="51"/>
      <c r="BI38" s="51"/>
      <c r="BJ38" s="2"/>
      <c r="BK38" s="51"/>
      <c r="BL38" s="51"/>
      <c r="BM38" s="51"/>
      <c r="BN38" s="2"/>
      <c r="BO38" s="51"/>
      <c r="BP38" s="51"/>
      <c r="BQ38" s="51"/>
      <c r="BR38" s="2"/>
      <c r="BS38" s="51"/>
      <c r="BT38" s="51"/>
      <c r="BU38" s="51"/>
      <c r="BV38" s="2"/>
      <c r="BW38" s="51"/>
    </row>
    <row r="39" spans="1:75" ht="15" customHeight="1" thickBot="1" x14ac:dyDescent="0.25">
      <c r="A39" s="51"/>
      <c r="B39" s="51"/>
      <c r="C39" s="67" t="s">
        <v>317</v>
      </c>
      <c r="D39" s="68">
        <f t="shared" ref="D39:T39" si="3">SUM(D36:D38)</f>
        <v>276000</v>
      </c>
      <c r="E39" s="68">
        <f t="shared" si="3"/>
        <v>286500</v>
      </c>
      <c r="F39" s="68">
        <f t="shared" si="3"/>
        <v>327800</v>
      </c>
      <c r="G39" s="68">
        <f t="shared" si="3"/>
        <v>341100</v>
      </c>
      <c r="H39" s="68">
        <f t="shared" si="3"/>
        <v>394400</v>
      </c>
      <c r="I39" s="68">
        <f t="shared" si="3"/>
        <v>445000</v>
      </c>
      <c r="J39" s="68">
        <f t="shared" si="3"/>
        <v>441000</v>
      </c>
      <c r="K39" s="68">
        <f t="shared" si="3"/>
        <v>562000</v>
      </c>
      <c r="L39" s="68">
        <f t="shared" si="3"/>
        <v>600000</v>
      </c>
      <c r="M39" s="68">
        <f t="shared" si="3"/>
        <v>705553.84184610681</v>
      </c>
      <c r="N39" s="68">
        <f t="shared" si="3"/>
        <v>915663.6475400253</v>
      </c>
      <c r="O39" s="68">
        <f t="shared" si="3"/>
        <v>1087301.9982055395</v>
      </c>
      <c r="P39" s="68">
        <f t="shared" si="3"/>
        <v>1263344.9366903631</v>
      </c>
      <c r="Q39" s="68">
        <f t="shared" si="3"/>
        <v>1455438.6164276528</v>
      </c>
      <c r="R39" s="68">
        <f t="shared" si="3"/>
        <v>1666259.6936597547</v>
      </c>
      <c r="S39" s="68">
        <f t="shared" si="3"/>
        <v>1899316.9477826701</v>
      </c>
      <c r="T39" s="68">
        <f t="shared" si="3"/>
        <v>2158853.2632584367</v>
      </c>
      <c r="U39" s="51"/>
      <c r="V39" s="2"/>
      <c r="W39" s="51"/>
      <c r="X39" s="51"/>
      <c r="Y39" s="51"/>
      <c r="Z39" s="2"/>
      <c r="AA39" s="51"/>
      <c r="AB39" s="51"/>
      <c r="AC39" s="51"/>
      <c r="AD39" s="2"/>
      <c r="AE39" s="51"/>
      <c r="AF39" s="51"/>
      <c r="AG39" s="51"/>
      <c r="AH39" s="2"/>
      <c r="AI39" s="51"/>
      <c r="AJ39" s="51"/>
      <c r="AK39" s="51"/>
      <c r="AL39" s="2"/>
      <c r="AM39" s="51"/>
      <c r="AN39" s="51"/>
      <c r="AO39" s="51"/>
      <c r="AP39" s="2"/>
      <c r="AQ39" s="51"/>
      <c r="AR39" s="51"/>
      <c r="AS39" s="51"/>
      <c r="AT39" s="2"/>
      <c r="AU39" s="51"/>
      <c r="AV39" s="51"/>
      <c r="AW39" s="51"/>
      <c r="AX39" s="2"/>
      <c r="AY39" s="51"/>
      <c r="AZ39" s="51"/>
      <c r="BA39" s="51"/>
      <c r="BB39" s="2"/>
      <c r="BC39" s="51"/>
      <c r="BD39" s="51"/>
      <c r="BE39" s="51"/>
      <c r="BF39" s="2"/>
      <c r="BG39" s="51"/>
      <c r="BH39" s="51"/>
      <c r="BI39" s="51"/>
      <c r="BJ39" s="2"/>
      <c r="BK39" s="51"/>
      <c r="BL39" s="51"/>
      <c r="BM39" s="51"/>
      <c r="BN39" s="2"/>
      <c r="BO39" s="51"/>
      <c r="BP39" s="51"/>
      <c r="BQ39" s="51"/>
      <c r="BR39" s="2"/>
      <c r="BS39" s="51"/>
      <c r="BT39" s="51"/>
      <c r="BU39" s="51"/>
      <c r="BV39" s="2"/>
      <c r="BW39" s="51"/>
    </row>
    <row r="40" spans="1:75" ht="17" thickTop="1" x14ac:dyDescent="0.2">
      <c r="A40" s="51"/>
      <c r="B40" s="51"/>
      <c r="C40" s="51"/>
      <c r="D40" s="51"/>
      <c r="E40" s="51"/>
      <c r="F40" s="2"/>
      <c r="G40" s="51"/>
      <c r="H40" s="51"/>
      <c r="I40" s="51"/>
      <c r="J40" s="2"/>
      <c r="K40" s="51"/>
      <c r="L40" s="51"/>
      <c r="M40" s="51"/>
      <c r="N40" s="2"/>
      <c r="O40" s="51"/>
      <c r="P40" s="51"/>
      <c r="Q40" s="51"/>
      <c r="R40" s="2"/>
      <c r="S40" s="51"/>
      <c r="T40" s="51"/>
      <c r="U40" s="51"/>
      <c r="V40" s="2"/>
      <c r="W40" s="51"/>
      <c r="X40" s="51"/>
      <c r="Y40" s="51"/>
      <c r="Z40" s="2"/>
      <c r="AA40" s="51"/>
      <c r="AB40" s="51"/>
      <c r="AC40" s="51"/>
      <c r="AD40" s="2"/>
      <c r="AE40" s="51"/>
      <c r="AF40" s="51"/>
      <c r="AG40" s="51"/>
      <c r="AH40" s="2"/>
      <c r="AI40" s="51"/>
      <c r="AJ40" s="51"/>
      <c r="AK40" s="51"/>
      <c r="AL40" s="2"/>
      <c r="AM40" s="51"/>
      <c r="AN40" s="51"/>
      <c r="AO40" s="51"/>
      <c r="AP40" s="2"/>
      <c r="AQ40" s="51"/>
      <c r="AR40" s="51"/>
      <c r="AS40" s="51"/>
      <c r="AT40" s="2"/>
      <c r="AU40" s="51"/>
      <c r="AV40" s="51"/>
      <c r="AW40" s="51"/>
      <c r="AX40" s="2"/>
      <c r="AY40" s="51"/>
      <c r="AZ40" s="51"/>
      <c r="BA40" s="51"/>
      <c r="BB40" s="2"/>
      <c r="BC40" s="51"/>
      <c r="BD40" s="51"/>
      <c r="BE40" s="51"/>
      <c r="BF40" s="2"/>
      <c r="BG40" s="51"/>
      <c r="BH40" s="51"/>
      <c r="BI40" s="51"/>
      <c r="BJ40" s="2"/>
      <c r="BK40" s="51"/>
      <c r="BL40" s="51"/>
      <c r="BM40" s="51"/>
      <c r="BN40" s="2"/>
      <c r="BO40" s="51"/>
      <c r="BP40" s="51"/>
      <c r="BQ40" s="51"/>
      <c r="BR40" s="2"/>
      <c r="BS40" s="51"/>
      <c r="BT40" s="51"/>
      <c r="BU40" s="51"/>
      <c r="BV40" s="2"/>
      <c r="BW40" s="51"/>
    </row>
    <row r="41" spans="1:75" ht="17" thickBot="1" x14ac:dyDescent="0.25">
      <c r="A41" s="51"/>
      <c r="B41" s="51"/>
      <c r="C41" s="38" t="s">
        <v>205</v>
      </c>
      <c r="D41" s="38">
        <v>2014</v>
      </c>
      <c r="E41" s="38">
        <v>2015</v>
      </c>
      <c r="F41" s="38">
        <v>2016</v>
      </c>
      <c r="G41" s="38">
        <v>2017</v>
      </c>
      <c r="H41" s="38">
        <v>2018</v>
      </c>
      <c r="I41" s="38">
        <v>2019</v>
      </c>
      <c r="J41" s="38">
        <v>2020</v>
      </c>
      <c r="K41" s="38">
        <v>2021</v>
      </c>
      <c r="L41" s="38">
        <v>2022</v>
      </c>
      <c r="M41" s="38">
        <v>2023</v>
      </c>
      <c r="N41" s="38">
        <v>2024</v>
      </c>
      <c r="O41" s="38">
        <v>2025</v>
      </c>
      <c r="P41" s="38">
        <v>2026</v>
      </c>
      <c r="Q41" s="38">
        <v>2027</v>
      </c>
      <c r="R41" s="38">
        <v>2028</v>
      </c>
      <c r="S41" s="38">
        <v>2029</v>
      </c>
      <c r="T41" s="38">
        <v>2030</v>
      </c>
      <c r="U41" s="51"/>
      <c r="V41" s="51"/>
      <c r="W41" s="51"/>
      <c r="X41" s="2"/>
      <c r="Y41" s="51"/>
      <c r="Z41" s="51"/>
      <c r="AA41" s="51"/>
      <c r="AB41" s="2"/>
      <c r="AC41" s="51"/>
      <c r="AD41" s="51"/>
      <c r="AE41" s="51"/>
      <c r="AF41" s="2"/>
      <c r="AG41" s="51"/>
      <c r="AH41" s="51"/>
      <c r="AI41" s="51"/>
      <c r="AJ41" s="2"/>
      <c r="AK41" s="51"/>
      <c r="AL41" s="51"/>
      <c r="AM41" s="51"/>
      <c r="AN41" s="2"/>
      <c r="AO41" s="51"/>
      <c r="AP41" s="51"/>
      <c r="AQ41" s="51"/>
      <c r="AR41" s="2"/>
      <c r="AS41" s="51"/>
      <c r="AT41" s="51"/>
      <c r="AU41" s="51"/>
      <c r="AV41" s="2"/>
      <c r="AW41" s="51"/>
      <c r="AX41" s="51"/>
      <c r="AY41" s="51"/>
      <c r="AZ41" s="2"/>
      <c r="BA41" s="51"/>
      <c r="BB41" s="51"/>
      <c r="BC41" s="51"/>
      <c r="BD41" s="2"/>
      <c r="BE41" s="51"/>
      <c r="BF41" s="51"/>
      <c r="BG41" s="51"/>
      <c r="BH41" s="2"/>
      <c r="BI41" s="51"/>
      <c r="BJ41" s="51"/>
      <c r="BK41" s="51"/>
      <c r="BL41" s="2"/>
      <c r="BM41" s="51"/>
      <c r="BN41" s="51"/>
      <c r="BO41" s="51"/>
      <c r="BP41" s="2"/>
      <c r="BQ41" s="51"/>
      <c r="BR41" s="51"/>
      <c r="BS41" s="51"/>
      <c r="BT41" s="2"/>
      <c r="BU41" s="51"/>
    </row>
    <row r="42" spans="1:75" ht="17" thickTop="1" x14ac:dyDescent="0.2">
      <c r="A42" s="51"/>
      <c r="B42" s="51"/>
      <c r="C42" s="2" t="s">
        <v>374</v>
      </c>
      <c r="D42" s="2"/>
      <c r="E42" s="2"/>
      <c r="F42" s="2"/>
      <c r="G42" s="2"/>
      <c r="H42" s="2"/>
      <c r="I42" s="2"/>
      <c r="J42" s="2"/>
      <c r="K42" s="2"/>
      <c r="L42" s="12">
        <f t="shared" ref="L42:T42" si="4">SUM(L52, L68, L90)</f>
        <v>145250</v>
      </c>
      <c r="M42" s="12">
        <f t="shared" si="4"/>
        <v>162632.28904852382</v>
      </c>
      <c r="N42" s="12">
        <f t="shared" si="4"/>
        <v>179519.22507747574</v>
      </c>
      <c r="O42" s="306">
        <f t="shared" si="4"/>
        <v>195827.0312705072</v>
      </c>
      <c r="P42" s="12">
        <f t="shared" si="4"/>
        <v>211879.73341371788</v>
      </c>
      <c r="Q42" s="12">
        <f t="shared" si="4"/>
        <v>227775</v>
      </c>
      <c r="R42" s="12">
        <f t="shared" si="4"/>
        <v>243736.55788740949</v>
      </c>
      <c r="S42" s="12">
        <f t="shared" si="4"/>
        <v>260032.85923666123</v>
      </c>
      <c r="T42" s="12">
        <f t="shared" si="4"/>
        <v>276823.94091000094</v>
      </c>
      <c r="U42" s="51"/>
      <c r="V42" s="51"/>
      <c r="W42" s="51"/>
      <c r="X42" s="2"/>
      <c r="Y42" s="51"/>
      <c r="Z42" s="51"/>
      <c r="AA42" s="51"/>
      <c r="AB42" s="2"/>
      <c r="AC42" s="51"/>
      <c r="AD42" s="51"/>
      <c r="AE42" s="51"/>
      <c r="AF42" s="2"/>
      <c r="AG42" s="51"/>
      <c r="AH42" s="51"/>
      <c r="AI42" s="51"/>
      <c r="AJ42" s="2"/>
      <c r="AK42" s="51"/>
      <c r="AL42" s="51"/>
      <c r="AM42" s="51"/>
      <c r="AN42" s="2"/>
      <c r="AO42" s="51"/>
      <c r="AP42" s="51"/>
      <c r="AQ42" s="51"/>
      <c r="AR42" s="2"/>
      <c r="AS42" s="51"/>
      <c r="AT42" s="51"/>
      <c r="AU42" s="51"/>
      <c r="AV42" s="2"/>
      <c r="AW42" s="51"/>
      <c r="AX42" s="51"/>
      <c r="AY42" s="51"/>
      <c r="AZ42" s="2"/>
      <c r="BA42" s="51"/>
      <c r="BB42" s="51"/>
      <c r="BC42" s="51"/>
      <c r="BD42" s="2"/>
      <c r="BE42" s="51"/>
      <c r="BF42" s="51"/>
      <c r="BG42" s="51"/>
      <c r="BH42" s="2"/>
      <c r="BI42" s="51"/>
      <c r="BJ42" s="51"/>
      <c r="BK42" s="51"/>
      <c r="BL42" s="2"/>
      <c r="BM42" s="51"/>
      <c r="BN42" s="51"/>
      <c r="BO42" s="51"/>
      <c r="BP42" s="2"/>
      <c r="BQ42" s="51"/>
      <c r="BR42" s="51"/>
      <c r="BS42" s="51"/>
      <c r="BT42" s="2"/>
      <c r="BU42" s="51"/>
    </row>
    <row r="43" spans="1:75" x14ac:dyDescent="0.2">
      <c r="A43" s="51"/>
      <c r="B43" s="51"/>
      <c r="C43" s="39" t="s">
        <v>319</v>
      </c>
      <c r="D43" s="39"/>
      <c r="E43" s="39"/>
      <c r="F43" s="39"/>
      <c r="G43" s="39"/>
      <c r="H43" s="39"/>
      <c r="I43" s="39"/>
      <c r="J43" s="39"/>
      <c r="K43" s="39"/>
      <c r="L43" s="40">
        <f>'MODEL INPUT'!G76</f>
        <v>500</v>
      </c>
      <c r="M43" s="40">
        <f>L43*(1+'MODEL INPUT'!$G$77)</f>
        <v>520</v>
      </c>
      <c r="N43" s="40">
        <f>M43*(1+'MODEL INPUT'!$G$77)</f>
        <v>540.80000000000007</v>
      </c>
      <c r="O43" s="40">
        <f>N43*(1+'MODEL INPUT'!$G$77)</f>
        <v>562.43200000000013</v>
      </c>
      <c r="P43" s="40">
        <f>O43*(1+'MODEL INPUT'!$G$77)</f>
        <v>584.92928000000018</v>
      </c>
      <c r="Q43" s="40">
        <f>P43*(1+'MODEL INPUT'!$G$77)</f>
        <v>608.32645120000018</v>
      </c>
      <c r="R43" s="40">
        <f>Q43*(1+'MODEL INPUT'!$G$77)</f>
        <v>632.65950924800018</v>
      </c>
      <c r="S43" s="40">
        <f>R43*(1+'MODEL INPUT'!$G$77)</f>
        <v>657.9658896179202</v>
      </c>
      <c r="T43" s="40">
        <f>S43*(1+'MODEL INPUT'!$G$77)</f>
        <v>684.28452520263704</v>
      </c>
      <c r="U43" s="51"/>
      <c r="V43" s="51"/>
      <c r="W43" s="51"/>
      <c r="X43" s="2"/>
      <c r="Y43" s="51"/>
      <c r="Z43" s="51"/>
      <c r="AA43" s="51"/>
      <c r="AB43" s="2"/>
      <c r="AC43" s="51"/>
      <c r="AD43" s="51"/>
      <c r="AE43" s="51"/>
      <c r="AF43" s="2"/>
      <c r="AG43" s="51"/>
      <c r="AH43" s="51"/>
      <c r="AI43" s="51"/>
      <c r="AJ43" s="2"/>
      <c r="AK43" s="51"/>
      <c r="AL43" s="51"/>
      <c r="AM43" s="51"/>
      <c r="AN43" s="2"/>
      <c r="AO43" s="51"/>
      <c r="AP43" s="51"/>
      <c r="AQ43" s="51"/>
      <c r="AR43" s="2"/>
      <c r="AS43" s="51"/>
      <c r="AT43" s="51"/>
      <c r="AU43" s="51"/>
      <c r="AV43" s="2"/>
      <c r="AW43" s="51"/>
      <c r="AX43" s="51"/>
      <c r="AY43" s="51"/>
      <c r="AZ43" s="2"/>
      <c r="BA43" s="51"/>
      <c r="BB43" s="51"/>
      <c r="BC43" s="51"/>
      <c r="BD43" s="2"/>
      <c r="BE43" s="51"/>
      <c r="BF43" s="51"/>
      <c r="BG43" s="51"/>
      <c r="BH43" s="2"/>
      <c r="BI43" s="51"/>
      <c r="BJ43" s="51"/>
      <c r="BK43" s="51"/>
      <c r="BL43" s="2"/>
      <c r="BM43" s="51"/>
      <c r="BN43" s="51"/>
      <c r="BO43" s="51"/>
      <c r="BP43" s="2"/>
      <c r="BQ43" s="51"/>
      <c r="BR43" s="51"/>
      <c r="BS43" s="51"/>
      <c r="BT43" s="2"/>
      <c r="BU43" s="51"/>
    </row>
    <row r="44" spans="1:75" x14ac:dyDescent="0.2">
      <c r="A44" s="51"/>
      <c r="B44" s="51"/>
      <c r="C44" s="31" t="s">
        <v>320</v>
      </c>
      <c r="D44" s="31"/>
      <c r="E44" s="31"/>
      <c r="F44" s="31"/>
      <c r="G44" s="31"/>
      <c r="H44" s="31"/>
      <c r="I44" s="31"/>
      <c r="J44" s="31"/>
      <c r="K44" s="31"/>
      <c r="L44" s="32">
        <f>L42*'MODEL INPUT'!$G$79</f>
        <v>7262.5</v>
      </c>
      <c r="M44" s="32">
        <f>M42*'MODEL INPUT'!$G$79</f>
        <v>8131.6144524261908</v>
      </c>
      <c r="N44" s="32">
        <f>N42*'MODEL INPUT'!$G$79</f>
        <v>8975.9612538737874</v>
      </c>
      <c r="O44" s="32">
        <f>O42*'MODEL INPUT'!$G$79</f>
        <v>9791.3515635253607</v>
      </c>
      <c r="P44" s="32">
        <f>P42*'MODEL INPUT'!$G$79</f>
        <v>10593.986670685896</v>
      </c>
      <c r="Q44" s="32">
        <f>Q42*'MODEL INPUT'!$G$79</f>
        <v>11388.75</v>
      </c>
      <c r="R44" s="32">
        <f>R42*'MODEL INPUT'!$G$79</f>
        <v>12186.827894370475</v>
      </c>
      <c r="S44" s="32">
        <f>S42*'MODEL INPUT'!$G$79</f>
        <v>13001.642961833062</v>
      </c>
      <c r="T44" s="32">
        <f>T42*'MODEL INPUT'!$G$79</f>
        <v>13841.197045500048</v>
      </c>
      <c r="U44" s="51"/>
      <c r="V44" s="51"/>
      <c r="W44" s="51"/>
      <c r="X44" s="2"/>
      <c r="Y44" s="51"/>
      <c r="Z44" s="51"/>
      <c r="AA44" s="51"/>
      <c r="AB44" s="2"/>
      <c r="AC44" s="51"/>
      <c r="AD44" s="51"/>
      <c r="AE44" s="51"/>
      <c r="AF44" s="2"/>
      <c r="AG44" s="51"/>
      <c r="AH44" s="51"/>
      <c r="AI44" s="51"/>
      <c r="AJ44" s="2"/>
      <c r="AK44" s="51"/>
      <c r="AL44" s="51"/>
      <c r="AM44" s="51"/>
      <c r="AN44" s="2"/>
      <c r="AO44" s="51"/>
      <c r="AP44" s="51"/>
      <c r="AQ44" s="51"/>
      <c r="AR44" s="2"/>
      <c r="AS44" s="51"/>
      <c r="AT44" s="51"/>
      <c r="AU44" s="51"/>
      <c r="AV44" s="2"/>
      <c r="AW44" s="51"/>
      <c r="AX44" s="51"/>
      <c r="AY44" s="51"/>
      <c r="AZ44" s="2"/>
      <c r="BA44" s="51"/>
      <c r="BB44" s="51"/>
      <c r="BC44" s="51"/>
      <c r="BD44" s="2"/>
      <c r="BE44" s="51"/>
      <c r="BF44" s="51"/>
      <c r="BG44" s="51"/>
      <c r="BH44" s="2"/>
      <c r="BI44" s="51"/>
      <c r="BJ44" s="51"/>
      <c r="BK44" s="51"/>
      <c r="BL44" s="2"/>
      <c r="BM44" s="51"/>
      <c r="BN44" s="51"/>
      <c r="BO44" s="51"/>
      <c r="BP44" s="2"/>
      <c r="BQ44" s="51"/>
      <c r="BR44" s="51"/>
      <c r="BS44" s="51"/>
      <c r="BT44" s="2"/>
      <c r="BU44" s="51"/>
    </row>
    <row r="45" spans="1:75" ht="17" thickBot="1" x14ac:dyDescent="0.25">
      <c r="A45" s="51"/>
      <c r="B45" s="51"/>
      <c r="C45" s="41" t="s">
        <v>321</v>
      </c>
      <c r="D45" s="41"/>
      <c r="E45" s="41"/>
      <c r="F45" s="41"/>
      <c r="G45" s="41"/>
      <c r="H45" s="41"/>
      <c r="I45" s="41"/>
      <c r="J45" s="41"/>
      <c r="K45" s="41"/>
      <c r="L45" s="42">
        <f t="shared" ref="L45:T45" si="5">L44*L43/1000</f>
        <v>3631.25</v>
      </c>
      <c r="M45" s="42">
        <f t="shared" si="5"/>
        <v>4228.4395152616189</v>
      </c>
      <c r="N45" s="42">
        <f t="shared" si="5"/>
        <v>4854.1998460949444</v>
      </c>
      <c r="O45" s="42">
        <f t="shared" si="5"/>
        <v>5506.9694425766975</v>
      </c>
      <c r="P45" s="42">
        <f t="shared" si="5"/>
        <v>6196.7329956139001</v>
      </c>
      <c r="Q45" s="42">
        <f t="shared" si="5"/>
        <v>6928.077871104002</v>
      </c>
      <c r="R45" s="42">
        <f t="shared" si="5"/>
        <v>7710.1125549422641</v>
      </c>
      <c r="S45" s="42">
        <f t="shared" si="5"/>
        <v>8554.6375778770616</v>
      </c>
      <c r="T45" s="42">
        <f t="shared" si="5"/>
        <v>9471.3169485161434</v>
      </c>
      <c r="U45" s="51"/>
      <c r="V45" s="51"/>
      <c r="W45" s="51"/>
      <c r="X45" s="2"/>
      <c r="Y45" s="51"/>
      <c r="Z45" s="51"/>
      <c r="AA45" s="51"/>
      <c r="AB45" s="2"/>
      <c r="AC45" s="51"/>
      <c r="AD45" s="51"/>
      <c r="AE45" s="51"/>
      <c r="AF45" s="2"/>
      <c r="AG45" s="51"/>
      <c r="AH45" s="51"/>
      <c r="AI45" s="51"/>
      <c r="AJ45" s="2"/>
      <c r="AK45" s="51"/>
      <c r="AL45" s="51"/>
      <c r="AM45" s="51"/>
      <c r="AN45" s="2"/>
      <c r="AO45" s="51"/>
      <c r="AP45" s="51"/>
      <c r="AQ45" s="51"/>
      <c r="AR45" s="2"/>
      <c r="AS45" s="51"/>
      <c r="AT45" s="51"/>
      <c r="AU45" s="51"/>
      <c r="AV45" s="2"/>
      <c r="AW45" s="51"/>
      <c r="AX45" s="51"/>
      <c r="AY45" s="51"/>
      <c r="AZ45" s="2"/>
      <c r="BA45" s="51"/>
      <c r="BB45" s="51"/>
      <c r="BC45" s="51"/>
      <c r="BD45" s="2"/>
      <c r="BE45" s="51"/>
      <c r="BF45" s="51"/>
      <c r="BG45" s="51"/>
      <c r="BH45" s="2"/>
      <c r="BI45" s="51"/>
      <c r="BJ45" s="51"/>
      <c r="BK45" s="51"/>
      <c r="BL45" s="2"/>
      <c r="BM45" s="51"/>
      <c r="BN45" s="51"/>
      <c r="BO45" s="51"/>
      <c r="BP45" s="2"/>
      <c r="BQ45" s="51"/>
      <c r="BR45" s="51"/>
      <c r="BS45" s="51"/>
      <c r="BT45" s="2"/>
      <c r="BU45" s="51"/>
    </row>
    <row r="46" spans="1:75" ht="17" thickTop="1" x14ac:dyDescent="0.2">
      <c r="A46" s="51"/>
      <c r="B46" s="51"/>
      <c r="C46" s="92"/>
      <c r="D46" s="92"/>
      <c r="E46" s="92"/>
      <c r="F46" s="92"/>
      <c r="G46" s="92"/>
      <c r="H46" s="92"/>
      <c r="I46" s="92"/>
      <c r="J46" s="92"/>
      <c r="K46" s="92"/>
      <c r="L46" s="92"/>
      <c r="M46" s="92"/>
      <c r="N46" s="92"/>
      <c r="O46" s="92"/>
      <c r="P46" s="92"/>
      <c r="Q46" s="92"/>
      <c r="R46" s="92"/>
      <c r="S46" s="92"/>
      <c r="T46" s="92"/>
      <c r="U46" s="51"/>
      <c r="V46" s="51"/>
      <c r="W46" s="51"/>
      <c r="X46" s="2"/>
      <c r="Y46" s="51"/>
      <c r="Z46" s="51"/>
      <c r="AA46" s="51"/>
      <c r="AB46" s="2"/>
      <c r="AC46" s="51"/>
      <c r="AD46" s="51"/>
      <c r="AE46" s="51"/>
      <c r="AF46" s="2"/>
      <c r="AG46" s="51"/>
      <c r="AH46" s="51"/>
      <c r="AI46" s="51"/>
      <c r="AJ46" s="2"/>
      <c r="AK46" s="51"/>
      <c r="AL46" s="51"/>
      <c r="AM46" s="51"/>
      <c r="AN46" s="2"/>
      <c r="AO46" s="51"/>
      <c r="AP46" s="51"/>
      <c r="AQ46" s="51"/>
      <c r="AR46" s="2"/>
      <c r="AS46" s="51"/>
      <c r="AT46" s="51"/>
      <c r="AU46" s="51"/>
      <c r="AV46" s="2"/>
      <c r="AW46" s="51"/>
      <c r="AX46" s="51"/>
      <c r="AY46" s="51"/>
      <c r="AZ46" s="2"/>
      <c r="BA46" s="51"/>
      <c r="BB46" s="51"/>
      <c r="BC46" s="51"/>
      <c r="BD46" s="2"/>
      <c r="BE46" s="51"/>
      <c r="BF46" s="51"/>
      <c r="BG46" s="51"/>
      <c r="BH46" s="2"/>
      <c r="BI46" s="51"/>
      <c r="BJ46" s="51"/>
      <c r="BK46" s="51"/>
      <c r="BL46" s="2"/>
      <c r="BM46" s="51"/>
      <c r="BN46" s="51"/>
      <c r="BO46" s="51"/>
      <c r="BP46" s="2"/>
      <c r="BQ46" s="51"/>
      <c r="BR46" s="51"/>
      <c r="BS46" s="51"/>
      <c r="BT46" s="2"/>
      <c r="BU46" s="51"/>
    </row>
    <row r="47" spans="1:75" ht="17" thickBot="1" x14ac:dyDescent="0.25">
      <c r="A47" s="51"/>
      <c r="B47" s="51"/>
      <c r="C47" s="56" t="s">
        <v>375</v>
      </c>
      <c r="D47" s="56">
        <v>2014</v>
      </c>
      <c r="E47" s="56">
        <v>2015</v>
      </c>
      <c r="F47" s="56">
        <v>2016</v>
      </c>
      <c r="G47" s="56">
        <v>2017</v>
      </c>
      <c r="H47" s="56">
        <v>2018</v>
      </c>
      <c r="I47" s="56">
        <v>2019</v>
      </c>
      <c r="J47" s="56">
        <v>2020</v>
      </c>
      <c r="K47" s="56">
        <v>2021</v>
      </c>
      <c r="L47" s="56">
        <v>2022</v>
      </c>
      <c r="M47" s="56">
        <v>2023</v>
      </c>
      <c r="N47" s="56">
        <v>2024</v>
      </c>
      <c r="O47" s="56">
        <v>2025</v>
      </c>
      <c r="P47" s="56">
        <v>2026</v>
      </c>
      <c r="Q47" s="56">
        <v>2027</v>
      </c>
      <c r="R47" s="56">
        <v>2028</v>
      </c>
      <c r="S47" s="56">
        <v>2029</v>
      </c>
      <c r="T47" s="56">
        <v>2030</v>
      </c>
      <c r="U47" s="51"/>
      <c r="V47" s="51"/>
      <c r="W47" s="51"/>
      <c r="X47" s="2"/>
      <c r="Y47" s="51"/>
      <c r="Z47" s="51"/>
      <c r="AA47" s="51"/>
      <c r="AB47" s="2"/>
      <c r="AC47" s="51"/>
      <c r="AD47" s="51"/>
      <c r="AE47" s="51"/>
      <c r="AF47" s="2"/>
      <c r="AG47" s="51"/>
      <c r="AH47" s="51"/>
      <c r="AI47" s="51"/>
      <c r="AJ47" s="2"/>
      <c r="AK47" s="51"/>
      <c r="AL47" s="51"/>
      <c r="AM47" s="51"/>
      <c r="AN47" s="2"/>
      <c r="AO47" s="51"/>
      <c r="AP47" s="51"/>
      <c r="AQ47" s="51"/>
      <c r="AR47" s="2"/>
      <c r="AS47" s="51"/>
      <c r="AT47" s="51"/>
      <c r="AU47" s="51"/>
      <c r="AV47" s="2"/>
      <c r="AW47" s="51"/>
      <c r="AX47" s="51"/>
      <c r="AY47" s="51"/>
      <c r="AZ47" s="2"/>
      <c r="BA47" s="51"/>
      <c r="BB47" s="51"/>
      <c r="BC47" s="51"/>
      <c r="BD47" s="2"/>
      <c r="BE47" s="51"/>
      <c r="BF47" s="51"/>
      <c r="BG47" s="51"/>
      <c r="BH47" s="2"/>
      <c r="BI47" s="51"/>
      <c r="BJ47" s="51"/>
      <c r="BK47" s="51"/>
      <c r="BL47" s="2"/>
      <c r="BM47" s="51"/>
      <c r="BN47" s="51"/>
      <c r="BO47" s="51"/>
      <c r="BP47" s="2"/>
      <c r="BQ47" s="51"/>
      <c r="BR47" s="51"/>
      <c r="BS47" s="51"/>
      <c r="BT47" s="2"/>
      <c r="BU47" s="51"/>
    </row>
    <row r="48" spans="1:75" ht="17" thickTop="1" x14ac:dyDescent="0.2">
      <c r="A48" s="51"/>
      <c r="B48" s="51"/>
      <c r="C48" s="301" t="s">
        <v>376</v>
      </c>
      <c r="D48" s="315">
        <f>'MODEL INPUT'!$G$96/(1+POWER(81, ('MODEL INPUT'!$G$94+('MODEL INPUT'!$G$95/2)-D47)/'MODEL INPUT'!$G$95))</f>
        <v>0.10294804772599347</v>
      </c>
      <c r="E48" s="315">
        <f>'MODEL INPUT'!$G$96/(1+POWER(81, ('MODEL INPUT'!$G$94+('MODEL INPUT'!$G$95/2)-E47)/'MODEL INPUT'!$G$95))</f>
        <v>0.12377251434128844</v>
      </c>
      <c r="F48" s="315">
        <f>'MODEL INPUT'!$G$96/(1+POWER(81, ('MODEL INPUT'!$G$94+('MODEL INPUT'!$G$95/2)-F47)/'MODEL INPUT'!$G$95))</f>
        <v>0.14776683718997138</v>
      </c>
      <c r="G48" s="315">
        <f>'MODEL INPUT'!$G$96/(1+POWER(81, ('MODEL INPUT'!$G$94+('MODEL INPUT'!$G$95/2)-G47)/'MODEL INPUT'!$G$95))</f>
        <v>0.17499999999999999</v>
      </c>
      <c r="H48" s="315">
        <f>'MODEL INPUT'!$G$96/(1+POWER(81, ('MODEL INPUT'!$G$94+('MODEL INPUT'!$G$95/2)-H47)/'MODEL INPUT'!$G$95))</f>
        <v>0.20538552021617959</v>
      </c>
      <c r="I48" s="315">
        <f>'MODEL INPUT'!$G$96/(1+POWER(81, ('MODEL INPUT'!$G$94+('MODEL INPUT'!$G$95/2)-I47)/'MODEL INPUT'!$G$95))</f>
        <v>0.23864867208277374</v>
      </c>
      <c r="J48" s="315">
        <f>'MODEL INPUT'!$G$96/(1+POWER(81, ('MODEL INPUT'!$G$94+('MODEL INPUT'!$G$95/2)-J47)/'MODEL INPUT'!$G$95))</f>
        <v>0.27431126991198479</v>
      </c>
      <c r="K48" s="315">
        <f>'MODEL INPUT'!$G$96/(1+POWER(81, ('MODEL INPUT'!$G$94+('MODEL INPUT'!$G$95/2)-K47)/'MODEL INPUT'!$G$95))</f>
        <v>0.31170252306353502</v>
      </c>
      <c r="L48" s="301">
        <f>'MODEL INPUT'!$G$96/(1+POWER(81, ('MODEL INPUT'!$G$94+('MODEL INPUT'!$G$95/2)-L47)/'MODEL INPUT'!$G$95))</f>
        <v>0.35</v>
      </c>
      <c r="M48" s="301">
        <f>'MODEL INPUT'!$G$96/(1+POWER(81, ('MODEL INPUT'!$G$94+('MODEL INPUT'!$G$95/2)-M47)/'MODEL INPUT'!$G$95))</f>
        <v>0.38829747693646499</v>
      </c>
      <c r="N48" s="301">
        <f>'MODEL INPUT'!$G$96/(1+POWER(81, ('MODEL INPUT'!$G$94+('MODEL INPUT'!$G$95/2)-N47)/'MODEL INPUT'!$G$95))</f>
        <v>0.42568873008801517</v>
      </c>
      <c r="O48" s="301">
        <f>'MODEL INPUT'!$G$96/(1+POWER(81, ('MODEL INPUT'!$G$94+('MODEL INPUT'!$G$95/2)-O47)/'MODEL INPUT'!$G$95))</f>
        <v>0.46135132791722622</v>
      </c>
      <c r="P48" s="301">
        <f>'MODEL INPUT'!$G$96/(1+POWER(81, ('MODEL INPUT'!$G$94+('MODEL INPUT'!$G$95/2)-P47)/'MODEL INPUT'!$G$95))</f>
        <v>0.49461447978382039</v>
      </c>
      <c r="Q48" s="301">
        <f>'MODEL INPUT'!$G$96/(1+POWER(81, ('MODEL INPUT'!$G$94+('MODEL INPUT'!$G$95/2)-Q47)/'MODEL INPUT'!$G$95))</f>
        <v>0.52500000000000002</v>
      </c>
      <c r="R48" s="301">
        <f>'MODEL INPUT'!$G$96/(1+POWER(81, ('MODEL INPUT'!$G$94+('MODEL INPUT'!$G$95/2)-R47)/'MODEL INPUT'!$G$95))</f>
        <v>0.55223316281002854</v>
      </c>
      <c r="S48" s="301">
        <f>'MODEL INPUT'!$G$96/(1+POWER(81, ('MODEL INPUT'!$G$94+('MODEL INPUT'!$G$95/2)-S47)/'MODEL INPUT'!$G$95))</f>
        <v>0.57622748565871151</v>
      </c>
      <c r="T48" s="301">
        <f>'MODEL INPUT'!$G$96/(1+POWER(81, ('MODEL INPUT'!$G$94+('MODEL INPUT'!$G$95/2)-T47)/'MODEL INPUT'!$G$95))</f>
        <v>0.59705195227400643</v>
      </c>
      <c r="U48" s="51"/>
      <c r="V48" s="51"/>
      <c r="W48" s="51"/>
      <c r="X48" s="2"/>
      <c r="Y48" s="51"/>
      <c r="Z48" s="51"/>
      <c r="AA48" s="51"/>
      <c r="AB48" s="2"/>
      <c r="AC48" s="51"/>
      <c r="AD48" s="51"/>
      <c r="AE48" s="51"/>
      <c r="AF48" s="2"/>
      <c r="AG48" s="51"/>
      <c r="AH48" s="51"/>
      <c r="AI48" s="51"/>
      <c r="AJ48" s="2"/>
      <c r="AK48" s="51"/>
      <c r="AL48" s="51"/>
      <c r="AM48" s="51"/>
      <c r="AN48" s="2"/>
      <c r="AO48" s="51"/>
      <c r="AP48" s="51"/>
      <c r="AQ48" s="51"/>
      <c r="AR48" s="2"/>
      <c r="AS48" s="51"/>
      <c r="AT48" s="51"/>
      <c r="AU48" s="51"/>
      <c r="AV48" s="2"/>
      <c r="AW48" s="51"/>
      <c r="AX48" s="51"/>
      <c r="AY48" s="51"/>
      <c r="AZ48" s="2"/>
      <c r="BA48" s="51"/>
      <c r="BB48" s="51"/>
      <c r="BC48" s="51"/>
      <c r="BD48" s="2"/>
      <c r="BE48" s="51"/>
      <c r="BF48" s="51"/>
      <c r="BG48" s="51"/>
      <c r="BH48" s="2"/>
      <c r="BI48" s="51"/>
      <c r="BJ48" s="51"/>
      <c r="BK48" s="51"/>
      <c r="BL48" s="2"/>
      <c r="BM48" s="51"/>
      <c r="BN48" s="51"/>
      <c r="BO48" s="51"/>
      <c r="BP48" s="2"/>
      <c r="BQ48" s="51"/>
      <c r="BR48" s="51"/>
      <c r="BS48" s="51"/>
      <c r="BT48" s="2"/>
      <c r="BU48" s="51"/>
    </row>
    <row r="49" spans="1:73" x14ac:dyDescent="0.2">
      <c r="A49" s="51"/>
      <c r="B49" s="51"/>
      <c r="C49" s="61" t="s">
        <v>377</v>
      </c>
      <c r="D49" s="316">
        <f>'MODEL INPUT'!$G$90</f>
        <v>3000</v>
      </c>
      <c r="E49" s="316">
        <f>D49*(1+'MODEL INPUT'!$G$91)</f>
        <v>3030</v>
      </c>
      <c r="F49" s="316">
        <f>E49*(1+'MODEL INPUT'!$G$91)</f>
        <v>3060.3</v>
      </c>
      <c r="G49" s="316">
        <f>F49*(1+'MODEL INPUT'!$G$91)</f>
        <v>3090.9030000000002</v>
      </c>
      <c r="H49" s="316">
        <f>G49*(1+'MODEL INPUT'!$G$91)</f>
        <v>3121.8120300000005</v>
      </c>
      <c r="I49" s="316">
        <f>H49*(1+'MODEL INPUT'!$G$91)</f>
        <v>3153.0301503000005</v>
      </c>
      <c r="J49" s="316">
        <f>I49*(1+'MODEL INPUT'!$G$91)</f>
        <v>3184.5604518030004</v>
      </c>
      <c r="K49" s="316">
        <f>J49*(1+'MODEL INPUT'!$G$91)</f>
        <v>3216.4060563210305</v>
      </c>
      <c r="L49" s="72">
        <f>K49*(1+'MODEL INPUT'!$G$91)</f>
        <v>3248.5701168842406</v>
      </c>
      <c r="M49" s="72">
        <f>L49*(1+'MODEL INPUT'!$G$91)</f>
        <v>3281.0558180530829</v>
      </c>
      <c r="N49" s="72">
        <f>M49*(1+'MODEL INPUT'!$G$91)</f>
        <v>3313.8663762336137</v>
      </c>
      <c r="O49" s="72">
        <f>N49*(1+'MODEL INPUT'!$G$91)</f>
        <v>3347.00503999595</v>
      </c>
      <c r="P49" s="72">
        <f>O49*(1+'MODEL INPUT'!$G$91)</f>
        <v>3380.4750903959098</v>
      </c>
      <c r="Q49" s="72">
        <f>P49*(1+'MODEL INPUT'!$G$91)</f>
        <v>3414.2798412998691</v>
      </c>
      <c r="R49" s="72">
        <f>Q49*(1+'MODEL INPUT'!$G$91)</f>
        <v>3448.4226397128677</v>
      </c>
      <c r="S49" s="72">
        <f>R49*(1+'MODEL INPUT'!$G$91)</f>
        <v>3482.9068661099964</v>
      </c>
      <c r="T49" s="72">
        <f>S49*(1+'MODEL INPUT'!$G$91)</f>
        <v>3517.7359347710963</v>
      </c>
      <c r="U49" s="51"/>
      <c r="V49" s="51"/>
      <c r="W49" s="51"/>
      <c r="X49" s="2"/>
      <c r="Y49" s="51"/>
      <c r="Z49" s="51"/>
      <c r="AA49" s="51"/>
      <c r="AB49" s="2"/>
      <c r="AC49" s="51"/>
      <c r="AD49" s="51"/>
      <c r="AE49" s="51"/>
      <c r="AF49" s="2"/>
      <c r="AG49" s="51"/>
      <c r="AH49" s="51"/>
      <c r="AI49" s="51"/>
      <c r="AJ49" s="2"/>
      <c r="AK49" s="51"/>
      <c r="AL49" s="51"/>
      <c r="AM49" s="51"/>
      <c r="AN49" s="2"/>
      <c r="AO49" s="51"/>
      <c r="AP49" s="51"/>
      <c r="AQ49" s="51"/>
      <c r="AR49" s="2"/>
      <c r="AS49" s="51"/>
      <c r="AT49" s="51"/>
      <c r="AU49" s="51"/>
      <c r="AV49" s="2"/>
      <c r="AW49" s="51"/>
      <c r="AX49" s="51"/>
      <c r="AY49" s="51"/>
      <c r="AZ49" s="2"/>
      <c r="BA49" s="51"/>
      <c r="BB49" s="51"/>
      <c r="BC49" s="51"/>
      <c r="BD49" s="2"/>
      <c r="BE49" s="51"/>
      <c r="BF49" s="51"/>
      <c r="BG49" s="51"/>
      <c r="BH49" s="2"/>
      <c r="BI49" s="51"/>
      <c r="BJ49" s="51"/>
      <c r="BK49" s="51"/>
      <c r="BL49" s="2"/>
      <c r="BM49" s="51"/>
      <c r="BN49" s="51"/>
      <c r="BO49" s="51"/>
      <c r="BP49" s="2"/>
      <c r="BQ49" s="51"/>
      <c r="BR49" s="51"/>
      <c r="BS49" s="51"/>
      <c r="BT49" s="2"/>
      <c r="BU49" s="51"/>
    </row>
    <row r="50" spans="1:73" x14ac:dyDescent="0.2">
      <c r="A50" s="51"/>
      <c r="B50" s="51"/>
      <c r="C50" s="302" t="s">
        <v>378</v>
      </c>
      <c r="D50" s="372">
        <v>231000</v>
      </c>
      <c r="E50" s="372">
        <v>245000</v>
      </c>
      <c r="F50" s="372">
        <v>281000</v>
      </c>
      <c r="G50" s="372">
        <v>288000</v>
      </c>
      <c r="H50" s="372">
        <v>335000</v>
      </c>
      <c r="I50" s="372">
        <v>387000</v>
      </c>
      <c r="J50" s="372">
        <v>364000</v>
      </c>
      <c r="K50" s="372">
        <v>452000</v>
      </c>
      <c r="L50" s="304"/>
      <c r="M50" s="305"/>
      <c r="N50" s="305"/>
      <c r="O50" s="305"/>
      <c r="P50" s="305"/>
      <c r="Q50" s="305"/>
      <c r="R50" s="304"/>
      <c r="S50" s="305"/>
      <c r="T50" s="305"/>
      <c r="U50" s="51"/>
      <c r="V50" s="51"/>
      <c r="W50" s="51"/>
      <c r="X50" s="2"/>
      <c r="Y50" s="51"/>
      <c r="Z50" s="51"/>
      <c r="AA50" s="51"/>
      <c r="AB50" s="2"/>
      <c r="AC50" s="51"/>
      <c r="AD50" s="51"/>
      <c r="AE50" s="51"/>
      <c r="AF50" s="2"/>
      <c r="AG50" s="51"/>
      <c r="AH50" s="51"/>
      <c r="AI50" s="51"/>
      <c r="AJ50" s="2"/>
      <c r="AK50" s="51"/>
      <c r="AL50" s="51"/>
      <c r="AM50" s="51"/>
      <c r="AN50" s="2"/>
      <c r="AO50" s="51"/>
      <c r="AP50" s="51"/>
      <c r="AQ50" s="51"/>
      <c r="AR50" s="2"/>
      <c r="AS50" s="51"/>
      <c r="AT50" s="51"/>
      <c r="AU50" s="51"/>
      <c r="AV50" s="2"/>
      <c r="AW50" s="51"/>
      <c r="AX50" s="51"/>
      <c r="AY50" s="51"/>
      <c r="AZ50" s="2"/>
      <c r="BA50" s="51"/>
      <c r="BB50" s="51"/>
      <c r="BC50" s="51"/>
      <c r="BD50" s="2"/>
      <c r="BE50" s="51"/>
      <c r="BF50" s="51"/>
      <c r="BG50" s="51"/>
      <c r="BH50" s="2"/>
      <c r="BI50" s="51"/>
      <c r="BJ50" s="51"/>
      <c r="BK50" s="51"/>
      <c r="BL50" s="2"/>
      <c r="BM50" s="51"/>
      <c r="BN50" s="51"/>
      <c r="BO50" s="51"/>
      <c r="BP50" s="2"/>
      <c r="BQ50" s="51"/>
      <c r="BR50" s="51"/>
      <c r="BS50" s="51"/>
      <c r="BT50" s="2"/>
      <c r="BU50" s="51"/>
    </row>
    <row r="51" spans="1:73" x14ac:dyDescent="0.2">
      <c r="A51" s="51"/>
      <c r="B51" s="51"/>
      <c r="C51" s="61" t="s">
        <v>433</v>
      </c>
      <c r="D51" s="316">
        <f>D52*D49/1000</f>
        <v>128170.31941886188</v>
      </c>
      <c r="E51" s="316">
        <f t="shared" ref="E51:T51" si="6">E52*E49/1000</f>
        <v>155637.74815845318</v>
      </c>
      <c r="F51" s="316">
        <f t="shared" si="6"/>
        <v>187667.50351877484</v>
      </c>
      <c r="G51" s="316">
        <f t="shared" si="6"/>
        <v>224476.83037500002</v>
      </c>
      <c r="H51" s="316">
        <f t="shared" si="6"/>
        <v>266087.61993645126</v>
      </c>
      <c r="I51" s="316">
        <f t="shared" si="6"/>
        <v>312273.58023850812</v>
      </c>
      <c r="J51" s="316">
        <f t="shared" si="6"/>
        <v>362527.74098290951</v>
      </c>
      <c r="K51" s="316">
        <f t="shared" si="6"/>
        <v>416063.18142512144</v>
      </c>
      <c r="L51" s="71">
        <f t="shared" si="6"/>
        <v>471854.80947743595</v>
      </c>
      <c r="M51" s="71">
        <f t="shared" si="6"/>
        <v>528720.66377265425</v>
      </c>
      <c r="N51" s="71">
        <f t="shared" si="6"/>
        <v>585430.36129280785</v>
      </c>
      <c r="O51" s="71">
        <f t="shared" si="6"/>
        <v>640820.26619532879</v>
      </c>
      <c r="P51" s="71">
        <f t="shared" si="6"/>
        <v>693893.25022720941</v>
      </c>
      <c r="Q51" s="71">
        <f t="shared" si="6"/>
        <v>743886.2204232089</v>
      </c>
      <c r="R51" s="71">
        <f t="shared" si="6"/>
        <v>790298.33652925293</v>
      </c>
      <c r="S51" s="71">
        <f t="shared" si="6"/>
        <v>832882.86649044068</v>
      </c>
      <c r="T51" s="71">
        <f t="shared" si="6"/>
        <v>871612.50958739663</v>
      </c>
      <c r="U51" s="51"/>
      <c r="V51" s="51"/>
      <c r="W51" s="51"/>
      <c r="X51" s="2"/>
      <c r="Y51" s="51"/>
      <c r="Z51" s="51"/>
      <c r="AA51" s="51"/>
      <c r="AB51" s="2"/>
      <c r="AC51" s="51"/>
      <c r="AD51" s="51"/>
      <c r="AE51" s="51"/>
      <c r="AF51" s="2"/>
      <c r="AG51" s="51"/>
      <c r="AH51" s="51"/>
      <c r="AI51" s="51"/>
      <c r="AJ51" s="2"/>
      <c r="AK51" s="51"/>
      <c r="AL51" s="51"/>
      <c r="AM51" s="51"/>
      <c r="AN51" s="2"/>
      <c r="AO51" s="51"/>
      <c r="AP51" s="51"/>
      <c r="AQ51" s="51"/>
      <c r="AR51" s="2"/>
      <c r="AS51" s="51"/>
      <c r="AT51" s="51"/>
      <c r="AU51" s="51"/>
      <c r="AV51" s="2"/>
      <c r="AW51" s="51"/>
      <c r="AX51" s="51"/>
      <c r="AY51" s="51"/>
      <c r="AZ51" s="2"/>
      <c r="BA51" s="51"/>
      <c r="BB51" s="51"/>
      <c r="BC51" s="51"/>
      <c r="BD51" s="2"/>
      <c r="BE51" s="51"/>
      <c r="BF51" s="51"/>
      <c r="BG51" s="51"/>
      <c r="BH51" s="2"/>
      <c r="BI51" s="51"/>
      <c r="BJ51" s="51"/>
      <c r="BK51" s="51"/>
      <c r="BL51" s="2"/>
      <c r="BM51" s="51"/>
      <c r="BN51" s="51"/>
      <c r="BO51" s="51"/>
      <c r="BP51" s="2"/>
      <c r="BQ51" s="51"/>
      <c r="BR51" s="51"/>
      <c r="BS51" s="51"/>
      <c r="BT51" s="2"/>
      <c r="BU51" s="51"/>
    </row>
    <row r="52" spans="1:73" x14ac:dyDescent="0.2">
      <c r="A52" s="51"/>
      <c r="B52" s="51"/>
      <c r="C52" s="307" t="s">
        <v>379</v>
      </c>
      <c r="D52" s="147">
        <f>D48*SUM('MODEL INPUT'!$G$86, 'MODEL INPUT'!$G$88)</f>
        <v>42723.439806287293</v>
      </c>
      <c r="E52" s="147">
        <f>E48*SUM('MODEL INPUT'!$G$86, 'MODEL INPUT'!$G$88)</f>
        <v>51365.593451634704</v>
      </c>
      <c r="F52" s="147">
        <f>F48*SUM('MODEL INPUT'!$G$86, 'MODEL INPUT'!$G$88)</f>
        <v>61323.237433838127</v>
      </c>
      <c r="G52" s="147">
        <f>G48*SUM('MODEL INPUT'!$G$86, 'MODEL INPUT'!$G$88)</f>
        <v>72625</v>
      </c>
      <c r="H52" s="147">
        <f>H48*SUM('MODEL INPUT'!$G$86, 'MODEL INPUT'!$G$88)</f>
        <v>85234.990889714536</v>
      </c>
      <c r="I52" s="147">
        <f>I48*SUM('MODEL INPUT'!$G$86, 'MODEL INPUT'!$G$88)</f>
        <v>99039.198914351102</v>
      </c>
      <c r="J52" s="147">
        <f>J48*SUM('MODEL INPUT'!$G$86, 'MODEL INPUT'!$G$88)</f>
        <v>113839.17701347369</v>
      </c>
      <c r="K52" s="147">
        <f>K48*SUM('MODEL INPUT'!$G$86, 'MODEL INPUT'!$G$88)</f>
        <v>129356.54707136704</v>
      </c>
      <c r="L52" s="147">
        <f>L48*SUM('MODEL INPUT'!$G$86, 'MODEL INPUT'!$G$88)</f>
        <v>145250</v>
      </c>
      <c r="M52" s="147">
        <f>M48*SUM('MODEL INPUT'!$G$86, 'MODEL INPUT'!$G$88)</f>
        <v>161143.45292863296</v>
      </c>
      <c r="N52" s="147">
        <f>N48*SUM('MODEL INPUT'!$G$86, 'MODEL INPUT'!$G$88)</f>
        <v>176660.8229865263</v>
      </c>
      <c r="O52" s="147">
        <f>O48*SUM('MODEL INPUT'!$G$86, 'MODEL INPUT'!$G$88)</f>
        <v>191460.80108564888</v>
      </c>
      <c r="P52" s="147">
        <f>P48*SUM('MODEL INPUT'!$G$86, 'MODEL INPUT'!$G$88)</f>
        <v>205265.00911028546</v>
      </c>
      <c r="Q52" s="147">
        <f>Q48*SUM('MODEL INPUT'!$G$86, 'MODEL INPUT'!$G$88)</f>
        <v>217875</v>
      </c>
      <c r="R52" s="147">
        <f>R48*SUM('MODEL INPUT'!$G$86, 'MODEL INPUT'!$G$88)</f>
        <v>229176.76256616184</v>
      </c>
      <c r="S52" s="147">
        <f>S48*SUM('MODEL INPUT'!$G$86, 'MODEL INPUT'!$G$88)</f>
        <v>239134.40654836528</v>
      </c>
      <c r="T52" s="147">
        <f>T48*SUM('MODEL INPUT'!$G$86, 'MODEL INPUT'!$G$88)</f>
        <v>247776.56019371268</v>
      </c>
      <c r="U52" s="51"/>
      <c r="V52" s="51"/>
      <c r="W52" s="51"/>
      <c r="X52" s="2"/>
      <c r="Y52" s="51"/>
      <c r="Z52" s="51"/>
      <c r="AA52" s="51"/>
      <c r="AB52" s="2"/>
      <c r="AC52" s="51"/>
      <c r="AD52" s="51"/>
      <c r="AE52" s="51"/>
      <c r="AF52" s="2"/>
      <c r="AG52" s="51"/>
      <c r="AH52" s="51"/>
      <c r="AI52" s="51"/>
      <c r="AJ52" s="2"/>
      <c r="AK52" s="51"/>
      <c r="AL52" s="51"/>
      <c r="AM52" s="51"/>
      <c r="AN52" s="2"/>
      <c r="AO52" s="51"/>
      <c r="AP52" s="51"/>
      <c r="AQ52" s="51"/>
      <c r="AR52" s="2"/>
      <c r="AS52" s="51"/>
      <c r="AT52" s="51"/>
      <c r="AU52" s="51"/>
      <c r="AV52" s="2"/>
      <c r="AW52" s="51"/>
      <c r="AX52" s="51"/>
      <c r="AY52" s="51"/>
      <c r="AZ52" s="2"/>
      <c r="BA52" s="51"/>
      <c r="BB52" s="51"/>
      <c r="BC52" s="51"/>
      <c r="BD52" s="2"/>
      <c r="BE52" s="51"/>
      <c r="BF52" s="51"/>
      <c r="BG52" s="51"/>
      <c r="BH52" s="2"/>
      <c r="BI52" s="51"/>
      <c r="BJ52" s="51"/>
      <c r="BK52" s="51"/>
      <c r="BL52" s="2"/>
      <c r="BM52" s="51"/>
      <c r="BN52" s="51"/>
      <c r="BO52" s="51"/>
      <c r="BP52" s="2"/>
      <c r="BQ52" s="51"/>
      <c r="BR52" s="51"/>
      <c r="BS52" s="51"/>
      <c r="BT52" s="2"/>
      <c r="BU52" s="51"/>
    </row>
    <row r="53" spans="1:73" x14ac:dyDescent="0.2">
      <c r="A53" s="51"/>
      <c r="B53" s="51"/>
      <c r="C53" s="61" t="s">
        <v>380</v>
      </c>
      <c r="D53" s="317"/>
      <c r="E53" s="317"/>
      <c r="F53" s="317"/>
      <c r="G53" s="317"/>
      <c r="H53" s="317"/>
      <c r="I53" s="317"/>
      <c r="J53" s="317"/>
      <c r="K53" s="318"/>
      <c r="L53" s="76">
        <f>('PREVENTION &amp; SCREENING'!K61/'MODEL INPUT'!$G$89)+('PREVENTION &amp; SCREENING'!K90/'MODEL INPUT'!$G$93)</f>
        <v>14043.696041621717</v>
      </c>
      <c r="M53" s="76">
        <f>('PREVENTION &amp; SCREENING'!L61/'MODEL INPUT'!$G$89)+('PREVENTION &amp; SCREENING'!L90/'MODEL INPUT'!$G$93)</f>
        <v>17875.728795408617</v>
      </c>
      <c r="N53" s="76">
        <f>('PREVENTION &amp; SCREENING'!M61/'MODEL INPUT'!$G$89)+('PREVENTION &amp; SCREENING'!M90/'MODEL INPUT'!$G$93)</f>
        <v>20456.872023788845</v>
      </c>
      <c r="O53" s="76">
        <f>('PREVENTION &amp; SCREENING'!N61/'MODEL INPUT'!$G$89)+('PREVENTION &amp; SCREENING'!N90/'MODEL INPUT'!$G$93)</f>
        <v>30454.261131499916</v>
      </c>
      <c r="P53" s="76">
        <f>('PREVENTION &amp; SCREENING'!O61/'MODEL INPUT'!$G$89)+('PREVENTION &amp; SCREENING'!O90/'MODEL INPUT'!$G$93)</f>
        <v>35240.6268164961</v>
      </c>
      <c r="Q53" s="76">
        <f>('PREVENTION &amp; SCREENING'!P61/'MODEL INPUT'!$G$89)+('PREVENTION &amp; SCREENING'!P90/'MODEL INPUT'!$G$93)</f>
        <v>40639.783764700427</v>
      </c>
      <c r="R53" s="76">
        <f>('PREVENTION &amp; SCREENING'!Q61/'MODEL INPUT'!$G$89)+('PREVENTION &amp; SCREENING'!Q90/'MODEL INPUT'!$G$93)</f>
        <v>46674.159224151896</v>
      </c>
      <c r="S53" s="76">
        <f>('PREVENTION &amp; SCREENING'!R61/'MODEL INPUT'!$G$89)+('PREVENTION &amp; SCREENING'!R90/'MODEL INPUT'!$G$93)</f>
        <v>53353.795390141553</v>
      </c>
      <c r="T53" s="76">
        <f>('PREVENTION &amp; SCREENING'!S61/'MODEL INPUT'!$G$89)+('PREVENTION &amp; SCREENING'!S90/'MODEL INPUT'!$G$93)</f>
        <v>60682.944278018011</v>
      </c>
      <c r="U53" s="51"/>
      <c r="V53" s="362"/>
      <c r="W53" s="51"/>
      <c r="X53" s="2"/>
      <c r="Y53" s="51"/>
      <c r="Z53" s="51"/>
      <c r="AA53" s="51"/>
      <c r="AB53" s="2"/>
      <c r="AC53" s="51"/>
      <c r="AD53" s="51"/>
      <c r="AE53" s="51"/>
      <c r="AF53" s="2"/>
      <c r="AG53" s="51"/>
      <c r="AH53" s="51"/>
      <c r="AI53" s="51"/>
      <c r="AJ53" s="2"/>
      <c r="AK53" s="51"/>
      <c r="AL53" s="51"/>
      <c r="AM53" s="51"/>
      <c r="AN53" s="2"/>
      <c r="AO53" s="51"/>
      <c r="AP53" s="51"/>
      <c r="AQ53" s="51"/>
      <c r="AR53" s="2"/>
      <c r="AS53" s="51"/>
      <c r="AT53" s="51"/>
      <c r="AU53" s="51"/>
      <c r="AV53" s="2"/>
      <c r="AW53" s="51"/>
      <c r="AX53" s="51"/>
      <c r="AY53" s="51"/>
      <c r="AZ53" s="2"/>
      <c r="BA53" s="51"/>
      <c r="BB53" s="51"/>
      <c r="BC53" s="51"/>
      <c r="BD53" s="2"/>
      <c r="BE53" s="51"/>
      <c r="BF53" s="51"/>
      <c r="BG53" s="51"/>
      <c r="BH53" s="2"/>
      <c r="BI53" s="51"/>
      <c r="BJ53" s="51"/>
      <c r="BK53" s="51"/>
      <c r="BL53" s="2"/>
      <c r="BM53" s="51"/>
      <c r="BN53" s="51"/>
      <c r="BO53" s="51"/>
      <c r="BP53" s="2"/>
      <c r="BQ53" s="51"/>
      <c r="BR53" s="51"/>
      <c r="BS53" s="51"/>
      <c r="BT53" s="2"/>
      <c r="BU53" s="51"/>
    </row>
    <row r="54" spans="1:73" x14ac:dyDescent="0.2">
      <c r="A54" s="51"/>
      <c r="B54" s="51"/>
      <c r="C54" s="304" t="s">
        <v>381</v>
      </c>
      <c r="D54" s="100"/>
      <c r="E54" s="100"/>
      <c r="F54" s="100"/>
      <c r="G54" s="100"/>
      <c r="H54" s="100"/>
      <c r="I54" s="100"/>
      <c r="J54" s="100"/>
      <c r="K54" s="148"/>
      <c r="L54" s="308">
        <f>(L53*'MODEL INPUT'!$G$25)*L49/1000</f>
        <v>18248.772516567125</v>
      </c>
      <c r="M54" s="308">
        <f>(M53*'MODEL INPUT'!$G$25)*M49/1000</f>
        <v>23460.50558644579</v>
      </c>
      <c r="N54" s="308">
        <f>(N53*'MODEL INPUT'!$G$25)*N49/1000</f>
        <v>27116.536145019174</v>
      </c>
      <c r="O54" s="308">
        <f>(O53*'MODEL INPUT'!$G$25)*O49/1000</f>
        <v>40772.226198593191</v>
      </c>
      <c r="P54" s="308">
        <f>(P53*'MODEL INPUT'!$G$25)*P49/1000</f>
        <v>47652.024449241275</v>
      </c>
      <c r="Q54" s="308">
        <f>(Q53*'MODEL INPUT'!$G$25)*Q49/1000</f>
        <v>55502.237785040954</v>
      </c>
      <c r="R54" s="308">
        <f>(R53*'MODEL INPUT'!$G$25)*R49/1000</f>
        <v>64380.890943251441</v>
      </c>
      <c r="S54" s="308">
        <f>(S53*'MODEL INPUT'!$G$25)*S49/1000</f>
        <v>74330.520118940753</v>
      </c>
      <c r="T54" s="308">
        <f>(T53*'MODEL INPUT'!$G$25)*T49/1000</f>
        <v>85386.629485798418</v>
      </c>
      <c r="U54" s="51"/>
      <c r="V54" s="51"/>
      <c r="W54" s="51"/>
      <c r="X54" s="2"/>
      <c r="Y54" s="51"/>
      <c r="Z54" s="51"/>
      <c r="AA54" s="51"/>
      <c r="AB54" s="2"/>
      <c r="AC54" s="51"/>
      <c r="AD54" s="51"/>
      <c r="AE54" s="51"/>
      <c r="AF54" s="2"/>
      <c r="AG54" s="51"/>
      <c r="AH54" s="51"/>
      <c r="AI54" s="51"/>
      <c r="AJ54" s="2"/>
      <c r="AK54" s="51"/>
      <c r="AL54" s="51"/>
      <c r="AM54" s="51"/>
      <c r="AN54" s="2"/>
      <c r="AO54" s="51"/>
      <c r="AP54" s="51"/>
      <c r="AQ54" s="51"/>
      <c r="AR54" s="2"/>
      <c r="AS54" s="51"/>
      <c r="AT54" s="51"/>
      <c r="AU54" s="51"/>
      <c r="AV54" s="2"/>
      <c r="AW54" s="51"/>
      <c r="AX54" s="51"/>
      <c r="AY54" s="51"/>
      <c r="AZ54" s="2"/>
      <c r="BA54" s="51"/>
      <c r="BB54" s="51"/>
      <c r="BC54" s="51"/>
      <c r="BD54" s="2"/>
      <c r="BE54" s="51"/>
      <c r="BF54" s="51"/>
      <c r="BG54" s="51"/>
      <c r="BH54" s="2"/>
      <c r="BI54" s="51"/>
      <c r="BJ54" s="51"/>
      <c r="BK54" s="51"/>
      <c r="BL54" s="2"/>
      <c r="BM54" s="51"/>
      <c r="BN54" s="51"/>
      <c r="BO54" s="51"/>
      <c r="BP54" s="2"/>
      <c r="BQ54" s="51"/>
      <c r="BR54" s="51"/>
      <c r="BS54" s="51"/>
      <c r="BT54" s="2"/>
      <c r="BU54" s="51"/>
    </row>
    <row r="55" spans="1:73" x14ac:dyDescent="0.2">
      <c r="A55" s="51"/>
      <c r="B55" s="51"/>
      <c r="C55" s="61" t="s">
        <v>382</v>
      </c>
      <c r="D55" s="316">
        <v>231000</v>
      </c>
      <c r="E55" s="316">
        <v>246000</v>
      </c>
      <c r="F55" s="316">
        <v>280100</v>
      </c>
      <c r="G55" s="316">
        <v>287700</v>
      </c>
      <c r="H55" s="316">
        <v>334700</v>
      </c>
      <c r="I55" s="316">
        <v>398000</v>
      </c>
      <c r="J55" s="316">
        <v>364000</v>
      </c>
      <c r="K55" s="316">
        <v>452000</v>
      </c>
      <c r="L55" s="73">
        <f>L51+L54</f>
        <v>490103.58199400309</v>
      </c>
      <c r="M55" s="73">
        <f t="shared" ref="M55:T55" si="7">M51+M54</f>
        <v>552181.16935910005</v>
      </c>
      <c r="N55" s="73">
        <f t="shared" si="7"/>
        <v>612546.89743782708</v>
      </c>
      <c r="O55" s="73">
        <f t="shared" si="7"/>
        <v>681592.49239392194</v>
      </c>
      <c r="P55" s="73">
        <f t="shared" si="7"/>
        <v>741545.27467645064</v>
      </c>
      <c r="Q55" s="73">
        <f t="shared" si="7"/>
        <v>799388.45820824988</v>
      </c>
      <c r="R55" s="73">
        <f t="shared" si="7"/>
        <v>854679.22747250437</v>
      </c>
      <c r="S55" s="73">
        <f t="shared" si="7"/>
        <v>907213.38660938141</v>
      </c>
      <c r="T55" s="73">
        <f t="shared" si="7"/>
        <v>956999.13907319505</v>
      </c>
      <c r="U55" s="51"/>
      <c r="V55" s="51"/>
      <c r="W55" s="51"/>
      <c r="X55" s="2"/>
      <c r="Y55" s="51"/>
      <c r="Z55" s="51"/>
      <c r="AA55" s="51"/>
      <c r="AB55" s="2"/>
      <c r="AC55" s="51"/>
      <c r="AD55" s="51"/>
      <c r="AE55" s="51"/>
      <c r="AF55" s="2"/>
      <c r="AG55" s="51"/>
      <c r="AH55" s="51"/>
      <c r="AI55" s="51"/>
      <c r="AJ55" s="2"/>
      <c r="AK55" s="51"/>
      <c r="AL55" s="51"/>
      <c r="AM55" s="51"/>
      <c r="AN55" s="2"/>
      <c r="AO55" s="51"/>
      <c r="AP55" s="51"/>
      <c r="AQ55" s="51"/>
      <c r="AR55" s="2"/>
      <c r="AS55" s="51"/>
      <c r="AT55" s="51"/>
      <c r="AU55" s="51"/>
      <c r="AV55" s="2"/>
      <c r="AW55" s="51"/>
      <c r="AX55" s="51"/>
      <c r="AY55" s="51"/>
      <c r="AZ55" s="2"/>
      <c r="BA55" s="51"/>
      <c r="BB55" s="51"/>
      <c r="BC55" s="51"/>
      <c r="BD55" s="2"/>
      <c r="BE55" s="51"/>
      <c r="BF55" s="51"/>
      <c r="BG55" s="51"/>
      <c r="BH55" s="2"/>
      <c r="BI55" s="51"/>
      <c r="BJ55" s="51"/>
      <c r="BK55" s="51"/>
      <c r="BL55" s="2"/>
      <c r="BM55" s="51"/>
      <c r="BN55" s="51"/>
      <c r="BO55" s="51"/>
      <c r="BP55" s="2"/>
      <c r="BQ55" s="51"/>
      <c r="BR55" s="51"/>
      <c r="BS55" s="51"/>
      <c r="BT55" s="2"/>
      <c r="BU55" s="51"/>
    </row>
    <row r="56" spans="1:73" x14ac:dyDescent="0.2">
      <c r="A56" s="51"/>
      <c r="B56" s="51"/>
      <c r="C56" s="309" t="s">
        <v>383</v>
      </c>
      <c r="D56" s="319"/>
      <c r="E56" s="320"/>
      <c r="F56" s="320"/>
      <c r="G56" s="320"/>
      <c r="H56" s="320"/>
      <c r="I56" s="320"/>
      <c r="J56" s="320"/>
      <c r="K56" s="320"/>
      <c r="L56" s="310">
        <f>(L55/K55)-1</f>
        <v>8.4299960163723764E-2</v>
      </c>
      <c r="M56" s="310">
        <f t="shared" ref="M56:T56" si="8">(M55/L55)-1</f>
        <v>0.12666217845732164</v>
      </c>
      <c r="N56" s="310">
        <f t="shared" si="8"/>
        <v>0.10932232286876364</v>
      </c>
      <c r="O56" s="310">
        <f t="shared" si="8"/>
        <v>0.11271887139564352</v>
      </c>
      <c r="P56" s="310">
        <f t="shared" si="8"/>
        <v>8.7959863043619579E-2</v>
      </c>
      <c r="Q56" s="310">
        <f t="shared" si="8"/>
        <v>7.8003576460031088E-2</v>
      </c>
      <c r="R56" s="310">
        <f t="shared" si="8"/>
        <v>6.9166334210257752E-2</v>
      </c>
      <c r="S56" s="310">
        <f t="shared" si="8"/>
        <v>6.1466521530227691E-2</v>
      </c>
      <c r="T56" s="310">
        <f t="shared" si="8"/>
        <v>5.4877665165284695E-2</v>
      </c>
      <c r="U56" s="51"/>
      <c r="V56" s="51"/>
      <c r="W56" s="51"/>
      <c r="X56" s="2"/>
      <c r="Y56" s="51"/>
      <c r="Z56" s="51"/>
      <c r="AA56" s="51"/>
      <c r="AB56" s="2"/>
      <c r="AC56" s="51"/>
      <c r="AD56" s="51"/>
      <c r="AE56" s="51"/>
      <c r="AF56" s="2"/>
      <c r="AG56" s="51"/>
      <c r="AH56" s="51"/>
      <c r="AI56" s="51"/>
      <c r="AJ56" s="2"/>
      <c r="AK56" s="51"/>
      <c r="AL56" s="51"/>
      <c r="AM56" s="51"/>
      <c r="AN56" s="2"/>
      <c r="AO56" s="51"/>
      <c r="AP56" s="51"/>
      <c r="AQ56" s="51"/>
      <c r="AR56" s="2"/>
      <c r="AS56" s="51"/>
      <c r="AT56" s="51"/>
      <c r="AU56" s="51"/>
      <c r="AV56" s="2"/>
      <c r="AW56" s="51"/>
      <c r="AX56" s="51"/>
      <c r="AY56" s="51"/>
      <c r="AZ56" s="2"/>
      <c r="BA56" s="51"/>
      <c r="BB56" s="51"/>
      <c r="BC56" s="51"/>
      <c r="BD56" s="2"/>
      <c r="BE56" s="51"/>
      <c r="BF56" s="51"/>
      <c r="BG56" s="51"/>
      <c r="BH56" s="2"/>
      <c r="BI56" s="51"/>
      <c r="BJ56" s="51"/>
      <c r="BK56" s="51"/>
      <c r="BL56" s="2"/>
      <c r="BM56" s="51"/>
      <c r="BN56" s="51"/>
      <c r="BO56" s="51"/>
      <c r="BP56" s="2"/>
      <c r="BQ56" s="51"/>
      <c r="BR56" s="51"/>
      <c r="BS56" s="51"/>
      <c r="BT56" s="2"/>
      <c r="BU56" s="51"/>
    </row>
    <row r="57" spans="1:73" ht="17" thickBot="1" x14ac:dyDescent="0.25">
      <c r="A57" s="51"/>
      <c r="B57" s="51"/>
      <c r="C57" s="56" t="s">
        <v>384</v>
      </c>
      <c r="D57" s="56">
        <v>2014</v>
      </c>
      <c r="E57" s="56">
        <v>2015</v>
      </c>
      <c r="F57" s="56">
        <v>2016</v>
      </c>
      <c r="G57" s="56">
        <v>2017</v>
      </c>
      <c r="H57" s="56">
        <v>2018</v>
      </c>
      <c r="I57" s="56">
        <v>2019</v>
      </c>
      <c r="J57" s="56">
        <v>2020</v>
      </c>
      <c r="K57" s="56">
        <v>2021</v>
      </c>
      <c r="L57" s="56">
        <v>2022</v>
      </c>
      <c r="M57" s="56">
        <v>2023</v>
      </c>
      <c r="N57" s="56">
        <v>2024</v>
      </c>
      <c r="O57" s="56">
        <v>2025</v>
      </c>
      <c r="P57" s="56">
        <v>2026</v>
      </c>
      <c r="Q57" s="56">
        <v>2027</v>
      </c>
      <c r="R57" s="56">
        <v>2028</v>
      </c>
      <c r="S57" s="56">
        <v>2029</v>
      </c>
      <c r="T57" s="56">
        <v>2030</v>
      </c>
      <c r="U57" s="51"/>
      <c r="V57" s="51"/>
      <c r="W57" s="51"/>
      <c r="X57" s="2"/>
      <c r="Y57" s="51"/>
      <c r="Z57" s="51"/>
      <c r="AA57" s="51"/>
      <c r="AB57" s="2"/>
      <c r="AC57" s="51"/>
      <c r="AD57" s="51"/>
      <c r="AE57" s="51"/>
      <c r="AF57" s="2"/>
      <c r="AG57" s="51"/>
      <c r="AH57" s="51"/>
      <c r="AI57" s="51"/>
      <c r="AJ57" s="2"/>
      <c r="AK57" s="51"/>
      <c r="AL57" s="51"/>
      <c r="AM57" s="51"/>
      <c r="AN57" s="2"/>
      <c r="AO57" s="51"/>
      <c r="AP57" s="51"/>
      <c r="AQ57" s="51"/>
      <c r="AR57" s="2"/>
      <c r="AS57" s="51"/>
      <c r="AT57" s="51"/>
      <c r="AU57" s="51"/>
      <c r="AV57" s="2"/>
      <c r="AW57" s="51"/>
      <c r="AX57" s="51"/>
      <c r="AY57" s="51"/>
      <c r="AZ57" s="2"/>
      <c r="BA57" s="51"/>
      <c r="BB57" s="51"/>
      <c r="BC57" s="51"/>
      <c r="BD57" s="2"/>
      <c r="BE57" s="51"/>
      <c r="BF57" s="51"/>
      <c r="BG57" s="51"/>
      <c r="BH57" s="2"/>
      <c r="BI57" s="51"/>
      <c r="BJ57" s="51"/>
      <c r="BK57" s="51"/>
      <c r="BL57" s="2"/>
      <c r="BM57" s="51"/>
      <c r="BN57" s="51"/>
      <c r="BO57" s="51"/>
      <c r="BP57" s="2"/>
      <c r="BQ57" s="51"/>
      <c r="BR57" s="51"/>
      <c r="BS57" s="51"/>
      <c r="BT57" s="2"/>
      <c r="BU57" s="51"/>
    </row>
    <row r="58" spans="1:73" ht="17" thickTop="1" x14ac:dyDescent="0.2">
      <c r="A58" s="51"/>
      <c r="B58" s="51"/>
      <c r="C58" s="301" t="s">
        <v>376</v>
      </c>
      <c r="D58" s="315">
        <f>'MODEL INPUT'!$G$105/(1+POWER(81, ('MODEL INPUT'!$G$106+('MODEL INPUT'!$G$107/2)-D57)/'MODEL INPUT'!$G$107))</f>
        <v>7.4517894080285522E-3</v>
      </c>
      <c r="E58" s="315">
        <f>'MODEL INPUT'!$G$105/(1+POWER(81, ('MODEL INPUT'!$G$106+('MODEL INPUT'!$G$107/2)-E57)/'MODEL INPUT'!$G$107))</f>
        <v>8.8206670401178473E-3</v>
      </c>
      <c r="F58" s="315">
        <f>'MODEL INPUT'!$G$105/(1+POWER(81, ('MODEL INPUT'!$G$106+('MODEL INPUT'!$G$107/2)-F57)/'MODEL INPUT'!$G$107))</f>
        <v>1.042738681023998E-2</v>
      </c>
      <c r="G58" s="315">
        <f>'MODEL INPUT'!$G$105/(1+POWER(81, ('MODEL INPUT'!$G$106+('MODEL INPUT'!$G$107/2)-G57)/'MODEL INPUT'!$G$107))</f>
        <v>1.2307935179810211E-2</v>
      </c>
      <c r="H58" s="315">
        <f>'MODEL INPUT'!$G$105/(1+POWER(81, ('MODEL INPUT'!$G$106+('MODEL INPUT'!$G$107/2)-H57)/'MODEL INPUT'!$G$107))</f>
        <v>1.4501690906876769E-2</v>
      </c>
      <c r="I58" s="315">
        <f>'MODEL INPUT'!$G$105/(1+POWER(81, ('MODEL INPUT'!$G$106+('MODEL INPUT'!$G$107/2)-I57)/'MODEL INPUT'!$G$107))</f>
        <v>1.7050938061859085E-2</v>
      </c>
      <c r="J58" s="315">
        <f>'MODEL INPUT'!$G$105/(1+POWER(81, ('MODEL INPUT'!$G$106+('MODEL INPUT'!$G$107/2)-J57)/'MODEL INPUT'!$G$107))</f>
        <v>0.02</v>
      </c>
      <c r="K58" s="315">
        <f>'MODEL INPUT'!$G$105/(1+POWER(81, ('MODEL INPUT'!$G$106+('MODEL INPUT'!$G$107/2)-K57)/'MODEL INPUT'!$G$107))</f>
        <v>2.3393898205714074E-2</v>
      </c>
      <c r="L58" s="301">
        <f>'MODEL INPUT'!$G$105/(1+POWER(81, ('MODEL INPUT'!$G$106+('MODEL INPUT'!$G$107/2)-L57)/'MODEL INPUT'!$G$107))</f>
        <v>2.7276450046814713E-2</v>
      </c>
      <c r="M58" s="301">
        <f>'MODEL INPUT'!$G$105/(1+POWER(81, ('MODEL INPUT'!$G$106+('MODEL INPUT'!$G$107/2)-M57)/'MODEL INPUT'!$G$107))</f>
        <v>3.1687750949250741E-2</v>
      </c>
      <c r="N58" s="301">
        <f>'MODEL INPUT'!$G$105/(1+POWER(81, ('MODEL INPUT'!$G$106+('MODEL INPUT'!$G$107/2)-N57)/'MODEL INPUT'!$G$107))</f>
        <v>3.6661046809475184E-2</v>
      </c>
      <c r="O58" s="301">
        <f>'MODEL INPUT'!$G$105/(1+POWER(81, ('MODEL INPUT'!$G$106+('MODEL INPUT'!$G$107/2)-O57)/'MODEL INPUT'!$G$107))</f>
        <v>4.2219096339991824E-2</v>
      </c>
      <c r="P58" s="301">
        <f>'MODEL INPUT'!$G$105/(1+POWER(81, ('MODEL INPUT'!$G$106+('MODEL INPUT'!$G$107/2)-P57)/'MODEL INPUT'!$G$107))</f>
        <v>4.8370248479292131E-2</v>
      </c>
      <c r="Q58" s="301">
        <f>'MODEL INPUT'!$G$105/(1+POWER(81, ('MODEL INPUT'!$G$106+('MODEL INPUT'!$G$107/2)-Q57)/'MODEL INPUT'!$G$107))</f>
        <v>5.5104603653475664E-2</v>
      </c>
      <c r="R58" s="301">
        <f>'MODEL INPUT'!$G$105/(1+POWER(81, ('MODEL INPUT'!$G$106+('MODEL INPUT'!$G$107/2)-R57)/'MODEL INPUT'!$G$107))</f>
        <v>6.2390761677556347E-2</v>
      </c>
      <c r="S58" s="301">
        <f>'MODEL INPUT'!$G$105/(1+POWER(81, ('MODEL INPUT'!$G$106+('MODEL INPUT'!$G$107/2)-S57)/'MODEL INPUT'!$G$107))</f>
        <v>7.0173742114851834E-2</v>
      </c>
      <c r="T58" s="301">
        <f>'MODEL INPUT'!$G$105/(1+POWER(81, ('MODEL INPUT'!$G$106+('MODEL INPUT'!$G$107/2)-T57)/'MODEL INPUT'!$G$107))</f>
        <v>7.8374648546281372E-2</v>
      </c>
      <c r="U58" s="51"/>
      <c r="V58" s="51"/>
      <c r="W58" s="51"/>
      <c r="X58" s="2"/>
      <c r="Y58" s="51"/>
      <c r="Z58" s="51"/>
      <c r="AA58" s="51"/>
      <c r="AB58" s="2"/>
      <c r="AC58" s="51"/>
      <c r="AD58" s="51"/>
      <c r="AE58" s="51"/>
      <c r="AF58" s="2"/>
      <c r="AG58" s="51"/>
      <c r="AH58" s="51"/>
      <c r="AI58" s="51"/>
      <c r="AJ58" s="2"/>
      <c r="AK58" s="51"/>
      <c r="AL58" s="51"/>
      <c r="AM58" s="51"/>
      <c r="AN58" s="2"/>
      <c r="AO58" s="51"/>
      <c r="AP58" s="51"/>
      <c r="AQ58" s="51"/>
      <c r="AR58" s="2"/>
      <c r="AS58" s="51"/>
      <c r="AT58" s="51"/>
      <c r="AU58" s="51"/>
      <c r="AV58" s="2"/>
      <c r="AW58" s="51"/>
      <c r="AX58" s="51"/>
      <c r="AY58" s="51"/>
      <c r="AZ58" s="2"/>
      <c r="BA58" s="51"/>
      <c r="BB58" s="51"/>
      <c r="BC58" s="51"/>
      <c r="BD58" s="2"/>
      <c r="BE58" s="51"/>
      <c r="BF58" s="51"/>
      <c r="BG58" s="51"/>
      <c r="BH58" s="2"/>
      <c r="BI58" s="51"/>
      <c r="BJ58" s="51"/>
      <c r="BK58" s="51"/>
      <c r="BL58" s="2"/>
      <c r="BM58" s="51"/>
      <c r="BN58" s="51"/>
      <c r="BO58" s="51"/>
      <c r="BP58" s="2"/>
      <c r="BQ58" s="51"/>
      <c r="BR58" s="51"/>
      <c r="BS58" s="51"/>
      <c r="BT58" s="2"/>
      <c r="BU58" s="51"/>
    </row>
    <row r="59" spans="1:73" x14ac:dyDescent="0.2">
      <c r="A59" s="51"/>
      <c r="B59" s="51"/>
      <c r="C59" s="61" t="s">
        <v>377</v>
      </c>
      <c r="D59" s="316">
        <f>'MODEL INPUT'!G103</f>
        <v>1350</v>
      </c>
      <c r="E59" s="316">
        <f>D59*(1+'MODEL INPUT'!$G$104)</f>
        <v>1377</v>
      </c>
      <c r="F59" s="316">
        <f>E59*(1+'MODEL INPUT'!$G$104)</f>
        <v>1404.54</v>
      </c>
      <c r="G59" s="316">
        <f>F59*(1+'MODEL INPUT'!$G$104)</f>
        <v>1432.6307999999999</v>
      </c>
      <c r="H59" s="316">
        <f>G59*(1+'MODEL INPUT'!$G$104)</f>
        <v>1461.283416</v>
      </c>
      <c r="I59" s="316">
        <f>H59*(1+'MODEL INPUT'!$G$104)</f>
        <v>1490.5090843200001</v>
      </c>
      <c r="J59" s="316">
        <f>I59*(1+'MODEL INPUT'!$G$104)</f>
        <v>1520.3192660064001</v>
      </c>
      <c r="K59" s="316">
        <f>J59*(1+'MODEL INPUT'!$G$104)</f>
        <v>1550.7256513265281</v>
      </c>
      <c r="L59" s="71">
        <f>K59*(1+'MODEL INPUT'!$G$104)</f>
        <v>1581.7401643530586</v>
      </c>
      <c r="M59" s="71">
        <f>L59*(1+'MODEL INPUT'!$G$104)</f>
        <v>1613.3749676401198</v>
      </c>
      <c r="N59" s="71">
        <f>M59*(1+'MODEL INPUT'!$G$104)</f>
        <v>1645.6424669929222</v>
      </c>
      <c r="O59" s="71">
        <f>N59*(1+'MODEL INPUT'!$G$104)</f>
        <v>1678.5553163327806</v>
      </c>
      <c r="P59" s="71">
        <f>O59*(1+'MODEL INPUT'!$G$104)</f>
        <v>1712.1264226594362</v>
      </c>
      <c r="Q59" s="71">
        <f>P59*(1+'MODEL INPUT'!$G$104)</f>
        <v>1746.3689511126249</v>
      </c>
      <c r="R59" s="71">
        <f>Q59*(1+'MODEL INPUT'!$G$104)</f>
        <v>1781.2963301348775</v>
      </c>
      <c r="S59" s="71">
        <f>R59*(1+'MODEL INPUT'!$G$104)</f>
        <v>1816.922256737575</v>
      </c>
      <c r="T59" s="71">
        <f>S59*(1+'MODEL INPUT'!$G$104)</f>
        <v>1853.2607018723265</v>
      </c>
      <c r="U59" s="51"/>
      <c r="V59" s="51"/>
      <c r="W59" s="51"/>
      <c r="X59" s="2"/>
      <c r="Y59" s="51"/>
      <c r="Z59" s="51"/>
      <c r="AA59" s="51"/>
      <c r="AB59" s="2"/>
      <c r="AC59" s="51"/>
      <c r="AD59" s="51"/>
      <c r="AE59" s="51"/>
      <c r="AF59" s="2"/>
      <c r="AG59" s="51"/>
      <c r="AH59" s="51"/>
      <c r="AI59" s="51"/>
      <c r="AJ59" s="2"/>
      <c r="AK59" s="51"/>
      <c r="AL59" s="51"/>
      <c r="AM59" s="51"/>
      <c r="AN59" s="2"/>
      <c r="AO59" s="51"/>
      <c r="AP59" s="51"/>
      <c r="AQ59" s="51"/>
      <c r="AR59" s="2"/>
      <c r="AS59" s="51"/>
      <c r="AT59" s="51"/>
      <c r="AU59" s="51"/>
      <c r="AV59" s="2"/>
      <c r="AW59" s="51"/>
      <c r="AX59" s="51"/>
      <c r="AY59" s="51"/>
      <c r="AZ59" s="2"/>
      <c r="BA59" s="51"/>
      <c r="BB59" s="51"/>
      <c r="BC59" s="51"/>
      <c r="BD59" s="2"/>
      <c r="BE59" s="51"/>
      <c r="BF59" s="51"/>
      <c r="BG59" s="51"/>
      <c r="BH59" s="2"/>
      <c r="BI59" s="51"/>
      <c r="BJ59" s="51"/>
      <c r="BK59" s="51"/>
      <c r="BL59" s="2"/>
      <c r="BM59" s="51"/>
      <c r="BN59" s="51"/>
      <c r="BO59" s="51"/>
      <c r="BP59" s="2"/>
      <c r="BQ59" s="51"/>
      <c r="BR59" s="51"/>
      <c r="BS59" s="51"/>
      <c r="BT59" s="2"/>
      <c r="BU59" s="51"/>
    </row>
    <row r="60" spans="1:73" x14ac:dyDescent="0.2">
      <c r="A60" s="51"/>
      <c r="B60" s="51"/>
      <c r="C60" s="302" t="s">
        <v>378</v>
      </c>
      <c r="D60" s="372">
        <v>45000</v>
      </c>
      <c r="E60" s="372">
        <v>41500</v>
      </c>
      <c r="F60" s="372">
        <v>46800</v>
      </c>
      <c r="G60" s="372">
        <v>53100</v>
      </c>
      <c r="H60" s="372">
        <v>59400</v>
      </c>
      <c r="I60" s="372">
        <v>58000</v>
      </c>
      <c r="J60" s="372">
        <v>77000</v>
      </c>
      <c r="K60" s="372">
        <v>110000</v>
      </c>
      <c r="L60" s="303"/>
      <c r="M60" s="303"/>
      <c r="N60" s="303"/>
      <c r="O60" s="303"/>
      <c r="P60" s="303"/>
      <c r="Q60" s="303"/>
      <c r="R60" s="303"/>
      <c r="S60" s="303"/>
      <c r="T60" s="303"/>
      <c r="U60" s="51"/>
      <c r="V60" s="92"/>
      <c r="W60" s="92"/>
      <c r="X60" s="2"/>
      <c r="Y60" s="51"/>
      <c r="Z60" s="51"/>
      <c r="AA60" s="51"/>
      <c r="AB60" s="2"/>
      <c r="AC60" s="51"/>
      <c r="AD60" s="51"/>
      <c r="AE60" s="51"/>
      <c r="AF60" s="2"/>
      <c r="AG60" s="51"/>
      <c r="AH60" s="51"/>
      <c r="AI60" s="51"/>
      <c r="AJ60" s="2"/>
      <c r="AK60" s="51"/>
      <c r="AL60" s="51"/>
      <c r="AM60" s="51"/>
      <c r="AN60" s="2"/>
      <c r="AO60" s="51"/>
      <c r="AP60" s="51"/>
      <c r="AQ60" s="51"/>
      <c r="AR60" s="2"/>
      <c r="AS60" s="51"/>
      <c r="AT60" s="51"/>
      <c r="AU60" s="51"/>
      <c r="AV60" s="2"/>
      <c r="AW60" s="51"/>
      <c r="AX60" s="51"/>
      <c r="AY60" s="51"/>
      <c r="AZ60" s="2"/>
      <c r="BA60" s="51"/>
      <c r="BB60" s="51"/>
      <c r="BC60" s="51"/>
      <c r="BD60" s="2"/>
      <c r="BE60" s="51"/>
      <c r="BF60" s="51"/>
      <c r="BG60" s="51"/>
      <c r="BH60" s="2"/>
      <c r="BI60" s="51"/>
      <c r="BJ60" s="51"/>
      <c r="BK60" s="51"/>
      <c r="BL60" s="2"/>
      <c r="BM60" s="51"/>
      <c r="BN60" s="51"/>
      <c r="BO60" s="51"/>
      <c r="BP60" s="2"/>
      <c r="BQ60" s="51"/>
      <c r="BR60" s="51"/>
      <c r="BS60" s="51"/>
      <c r="BT60" s="2"/>
      <c r="BU60" s="51"/>
    </row>
    <row r="61" spans="1:73" x14ac:dyDescent="0.2">
      <c r="A61" s="51"/>
      <c r="B61" s="51"/>
      <c r="C61" s="61" t="s">
        <v>379</v>
      </c>
      <c r="D61" s="318">
        <f>(D60*1000)/D59</f>
        <v>33333.333333333336</v>
      </c>
      <c r="E61" s="318">
        <f t="shared" ref="E61:K61" si="9">(E60*1000)/E59</f>
        <v>30137.981118373275</v>
      </c>
      <c r="F61" s="318">
        <f t="shared" si="9"/>
        <v>33320.517749583494</v>
      </c>
      <c r="G61" s="318">
        <f t="shared" si="9"/>
        <v>37064.678492183753</v>
      </c>
      <c r="H61" s="318">
        <f t="shared" si="9"/>
        <v>40649.198745166628</v>
      </c>
      <c r="I61" s="318">
        <f t="shared" si="9"/>
        <v>38912.879237137124</v>
      </c>
      <c r="J61" s="318">
        <f t="shared" si="9"/>
        <v>50647.256613582802</v>
      </c>
      <c r="K61" s="318">
        <f t="shared" si="9"/>
        <v>70934.533072244827</v>
      </c>
      <c r="L61" s="77">
        <f>L58*SUM('MODEL INPUT'!$G$99, 'MODEL INPUT'!$G$101)</f>
        <v>81829.350140444134</v>
      </c>
      <c r="M61" s="77">
        <f>M58*SUM('MODEL INPUT'!$G$99, 'MODEL INPUT'!$G$101)</f>
        <v>95063.252847752228</v>
      </c>
      <c r="N61" s="77">
        <f>N58*SUM('MODEL INPUT'!$G$99, 'MODEL INPUT'!$G$101)</f>
        <v>109983.14042842556</v>
      </c>
      <c r="O61" s="77">
        <f>O58*SUM('MODEL INPUT'!$G$99, 'MODEL INPUT'!$G$101)</f>
        <v>126657.28901997548</v>
      </c>
      <c r="P61" s="77">
        <f>P58*SUM('MODEL INPUT'!$G$99, 'MODEL INPUT'!$G$101)</f>
        <v>145110.74543787641</v>
      </c>
      <c r="Q61" s="77">
        <f>Q58*SUM('MODEL INPUT'!$G$99, 'MODEL INPUT'!$G$101)</f>
        <v>165313.81096042698</v>
      </c>
      <c r="R61" s="77">
        <f>R58*SUM('MODEL INPUT'!$G$99, 'MODEL INPUT'!$G$101)</f>
        <v>187172.28503266905</v>
      </c>
      <c r="S61" s="77">
        <f>S58*SUM('MODEL INPUT'!$G$99, 'MODEL INPUT'!$G$101)</f>
        <v>210521.2263445555</v>
      </c>
      <c r="T61" s="77">
        <f>T58*SUM('MODEL INPUT'!$G$99, 'MODEL INPUT'!$G$101)</f>
        <v>235123.9456388441</v>
      </c>
      <c r="U61" s="51"/>
      <c r="V61" s="92"/>
      <c r="W61" s="92"/>
      <c r="X61" s="2"/>
      <c r="Y61" s="51"/>
      <c r="Z61" s="51"/>
      <c r="AA61" s="51"/>
      <c r="AB61" s="2"/>
      <c r="AC61" s="51"/>
      <c r="AD61" s="51"/>
      <c r="AE61" s="51"/>
      <c r="AF61" s="2"/>
      <c r="AG61" s="51"/>
      <c r="AH61" s="51"/>
      <c r="AI61" s="51"/>
      <c r="AJ61" s="2"/>
      <c r="AK61" s="51"/>
      <c r="AL61" s="51"/>
      <c r="AM61" s="51"/>
      <c r="AN61" s="2"/>
      <c r="AO61" s="51"/>
      <c r="AP61" s="51"/>
      <c r="AQ61" s="51"/>
      <c r="AR61" s="2"/>
      <c r="AS61" s="51"/>
      <c r="AT61" s="51"/>
      <c r="AU61" s="51"/>
      <c r="AV61" s="2"/>
      <c r="AW61" s="51"/>
      <c r="AX61" s="51"/>
      <c r="AY61" s="51"/>
      <c r="AZ61" s="2"/>
      <c r="BA61" s="51"/>
      <c r="BB61" s="51"/>
      <c r="BC61" s="51"/>
      <c r="BD61" s="2"/>
      <c r="BE61" s="51"/>
      <c r="BF61" s="51"/>
      <c r="BG61" s="51"/>
      <c r="BH61" s="2"/>
      <c r="BI61" s="51"/>
      <c r="BJ61" s="51"/>
      <c r="BK61" s="51"/>
      <c r="BL61" s="2"/>
      <c r="BM61" s="51"/>
      <c r="BN61" s="51"/>
      <c r="BO61" s="51"/>
      <c r="BP61" s="2"/>
      <c r="BQ61" s="51"/>
      <c r="BR61" s="51"/>
      <c r="BS61" s="51"/>
      <c r="BT61" s="2"/>
      <c r="BU61" s="51"/>
    </row>
    <row r="62" spans="1:73" x14ac:dyDescent="0.2">
      <c r="A62" s="51"/>
      <c r="B62" s="51"/>
      <c r="C62" s="307" t="s">
        <v>433</v>
      </c>
      <c r="D62" s="148">
        <f>D58*SUM('MODEL INPUT'!$G$99, 'MODEL INPUT'!$G$101)*D59/1000</f>
        <v>30179.747102515637</v>
      </c>
      <c r="E62" s="148">
        <f>E58*SUM('MODEL INPUT'!$G$99, 'MODEL INPUT'!$G$101)*E59/1000</f>
        <v>36438.175542726829</v>
      </c>
      <c r="F62" s="148">
        <f>F58*SUM('MODEL INPUT'!$G$99, 'MODEL INPUT'!$G$101)*F59/1000</f>
        <v>43937.045611363385</v>
      </c>
      <c r="G62" s="148">
        <f>G58*SUM('MODEL INPUT'!$G$99, 'MODEL INPUT'!$G$101)*G59/1000</f>
        <v>52898.181068998943</v>
      </c>
      <c r="H62" s="148">
        <f>H58*SUM('MODEL INPUT'!$G$99, 'MODEL INPUT'!$G$101)*H59/1000</f>
        <v>63573.241278531066</v>
      </c>
      <c r="I62" s="148">
        <f>I58*SUM('MODEL INPUT'!$G$99, 'MODEL INPUT'!$G$101)*I59/1000</f>
        <v>76243.734232135859</v>
      </c>
      <c r="J62" s="148">
        <f>J58*SUM('MODEL INPUT'!$G$99, 'MODEL INPUT'!$G$101)*J59/1000</f>
        <v>91219.155960384014</v>
      </c>
      <c r="K62" s="148">
        <f>K58*SUM('MODEL INPUT'!$G$99, 'MODEL INPUT'!$G$101)*K59/1000</f>
        <v>108832.55409636736</v>
      </c>
      <c r="L62" s="308">
        <f>L61*L59/1000</f>
        <v>129432.76974005008</v>
      </c>
      <c r="M62" s="308">
        <f t="shared" ref="M62:T62" si="10">M61*M59/1000</f>
        <v>153372.67248700678</v>
      </c>
      <c r="N62" s="308">
        <f t="shared" si="10"/>
        <v>180992.92654226325</v>
      </c>
      <c r="O62" s="308">
        <f t="shared" si="10"/>
        <v>212601.26583677737</v>
      </c>
      <c r="P62" s="308">
        <f t="shared" si="10"/>
        <v>248447.94147599544</v>
      </c>
      <c r="Q62" s="308">
        <f t="shared" si="10"/>
        <v>288698.90665139165</v>
      </c>
      <c r="R62" s="308">
        <f t="shared" si="10"/>
        <v>333409.30443165265</v>
      </c>
      <c r="S62" s="308">
        <f t="shared" si="10"/>
        <v>382500.70166111161</v>
      </c>
      <c r="T62" s="308">
        <f t="shared" si="10"/>
        <v>435745.96852163499</v>
      </c>
      <c r="U62" s="51"/>
      <c r="V62" s="92"/>
      <c r="W62" s="92"/>
      <c r="X62" s="2"/>
      <c r="Y62" s="51"/>
      <c r="Z62" s="51"/>
      <c r="AA62" s="51"/>
      <c r="AB62" s="2"/>
      <c r="AC62" s="51"/>
      <c r="AD62" s="51"/>
      <c r="AE62" s="51"/>
      <c r="AF62" s="2"/>
      <c r="AG62" s="51"/>
      <c r="AH62" s="51"/>
      <c r="AI62" s="51"/>
      <c r="AJ62" s="2"/>
      <c r="AK62" s="51"/>
      <c r="AL62" s="51"/>
      <c r="AM62" s="51"/>
      <c r="AN62" s="2"/>
      <c r="AO62" s="51"/>
      <c r="AP62" s="51"/>
      <c r="AQ62" s="51"/>
      <c r="AR62" s="2"/>
      <c r="AS62" s="51"/>
      <c r="AT62" s="51"/>
      <c r="AU62" s="51"/>
      <c r="AV62" s="2"/>
      <c r="AW62" s="51"/>
      <c r="AX62" s="51"/>
      <c r="AY62" s="51"/>
      <c r="AZ62" s="2"/>
      <c r="BA62" s="51"/>
      <c r="BB62" s="51"/>
      <c r="BC62" s="51"/>
      <c r="BD62" s="2"/>
      <c r="BE62" s="51"/>
      <c r="BF62" s="51"/>
      <c r="BG62" s="51"/>
      <c r="BH62" s="2"/>
      <c r="BI62" s="51"/>
      <c r="BJ62" s="51"/>
      <c r="BK62" s="51"/>
      <c r="BL62" s="2"/>
      <c r="BM62" s="51"/>
      <c r="BN62" s="51"/>
      <c r="BO62" s="51"/>
      <c r="BP62" s="2"/>
      <c r="BQ62" s="51"/>
      <c r="BR62" s="51"/>
      <c r="BS62" s="51"/>
      <c r="BT62" s="2"/>
      <c r="BU62" s="51"/>
    </row>
    <row r="63" spans="1:73" x14ac:dyDescent="0.2">
      <c r="A63" s="51"/>
      <c r="B63" s="51"/>
      <c r="C63" s="62" t="s">
        <v>383</v>
      </c>
      <c r="D63" s="321"/>
      <c r="E63" s="321"/>
      <c r="F63" s="321"/>
      <c r="G63" s="321"/>
      <c r="H63" s="321"/>
      <c r="I63" s="321"/>
      <c r="J63" s="321"/>
      <c r="K63" s="322">
        <f>(K62/J62)-1</f>
        <v>0.19308880849141752</v>
      </c>
      <c r="L63" s="74">
        <f>(L62/K62)-1</f>
        <v>0.18928358168863668</v>
      </c>
      <c r="M63" s="74">
        <f t="shared" ref="M63:T63" si="11">(M62/L62)-1</f>
        <v>0.18496013640932718</v>
      </c>
      <c r="N63" s="74">
        <f t="shared" si="11"/>
        <v>0.18008588888347332</v>
      </c>
      <c r="O63" s="74">
        <f t="shared" si="11"/>
        <v>0.17463853366188498</v>
      </c>
      <c r="P63" s="74">
        <f t="shared" si="11"/>
        <v>0.16860988808382271</v>
      </c>
      <c r="Q63" s="74">
        <f t="shared" si="11"/>
        <v>0.1620096545629266</v>
      </c>
      <c r="R63" s="74">
        <f t="shared" si="11"/>
        <v>0.15486860791700008</v>
      </c>
      <c r="S63" s="74">
        <f t="shared" si="11"/>
        <v>0.1472406335904235</v>
      </c>
      <c r="T63" s="74">
        <f t="shared" si="11"/>
        <v>0.13920305669843636</v>
      </c>
      <c r="U63" s="51"/>
      <c r="V63" s="92"/>
      <c r="W63" s="92"/>
      <c r="X63" s="2"/>
      <c r="Y63" s="51"/>
      <c r="Z63" s="51"/>
      <c r="AA63" s="51"/>
      <c r="AB63" s="2"/>
      <c r="AC63" s="51"/>
      <c r="AD63" s="51"/>
      <c r="AE63" s="51"/>
      <c r="AF63" s="2"/>
      <c r="AG63" s="51"/>
      <c r="AH63" s="51"/>
      <c r="AI63" s="51"/>
      <c r="AJ63" s="2"/>
      <c r="AK63" s="51"/>
      <c r="AL63" s="51"/>
      <c r="AM63" s="51"/>
      <c r="AN63" s="2"/>
      <c r="AO63" s="51"/>
      <c r="AP63" s="51"/>
      <c r="AQ63" s="51"/>
      <c r="AR63" s="2"/>
      <c r="AS63" s="51"/>
      <c r="AT63" s="51"/>
      <c r="AU63" s="51"/>
      <c r="AV63" s="2"/>
      <c r="AW63" s="51"/>
      <c r="AX63" s="51"/>
      <c r="AY63" s="51"/>
      <c r="AZ63" s="2"/>
      <c r="BA63" s="51"/>
      <c r="BB63" s="51"/>
      <c r="BC63" s="51"/>
      <c r="BD63" s="2"/>
      <c r="BE63" s="51"/>
      <c r="BF63" s="51"/>
      <c r="BG63" s="51"/>
      <c r="BH63" s="2"/>
      <c r="BI63" s="51"/>
      <c r="BJ63" s="51"/>
      <c r="BK63" s="51"/>
      <c r="BL63" s="2"/>
      <c r="BM63" s="51"/>
      <c r="BN63" s="51"/>
      <c r="BO63" s="51"/>
      <c r="BP63" s="2"/>
      <c r="BQ63" s="51"/>
      <c r="BR63" s="51"/>
      <c r="BS63" s="51"/>
      <c r="BT63" s="2"/>
      <c r="BU63" s="51"/>
    </row>
    <row r="64" spans="1:73" ht="17" thickBot="1" x14ac:dyDescent="0.25">
      <c r="A64" s="51"/>
      <c r="B64" s="51"/>
      <c r="C64" s="366" t="s">
        <v>385</v>
      </c>
      <c r="D64" s="367">
        <f>D60+D50</f>
        <v>276000</v>
      </c>
      <c r="E64" s="367">
        <f t="shared" ref="E64:K64" si="12">E60+E50</f>
        <v>286500</v>
      </c>
      <c r="F64" s="367">
        <f t="shared" si="12"/>
        <v>327800</v>
      </c>
      <c r="G64" s="367">
        <f t="shared" si="12"/>
        <v>341100</v>
      </c>
      <c r="H64" s="367">
        <f t="shared" si="12"/>
        <v>394400</v>
      </c>
      <c r="I64" s="367">
        <f t="shared" si="12"/>
        <v>445000</v>
      </c>
      <c r="J64" s="367">
        <f t="shared" si="12"/>
        <v>441000</v>
      </c>
      <c r="K64" s="367">
        <f t="shared" si="12"/>
        <v>562000</v>
      </c>
      <c r="L64" s="367">
        <f>L62+L55</f>
        <v>619536.35173405311</v>
      </c>
      <c r="M64" s="367">
        <f t="shared" ref="M64:T64" si="13">M62+M55</f>
        <v>705553.84184610681</v>
      </c>
      <c r="N64" s="367">
        <f t="shared" si="13"/>
        <v>793539.82398009032</v>
      </c>
      <c r="O64" s="367">
        <f t="shared" si="13"/>
        <v>894193.75823069934</v>
      </c>
      <c r="P64" s="367">
        <f t="shared" si="13"/>
        <v>989993.21615244611</v>
      </c>
      <c r="Q64" s="367">
        <f t="shared" si="13"/>
        <v>1088087.3648596415</v>
      </c>
      <c r="R64" s="367">
        <f t="shared" si="13"/>
        <v>1188088.531904157</v>
      </c>
      <c r="S64" s="367">
        <f t="shared" si="13"/>
        <v>1289714.0882704931</v>
      </c>
      <c r="T64" s="367">
        <f t="shared" si="13"/>
        <v>1392745.10759483</v>
      </c>
      <c r="U64" s="51"/>
      <c r="V64" s="92"/>
      <c r="W64" s="92"/>
      <c r="X64" s="2"/>
      <c r="Y64" s="51"/>
      <c r="Z64" s="51"/>
      <c r="AA64" s="51"/>
      <c r="AB64" s="2"/>
      <c r="AC64" s="51"/>
      <c r="AD64" s="51"/>
      <c r="AE64" s="51"/>
      <c r="AF64" s="2"/>
      <c r="AG64" s="51"/>
      <c r="AH64" s="51"/>
      <c r="AI64" s="51"/>
      <c r="AJ64" s="2"/>
      <c r="AK64" s="51"/>
      <c r="AL64" s="51"/>
      <c r="AM64" s="51"/>
      <c r="AN64" s="2"/>
      <c r="AO64" s="51"/>
      <c r="AP64" s="51"/>
      <c r="AQ64" s="51"/>
      <c r="AR64" s="2"/>
      <c r="AS64" s="51"/>
      <c r="AT64" s="51"/>
      <c r="AU64" s="51"/>
      <c r="AV64" s="2"/>
      <c r="AW64" s="51"/>
      <c r="AX64" s="51"/>
      <c r="AY64" s="51"/>
      <c r="AZ64" s="2"/>
      <c r="BA64" s="51"/>
      <c r="BB64" s="51"/>
      <c r="BC64" s="51"/>
      <c r="BD64" s="2"/>
      <c r="BE64" s="51"/>
      <c r="BF64" s="51"/>
      <c r="BG64" s="51"/>
      <c r="BH64" s="2"/>
      <c r="BI64" s="51"/>
      <c r="BJ64" s="51"/>
      <c r="BK64" s="51"/>
      <c r="BL64" s="2"/>
      <c r="BM64" s="51"/>
      <c r="BN64" s="51"/>
      <c r="BO64" s="51"/>
      <c r="BP64" s="2"/>
      <c r="BQ64" s="51"/>
      <c r="BR64" s="51"/>
      <c r="BS64" s="51"/>
      <c r="BT64" s="2"/>
      <c r="BU64" s="51"/>
    </row>
    <row r="65" spans="1:73" ht="17" thickTop="1" x14ac:dyDescent="0.2">
      <c r="A65" s="51"/>
      <c r="B65" s="51"/>
      <c r="C65" s="51"/>
      <c r="D65" s="2"/>
      <c r="E65" s="51"/>
      <c r="F65" s="51"/>
      <c r="G65" s="51"/>
      <c r="H65" s="2"/>
      <c r="I65" s="51"/>
      <c r="J65" s="51"/>
      <c r="K65" s="51"/>
      <c r="L65" s="2"/>
      <c r="M65" s="51"/>
      <c r="N65" s="51"/>
      <c r="O65" s="51"/>
      <c r="P65" s="2"/>
      <c r="Q65" s="51"/>
      <c r="R65" s="51"/>
      <c r="S65" s="51"/>
      <c r="T65" s="2"/>
      <c r="U65" s="51"/>
      <c r="V65" s="92"/>
      <c r="W65" s="92"/>
      <c r="X65" s="2"/>
      <c r="Y65" s="51"/>
      <c r="Z65" s="51"/>
      <c r="AA65" s="51"/>
      <c r="AB65" s="2"/>
      <c r="AC65" s="51"/>
      <c r="AD65" s="51"/>
      <c r="AE65" s="51"/>
      <c r="AF65" s="2"/>
      <c r="AG65" s="51"/>
      <c r="AH65" s="51"/>
      <c r="AI65" s="51"/>
      <c r="AJ65" s="2"/>
      <c r="AK65" s="51"/>
      <c r="AL65" s="51"/>
      <c r="AM65" s="51"/>
      <c r="AN65" s="2"/>
      <c r="AO65" s="51"/>
      <c r="AP65" s="51"/>
      <c r="AQ65" s="51"/>
      <c r="AR65" s="2"/>
      <c r="AS65" s="51"/>
      <c r="AT65" s="51"/>
      <c r="AU65" s="51"/>
      <c r="AV65" s="2"/>
      <c r="AW65" s="51"/>
      <c r="AX65" s="51"/>
      <c r="AY65" s="51"/>
      <c r="AZ65" s="2"/>
      <c r="BA65" s="51"/>
      <c r="BB65" s="51"/>
      <c r="BC65" s="51"/>
      <c r="BD65" s="2"/>
      <c r="BE65" s="51"/>
      <c r="BF65" s="51"/>
      <c r="BG65" s="51"/>
      <c r="BH65" s="2"/>
      <c r="BI65" s="51"/>
      <c r="BJ65" s="51"/>
      <c r="BK65" s="51"/>
      <c r="BL65" s="2"/>
      <c r="BM65" s="51"/>
      <c r="BN65" s="51"/>
      <c r="BO65" s="51"/>
      <c r="BP65" s="2"/>
      <c r="BQ65" s="51"/>
      <c r="BR65" s="51"/>
      <c r="BS65" s="51"/>
      <c r="BT65" s="2"/>
      <c r="BU65" s="51"/>
    </row>
    <row r="66" spans="1:73" ht="20" thickBot="1" x14ac:dyDescent="0.25">
      <c r="A66" s="51"/>
      <c r="B66" s="51"/>
      <c r="C66" s="57" t="s">
        <v>386</v>
      </c>
      <c r="D66" s="57">
        <v>2014</v>
      </c>
      <c r="E66" s="57">
        <v>2015</v>
      </c>
      <c r="F66" s="57">
        <v>2016</v>
      </c>
      <c r="G66" s="57">
        <v>2017</v>
      </c>
      <c r="H66" s="57">
        <v>2018</v>
      </c>
      <c r="I66" s="57">
        <v>2019</v>
      </c>
      <c r="J66" s="57">
        <v>2020</v>
      </c>
      <c r="K66" s="57">
        <v>2021</v>
      </c>
      <c r="L66" s="57">
        <v>2022</v>
      </c>
      <c r="M66" s="57">
        <v>2023</v>
      </c>
      <c r="N66" s="57">
        <v>2024</v>
      </c>
      <c r="O66" s="57">
        <v>2025</v>
      </c>
      <c r="P66" s="57">
        <v>2026</v>
      </c>
      <c r="Q66" s="57">
        <v>2027</v>
      </c>
      <c r="R66" s="57">
        <v>2028</v>
      </c>
      <c r="S66" s="57">
        <v>2029</v>
      </c>
      <c r="T66" s="57">
        <v>2030</v>
      </c>
      <c r="U66" s="51"/>
      <c r="V66" s="399" t="s">
        <v>387</v>
      </c>
      <c r="W66" s="399"/>
      <c r="X66" s="2"/>
      <c r="Y66" s="51"/>
      <c r="Z66" s="51"/>
      <c r="AA66" s="51"/>
      <c r="AB66" s="2"/>
      <c r="AC66" s="51"/>
      <c r="AD66" s="51"/>
      <c r="AE66" s="51"/>
      <c r="AF66" s="2"/>
      <c r="AG66" s="51"/>
      <c r="AH66" s="51"/>
      <c r="AI66" s="51"/>
      <c r="AJ66" s="2"/>
      <c r="AK66" s="51"/>
      <c r="AL66" s="51"/>
      <c r="AM66" s="51"/>
      <c r="AN66" s="2"/>
      <c r="AO66" s="51"/>
      <c r="AP66" s="51"/>
      <c r="AQ66" s="51"/>
      <c r="AR66" s="2"/>
      <c r="AS66" s="51"/>
      <c r="AT66" s="51"/>
      <c r="AU66" s="51"/>
      <c r="AV66" s="2"/>
      <c r="AW66" s="51"/>
      <c r="AX66" s="51"/>
      <c r="AY66" s="51"/>
      <c r="AZ66" s="2"/>
      <c r="BA66" s="51"/>
      <c r="BB66" s="51"/>
      <c r="BC66" s="51"/>
      <c r="BD66" s="2"/>
      <c r="BE66" s="51"/>
      <c r="BF66" s="51"/>
      <c r="BG66" s="51"/>
      <c r="BH66" s="2"/>
      <c r="BI66" s="51"/>
      <c r="BJ66" s="51"/>
      <c r="BK66" s="51"/>
      <c r="BL66" s="2"/>
      <c r="BM66" s="51"/>
      <c r="BN66" s="51"/>
      <c r="BO66" s="51"/>
      <c r="BP66" s="2"/>
      <c r="BQ66" s="51"/>
      <c r="BR66" s="51"/>
      <c r="BS66" s="51"/>
      <c r="BT66" s="2"/>
      <c r="BU66" s="51"/>
    </row>
    <row r="67" spans="1:73" ht="17" thickTop="1" x14ac:dyDescent="0.2">
      <c r="A67" s="51"/>
      <c r="B67" s="51"/>
      <c r="C67" s="311" t="s">
        <v>388</v>
      </c>
      <c r="D67" s="311"/>
      <c r="E67" s="311"/>
      <c r="F67" s="311"/>
      <c r="G67" s="311"/>
      <c r="H67" s="311"/>
      <c r="I67" s="311"/>
      <c r="J67" s="311"/>
      <c r="K67" s="311"/>
      <c r="L67" s="311"/>
      <c r="M67" s="301">
        <f>'MODEL INPUT'!$G$27/(1+POWER(81, ('MODEL INPUT'!$G$28+('MODEL INPUT'!$G$116/2)-M66)/'MODEL INPUT'!$G$116))</f>
        <v>1.8798435857207648E-3</v>
      </c>
      <c r="N67" s="301">
        <f>'MODEL INPUT'!$G$27/(1+POWER(81, ('MODEL INPUT'!$G$28+('MODEL INPUT'!$G$116/2)-N66)/'MODEL INPUT'!$G$116))</f>
        <v>2.8872748393428851E-3</v>
      </c>
      <c r="O67" s="301">
        <f>'MODEL INPUT'!$G$27/(1+POWER(81, ('MODEL INPUT'!$G$28+('MODEL INPUT'!$G$116/2)-O66)/'MODEL INPUT'!$G$116))</f>
        <v>4.4103335200589237E-3</v>
      </c>
      <c r="P67" s="301">
        <f>'MODEL INPUT'!$G$27/(1+POWER(81, ('MODEL INPUT'!$G$28+('MODEL INPUT'!$G$116/2)-P66)/'MODEL INPUT'!$G$116))</f>
        <v>6.6815397004367826E-3</v>
      </c>
      <c r="Q67" s="301">
        <f>'MODEL INPUT'!$G$27/(1+POWER(81, ('MODEL INPUT'!$G$28+('MODEL INPUT'!$G$116/2)-Q66)/'MODEL INPUT'!$G$116))</f>
        <v>0.01</v>
      </c>
      <c r="R67" s="301">
        <f>'MODEL INPUT'!$G$27/(1+POWER(81, ('MODEL INPUT'!$G$28+('MODEL INPUT'!$G$116/2)-R66)/'MODEL INPUT'!$G$116))</f>
        <v>1.4706863960856213E-2</v>
      </c>
      <c r="S67" s="301">
        <f>'MODEL INPUT'!$G$27/(1+POWER(81, ('MODEL INPUT'!$G$28+('MODEL INPUT'!$G$116/2)-S66)/'MODEL INPUT'!$G$116))</f>
        <v>2.1109548169995912E-2</v>
      </c>
      <c r="T67" s="301">
        <f>'MODEL INPUT'!$G$27/(1+POWER(81, ('MODEL INPUT'!$G$28+('MODEL INPUT'!$G$116/2)-T66)/'MODEL INPUT'!$G$116))</f>
        <v>2.9340788602311374E-2</v>
      </c>
      <c r="U67" s="51"/>
      <c r="V67" s="360" t="s">
        <v>389</v>
      </c>
      <c r="W67" s="361"/>
      <c r="X67" s="2"/>
      <c r="Y67" s="51"/>
      <c r="Z67" s="51"/>
      <c r="AA67" s="51"/>
      <c r="AB67" s="2"/>
      <c r="AC67" s="51"/>
      <c r="AD67" s="51"/>
      <c r="AE67" s="51"/>
      <c r="AF67" s="2"/>
      <c r="AG67" s="51"/>
      <c r="AH67" s="51"/>
      <c r="AI67" s="51"/>
      <c r="AJ67" s="2"/>
      <c r="AK67" s="51"/>
      <c r="AL67" s="51"/>
      <c r="AM67" s="51"/>
      <c r="AN67" s="2"/>
      <c r="AO67" s="51"/>
      <c r="AP67" s="51"/>
      <c r="AQ67" s="51"/>
      <c r="AR67" s="2"/>
      <c r="AS67" s="51"/>
      <c r="AT67" s="51"/>
      <c r="AU67" s="51"/>
      <c r="AV67" s="2"/>
      <c r="AW67" s="51"/>
      <c r="AX67" s="51"/>
      <c r="AY67" s="51"/>
      <c r="AZ67" s="2"/>
      <c r="BA67" s="51"/>
      <c r="BB67" s="51"/>
      <c r="BC67" s="51"/>
      <c r="BD67" s="2"/>
      <c r="BE67" s="51"/>
      <c r="BF67" s="51"/>
      <c r="BG67" s="51"/>
      <c r="BH67" s="2"/>
      <c r="BI67" s="51"/>
      <c r="BJ67" s="51"/>
      <c r="BK67" s="51"/>
      <c r="BL67" s="2"/>
      <c r="BM67" s="51"/>
      <c r="BN67" s="51"/>
      <c r="BO67" s="51"/>
      <c r="BP67" s="2"/>
      <c r="BQ67" s="51"/>
      <c r="BR67" s="51"/>
      <c r="BS67" s="51"/>
      <c r="BT67" s="2"/>
      <c r="BU67" s="51"/>
    </row>
    <row r="68" spans="1:73" x14ac:dyDescent="0.2">
      <c r="A68" s="51"/>
      <c r="B68" s="51"/>
      <c r="C68" s="22" t="s">
        <v>390</v>
      </c>
      <c r="D68" s="22"/>
      <c r="E68" s="22"/>
      <c r="F68" s="22"/>
      <c r="G68" s="22"/>
      <c r="H68" s="22"/>
      <c r="I68" s="22"/>
      <c r="J68" s="22"/>
      <c r="K68" s="22"/>
      <c r="L68" s="22"/>
      <c r="M68" s="79">
        <f>M67*('MODEL INPUT'!$G$110*'MODEL INPUT'!$G$111*'MODEL INPUT'!$G$112)</f>
        <v>1488.8361198908458</v>
      </c>
      <c r="N68" s="79">
        <f>N67*('MODEL INPUT'!$G$110*'MODEL INPUT'!$G$111*'MODEL INPUT'!$G$112)</f>
        <v>2286.7216727595651</v>
      </c>
      <c r="O68" s="79">
        <f>O67*('MODEL INPUT'!$G$110*'MODEL INPUT'!$G$111*'MODEL INPUT'!$G$112)</f>
        <v>3492.9841478866674</v>
      </c>
      <c r="P68" s="79">
        <f>P67*('MODEL INPUT'!$G$110*'MODEL INPUT'!$G$111*'MODEL INPUT'!$G$112)</f>
        <v>5291.7794427459321</v>
      </c>
      <c r="Q68" s="79">
        <f>Q67*('MODEL INPUT'!$G$110*'MODEL INPUT'!$G$111*'MODEL INPUT'!$G$112)</f>
        <v>7920</v>
      </c>
      <c r="R68" s="79">
        <f>R67*('MODEL INPUT'!$G$110*'MODEL INPUT'!$G$111*'MODEL INPUT'!$G$112)</f>
        <v>11647.83625699812</v>
      </c>
      <c r="S68" s="79">
        <f>S67*('MODEL INPUT'!$G$110*'MODEL INPUT'!$G$111*'MODEL INPUT'!$G$112)</f>
        <v>16718.762150636761</v>
      </c>
      <c r="T68" s="79">
        <f>T67*('MODEL INPUT'!$G$110*'MODEL INPUT'!$G$111*'MODEL INPUT'!$G$112)</f>
        <v>23237.90457303061</v>
      </c>
      <c r="U68" s="51"/>
      <c r="V68" s="350" t="s">
        <v>391</v>
      </c>
      <c r="W68" s="351"/>
      <c r="X68" s="2"/>
      <c r="Y68" s="51"/>
      <c r="Z68" s="51"/>
      <c r="AA68" s="51"/>
      <c r="AB68" s="2"/>
      <c r="AC68" s="51"/>
      <c r="AD68" s="51"/>
      <c r="AE68" s="51"/>
      <c r="AF68" s="2"/>
      <c r="AG68" s="51"/>
      <c r="AH68" s="51"/>
      <c r="AI68" s="51"/>
      <c r="AJ68" s="2"/>
      <c r="AK68" s="51"/>
      <c r="AL68" s="51"/>
      <c r="AM68" s="51"/>
      <c r="AN68" s="2"/>
      <c r="AO68" s="51"/>
      <c r="AP68" s="51"/>
      <c r="AQ68" s="51"/>
      <c r="AR68" s="2"/>
      <c r="AS68" s="51"/>
      <c r="AT68" s="51"/>
      <c r="AU68" s="51"/>
      <c r="AV68" s="2"/>
      <c r="AW68" s="51"/>
      <c r="AX68" s="51"/>
      <c r="AY68" s="51"/>
      <c r="AZ68" s="2"/>
      <c r="BA68" s="51"/>
      <c r="BB68" s="51"/>
      <c r="BC68" s="51"/>
      <c r="BD68" s="2"/>
      <c r="BE68" s="51"/>
      <c r="BF68" s="51"/>
      <c r="BG68" s="51"/>
      <c r="BH68" s="2"/>
      <c r="BI68" s="51"/>
      <c r="BJ68" s="51"/>
      <c r="BK68" s="51"/>
      <c r="BL68" s="2"/>
      <c r="BM68" s="51"/>
      <c r="BN68" s="51"/>
      <c r="BO68" s="51"/>
      <c r="BP68" s="2"/>
      <c r="BQ68" s="51"/>
      <c r="BR68" s="51"/>
      <c r="BS68" s="51"/>
      <c r="BT68" s="2"/>
      <c r="BU68" s="51"/>
    </row>
    <row r="69" spans="1:73" x14ac:dyDescent="0.2">
      <c r="A69" s="51"/>
      <c r="B69" s="51"/>
      <c r="C69" s="304" t="s">
        <v>392</v>
      </c>
      <c r="D69" s="304"/>
      <c r="E69" s="304"/>
      <c r="F69" s="304"/>
      <c r="G69" s="304"/>
      <c r="H69" s="304"/>
      <c r="I69" s="304"/>
      <c r="J69" s="304"/>
      <c r="K69" s="304"/>
      <c r="L69" s="304"/>
      <c r="M69" s="307">
        <f>('PREVENTION &amp; SCREENING'!L61/'MODEL INPUT'!$G$89)+('PREVENTION &amp; SCREENING'!L90/'MODEL INPUT'!$G$93)</f>
        <v>17875.728795408617</v>
      </c>
      <c r="N69" s="307">
        <f>('PREVENTION &amp; SCREENING'!M61/'MODEL INPUT'!$G$89)+('PREVENTION &amp; SCREENING'!M90/'MODEL INPUT'!$G$93)</f>
        <v>20456.872023788845</v>
      </c>
      <c r="O69" s="307">
        <f>('PREVENTION &amp; SCREENING'!N61/'MODEL INPUT'!$G$89)+('PREVENTION &amp; SCREENING'!N90/'MODEL INPUT'!$G$93)</f>
        <v>30454.261131499916</v>
      </c>
      <c r="P69" s="307">
        <f>('PREVENTION &amp; SCREENING'!O61/'MODEL INPUT'!$G$89)+('PREVENTION &amp; SCREENING'!O90/'MODEL INPUT'!$G$93)</f>
        <v>35240.6268164961</v>
      </c>
      <c r="Q69" s="307">
        <f>('PREVENTION &amp; SCREENING'!P61/'MODEL INPUT'!$G$89)+('PREVENTION &amp; SCREENING'!P90/'MODEL INPUT'!$G$93)</f>
        <v>40639.783764700427</v>
      </c>
      <c r="R69" s="307">
        <f>('PREVENTION &amp; SCREENING'!Q61/'MODEL INPUT'!$G$89)+('PREVENTION &amp; SCREENING'!Q90/'MODEL INPUT'!$G$93)</f>
        <v>46674.159224151896</v>
      </c>
      <c r="S69" s="307">
        <f>('PREVENTION &amp; SCREENING'!R61/'MODEL INPUT'!$G$89)+('PREVENTION &amp; SCREENING'!R90/'MODEL INPUT'!$G$93)</f>
        <v>53353.795390141553</v>
      </c>
      <c r="T69" s="307">
        <f>('PREVENTION &amp; SCREENING'!S61/'MODEL INPUT'!$G$89)+('PREVENTION &amp; SCREENING'!S90/'MODEL INPUT'!$G$93)</f>
        <v>60682.944278018011</v>
      </c>
      <c r="U69" s="51"/>
      <c r="V69" s="352" t="s">
        <v>393</v>
      </c>
      <c r="W69" s="353">
        <v>-2.9600000000000001E-2</v>
      </c>
      <c r="X69" s="2"/>
      <c r="Y69" s="51"/>
      <c r="Z69" s="51"/>
      <c r="AA69" s="51"/>
      <c r="AB69" s="2"/>
      <c r="AC69" s="51"/>
      <c r="AD69" s="51"/>
      <c r="AE69" s="51"/>
      <c r="AF69" s="2"/>
      <c r="AG69" s="51"/>
      <c r="AH69" s="51"/>
      <c r="AI69" s="51"/>
      <c r="AJ69" s="2"/>
      <c r="AK69" s="51"/>
      <c r="AL69" s="51"/>
      <c r="AM69" s="51"/>
      <c r="AN69" s="2"/>
      <c r="AO69" s="51"/>
      <c r="AP69" s="51"/>
      <c r="AQ69" s="51"/>
      <c r="AR69" s="2"/>
      <c r="AS69" s="51"/>
      <c r="AT69" s="51"/>
      <c r="AU69" s="51"/>
      <c r="AV69" s="2"/>
      <c r="AW69" s="51"/>
      <c r="AX69" s="51"/>
      <c r="AY69" s="51"/>
      <c r="AZ69" s="2"/>
      <c r="BA69" s="51"/>
      <c r="BB69" s="51"/>
      <c r="BC69" s="51"/>
      <c r="BD69" s="2"/>
      <c r="BE69" s="51"/>
      <c r="BF69" s="51"/>
      <c r="BG69" s="51"/>
      <c r="BH69" s="2"/>
      <c r="BI69" s="51"/>
      <c r="BJ69" s="51"/>
      <c r="BK69" s="51"/>
      <c r="BL69" s="2"/>
      <c r="BM69" s="51"/>
      <c r="BN69" s="51"/>
      <c r="BO69" s="51"/>
      <c r="BP69" s="2"/>
      <c r="BQ69" s="51"/>
      <c r="BR69" s="51"/>
      <c r="BS69" s="51"/>
      <c r="BT69" s="2"/>
      <c r="BU69" s="51"/>
    </row>
    <row r="70" spans="1:73" x14ac:dyDescent="0.2">
      <c r="A70" s="51"/>
      <c r="B70" s="51"/>
      <c r="C70" s="22" t="s">
        <v>394</v>
      </c>
      <c r="D70" s="22"/>
      <c r="E70" s="22"/>
      <c r="F70" s="22"/>
      <c r="G70" s="22"/>
      <c r="H70" s="22"/>
      <c r="I70" s="22"/>
      <c r="J70" s="22"/>
      <c r="K70" s="22"/>
      <c r="L70" s="22"/>
      <c r="M70" s="79">
        <f>('PROGNOSTICS &amp; MRD'!M68)+('PROGNOSTICS &amp; MRD'!M52*'MODEL INPUT'!$G$26)+('PROGNOSTICS &amp; MRD'!M69*'MODEL INPUT'!$G$25)</f>
        <v>32810.645577349234</v>
      </c>
      <c r="N70" s="79">
        <f>('PROGNOSTICS &amp; MRD'!N68)+('PROGNOSTICS &amp; MRD'!N52*'MODEL INPUT'!$G$26)+('PROGNOSTICS &amp; MRD'!N69*'MODEL INPUT'!$G$25)</f>
        <v>36968.59393025405</v>
      </c>
      <c r="O70" s="79">
        <f>('PROGNOSTICS &amp; MRD'!O68)+('PROGNOSTICS &amp; MRD'!O52*'MODEL INPUT'!$G$26)+('PROGNOSTICS &amp; MRD'!O69*'MODEL INPUT'!$G$25)</f>
        <v>44393.808763333967</v>
      </c>
      <c r="P70" s="79">
        <f>('PROGNOSTICS &amp; MRD'!P68)+('PROGNOSTICS &amp; MRD'!P52*'MODEL INPUT'!$G$26)+('PROGNOSTICS &amp; MRD'!P69*'MODEL INPUT'!$G$25)</f>
        <v>50177.781535887189</v>
      </c>
      <c r="Q70" s="79">
        <f>('PROGNOSTICS &amp; MRD'!Q68)+('PROGNOSTICS &amp; MRD'!Q52*'MODEL INPUT'!$G$26)+('PROGNOSTICS &amp; MRD'!Q69*'MODEL INPUT'!$G$25)</f>
        <v>56857.163505880169</v>
      </c>
      <c r="R70" s="79">
        <f>('PROGNOSTICS &amp; MRD'!R68)+('PROGNOSTICS &amp; MRD'!R52*'MODEL INPUT'!$G$26)+('PROGNOSTICS &amp; MRD'!R69*'MODEL INPUT'!$G$25)</f>
        <v>64694.014331583152</v>
      </c>
      <c r="S70" s="79">
        <f>('PROGNOSTICS &amp; MRD'!S68)+('PROGNOSTICS &amp; MRD'!S52*'MODEL INPUT'!$G$26)+('PROGNOSTICS &amp; MRD'!S69*'MODEL INPUT'!$G$25)</f>
        <v>73930.441288948175</v>
      </c>
      <c r="T70" s="79">
        <f>('PROGNOSTICS &amp; MRD'!T68)+('PROGNOSTICS &amp; MRD'!T52*'MODEL INPUT'!$G$26)+('PROGNOSTICS &amp; MRD'!T69*'MODEL INPUT'!$G$25)</f>
        <v>84677.566313294708</v>
      </c>
      <c r="U70" s="51"/>
      <c r="V70" s="350" t="s">
        <v>395</v>
      </c>
      <c r="W70" s="354">
        <v>0.9456</v>
      </c>
      <c r="X70" s="2"/>
      <c r="Y70" s="51"/>
      <c r="Z70" s="51"/>
      <c r="AA70" s="51"/>
      <c r="AB70" s="2"/>
      <c r="AC70" s="51"/>
      <c r="AD70" s="51"/>
      <c r="AE70" s="51"/>
      <c r="AF70" s="2"/>
      <c r="AG70" s="51"/>
      <c r="AH70" s="51"/>
      <c r="AI70" s="51"/>
      <c r="AJ70" s="2"/>
      <c r="AK70" s="51"/>
      <c r="AL70" s="51"/>
      <c r="AM70" s="51"/>
      <c r="AN70" s="2"/>
      <c r="AO70" s="51"/>
      <c r="AP70" s="51"/>
      <c r="AQ70" s="51"/>
      <c r="AR70" s="2"/>
      <c r="AS70" s="51"/>
      <c r="AT70" s="51"/>
      <c r="AU70" s="51"/>
      <c r="AV70" s="2"/>
      <c r="AW70" s="51"/>
      <c r="AX70" s="51"/>
      <c r="AY70" s="51"/>
      <c r="AZ70" s="2"/>
      <c r="BA70" s="51"/>
      <c r="BB70" s="51"/>
      <c r="BC70" s="51"/>
      <c r="BD70" s="2"/>
      <c r="BE70" s="51"/>
      <c r="BF70" s="51"/>
      <c r="BG70" s="51"/>
      <c r="BH70" s="2"/>
      <c r="BI70" s="51"/>
      <c r="BJ70" s="51"/>
      <c r="BK70" s="51"/>
      <c r="BL70" s="2"/>
      <c r="BM70" s="51"/>
      <c r="BN70" s="51"/>
      <c r="BO70" s="51"/>
      <c r="BP70" s="2"/>
      <c r="BQ70" s="51"/>
      <c r="BR70" s="51"/>
      <c r="BS70" s="51"/>
      <c r="BT70" s="2"/>
      <c r="BU70" s="51"/>
    </row>
    <row r="71" spans="1:73" x14ac:dyDescent="0.2">
      <c r="A71" s="51"/>
      <c r="B71" s="51"/>
      <c r="C71" s="304" t="s">
        <v>377</v>
      </c>
      <c r="D71" s="304"/>
      <c r="E71" s="304"/>
      <c r="F71" s="304"/>
      <c r="G71" s="304"/>
      <c r="H71" s="304"/>
      <c r="I71" s="304"/>
      <c r="J71" s="304"/>
      <c r="K71" s="304"/>
      <c r="L71" s="304"/>
      <c r="M71" s="308">
        <f>'MODEL INPUT'!G118</f>
        <v>2000</v>
      </c>
      <c r="N71" s="308">
        <f>M71*(1+'MODEL INPUT'!$G$113)</f>
        <v>2040</v>
      </c>
      <c r="O71" s="308">
        <f>N71*(1+'MODEL INPUT'!$G$113)</f>
        <v>2080.8000000000002</v>
      </c>
      <c r="P71" s="308">
        <f>O71*(1+'MODEL INPUT'!$G$113)</f>
        <v>2122.4160000000002</v>
      </c>
      <c r="Q71" s="308">
        <f>P71*(1+'MODEL INPUT'!$G$113)</f>
        <v>2164.8643200000001</v>
      </c>
      <c r="R71" s="308">
        <f>Q71*(1+'MODEL INPUT'!$G$113)</f>
        <v>2208.1616064</v>
      </c>
      <c r="S71" s="308">
        <f>R71*(1+'MODEL INPUT'!$G$113)</f>
        <v>2252.3248385279999</v>
      </c>
      <c r="T71" s="308">
        <f>S71*(1+'MODEL INPUT'!$G$113)</f>
        <v>2297.3713352985601</v>
      </c>
      <c r="U71" s="51"/>
      <c r="V71" s="355">
        <v>1</v>
      </c>
      <c r="W71" s="356">
        <v>0.92</v>
      </c>
      <c r="X71" s="2"/>
      <c r="Y71" s="51"/>
      <c r="Z71" s="51"/>
      <c r="AA71" s="51"/>
      <c r="AB71" s="2"/>
      <c r="AC71" s="51"/>
      <c r="AD71" s="51"/>
      <c r="AE71" s="51"/>
      <c r="AF71" s="2"/>
      <c r="AG71" s="51"/>
      <c r="AH71" s="51"/>
      <c r="AI71" s="51"/>
      <c r="AJ71" s="2"/>
      <c r="AK71" s="51"/>
      <c r="AL71" s="51"/>
      <c r="AM71" s="51"/>
      <c r="AN71" s="2"/>
      <c r="AO71" s="51"/>
      <c r="AP71" s="51"/>
      <c r="AQ71" s="51"/>
      <c r="AR71" s="2"/>
      <c r="AS71" s="51"/>
      <c r="AT71" s="51"/>
      <c r="AU71" s="51"/>
      <c r="AV71" s="2"/>
      <c r="AW71" s="51"/>
      <c r="AX71" s="51"/>
      <c r="AY71" s="51"/>
      <c r="AZ71" s="2"/>
      <c r="BA71" s="51"/>
      <c r="BB71" s="51"/>
      <c r="BC71" s="51"/>
      <c r="BD71" s="2"/>
      <c r="BE71" s="51"/>
      <c r="BF71" s="51"/>
      <c r="BG71" s="51"/>
      <c r="BH71" s="2"/>
      <c r="BI71" s="51"/>
      <c r="BJ71" s="51"/>
      <c r="BK71" s="51"/>
      <c r="BL71" s="2"/>
      <c r="BM71" s="51"/>
      <c r="BN71" s="51"/>
      <c r="BO71" s="51"/>
      <c r="BP71" s="2"/>
      <c r="BQ71" s="51"/>
      <c r="BR71" s="51"/>
      <c r="BS71" s="51"/>
      <c r="BT71" s="2"/>
      <c r="BU71" s="51"/>
    </row>
    <row r="72" spans="1:73" x14ac:dyDescent="0.2">
      <c r="A72" s="51"/>
      <c r="B72" s="51"/>
      <c r="C72" s="25" t="s">
        <v>396</v>
      </c>
      <c r="D72" s="25"/>
      <c r="E72" s="25"/>
      <c r="F72" s="25"/>
      <c r="G72" s="25"/>
      <c r="H72" s="25"/>
      <c r="I72" s="25"/>
      <c r="J72" s="25"/>
      <c r="K72" s="25"/>
      <c r="L72" s="25"/>
      <c r="M72" s="78">
        <f>M70*M71/1000</f>
        <v>65621.291154698469</v>
      </c>
      <c r="N72" s="78">
        <f>N70*N71/1000</f>
        <v>75415.931617718263</v>
      </c>
      <c r="O72" s="78">
        <f t="shared" ref="O72:T72" si="14">O70*O71/1000</f>
        <v>92374.637274745328</v>
      </c>
      <c r="P72" s="78">
        <f t="shared" si="14"/>
        <v>106498.12637627154</v>
      </c>
      <c r="Q72" s="78">
        <f t="shared" si="14"/>
        <v>123088.0446102861</v>
      </c>
      <c r="R72" s="78">
        <f t="shared" si="14"/>
        <v>142854.83861089329</v>
      </c>
      <c r="S72" s="78">
        <f t="shared" si="14"/>
        <v>166515.36923843398</v>
      </c>
      <c r="T72" s="78">
        <f t="shared" si="14"/>
        <v>194535.81359100624</v>
      </c>
      <c r="U72" s="51"/>
      <c r="V72" s="357">
        <v>2</v>
      </c>
      <c r="W72" s="358">
        <v>0.88639999999999997</v>
      </c>
      <c r="X72" s="2"/>
      <c r="Y72" s="51"/>
      <c r="Z72" s="51"/>
      <c r="AA72" s="51"/>
      <c r="AB72" s="2"/>
      <c r="AC72" s="51"/>
      <c r="AD72" s="51"/>
      <c r="AE72" s="51"/>
      <c r="AF72" s="2"/>
      <c r="AG72" s="51"/>
      <c r="AH72" s="51"/>
      <c r="AI72" s="51"/>
      <c r="AJ72" s="2"/>
      <c r="AK72" s="51"/>
      <c r="AL72" s="51"/>
      <c r="AM72" s="51"/>
      <c r="AN72" s="2"/>
      <c r="AO72" s="51"/>
      <c r="AP72" s="51"/>
      <c r="AQ72" s="51"/>
      <c r="AR72" s="2"/>
      <c r="AS72" s="51"/>
      <c r="AT72" s="51"/>
      <c r="AU72" s="51"/>
      <c r="AV72" s="2"/>
      <c r="AW72" s="51"/>
      <c r="AX72" s="51"/>
      <c r="AY72" s="51"/>
      <c r="AZ72" s="2"/>
      <c r="BA72" s="51"/>
      <c r="BB72" s="51"/>
      <c r="BC72" s="51"/>
      <c r="BD72" s="2"/>
      <c r="BE72" s="51"/>
      <c r="BF72" s="51"/>
      <c r="BG72" s="51"/>
      <c r="BH72" s="2"/>
      <c r="BI72" s="51"/>
      <c r="BJ72" s="51"/>
      <c r="BK72" s="51"/>
      <c r="BL72" s="2"/>
      <c r="BM72" s="51"/>
      <c r="BN72" s="51"/>
      <c r="BO72" s="51"/>
      <c r="BP72" s="2"/>
      <c r="BQ72" s="51"/>
      <c r="BR72" s="51"/>
      <c r="BS72" s="51"/>
      <c r="BT72" s="2"/>
      <c r="BU72" s="51"/>
    </row>
    <row r="73" spans="1:73" x14ac:dyDescent="0.2">
      <c r="A73" s="51"/>
      <c r="B73" s="51"/>
      <c r="C73" s="82" t="s">
        <v>397</v>
      </c>
      <c r="D73" s="83"/>
      <c r="E73" s="83"/>
      <c r="F73" s="83"/>
      <c r="G73" s="83"/>
      <c r="H73" s="83"/>
      <c r="I73" s="83"/>
      <c r="J73" s="83"/>
      <c r="K73" s="83"/>
      <c r="L73" s="83"/>
      <c r="M73" s="82"/>
      <c r="N73" s="84">
        <v>1</v>
      </c>
      <c r="O73" s="84">
        <v>2</v>
      </c>
      <c r="P73" s="84">
        <v>3</v>
      </c>
      <c r="Q73" s="84">
        <v>4</v>
      </c>
      <c r="R73" s="84">
        <v>5</v>
      </c>
      <c r="S73" s="84">
        <v>6</v>
      </c>
      <c r="T73" s="84">
        <v>7</v>
      </c>
      <c r="U73" s="51"/>
      <c r="V73" s="355">
        <v>3</v>
      </c>
      <c r="W73" s="356">
        <v>0.85</v>
      </c>
      <c r="X73" s="2"/>
      <c r="Y73" s="51"/>
      <c r="Z73" s="51"/>
      <c r="AA73" s="51"/>
      <c r="AB73" s="2"/>
      <c r="AC73" s="51"/>
      <c r="AD73" s="51"/>
      <c r="AE73" s="51"/>
      <c r="AF73" s="2"/>
      <c r="AG73" s="51"/>
      <c r="AH73" s="51"/>
      <c r="AI73" s="51"/>
      <c r="AJ73" s="2"/>
      <c r="AK73" s="51"/>
      <c r="AL73" s="51"/>
      <c r="AM73" s="51"/>
      <c r="AN73" s="2"/>
      <c r="AO73" s="51"/>
      <c r="AP73" s="51"/>
      <c r="AQ73" s="51"/>
      <c r="AR73" s="2"/>
      <c r="AS73" s="51"/>
      <c r="AT73" s="51"/>
      <c r="AU73" s="51"/>
      <c r="AV73" s="2"/>
      <c r="AW73" s="51"/>
      <c r="AX73" s="51"/>
      <c r="AY73" s="51"/>
      <c r="AZ73" s="2"/>
      <c r="BA73" s="51"/>
      <c r="BB73" s="51"/>
      <c r="BC73" s="51"/>
      <c r="BD73" s="2"/>
      <c r="BE73" s="51"/>
      <c r="BF73" s="51"/>
      <c r="BG73" s="51"/>
      <c r="BH73" s="2"/>
      <c r="BI73" s="51"/>
      <c r="BJ73" s="51"/>
      <c r="BK73" s="51"/>
      <c r="BL73" s="2"/>
      <c r="BM73" s="51"/>
      <c r="BN73" s="51"/>
      <c r="BO73" s="51"/>
      <c r="BP73" s="2"/>
      <c r="BQ73" s="51"/>
      <c r="BR73" s="51"/>
      <c r="BS73" s="51"/>
      <c r="BT73" s="2"/>
      <c r="BU73" s="51"/>
    </row>
    <row r="74" spans="1:73" x14ac:dyDescent="0.2">
      <c r="A74" s="51"/>
      <c r="B74" s="51"/>
      <c r="C74" s="304" t="s">
        <v>398</v>
      </c>
      <c r="D74" s="304"/>
      <c r="E74" s="304"/>
      <c r="F74" s="304"/>
      <c r="G74" s="304"/>
      <c r="H74" s="304"/>
      <c r="I74" s="304"/>
      <c r="J74" s="304"/>
      <c r="K74" s="304"/>
      <c r="L74" s="304"/>
      <c r="M74" s="304"/>
      <c r="N74" s="312" cm="1">
        <f t="array" ref="N74">INDEX($V$71:$W$80, N$73, 2)*$M$70</f>
        <v>30185.793931161297</v>
      </c>
      <c r="O74" s="312" cm="1">
        <f t="array" ref="O74">INDEX($V$71:$W$80, O$73, 2)*$M$70</f>
        <v>29083.356239762361</v>
      </c>
      <c r="P74" s="312" cm="1">
        <f t="array" ref="P74">INDEX($V$71:$W$80, P$73, 2)*$M$70</f>
        <v>27889.04874074685</v>
      </c>
      <c r="Q74" s="312" cm="1">
        <f t="array" ref="Q74">INDEX($V$71:$W$80, Q$73, 2)*$M$70</f>
        <v>27140.966021583285</v>
      </c>
      <c r="R74" s="312" cm="1">
        <f t="array" ref="R74">INDEX($V$71:$W$80, R$73, 2)*$M$70</f>
        <v>26248.51646187939</v>
      </c>
      <c r="S74" s="312" cm="1">
        <f t="array" ref="S74">INDEX($V$71:$W$80, S$73, 2)*$M$70</f>
        <v>25198.575803404212</v>
      </c>
      <c r="T74" s="312" cm="1">
        <f t="array" ref="T74">INDEX($V$71:$W$80, T$73, 2)*$M$70</f>
        <v>24227.380694314674</v>
      </c>
      <c r="U74" s="51"/>
      <c r="V74" s="357">
        <v>4</v>
      </c>
      <c r="W74" s="358">
        <v>0.82719999999999994</v>
      </c>
      <c r="X74" s="2"/>
      <c r="Y74" s="51"/>
      <c r="Z74" s="51"/>
      <c r="AA74" s="51"/>
      <c r="AB74" s="2"/>
      <c r="AC74" s="51"/>
      <c r="AD74" s="51"/>
      <c r="AE74" s="51"/>
      <c r="AF74" s="2"/>
      <c r="AG74" s="51"/>
      <c r="AH74" s="51"/>
      <c r="AI74" s="51"/>
      <c r="AJ74" s="2"/>
      <c r="AK74" s="51"/>
      <c r="AL74" s="51"/>
      <c r="AM74" s="51"/>
      <c r="AN74" s="2"/>
      <c r="AO74" s="51"/>
      <c r="AP74" s="51"/>
      <c r="AQ74" s="51"/>
      <c r="AR74" s="2"/>
      <c r="AS74" s="51"/>
      <c r="AT74" s="51"/>
      <c r="AU74" s="51"/>
      <c r="AV74" s="2"/>
      <c r="AW74" s="51"/>
      <c r="AX74" s="51"/>
      <c r="AY74" s="51"/>
      <c r="AZ74" s="2"/>
      <c r="BA74" s="51"/>
      <c r="BB74" s="51"/>
      <c r="BC74" s="51"/>
      <c r="BD74" s="2"/>
      <c r="BE74" s="51"/>
      <c r="BF74" s="51"/>
      <c r="BG74" s="51"/>
      <c r="BH74" s="2"/>
      <c r="BI74" s="51"/>
      <c r="BJ74" s="51"/>
      <c r="BK74" s="51"/>
      <c r="BL74" s="2"/>
      <c r="BM74" s="51"/>
      <c r="BN74" s="51"/>
      <c r="BO74" s="51"/>
      <c r="BP74" s="2"/>
      <c r="BQ74" s="51"/>
      <c r="BR74" s="51"/>
      <c r="BS74" s="51"/>
      <c r="BT74" s="2"/>
      <c r="BU74" s="51"/>
    </row>
    <row r="75" spans="1:73" x14ac:dyDescent="0.2">
      <c r="A75" s="51"/>
      <c r="B75" s="51"/>
      <c r="C75" s="22" t="s">
        <v>399</v>
      </c>
      <c r="D75" s="22"/>
      <c r="E75" s="22"/>
      <c r="F75" s="22"/>
      <c r="G75" s="22"/>
      <c r="H75" s="22"/>
      <c r="I75" s="22"/>
      <c r="J75" s="22"/>
      <c r="K75" s="22"/>
      <c r="L75" s="22"/>
      <c r="M75" s="22"/>
      <c r="N75" s="80" cm="1">
        <f t="array" ref="N75">INDEX($V$71:$W$80, N$73, 2)*$N$70</f>
        <v>34011.106415833725</v>
      </c>
      <c r="O75" s="80" cm="1">
        <f t="array" ref="O75">INDEX($V$71:$W$80, O$73, 2)*$N$70</f>
        <v>32768.961659777189</v>
      </c>
      <c r="P75" s="80" cm="1">
        <f t="array" ref="P75">INDEX($V$71:$W$80, P$73, 2)*$N$70</f>
        <v>31423.30484071594</v>
      </c>
      <c r="Q75" s="80" cm="1">
        <f t="array" ref="Q75">INDEX($V$71:$W$80, Q$73, 2)*$N$70</f>
        <v>30580.42089910615</v>
      </c>
      <c r="R75" s="80" cm="1">
        <f t="array" ref="R75">INDEX($V$71:$W$80, R$73, 2)*$N$70</f>
        <v>29574.875144203241</v>
      </c>
      <c r="S75" s="80" cm="1">
        <f t="array" ref="S75">INDEX($V$71:$W$80, S$73, 2)*$N$70</f>
        <v>28391.88013843511</v>
      </c>
      <c r="T75" s="80" cm="1">
        <f t="array" ref="T75">INDEX($V$71:$W$80, T$73, 2)*$N$70</f>
        <v>27297.609758099588</v>
      </c>
      <c r="U75" s="51"/>
      <c r="V75" s="355">
        <v>5</v>
      </c>
      <c r="W75" s="356">
        <v>0.8</v>
      </c>
      <c r="X75" s="2"/>
      <c r="Y75" s="51"/>
      <c r="Z75" s="51"/>
      <c r="AA75" s="51"/>
      <c r="AB75" s="2"/>
      <c r="AC75" s="51"/>
      <c r="AD75" s="51"/>
      <c r="AE75" s="51"/>
      <c r="AF75" s="2"/>
      <c r="AG75" s="51"/>
      <c r="AH75" s="51"/>
      <c r="AI75" s="51"/>
      <c r="AJ75" s="2"/>
      <c r="AK75" s="51"/>
      <c r="AL75" s="51"/>
      <c r="AM75" s="51"/>
      <c r="AN75" s="2"/>
      <c r="AO75" s="51"/>
      <c r="AP75" s="51"/>
      <c r="AQ75" s="51"/>
      <c r="AR75" s="2"/>
      <c r="AS75" s="51"/>
      <c r="AT75" s="51"/>
      <c r="AU75" s="51"/>
      <c r="AV75" s="2"/>
      <c r="AW75" s="51"/>
      <c r="AX75" s="51"/>
      <c r="AY75" s="51"/>
      <c r="AZ75" s="2"/>
      <c r="BA75" s="51"/>
      <c r="BB75" s="51"/>
      <c r="BC75" s="51"/>
      <c r="BD75" s="2"/>
      <c r="BE75" s="51"/>
      <c r="BF75" s="51"/>
      <c r="BG75" s="51"/>
      <c r="BH75" s="2"/>
      <c r="BI75" s="51"/>
      <c r="BJ75" s="51"/>
      <c r="BK75" s="51"/>
      <c r="BL75" s="2"/>
      <c r="BM75" s="51"/>
      <c r="BN75" s="51"/>
      <c r="BO75" s="51"/>
      <c r="BP75" s="2"/>
      <c r="BQ75" s="51"/>
      <c r="BR75" s="51"/>
      <c r="BS75" s="51"/>
      <c r="BT75" s="2"/>
      <c r="BU75" s="51"/>
    </row>
    <row r="76" spans="1:73" x14ac:dyDescent="0.2">
      <c r="A76" s="51"/>
      <c r="B76" s="51"/>
      <c r="C76" s="304" t="s">
        <v>400</v>
      </c>
      <c r="D76" s="304"/>
      <c r="E76" s="304"/>
      <c r="F76" s="304"/>
      <c r="G76" s="304"/>
      <c r="H76" s="304"/>
      <c r="I76" s="304"/>
      <c r="J76" s="304"/>
      <c r="K76" s="304"/>
      <c r="L76" s="304"/>
      <c r="M76" s="304"/>
      <c r="N76" s="312" cm="1">
        <f t="array" ref="N76">INDEX($V$71:$W$80, N$73, 2)*$O$70</f>
        <v>40842.304062267249</v>
      </c>
      <c r="O76" s="312" cm="1">
        <f t="array" ref="O76">INDEX($V$71:$W$80, O$73, 2)*$O$70</f>
        <v>39350.672087819228</v>
      </c>
      <c r="P76" s="312" cm="1">
        <f t="array" ref="P76">INDEX($V$71:$W$80, P$73, 2)*$O$70</f>
        <v>37734.737448833868</v>
      </c>
      <c r="Q76" s="312" cm="1">
        <f t="array" ref="Q76">INDEX($V$71:$W$80, Q$73, 2)*$O$70</f>
        <v>36722.558609029853</v>
      </c>
      <c r="R76" s="312" cm="1">
        <f t="array" ref="R76">INDEX($V$71:$W$80, R$73, 2)*$O$70</f>
        <v>35515.047010667178</v>
      </c>
      <c r="S76" s="312" cm="1">
        <f t="array" ref="S76">INDEX($V$71:$W$80, S$73, 2)*$O$70</f>
        <v>34094.445130240485</v>
      </c>
      <c r="T76" s="312" cm="1">
        <f t="array" ref="T76">INDEX($V$71:$W$80, T$73, 2)*$O$70</f>
        <v>32780.388390845801</v>
      </c>
      <c r="U76" s="51"/>
      <c r="V76" s="357">
        <v>6</v>
      </c>
      <c r="W76" s="358">
        <v>0.76800000000000002</v>
      </c>
      <c r="X76" s="2"/>
      <c r="Y76" s="51"/>
      <c r="Z76" s="51"/>
      <c r="AA76" s="51"/>
      <c r="AB76" s="2"/>
      <c r="AC76" s="51"/>
      <c r="AD76" s="51"/>
      <c r="AE76" s="51"/>
      <c r="AF76" s="2"/>
      <c r="AG76" s="51"/>
      <c r="AH76" s="51"/>
      <c r="AI76" s="51"/>
      <c r="AJ76" s="2"/>
      <c r="AK76" s="51"/>
      <c r="AL76" s="51"/>
      <c r="AM76" s="51"/>
      <c r="AN76" s="2"/>
      <c r="AO76" s="51"/>
      <c r="AP76" s="51"/>
      <c r="AQ76" s="51"/>
      <c r="AR76" s="2"/>
      <c r="AS76" s="51"/>
      <c r="AT76" s="51"/>
      <c r="AU76" s="51"/>
      <c r="AV76" s="2"/>
      <c r="AW76" s="51"/>
      <c r="AX76" s="51"/>
      <c r="AY76" s="51"/>
      <c r="AZ76" s="2"/>
      <c r="BA76" s="51"/>
      <c r="BB76" s="51"/>
      <c r="BC76" s="51"/>
      <c r="BD76" s="2"/>
      <c r="BE76" s="51"/>
      <c r="BF76" s="51"/>
      <c r="BG76" s="51"/>
      <c r="BH76" s="2"/>
      <c r="BI76" s="51"/>
      <c r="BJ76" s="51"/>
      <c r="BK76" s="51"/>
      <c r="BL76" s="2"/>
      <c r="BM76" s="51"/>
      <c r="BN76" s="51"/>
      <c r="BO76" s="51"/>
      <c r="BP76" s="2"/>
      <c r="BQ76" s="51"/>
      <c r="BR76" s="51"/>
      <c r="BS76" s="51"/>
      <c r="BT76" s="2"/>
      <c r="BU76" s="51"/>
    </row>
    <row r="77" spans="1:73" x14ac:dyDescent="0.2">
      <c r="A77" s="51"/>
      <c r="B77" s="51"/>
      <c r="C77" s="22" t="s">
        <v>401</v>
      </c>
      <c r="D77" s="22"/>
      <c r="E77" s="22"/>
      <c r="F77" s="22"/>
      <c r="G77" s="22"/>
      <c r="H77" s="22"/>
      <c r="I77" s="22"/>
      <c r="J77" s="22"/>
      <c r="K77" s="22"/>
      <c r="L77" s="22"/>
      <c r="M77" s="22"/>
      <c r="N77" s="80" cm="1">
        <f t="array" ref="N77">INDEX($V$71:$W$80, N$73, 2)*$P$70</f>
        <v>46163.559013016216</v>
      </c>
      <c r="O77" s="80" cm="1">
        <f t="array" ref="O77">INDEX($V$71:$W$80, O$73, 2)*$P$70</f>
        <v>44477.585553410405</v>
      </c>
      <c r="P77" s="80" cm="1">
        <f t="array" ref="P77">INDEX($V$71:$W$80, P$73, 2)*$P$70</f>
        <v>42651.11430550411</v>
      </c>
      <c r="Q77" s="80" cm="1">
        <f t="array" ref="Q77">INDEX($V$71:$W$80, Q$73, 2)*$P$70</f>
        <v>41507.06088648588</v>
      </c>
      <c r="R77" s="80" cm="1">
        <f t="array" ref="R77">INDEX($V$71:$W$80, R$73, 2)*$P$70</f>
        <v>40142.225228709751</v>
      </c>
      <c r="S77" s="80" cm="1">
        <f t="array" ref="S77">INDEX($V$71:$W$80, S$73, 2)*$P$70</f>
        <v>38536.536219561363</v>
      </c>
      <c r="T77" s="80" cm="1">
        <f t="array" ref="T77">INDEX($V$71:$W$80, T$73, 2)*$P$70</f>
        <v>37051.273886099094</v>
      </c>
      <c r="U77" s="51"/>
      <c r="V77" s="355">
        <v>7</v>
      </c>
      <c r="W77" s="356">
        <v>0.73839999999999995</v>
      </c>
      <c r="X77" s="2"/>
      <c r="Y77" s="51"/>
      <c r="Z77" s="51"/>
      <c r="AA77" s="51"/>
      <c r="AB77" s="2"/>
      <c r="AC77" s="51"/>
      <c r="AD77" s="51"/>
      <c r="AE77" s="51"/>
      <c r="AF77" s="2"/>
      <c r="AG77" s="51"/>
      <c r="AH77" s="51"/>
      <c r="AI77" s="51"/>
      <c r="AJ77" s="2"/>
      <c r="AK77" s="51"/>
      <c r="AL77" s="51"/>
      <c r="AM77" s="51"/>
      <c r="AN77" s="2"/>
      <c r="AO77" s="51"/>
      <c r="AP77" s="51"/>
      <c r="AQ77" s="51"/>
      <c r="AR77" s="2"/>
      <c r="AS77" s="51"/>
      <c r="AT77" s="51"/>
      <c r="AU77" s="51"/>
      <c r="AV77" s="2"/>
      <c r="AW77" s="51"/>
      <c r="AX77" s="51"/>
      <c r="AY77" s="51"/>
      <c r="AZ77" s="2"/>
      <c r="BA77" s="51"/>
      <c r="BB77" s="51"/>
      <c r="BC77" s="51"/>
      <c r="BD77" s="2"/>
      <c r="BE77" s="51"/>
      <c r="BF77" s="51"/>
      <c r="BG77" s="51"/>
      <c r="BH77" s="2"/>
      <c r="BI77" s="51"/>
      <c r="BJ77" s="51"/>
      <c r="BK77" s="51"/>
      <c r="BL77" s="2"/>
      <c r="BM77" s="51"/>
      <c r="BN77" s="51"/>
      <c r="BO77" s="51"/>
      <c r="BP77" s="2"/>
      <c r="BQ77" s="51"/>
      <c r="BR77" s="51"/>
      <c r="BS77" s="51"/>
      <c r="BT77" s="2"/>
      <c r="BU77" s="51"/>
    </row>
    <row r="78" spans="1:73" x14ac:dyDescent="0.2">
      <c r="A78" s="51"/>
      <c r="B78" s="51"/>
      <c r="C78" s="304" t="s">
        <v>402</v>
      </c>
      <c r="D78" s="304"/>
      <c r="E78" s="304"/>
      <c r="F78" s="304"/>
      <c r="G78" s="304"/>
      <c r="H78" s="304"/>
      <c r="I78" s="304"/>
      <c r="J78" s="304"/>
      <c r="K78" s="304"/>
      <c r="L78" s="304"/>
      <c r="M78" s="304"/>
      <c r="N78" s="312" cm="1">
        <f t="array" ref="N78">INDEX($V$71:$W$80, N$73, 2)*$Q$70</f>
        <v>52308.590425409755</v>
      </c>
      <c r="O78" s="312" cm="1">
        <f t="array" ref="O78">INDEX($V$71:$W$80, O$73, 2)*$Q$70</f>
        <v>50398.189731612183</v>
      </c>
      <c r="P78" s="312" cm="1">
        <f t="array" ref="P78">INDEX($V$71:$W$80, P$73, 2)*$Q$70</f>
        <v>48328.588979998145</v>
      </c>
      <c r="Q78" s="312" cm="1">
        <f t="array" ref="Q78">INDEX($V$71:$W$80, Q$73, 2)*$Q$70</f>
        <v>47032.24565206407</v>
      </c>
      <c r="R78" s="312" cm="1">
        <f t="array" ref="R78">INDEX($V$71:$W$80, R$73, 2)*$Q$70</f>
        <v>45485.730804704137</v>
      </c>
      <c r="S78" s="312" cm="1">
        <f t="array" ref="S78">INDEX($V$71:$W$80, S$73, 2)*$Q$70</f>
        <v>43666.301572515971</v>
      </c>
      <c r="T78" s="312" cm="1">
        <f t="array" ref="T78">INDEX($V$71:$W$80, T$73, 2)*$Q$70</f>
        <v>41983.329532741911</v>
      </c>
      <c r="U78" s="51"/>
      <c r="V78" s="357">
        <v>8</v>
      </c>
      <c r="W78" s="358">
        <v>0.70879999999999999</v>
      </c>
      <c r="X78" s="2"/>
      <c r="Y78" s="51"/>
      <c r="Z78" s="51"/>
      <c r="AA78" s="51"/>
      <c r="AB78" s="2"/>
      <c r="AC78" s="51"/>
      <c r="AD78" s="51"/>
      <c r="AE78" s="51"/>
      <c r="AF78" s="2"/>
      <c r="AG78" s="51"/>
      <c r="AH78" s="51"/>
      <c r="AI78" s="51"/>
      <c r="AJ78" s="2"/>
      <c r="AK78" s="51"/>
      <c r="AL78" s="51"/>
      <c r="AM78" s="51"/>
      <c r="AN78" s="2"/>
      <c r="AO78" s="51"/>
      <c r="AP78" s="51"/>
      <c r="AQ78" s="51"/>
      <c r="AR78" s="2"/>
      <c r="AS78" s="51"/>
      <c r="AT78" s="51"/>
      <c r="AU78" s="51"/>
      <c r="AV78" s="2"/>
      <c r="AW78" s="51"/>
      <c r="AX78" s="51"/>
      <c r="AY78" s="51"/>
      <c r="AZ78" s="2"/>
      <c r="BA78" s="51"/>
      <c r="BB78" s="51"/>
      <c r="BC78" s="51"/>
      <c r="BD78" s="2"/>
      <c r="BE78" s="51"/>
      <c r="BF78" s="51"/>
      <c r="BG78" s="51"/>
      <c r="BH78" s="2"/>
      <c r="BI78" s="51"/>
      <c r="BJ78" s="51"/>
      <c r="BK78" s="51"/>
      <c r="BL78" s="2"/>
      <c r="BM78" s="51"/>
      <c r="BN78" s="51"/>
      <c r="BO78" s="51"/>
      <c r="BP78" s="2"/>
      <c r="BQ78" s="51"/>
      <c r="BR78" s="51"/>
      <c r="BS78" s="51"/>
      <c r="BT78" s="2"/>
      <c r="BU78" s="51"/>
    </row>
    <row r="79" spans="1:73" x14ac:dyDescent="0.2">
      <c r="A79" s="51"/>
      <c r="B79" s="51"/>
      <c r="C79" s="22" t="s">
        <v>403</v>
      </c>
      <c r="D79" s="22"/>
      <c r="E79" s="22"/>
      <c r="F79" s="22"/>
      <c r="G79" s="22"/>
      <c r="H79" s="22"/>
      <c r="I79" s="22"/>
      <c r="J79" s="22"/>
      <c r="K79" s="22"/>
      <c r="L79" s="22"/>
      <c r="M79" s="22"/>
      <c r="N79" s="80" cm="1">
        <f t="array" ref="N79">INDEX($V$71:$W$80, N$73, 2)*$R$70</f>
        <v>59518.493185056504</v>
      </c>
      <c r="O79" s="80" cm="1">
        <f t="array" ref="O79">INDEX($V$71:$W$80, O$73, 2)*$R$70</f>
        <v>57344.774303515303</v>
      </c>
      <c r="P79" s="80" cm="1">
        <f t="array" ref="P79">INDEX($V$71:$W$80, P$73, 2)*$R$70</f>
        <v>54989.912181845677</v>
      </c>
      <c r="Q79" s="80" cm="1">
        <f t="array" ref="Q79">INDEX($V$71:$W$80, Q$73, 2)*$R$70</f>
        <v>53514.888655085582</v>
      </c>
      <c r="R79" s="80" cm="1">
        <f t="array" ref="R79">INDEX($V$71:$W$80, R$73, 2)*$R$70</f>
        <v>51755.211465266526</v>
      </c>
      <c r="S79" s="80" cm="1">
        <f t="array" ref="S79">INDEX($V$71:$W$80, S$73, 2)*$R$70</f>
        <v>49685.003006655861</v>
      </c>
      <c r="T79" s="80" cm="1">
        <f t="array" ref="T79">INDEX($V$71:$W$80, T$73, 2)*$R$70</f>
        <v>47770.060182440997</v>
      </c>
      <c r="U79" s="51"/>
      <c r="V79" s="355">
        <v>9</v>
      </c>
      <c r="W79" s="356">
        <v>0.67920000000000003</v>
      </c>
      <c r="X79" s="2"/>
      <c r="Y79" s="51"/>
      <c r="Z79" s="51"/>
      <c r="AA79" s="51"/>
      <c r="AB79" s="2"/>
      <c r="AC79" s="51"/>
      <c r="AD79" s="51"/>
      <c r="AE79" s="51"/>
      <c r="AF79" s="2"/>
      <c r="AG79" s="51"/>
      <c r="AH79" s="51"/>
      <c r="AI79" s="51"/>
      <c r="AJ79" s="2"/>
      <c r="AK79" s="51"/>
      <c r="AL79" s="51"/>
      <c r="AM79" s="51"/>
      <c r="AN79" s="2"/>
      <c r="AO79" s="51"/>
      <c r="AP79" s="51"/>
      <c r="AQ79" s="51"/>
      <c r="AR79" s="2"/>
      <c r="AS79" s="51"/>
      <c r="AT79" s="51"/>
      <c r="AU79" s="51"/>
      <c r="AV79" s="2"/>
      <c r="AW79" s="51"/>
      <c r="AX79" s="51"/>
      <c r="AY79" s="51"/>
      <c r="AZ79" s="2"/>
      <c r="BA79" s="51"/>
      <c r="BB79" s="51"/>
      <c r="BC79" s="51"/>
      <c r="BD79" s="2"/>
      <c r="BE79" s="51"/>
      <c r="BF79" s="51"/>
      <c r="BG79" s="51"/>
      <c r="BH79" s="2"/>
      <c r="BI79" s="51"/>
      <c r="BJ79" s="51"/>
      <c r="BK79" s="51"/>
      <c r="BL79" s="2"/>
      <c r="BM79" s="51"/>
      <c r="BN79" s="51"/>
      <c r="BO79" s="51"/>
      <c r="BP79" s="2"/>
      <c r="BQ79" s="51"/>
      <c r="BR79" s="51"/>
      <c r="BS79" s="51"/>
      <c r="BT79" s="2"/>
      <c r="BU79" s="51"/>
    </row>
    <row r="80" spans="1:73" x14ac:dyDescent="0.2">
      <c r="A80" s="51"/>
      <c r="B80" s="51"/>
      <c r="C80" s="304" t="s">
        <v>404</v>
      </c>
      <c r="D80" s="304"/>
      <c r="E80" s="304"/>
      <c r="F80" s="304"/>
      <c r="G80" s="304"/>
      <c r="H80" s="304"/>
      <c r="I80" s="304"/>
      <c r="J80" s="304"/>
      <c r="K80" s="304"/>
      <c r="L80" s="304"/>
      <c r="M80" s="304"/>
      <c r="N80" s="312" cm="1">
        <f t="array" ref="N80">INDEX($V$71:$W$80, N$73, 2)*$S$70</f>
        <v>68016.005985832322</v>
      </c>
      <c r="O80" s="312" cm="1">
        <f t="array" ref="O80">INDEX($V$71:$W$80, O$73, 2)*$S$70</f>
        <v>65531.94315852366</v>
      </c>
      <c r="P80" s="312" cm="1">
        <f t="array" ref="P80">INDEX($V$71:$W$80, P$73, 2)*$S$70</f>
        <v>62840.875095605945</v>
      </c>
      <c r="Q80" s="312" cm="1">
        <f t="array" ref="Q80">INDEX($V$71:$W$80, Q$73, 2)*$S$70</f>
        <v>61155.261034217925</v>
      </c>
      <c r="R80" s="312" cm="1">
        <f t="array" ref="R80">INDEX($V$71:$W$80, R$73, 2)*$S$70</f>
        <v>59144.353031158542</v>
      </c>
      <c r="S80" s="312" cm="1">
        <f t="array" ref="S80">INDEX($V$71:$W$80, S$73, 2)*$S$70</f>
        <v>56778.578909912198</v>
      </c>
      <c r="T80" s="312" cm="1">
        <f t="array" ref="T80">INDEX($V$71:$W$80, T$73, 2)*$S$70</f>
        <v>54590.23784775933</v>
      </c>
      <c r="U80" s="51"/>
      <c r="V80" s="357">
        <v>10</v>
      </c>
      <c r="W80" s="359">
        <v>0.65</v>
      </c>
      <c r="X80" s="2"/>
      <c r="Y80" s="51"/>
      <c r="Z80" s="51"/>
      <c r="AA80" s="51"/>
      <c r="AB80" s="2"/>
      <c r="AC80" s="51"/>
      <c r="AD80" s="51"/>
      <c r="AE80" s="51"/>
      <c r="AF80" s="2"/>
      <c r="AG80" s="51"/>
      <c r="AH80" s="51"/>
      <c r="AI80" s="51"/>
      <c r="AJ80" s="2"/>
      <c r="AK80" s="51"/>
      <c r="AL80" s="51"/>
      <c r="AM80" s="51"/>
      <c r="AN80" s="2"/>
      <c r="AO80" s="51"/>
      <c r="AP80" s="51"/>
      <c r="AQ80" s="51"/>
      <c r="AR80" s="2"/>
      <c r="AS80" s="51"/>
      <c r="AT80" s="51"/>
      <c r="AU80" s="51"/>
      <c r="AV80" s="2"/>
      <c r="AW80" s="51"/>
      <c r="AX80" s="51"/>
      <c r="AY80" s="51"/>
      <c r="AZ80" s="2"/>
      <c r="BA80" s="51"/>
      <c r="BB80" s="51"/>
      <c r="BC80" s="51"/>
      <c r="BD80" s="2"/>
      <c r="BE80" s="51"/>
      <c r="BF80" s="51"/>
      <c r="BG80" s="51"/>
      <c r="BH80" s="2"/>
      <c r="BI80" s="51"/>
      <c r="BJ80" s="51"/>
      <c r="BK80" s="51"/>
      <c r="BL80" s="2"/>
      <c r="BM80" s="51"/>
      <c r="BN80" s="51"/>
      <c r="BO80" s="51"/>
      <c r="BP80" s="2"/>
      <c r="BQ80" s="51"/>
      <c r="BR80" s="51"/>
      <c r="BS80" s="51"/>
      <c r="BT80" s="2"/>
      <c r="BU80" s="51"/>
    </row>
    <row r="81" spans="1:73" x14ac:dyDescent="0.2">
      <c r="A81" s="51"/>
      <c r="B81" s="51"/>
      <c r="C81" s="22" t="s">
        <v>405</v>
      </c>
      <c r="D81" s="22"/>
      <c r="E81" s="22"/>
      <c r="F81" s="22"/>
      <c r="G81" s="22"/>
      <c r="H81" s="22"/>
      <c r="I81" s="22"/>
      <c r="J81" s="22"/>
      <c r="K81" s="22"/>
      <c r="L81" s="22"/>
      <c r="M81" s="22"/>
      <c r="N81" s="80" cm="1">
        <f t="array" ref="N81">INDEX($V$71:$W$80, N$73, 2)*$T$70</f>
        <v>77903.361008231135</v>
      </c>
      <c r="O81" s="80" cm="1">
        <f t="array" ref="O81">INDEX($V$71:$W$80, O$73, 2)*$T$70</f>
        <v>75058.19478010443</v>
      </c>
      <c r="P81" s="80" cm="1">
        <f t="array" ref="P81">INDEX($V$71:$W$80, P$73, 2)*$T$70</f>
        <v>71975.931366300501</v>
      </c>
      <c r="Q81" s="80" cm="1">
        <f t="array" ref="Q81">INDEX($V$71:$W$80, Q$73, 2)*$T$70</f>
        <v>70045.282854357371</v>
      </c>
      <c r="R81" s="80" cm="1">
        <f t="array" ref="R81">INDEX($V$71:$W$80, R$73, 2)*$T$70</f>
        <v>67742.053050635775</v>
      </c>
      <c r="S81" s="80" cm="1">
        <f t="array" ref="S81">INDEX($V$71:$W$80, S$73, 2)*$T$70</f>
        <v>65032.37092861034</v>
      </c>
      <c r="T81" s="80" cm="1">
        <f t="array" ref="T81">INDEX($V$71:$W$80, T$73, 2)*$T$70</f>
        <v>62525.914965736811</v>
      </c>
      <c r="U81" s="51"/>
      <c r="V81" s="51"/>
      <c r="W81" s="51"/>
      <c r="X81" s="2"/>
      <c r="Y81" s="51"/>
      <c r="Z81" s="51"/>
      <c r="AA81" s="51"/>
      <c r="AB81" s="2"/>
      <c r="AC81" s="51"/>
      <c r="AD81" s="51"/>
      <c r="AE81" s="51"/>
      <c r="AF81" s="2"/>
      <c r="AG81" s="51"/>
      <c r="AH81" s="51"/>
      <c r="AI81" s="51"/>
      <c r="AJ81" s="2"/>
      <c r="AK81" s="51"/>
      <c r="AL81" s="51"/>
      <c r="AM81" s="51"/>
      <c r="AN81" s="2"/>
      <c r="AO81" s="51"/>
      <c r="AP81" s="51"/>
      <c r="AQ81" s="51"/>
      <c r="AR81" s="2"/>
      <c r="AS81" s="51"/>
      <c r="AT81" s="51"/>
      <c r="AU81" s="51"/>
      <c r="AV81" s="2"/>
      <c r="AW81" s="51"/>
      <c r="AX81" s="51"/>
      <c r="AY81" s="51"/>
      <c r="AZ81" s="2"/>
      <c r="BA81" s="51"/>
      <c r="BB81" s="51"/>
      <c r="BC81" s="51"/>
      <c r="BD81" s="2"/>
      <c r="BE81" s="51"/>
      <c r="BF81" s="51"/>
      <c r="BG81" s="51"/>
      <c r="BH81" s="2"/>
      <c r="BI81" s="51"/>
      <c r="BJ81" s="51"/>
      <c r="BK81" s="51"/>
      <c r="BL81" s="2"/>
      <c r="BM81" s="51"/>
      <c r="BN81" s="51"/>
      <c r="BO81" s="51"/>
      <c r="BP81" s="2"/>
      <c r="BQ81" s="51"/>
      <c r="BR81" s="51"/>
      <c r="BS81" s="51"/>
      <c r="BT81" s="2"/>
      <c r="BU81" s="51"/>
    </row>
    <row r="82" spans="1:73" x14ac:dyDescent="0.2">
      <c r="A82" s="51"/>
      <c r="B82" s="51"/>
      <c r="C82" s="304" t="s">
        <v>406</v>
      </c>
      <c r="D82" s="304"/>
      <c r="E82" s="304"/>
      <c r="F82" s="304"/>
      <c r="G82" s="304"/>
      <c r="H82" s="304"/>
      <c r="I82" s="304"/>
      <c r="J82" s="304"/>
      <c r="K82" s="304"/>
      <c r="L82" s="304"/>
      <c r="M82" s="304"/>
      <c r="N82" s="312">
        <f>N74*'MODEL INPUT'!$G$119</f>
        <v>45278.690896741944</v>
      </c>
      <c r="O82" s="312">
        <f>(O74+N75)*'MODEL INPUT'!$G$119</f>
        <v>94641.693983394129</v>
      </c>
      <c r="P82" s="312">
        <f>(P74+O75+N76)*'MODEL INPUT'!$G$119</f>
        <v>152250.47169418691</v>
      </c>
      <c r="Q82" s="312">
        <f>(Q74+P75+O76+N77)*'MODEL INPUT'!$G$119</f>
        <v>216117.75294470202</v>
      </c>
      <c r="R82" s="312">
        <f>(R74+Q75+P76+O77+N78)*'MODEL INPUT'!$G$119</f>
        <v>287024.77618295932</v>
      </c>
      <c r="S82" s="312">
        <f>(S74+R75+Q76+P77+O78+N79)*'MODEL INPUT'!$G$119</f>
        <v>366095.71016821516</v>
      </c>
      <c r="T82" s="312">
        <f>(T74+S75+R76+Q77+P78+O79+N80)*'MODEL INPUT'!$G$119</f>
        <v>454996.10699887294</v>
      </c>
      <c r="U82" s="51"/>
      <c r="V82" s="51"/>
      <c r="W82" s="51"/>
      <c r="X82" s="2"/>
      <c r="Y82" s="51"/>
      <c r="Z82" s="51"/>
      <c r="AA82" s="51"/>
      <c r="AB82" s="2"/>
      <c r="AC82" s="51"/>
      <c r="AD82" s="51"/>
      <c r="AE82" s="51"/>
      <c r="AF82" s="2"/>
      <c r="AG82" s="51"/>
      <c r="AH82" s="51"/>
      <c r="AI82" s="51"/>
      <c r="AJ82" s="2"/>
      <c r="AK82" s="51"/>
      <c r="AL82" s="51"/>
      <c r="AM82" s="51"/>
      <c r="AN82" s="2"/>
      <c r="AO82" s="51"/>
      <c r="AP82" s="51"/>
      <c r="AQ82" s="51"/>
      <c r="AR82" s="2"/>
      <c r="AS82" s="51"/>
      <c r="AT82" s="51"/>
      <c r="AU82" s="51"/>
      <c r="AV82" s="2"/>
      <c r="AW82" s="51"/>
      <c r="AX82" s="51"/>
      <c r="AY82" s="51"/>
      <c r="AZ82" s="2"/>
      <c r="BA82" s="51"/>
      <c r="BB82" s="51"/>
      <c r="BC82" s="51"/>
      <c r="BD82" s="2"/>
      <c r="BE82" s="51"/>
      <c r="BF82" s="51"/>
      <c r="BG82" s="51"/>
      <c r="BH82" s="2"/>
      <c r="BI82" s="51"/>
      <c r="BJ82" s="51"/>
      <c r="BK82" s="51"/>
      <c r="BL82" s="2"/>
      <c r="BM82" s="51"/>
      <c r="BN82" s="51"/>
      <c r="BO82" s="51"/>
      <c r="BP82" s="2"/>
      <c r="BQ82" s="51"/>
      <c r="BR82" s="51"/>
      <c r="BS82" s="51"/>
      <c r="BT82" s="2"/>
      <c r="BU82" s="51"/>
    </row>
    <row r="83" spans="1:73" x14ac:dyDescent="0.2">
      <c r="A83" s="51"/>
      <c r="B83" s="51"/>
      <c r="C83" s="22" t="s">
        <v>377</v>
      </c>
      <c r="D83" s="22"/>
      <c r="E83" s="22"/>
      <c r="F83" s="22"/>
      <c r="G83" s="22"/>
      <c r="H83" s="22"/>
      <c r="I83" s="22"/>
      <c r="J83" s="22"/>
      <c r="K83" s="22"/>
      <c r="L83" s="22"/>
      <c r="M83" s="22"/>
      <c r="N83" s="75">
        <f>'MODEL INPUT'!G114</f>
        <v>1000</v>
      </c>
      <c r="O83" s="75">
        <f>N83*(1+'MODEL INPUT'!$G$115)</f>
        <v>1020</v>
      </c>
      <c r="P83" s="75">
        <f>O83*(1+'MODEL INPUT'!$G$115)</f>
        <v>1040.4000000000001</v>
      </c>
      <c r="Q83" s="75">
        <f>P83*(1+'MODEL INPUT'!$G$115)</f>
        <v>1061.2080000000001</v>
      </c>
      <c r="R83" s="75">
        <f>Q83*(1+'MODEL INPUT'!$G$115)</f>
        <v>1082.4321600000001</v>
      </c>
      <c r="S83" s="75">
        <f>R83*(1+'MODEL INPUT'!$G$115)</f>
        <v>1104.0808032</v>
      </c>
      <c r="T83" s="75">
        <f>S83*(1+'MODEL INPUT'!$G$115)</f>
        <v>1126.1624192639999</v>
      </c>
      <c r="U83" s="51"/>
      <c r="V83" s="51"/>
      <c r="W83" s="51"/>
      <c r="X83" s="2"/>
      <c r="Y83" s="51"/>
      <c r="Z83" s="51"/>
      <c r="AA83" s="51"/>
      <c r="AB83" s="2"/>
      <c r="AC83" s="51"/>
      <c r="AD83" s="51"/>
      <c r="AE83" s="51"/>
      <c r="AF83" s="2"/>
      <c r="AG83" s="51"/>
      <c r="AH83" s="51"/>
      <c r="AI83" s="51"/>
      <c r="AJ83" s="2"/>
      <c r="AK83" s="51"/>
      <c r="AL83" s="51"/>
      <c r="AM83" s="51"/>
      <c r="AN83" s="2"/>
      <c r="AO83" s="51"/>
      <c r="AP83" s="51"/>
      <c r="AQ83" s="51"/>
      <c r="AR83" s="2"/>
      <c r="AS83" s="51"/>
      <c r="AT83" s="51"/>
      <c r="AU83" s="51"/>
      <c r="AV83" s="2"/>
      <c r="AW83" s="51"/>
      <c r="AX83" s="51"/>
      <c r="AY83" s="51"/>
      <c r="AZ83" s="2"/>
      <c r="BA83" s="51"/>
      <c r="BB83" s="51"/>
      <c r="BC83" s="51"/>
      <c r="BD83" s="2"/>
      <c r="BE83" s="51"/>
      <c r="BF83" s="51"/>
      <c r="BG83" s="51"/>
      <c r="BH83" s="2"/>
      <c r="BI83" s="51"/>
      <c r="BJ83" s="51"/>
      <c r="BK83" s="51"/>
      <c r="BL83" s="2"/>
      <c r="BM83" s="51"/>
      <c r="BN83" s="51"/>
      <c r="BO83" s="51"/>
      <c r="BP83" s="2"/>
      <c r="BQ83" s="51"/>
      <c r="BR83" s="51"/>
      <c r="BS83" s="51"/>
      <c r="BT83" s="2"/>
      <c r="BU83" s="51"/>
    </row>
    <row r="84" spans="1:73" x14ac:dyDescent="0.2">
      <c r="A84" s="51"/>
      <c r="B84" s="51"/>
      <c r="C84" s="304" t="s">
        <v>407</v>
      </c>
      <c r="D84" s="304"/>
      <c r="E84" s="304"/>
      <c r="F84" s="304"/>
      <c r="G84" s="304"/>
      <c r="H84" s="304"/>
      <c r="I84" s="304"/>
      <c r="J84" s="304"/>
      <c r="K84" s="304"/>
      <c r="L84" s="304"/>
      <c r="M84" s="304"/>
      <c r="N84" s="308">
        <f>N82*N83/1000</f>
        <v>45278.690896741944</v>
      </c>
      <c r="O84" s="308">
        <f t="shared" ref="O84:T84" si="15">O82*O83/1000</f>
        <v>96534.527863062016</v>
      </c>
      <c r="P84" s="308">
        <f t="shared" si="15"/>
        <v>158401.39075063207</v>
      </c>
      <c r="Q84" s="308">
        <f t="shared" si="15"/>
        <v>229345.88836694136</v>
      </c>
      <c r="R84" s="308">
        <f t="shared" si="15"/>
        <v>310684.84845723724</v>
      </c>
      <c r="S84" s="308">
        <f t="shared" si="15"/>
        <v>404199.24573059735</v>
      </c>
      <c r="T84" s="308">
        <f t="shared" si="15"/>
        <v>512399.51661355252</v>
      </c>
      <c r="U84" s="51"/>
      <c r="V84" s="51"/>
      <c r="W84" s="51"/>
      <c r="X84" s="2"/>
      <c r="Y84" s="51"/>
      <c r="Z84" s="51"/>
      <c r="AA84" s="51"/>
      <c r="AB84" s="2"/>
      <c r="AC84" s="51"/>
      <c r="AD84" s="51"/>
      <c r="AE84" s="51"/>
      <c r="AF84" s="2"/>
      <c r="AG84" s="51"/>
      <c r="AH84" s="51"/>
      <c r="AI84" s="51"/>
      <c r="AJ84" s="2"/>
      <c r="AK84" s="51"/>
      <c r="AL84" s="51"/>
      <c r="AM84" s="51"/>
      <c r="AN84" s="2"/>
      <c r="AO84" s="51"/>
      <c r="AP84" s="51"/>
      <c r="AQ84" s="51"/>
      <c r="AR84" s="2"/>
      <c r="AS84" s="51"/>
      <c r="AT84" s="51"/>
      <c r="AU84" s="51"/>
      <c r="AV84" s="2"/>
      <c r="AW84" s="51"/>
      <c r="AX84" s="51"/>
      <c r="AY84" s="51"/>
      <c r="AZ84" s="2"/>
      <c r="BA84" s="51"/>
      <c r="BB84" s="51"/>
      <c r="BC84" s="51"/>
      <c r="BD84" s="2"/>
      <c r="BE84" s="51"/>
      <c r="BF84" s="51"/>
      <c r="BG84" s="51"/>
      <c r="BH84" s="2"/>
      <c r="BI84" s="51"/>
      <c r="BJ84" s="51"/>
      <c r="BK84" s="51"/>
      <c r="BL84" s="2"/>
      <c r="BM84" s="51"/>
      <c r="BN84" s="51"/>
      <c r="BO84" s="51"/>
      <c r="BP84" s="2"/>
      <c r="BQ84" s="51"/>
      <c r="BR84" s="51"/>
      <c r="BS84" s="51"/>
      <c r="BT84" s="2"/>
      <c r="BU84" s="51"/>
    </row>
    <row r="85" spans="1:73" x14ac:dyDescent="0.2">
      <c r="A85" s="51"/>
      <c r="B85" s="51"/>
      <c r="C85" s="79" t="s">
        <v>408</v>
      </c>
      <c r="D85" s="79"/>
      <c r="E85" s="79"/>
      <c r="F85" s="79"/>
      <c r="G85" s="79"/>
      <c r="H85" s="79"/>
      <c r="I85" s="79"/>
      <c r="J85" s="79"/>
      <c r="K85" s="79"/>
      <c r="L85" s="79"/>
      <c r="M85" s="79"/>
      <c r="N85" s="79">
        <f>N68+(N82*'MODEL INPUT'!$G$119)</f>
        <v>70204.758017872489</v>
      </c>
      <c r="O85" s="79">
        <f>O68+(O82*'MODEL INPUT'!$G$119)</f>
        <v>145455.52512297785</v>
      </c>
      <c r="P85" s="79">
        <f>P68+(P82*'MODEL INPUT'!$G$119)</f>
        <v>233667.4869840263</v>
      </c>
      <c r="Q85" s="79">
        <f>Q68+(Q82*'MODEL INPUT'!$G$119)</f>
        <v>332096.62941705302</v>
      </c>
      <c r="R85" s="79">
        <f>R68+(R82*'MODEL INPUT'!$G$119)</f>
        <v>442185.00053143711</v>
      </c>
      <c r="S85" s="79">
        <f>S68+(S82*'MODEL INPUT'!$G$119)</f>
        <v>565862.32740295946</v>
      </c>
      <c r="T85" s="79">
        <f>T68+(T82*'MODEL INPUT'!$G$119)</f>
        <v>705732.06507134007</v>
      </c>
      <c r="U85" s="51"/>
      <c r="V85" s="51"/>
      <c r="W85" s="51"/>
      <c r="X85" s="2"/>
      <c r="Y85" s="51"/>
      <c r="Z85" s="51"/>
      <c r="AA85" s="51"/>
      <c r="AB85" s="2"/>
      <c r="AC85" s="51"/>
      <c r="AD85" s="51"/>
      <c r="AE85" s="51"/>
      <c r="AF85" s="2"/>
      <c r="AG85" s="51"/>
      <c r="AH85" s="51"/>
      <c r="AI85" s="51"/>
      <c r="AJ85" s="2"/>
      <c r="AK85" s="51"/>
      <c r="AL85" s="51"/>
      <c r="AM85" s="51"/>
      <c r="AN85" s="2"/>
      <c r="AO85" s="51"/>
      <c r="AP85" s="51"/>
      <c r="AQ85" s="51"/>
      <c r="AR85" s="2"/>
      <c r="AS85" s="51"/>
      <c r="AT85" s="51"/>
      <c r="AU85" s="51"/>
      <c r="AV85" s="2"/>
      <c r="AW85" s="51"/>
      <c r="AX85" s="51"/>
      <c r="AY85" s="51"/>
      <c r="AZ85" s="2"/>
      <c r="BA85" s="51"/>
      <c r="BB85" s="51"/>
      <c r="BC85" s="51"/>
      <c r="BD85" s="2"/>
      <c r="BE85" s="51"/>
      <c r="BF85" s="51"/>
      <c r="BG85" s="51"/>
      <c r="BH85" s="2"/>
      <c r="BI85" s="51"/>
      <c r="BJ85" s="51"/>
      <c r="BK85" s="51"/>
      <c r="BL85" s="2"/>
      <c r="BM85" s="51"/>
      <c r="BN85" s="51"/>
      <c r="BO85" s="51"/>
      <c r="BP85" s="2"/>
      <c r="BQ85" s="51"/>
      <c r="BR85" s="51"/>
      <c r="BS85" s="51"/>
      <c r="BT85" s="2"/>
      <c r="BU85" s="51"/>
    </row>
    <row r="86" spans="1:73" x14ac:dyDescent="0.2">
      <c r="A86" s="51"/>
      <c r="B86" s="51"/>
      <c r="C86" s="304" t="s">
        <v>409</v>
      </c>
      <c r="D86" s="304"/>
      <c r="E86" s="304"/>
      <c r="F86" s="304"/>
      <c r="G86" s="304"/>
      <c r="H86" s="304"/>
      <c r="I86" s="304"/>
      <c r="J86" s="304"/>
      <c r="K86" s="304"/>
      <c r="L86" s="304"/>
      <c r="M86" s="313"/>
      <c r="N86" s="313">
        <f>SUM(N84,N72)</f>
        <v>120694.62251446021</v>
      </c>
      <c r="O86" s="313">
        <f t="shared" ref="O86:T86" si="16">SUM(O84,O72)</f>
        <v>188909.16513780734</v>
      </c>
      <c r="P86" s="313">
        <f t="shared" si="16"/>
        <v>264899.51712690364</v>
      </c>
      <c r="Q86" s="313">
        <f t="shared" si="16"/>
        <v>352433.93297722749</v>
      </c>
      <c r="R86" s="313">
        <f t="shared" si="16"/>
        <v>453539.68706813053</v>
      </c>
      <c r="S86" s="313">
        <f t="shared" si="16"/>
        <v>570714.6149690313</v>
      </c>
      <c r="T86" s="313">
        <f t="shared" si="16"/>
        <v>706935.33020455879</v>
      </c>
      <c r="U86" s="51"/>
      <c r="V86" s="51"/>
      <c r="W86" s="51"/>
      <c r="X86" s="2"/>
      <c r="Y86" s="51"/>
      <c r="Z86" s="51"/>
      <c r="AA86" s="51"/>
      <c r="AB86" s="2"/>
      <c r="AC86" s="51"/>
      <c r="AD86" s="51"/>
      <c r="AE86" s="51"/>
      <c r="AF86" s="2"/>
      <c r="AG86" s="51"/>
      <c r="AH86" s="51"/>
      <c r="AI86" s="51"/>
      <c r="AJ86" s="2"/>
      <c r="AK86" s="51"/>
      <c r="AL86" s="51"/>
      <c r="AM86" s="51"/>
      <c r="AN86" s="2"/>
      <c r="AO86" s="51"/>
      <c r="AP86" s="51"/>
      <c r="AQ86" s="51"/>
      <c r="AR86" s="2"/>
      <c r="AS86" s="51"/>
      <c r="AT86" s="51"/>
      <c r="AU86" s="51"/>
      <c r="AV86" s="2"/>
      <c r="AW86" s="51"/>
      <c r="AX86" s="51"/>
      <c r="AY86" s="51"/>
      <c r="AZ86" s="2"/>
      <c r="BA86" s="51"/>
      <c r="BB86" s="51"/>
      <c r="BC86" s="51"/>
      <c r="BD86" s="2"/>
      <c r="BE86" s="51"/>
      <c r="BF86" s="51"/>
      <c r="BG86" s="51"/>
      <c r="BH86" s="2"/>
      <c r="BI86" s="51"/>
      <c r="BJ86" s="51"/>
      <c r="BK86" s="51"/>
      <c r="BL86" s="2"/>
      <c r="BM86" s="51"/>
      <c r="BN86" s="51"/>
      <c r="BO86" s="51"/>
      <c r="BP86" s="2"/>
      <c r="BQ86" s="51"/>
      <c r="BR86" s="51"/>
      <c r="BS86" s="51"/>
      <c r="BT86" s="2"/>
      <c r="BU86" s="51"/>
    </row>
    <row r="87" spans="1:73" x14ac:dyDescent="0.2">
      <c r="A87" s="51"/>
      <c r="B87" s="51"/>
      <c r="C87" s="25" t="s">
        <v>383</v>
      </c>
      <c r="D87" s="25"/>
      <c r="E87" s="25"/>
      <c r="F87" s="25"/>
      <c r="G87" s="25"/>
      <c r="H87" s="25"/>
      <c r="I87" s="25"/>
      <c r="J87" s="25"/>
      <c r="K87" s="25"/>
      <c r="L87" s="25"/>
      <c r="M87" s="25"/>
      <c r="N87" s="81"/>
      <c r="O87" s="81">
        <f t="shared" ref="O87:T87" si="17">(O86/N86)-1</f>
        <v>0.56518294852096229</v>
      </c>
      <c r="P87" s="81">
        <f t="shared" si="17"/>
        <v>0.4022586830748105</v>
      </c>
      <c r="Q87" s="81">
        <f t="shared" si="17"/>
        <v>0.33044384829282025</v>
      </c>
      <c r="R87" s="81">
        <f t="shared" si="17"/>
        <v>0.28687860228667583</v>
      </c>
      <c r="S87" s="81">
        <f t="shared" si="17"/>
        <v>0.25835650383402675</v>
      </c>
      <c r="T87" s="81">
        <f t="shared" si="17"/>
        <v>0.23868446972033341</v>
      </c>
      <c r="U87" s="51"/>
      <c r="V87" s="51"/>
      <c r="W87" s="51"/>
      <c r="X87" s="2"/>
      <c r="Y87" s="51"/>
      <c r="Z87" s="51"/>
      <c r="AA87" s="51"/>
      <c r="AB87" s="2"/>
      <c r="AC87" s="51"/>
      <c r="AD87" s="51"/>
      <c r="AE87" s="51"/>
      <c r="AF87" s="2"/>
      <c r="AG87" s="51"/>
      <c r="AH87" s="51"/>
      <c r="AI87" s="51"/>
      <c r="AJ87" s="2"/>
      <c r="AK87" s="51"/>
      <c r="AL87" s="51"/>
      <c r="AM87" s="51"/>
      <c r="AN87" s="2"/>
      <c r="AO87" s="51"/>
      <c r="AP87" s="51"/>
      <c r="AQ87" s="51"/>
      <c r="AR87" s="2"/>
      <c r="AS87" s="51"/>
      <c r="AT87" s="51"/>
      <c r="AU87" s="51"/>
      <c r="AV87" s="2"/>
      <c r="AW87" s="51"/>
      <c r="AX87" s="51"/>
      <c r="AY87" s="51"/>
      <c r="AZ87" s="2"/>
      <c r="BA87" s="51"/>
      <c r="BB87" s="51"/>
      <c r="BC87" s="51"/>
      <c r="BD87" s="2"/>
      <c r="BE87" s="51"/>
      <c r="BF87" s="51"/>
      <c r="BG87" s="51"/>
      <c r="BH87" s="2"/>
      <c r="BI87" s="51"/>
      <c r="BJ87" s="51"/>
      <c r="BK87" s="51"/>
      <c r="BL87" s="2"/>
      <c r="BM87" s="51"/>
      <c r="BN87" s="51"/>
      <c r="BO87" s="51"/>
      <c r="BP87" s="2"/>
      <c r="BQ87" s="51"/>
      <c r="BR87" s="51"/>
      <c r="BS87" s="51"/>
      <c r="BT87" s="2"/>
      <c r="BU87" s="51"/>
    </row>
    <row r="88" spans="1:73" ht="17" thickBot="1" x14ac:dyDescent="0.25">
      <c r="A88" s="51"/>
      <c r="B88" s="51"/>
      <c r="C88" s="57" t="s">
        <v>410</v>
      </c>
      <c r="D88" s="57">
        <v>2014</v>
      </c>
      <c r="E88" s="57">
        <v>2015</v>
      </c>
      <c r="F88" s="57">
        <v>2016</v>
      </c>
      <c r="G88" s="57">
        <v>2017</v>
      </c>
      <c r="H88" s="57">
        <v>2018</v>
      </c>
      <c r="I88" s="57">
        <v>2019</v>
      </c>
      <c r="J88" s="57">
        <v>2020</v>
      </c>
      <c r="K88" s="57">
        <v>2021</v>
      </c>
      <c r="L88" s="57">
        <v>2022</v>
      </c>
      <c r="M88" s="57">
        <v>2023</v>
      </c>
      <c r="N88" s="57">
        <v>2024</v>
      </c>
      <c r="O88" s="57">
        <v>2025</v>
      </c>
      <c r="P88" s="57">
        <v>2026</v>
      </c>
      <c r="Q88" s="57">
        <v>2027</v>
      </c>
      <c r="R88" s="57">
        <v>2028</v>
      </c>
      <c r="S88" s="57">
        <v>2029</v>
      </c>
      <c r="T88" s="57">
        <v>2030</v>
      </c>
      <c r="U88" s="51"/>
      <c r="V88" s="51"/>
      <c r="W88" s="51"/>
      <c r="X88" s="2"/>
      <c r="Y88" s="51"/>
      <c r="Z88" s="51"/>
      <c r="AA88" s="51"/>
      <c r="AB88" s="2"/>
      <c r="AC88" s="51"/>
      <c r="AD88" s="51"/>
      <c r="AE88" s="51"/>
      <c r="AF88" s="2"/>
      <c r="AG88" s="51"/>
      <c r="AH88" s="51"/>
      <c r="AI88" s="51"/>
      <c r="AJ88" s="2"/>
      <c r="AK88" s="51"/>
      <c r="AL88" s="51"/>
      <c r="AM88" s="51"/>
      <c r="AN88" s="2"/>
      <c r="AO88" s="51"/>
      <c r="AP88" s="51"/>
      <c r="AQ88" s="51"/>
      <c r="AR88" s="2"/>
      <c r="AS88" s="51"/>
      <c r="AT88" s="51"/>
      <c r="AU88" s="51"/>
      <c r="AV88" s="2"/>
      <c r="AW88" s="51"/>
      <c r="AX88" s="51"/>
      <c r="AY88" s="51"/>
      <c r="AZ88" s="2"/>
      <c r="BA88" s="51"/>
      <c r="BB88" s="51"/>
      <c r="BC88" s="51"/>
      <c r="BD88" s="2"/>
      <c r="BE88" s="51"/>
      <c r="BF88" s="51"/>
      <c r="BG88" s="51"/>
      <c r="BH88" s="2"/>
      <c r="BI88" s="51"/>
      <c r="BJ88" s="51"/>
      <c r="BK88" s="51"/>
      <c r="BL88" s="2"/>
      <c r="BM88" s="51"/>
      <c r="BN88" s="51"/>
      <c r="BO88" s="51"/>
      <c r="BP88" s="2"/>
      <c r="BQ88" s="51"/>
      <c r="BR88" s="51"/>
      <c r="BS88" s="51"/>
      <c r="BT88" s="2"/>
      <c r="BU88" s="51"/>
    </row>
    <row r="89" spans="1:73" ht="17" thickTop="1" x14ac:dyDescent="0.2">
      <c r="A89" s="51"/>
      <c r="B89" s="51"/>
      <c r="C89" s="311" t="s">
        <v>411</v>
      </c>
      <c r="D89" s="311"/>
      <c r="E89" s="311"/>
      <c r="F89" s="311"/>
      <c r="G89" s="311"/>
      <c r="H89" s="311"/>
      <c r="I89" s="311"/>
      <c r="J89" s="311"/>
      <c r="K89" s="311"/>
      <c r="L89" s="311"/>
      <c r="M89" s="311"/>
      <c r="N89" s="301">
        <f>'MODEL INPUT'!$G$30/(1+POWER(81, ('MODEL INPUT'!$G$29+('MODEL INPUT'!$G$122/2)-N88)/'MODEL INPUT'!$G$122))</f>
        <v>2.8872748393428851E-3</v>
      </c>
      <c r="O89" s="301">
        <f>'MODEL INPUT'!$G$30/(1+POWER(81, ('MODEL INPUT'!$G$29+('MODEL INPUT'!$G$122/2)-O88)/'MODEL INPUT'!$G$122))</f>
        <v>4.4103335200589237E-3</v>
      </c>
      <c r="P89" s="301">
        <f>'MODEL INPUT'!$G$30/(1+POWER(81, ('MODEL INPUT'!$G$29+('MODEL INPUT'!$G$122/2)-P88)/'MODEL INPUT'!$G$122))</f>
        <v>6.6815397004367826E-3</v>
      </c>
      <c r="Q89" s="301">
        <f>'MODEL INPUT'!$G$30/(1+POWER(81, ('MODEL INPUT'!$G$29+('MODEL INPUT'!$G$122/2)-Q88)/'MODEL INPUT'!$G$122))</f>
        <v>0.01</v>
      </c>
      <c r="R89" s="301">
        <f>'MODEL INPUT'!$G$30/(1+POWER(81, ('MODEL INPUT'!$G$29+('MODEL INPUT'!$G$122/2)-R88)/'MODEL INPUT'!$G$122))</f>
        <v>1.4706863960856213E-2</v>
      </c>
      <c r="S89" s="301">
        <f>'MODEL INPUT'!$G$30/(1+POWER(81, ('MODEL INPUT'!$G$29+('MODEL INPUT'!$G$122/2)-S88)/'MODEL INPUT'!$G$122))</f>
        <v>2.1109548169995912E-2</v>
      </c>
      <c r="T89" s="301">
        <f>'MODEL INPUT'!$G$30/(1+POWER(81, ('MODEL INPUT'!$G$29+('MODEL INPUT'!$G$122/2)-T88)/'MODEL INPUT'!$G$122))</f>
        <v>2.9340788602311374E-2</v>
      </c>
      <c r="U89" s="51"/>
      <c r="V89" s="51"/>
      <c r="W89" s="51"/>
      <c r="X89" s="2"/>
      <c r="Y89" s="51"/>
      <c r="Z89" s="51"/>
      <c r="AA89" s="51"/>
      <c r="AB89" s="2"/>
      <c r="AC89" s="51"/>
      <c r="AD89" s="51"/>
      <c r="AE89" s="51"/>
      <c r="AF89" s="2"/>
      <c r="AG89" s="51"/>
      <c r="AH89" s="51"/>
      <c r="AI89" s="51"/>
      <c r="AJ89" s="2"/>
      <c r="AK89" s="51"/>
      <c r="AL89" s="51"/>
      <c r="AM89" s="51"/>
      <c r="AN89" s="2"/>
      <c r="AO89" s="51"/>
      <c r="AP89" s="51"/>
      <c r="AQ89" s="51"/>
      <c r="AR89" s="2"/>
      <c r="AS89" s="51"/>
      <c r="AT89" s="51"/>
      <c r="AU89" s="51"/>
      <c r="AV89" s="2"/>
      <c r="AW89" s="51"/>
      <c r="AX89" s="51"/>
      <c r="AY89" s="51"/>
      <c r="AZ89" s="2"/>
      <c r="BA89" s="51"/>
      <c r="BB89" s="51"/>
      <c r="BC89" s="51"/>
      <c r="BD89" s="2"/>
      <c r="BE89" s="51"/>
      <c r="BF89" s="51"/>
      <c r="BG89" s="51"/>
      <c r="BH89" s="2"/>
      <c r="BI89" s="51"/>
      <c r="BJ89" s="51"/>
      <c r="BK89" s="51"/>
      <c r="BL89" s="2"/>
      <c r="BM89" s="51"/>
      <c r="BN89" s="51"/>
      <c r="BO89" s="51"/>
      <c r="BP89" s="2"/>
      <c r="BQ89" s="51"/>
      <c r="BR89" s="51"/>
      <c r="BS89" s="51"/>
      <c r="BT89" s="2"/>
      <c r="BU89" s="51"/>
    </row>
    <row r="90" spans="1:73" x14ac:dyDescent="0.2">
      <c r="A90" s="51"/>
      <c r="B90" s="51"/>
      <c r="C90" s="22" t="s">
        <v>379</v>
      </c>
      <c r="D90" s="22"/>
      <c r="E90" s="22"/>
      <c r="F90" s="22"/>
      <c r="G90" s="22"/>
      <c r="H90" s="22"/>
      <c r="I90" s="22"/>
      <c r="J90" s="22"/>
      <c r="K90" s="22"/>
      <c r="L90" s="22"/>
      <c r="M90" s="22"/>
      <c r="N90" s="79">
        <f>N89*('MODEL INPUT'!$G$110*'MODEL INPUT'!$G$111*(1-'MODEL INPUT'!$G$112))</f>
        <v>571.68041818989104</v>
      </c>
      <c r="O90" s="79">
        <f>O89*('MODEL INPUT'!$G$110*'MODEL INPUT'!$G$111*(1-'MODEL INPUT'!$G$112))</f>
        <v>873.24603697166663</v>
      </c>
      <c r="P90" s="79">
        <f>P89*('MODEL INPUT'!$G$110*'MODEL INPUT'!$G$111*(1-'MODEL INPUT'!$G$112))</f>
        <v>1322.9448606864826</v>
      </c>
      <c r="Q90" s="79">
        <f>Q89*('MODEL INPUT'!$G$110*'MODEL INPUT'!$G$111*(1-'MODEL INPUT'!$G$112))</f>
        <v>1979.9999999999995</v>
      </c>
      <c r="R90" s="79">
        <f>R89*('MODEL INPUT'!$G$110*'MODEL INPUT'!$G$111*(1-'MODEL INPUT'!$G$112))</f>
        <v>2911.9590642495291</v>
      </c>
      <c r="S90" s="79">
        <f>S89*('MODEL INPUT'!$G$110*'MODEL INPUT'!$G$111*(1-'MODEL INPUT'!$G$112))</f>
        <v>4179.6905376591894</v>
      </c>
      <c r="T90" s="79">
        <f>T89*('MODEL INPUT'!$G$110*'MODEL INPUT'!$G$111*(1-'MODEL INPUT'!$G$112))</f>
        <v>5809.4761432576506</v>
      </c>
      <c r="U90" s="51"/>
      <c r="V90" s="51"/>
      <c r="W90" s="51"/>
      <c r="X90" s="2"/>
      <c r="Y90" s="51"/>
      <c r="Z90" s="51"/>
      <c r="AA90" s="51"/>
      <c r="AB90" s="2"/>
      <c r="AC90" s="51"/>
      <c r="AD90" s="51"/>
      <c r="AE90" s="51"/>
      <c r="AF90" s="2"/>
      <c r="AG90" s="51"/>
      <c r="AH90" s="51"/>
      <c r="AI90" s="51"/>
      <c r="AJ90" s="2"/>
      <c r="AK90" s="51"/>
      <c r="AL90" s="51"/>
      <c r="AM90" s="51"/>
      <c r="AN90" s="2"/>
      <c r="AO90" s="51"/>
      <c r="AP90" s="51"/>
      <c r="AQ90" s="51"/>
      <c r="AR90" s="2"/>
      <c r="AS90" s="51"/>
      <c r="AT90" s="51"/>
      <c r="AU90" s="51"/>
      <c r="AV90" s="2"/>
      <c r="AW90" s="51"/>
      <c r="AX90" s="51"/>
      <c r="AY90" s="51"/>
      <c r="AZ90" s="2"/>
      <c r="BA90" s="51"/>
      <c r="BB90" s="51"/>
      <c r="BC90" s="51"/>
      <c r="BD90" s="2"/>
      <c r="BE90" s="51"/>
      <c r="BF90" s="51"/>
      <c r="BG90" s="51"/>
      <c r="BH90" s="2"/>
      <c r="BI90" s="51"/>
      <c r="BJ90" s="51"/>
      <c r="BK90" s="51"/>
      <c r="BL90" s="2"/>
      <c r="BM90" s="51"/>
      <c r="BN90" s="51"/>
      <c r="BO90" s="51"/>
      <c r="BP90" s="2"/>
      <c r="BQ90" s="51"/>
      <c r="BR90" s="51"/>
      <c r="BS90" s="51"/>
      <c r="BT90" s="2"/>
      <c r="BU90" s="51"/>
    </row>
    <row r="91" spans="1:73" x14ac:dyDescent="0.2">
      <c r="A91" s="51"/>
      <c r="B91" s="51"/>
      <c r="C91" s="308" t="s">
        <v>377</v>
      </c>
      <c r="D91" s="308"/>
      <c r="E91" s="308"/>
      <c r="F91" s="308"/>
      <c r="G91" s="308"/>
      <c r="H91" s="308"/>
      <c r="I91" s="308"/>
      <c r="J91" s="308"/>
      <c r="K91" s="308"/>
      <c r="L91" s="308"/>
      <c r="M91" s="308"/>
      <c r="N91" s="308">
        <f>'MODEL INPUT'!G120</f>
        <v>2500</v>
      </c>
      <c r="O91" s="308">
        <f>N91*(1+'MODEL INPUT'!$G$121)</f>
        <v>2550</v>
      </c>
      <c r="P91" s="308">
        <f>O91*(1+'MODEL INPUT'!$G$121)</f>
        <v>2601</v>
      </c>
      <c r="Q91" s="308">
        <f>P91*(1+'MODEL INPUT'!$G$121)</f>
        <v>2653.02</v>
      </c>
      <c r="R91" s="308">
        <f>Q91*(1+'MODEL INPUT'!$G$121)</f>
        <v>2706.0803999999998</v>
      </c>
      <c r="S91" s="308">
        <f>R91*(1+'MODEL INPUT'!$G$121)</f>
        <v>2760.2020079999998</v>
      </c>
      <c r="T91" s="308">
        <f>S91*(1+'MODEL INPUT'!$G$121)</f>
        <v>2815.40604816</v>
      </c>
      <c r="U91" s="51"/>
      <c r="V91" s="51"/>
      <c r="W91" s="51"/>
      <c r="X91" s="2"/>
      <c r="Y91" s="51"/>
      <c r="Z91" s="51"/>
      <c r="AA91" s="51"/>
      <c r="AB91" s="2"/>
      <c r="AC91" s="51"/>
      <c r="AD91" s="51"/>
      <c r="AE91" s="51"/>
      <c r="AF91" s="2"/>
      <c r="AG91" s="51"/>
      <c r="AH91" s="51"/>
      <c r="AI91" s="51"/>
      <c r="AJ91" s="2"/>
      <c r="AK91" s="51"/>
      <c r="AL91" s="51"/>
      <c r="AM91" s="51"/>
      <c r="AN91" s="2"/>
      <c r="AO91" s="51"/>
      <c r="AP91" s="51"/>
      <c r="AQ91" s="51"/>
      <c r="AR91" s="2"/>
      <c r="AS91" s="51"/>
      <c r="AT91" s="51"/>
      <c r="AU91" s="51"/>
      <c r="AV91" s="2"/>
      <c r="AW91" s="51"/>
      <c r="AX91" s="51"/>
      <c r="AY91" s="51"/>
      <c r="AZ91" s="2"/>
      <c r="BA91" s="51"/>
      <c r="BB91" s="51"/>
      <c r="BC91" s="51"/>
      <c r="BD91" s="2"/>
      <c r="BE91" s="51"/>
      <c r="BF91" s="51"/>
      <c r="BG91" s="51"/>
      <c r="BH91" s="2"/>
      <c r="BI91" s="51"/>
      <c r="BJ91" s="51"/>
      <c r="BK91" s="51"/>
      <c r="BL91" s="2"/>
      <c r="BM91" s="51"/>
      <c r="BN91" s="51"/>
      <c r="BO91" s="51"/>
      <c r="BP91" s="2"/>
      <c r="BQ91" s="51"/>
      <c r="BR91" s="51"/>
      <c r="BS91" s="51"/>
      <c r="BT91" s="2"/>
      <c r="BU91" s="51"/>
    </row>
    <row r="92" spans="1:73" x14ac:dyDescent="0.2">
      <c r="A92" s="51"/>
      <c r="B92" s="51"/>
      <c r="C92" s="26" t="s">
        <v>396</v>
      </c>
      <c r="D92" s="26"/>
      <c r="E92" s="26"/>
      <c r="F92" s="26"/>
      <c r="G92" s="26"/>
      <c r="H92" s="26"/>
      <c r="I92" s="26"/>
      <c r="J92" s="26"/>
      <c r="K92" s="26"/>
      <c r="L92" s="26"/>
      <c r="M92" s="26"/>
      <c r="N92" s="26">
        <f>N90*N91/1000</f>
        <v>1429.2010454747276</v>
      </c>
      <c r="O92" s="26">
        <f t="shared" ref="O92:T92" si="18">O90*O91/1000</f>
        <v>2226.7773942777499</v>
      </c>
      <c r="P92" s="26">
        <f t="shared" si="18"/>
        <v>3440.9795826455411</v>
      </c>
      <c r="Q92" s="26">
        <f t="shared" si="18"/>
        <v>5252.9795999999988</v>
      </c>
      <c r="R92" s="26">
        <f t="shared" si="18"/>
        <v>7879.9953493679914</v>
      </c>
      <c r="S92" s="26">
        <f t="shared" si="18"/>
        <v>11536.790214865492</v>
      </c>
      <c r="T92" s="26">
        <f t="shared" si="18"/>
        <v>16356.03427036882</v>
      </c>
      <c r="U92" s="51"/>
      <c r="V92" s="51"/>
      <c r="W92" s="51"/>
      <c r="X92" s="2"/>
      <c r="Y92" s="51"/>
      <c r="Z92" s="51"/>
      <c r="AA92" s="51"/>
      <c r="AB92" s="2"/>
      <c r="AC92" s="51"/>
      <c r="AD92" s="51"/>
      <c r="AE92" s="51"/>
      <c r="AF92" s="2"/>
      <c r="AG92" s="51"/>
      <c r="AH92" s="51"/>
      <c r="AI92" s="51"/>
      <c r="AJ92" s="2"/>
      <c r="AK92" s="51"/>
      <c r="AL92" s="51"/>
      <c r="AM92" s="51"/>
      <c r="AN92" s="2"/>
      <c r="AO92" s="51"/>
      <c r="AP92" s="51"/>
      <c r="AQ92" s="51"/>
      <c r="AR92" s="2"/>
      <c r="AS92" s="51"/>
      <c r="AT92" s="51"/>
      <c r="AU92" s="51"/>
      <c r="AV92" s="2"/>
      <c r="AW92" s="51"/>
      <c r="AX92" s="51"/>
      <c r="AY92" s="51"/>
      <c r="AZ92" s="2"/>
      <c r="BA92" s="51"/>
      <c r="BB92" s="51"/>
      <c r="BC92" s="51"/>
      <c r="BD92" s="2"/>
      <c r="BE92" s="51"/>
      <c r="BF92" s="51"/>
      <c r="BG92" s="51"/>
      <c r="BH92" s="2"/>
      <c r="BI92" s="51"/>
      <c r="BJ92" s="51"/>
      <c r="BK92" s="51"/>
      <c r="BL92" s="2"/>
      <c r="BM92" s="51"/>
      <c r="BN92" s="51"/>
      <c r="BO92" s="51"/>
      <c r="BP92" s="2"/>
      <c r="BQ92" s="51"/>
      <c r="BR92" s="51"/>
      <c r="BS92" s="51"/>
      <c r="BT92" s="2"/>
      <c r="BU92" s="51"/>
    </row>
    <row r="93" spans="1:73" x14ac:dyDescent="0.2">
      <c r="A93" s="51"/>
      <c r="B93" s="51"/>
      <c r="C93" s="82" t="s">
        <v>397</v>
      </c>
      <c r="D93" s="83"/>
      <c r="E93" s="83"/>
      <c r="F93" s="83"/>
      <c r="G93" s="83"/>
      <c r="H93" s="83"/>
      <c r="I93" s="83"/>
      <c r="J93" s="83"/>
      <c r="K93" s="83"/>
      <c r="L93" s="83"/>
      <c r="M93" s="82"/>
      <c r="N93" s="82"/>
      <c r="O93" s="85">
        <v>1</v>
      </c>
      <c r="P93" s="85">
        <v>2</v>
      </c>
      <c r="Q93" s="85">
        <v>3</v>
      </c>
      <c r="R93" s="85">
        <v>4</v>
      </c>
      <c r="S93" s="85">
        <v>5</v>
      </c>
      <c r="T93" s="85">
        <v>6</v>
      </c>
      <c r="U93" s="51"/>
      <c r="V93" s="51"/>
      <c r="W93" s="51"/>
      <c r="X93" s="2"/>
      <c r="Y93" s="51"/>
      <c r="Z93" s="51"/>
      <c r="AA93" s="51"/>
      <c r="AB93" s="2"/>
      <c r="AC93" s="51"/>
      <c r="AD93" s="51"/>
      <c r="AE93" s="51"/>
      <c r="AF93" s="2"/>
      <c r="AG93" s="51"/>
      <c r="AH93" s="51"/>
      <c r="AI93" s="51"/>
      <c r="AJ93" s="2"/>
      <c r="AK93" s="51"/>
      <c r="AL93" s="51"/>
      <c r="AM93" s="51"/>
      <c r="AN93" s="2"/>
      <c r="AO93" s="51"/>
      <c r="AP93" s="51"/>
      <c r="AQ93" s="51"/>
      <c r="AR93" s="2"/>
      <c r="AS93" s="51"/>
      <c r="AT93" s="51"/>
      <c r="AU93" s="51"/>
      <c r="AV93" s="2"/>
      <c r="AW93" s="51"/>
      <c r="AX93" s="51"/>
      <c r="AY93" s="51"/>
      <c r="AZ93" s="2"/>
      <c r="BA93" s="51"/>
      <c r="BB93" s="51"/>
      <c r="BC93" s="51"/>
      <c r="BD93" s="2"/>
      <c r="BE93" s="51"/>
      <c r="BF93" s="51"/>
      <c r="BG93" s="51"/>
      <c r="BH93" s="2"/>
      <c r="BI93" s="51"/>
      <c r="BJ93" s="51"/>
      <c r="BK93" s="51"/>
      <c r="BL93" s="2"/>
      <c r="BM93" s="51"/>
      <c r="BN93" s="51"/>
      <c r="BO93" s="51"/>
      <c r="BP93" s="2"/>
      <c r="BQ93" s="51"/>
      <c r="BR93" s="51"/>
      <c r="BS93" s="51"/>
      <c r="BT93" s="2"/>
      <c r="BU93" s="51"/>
    </row>
    <row r="94" spans="1:73" x14ac:dyDescent="0.2">
      <c r="A94" s="51"/>
      <c r="B94" s="51"/>
      <c r="C94" s="304" t="s">
        <v>399</v>
      </c>
      <c r="D94" s="304"/>
      <c r="E94" s="304"/>
      <c r="F94" s="304"/>
      <c r="G94" s="304"/>
      <c r="H94" s="304"/>
      <c r="I94" s="304"/>
      <c r="J94" s="304"/>
      <c r="K94" s="304"/>
      <c r="L94" s="304"/>
      <c r="M94" s="304"/>
      <c r="N94" s="304"/>
      <c r="O94" s="312" cm="1">
        <f t="array" ref="O94">INDEX($V$71:$W$80, O$93, 2)*$N$90</f>
        <v>525.94598473469978</v>
      </c>
      <c r="P94" s="312" cm="1">
        <f t="array" ref="P94">INDEX($V$71:$W$80, P$93, 2)*$N$90</f>
        <v>506.73752268351939</v>
      </c>
      <c r="Q94" s="312" cm="1">
        <f t="array" ref="Q94">INDEX($V$71:$W$80, Q$93, 2)*$N$90</f>
        <v>485.92835546140736</v>
      </c>
      <c r="R94" s="312" cm="1">
        <f t="array" ref="R94">INDEX($V$71:$W$80, R$93, 2)*$N$90</f>
        <v>472.89404192667786</v>
      </c>
      <c r="S94" s="312" cm="1">
        <f t="array" ref="S94">INDEX($V$71:$W$80, S$93, 2)*$N$90</f>
        <v>457.34433455191288</v>
      </c>
      <c r="T94" s="312" cm="1">
        <f t="array" ref="T94">INDEX($V$71:$W$80, T$93, 2)*$N$90</f>
        <v>439.05056116983633</v>
      </c>
      <c r="U94" s="51"/>
      <c r="V94" s="51"/>
      <c r="W94" s="51"/>
      <c r="X94" s="2"/>
      <c r="Y94" s="51"/>
      <c r="Z94" s="51"/>
      <c r="AA94" s="51"/>
      <c r="AB94" s="2"/>
      <c r="AC94" s="51"/>
      <c r="AD94" s="51"/>
      <c r="AE94" s="51"/>
      <c r="AF94" s="2"/>
      <c r="AG94" s="51"/>
      <c r="AH94" s="51"/>
      <c r="AI94" s="51"/>
      <c r="AJ94" s="2"/>
      <c r="AK94" s="51"/>
      <c r="AL94" s="51"/>
      <c r="AM94" s="51"/>
      <c r="AN94" s="2"/>
      <c r="AO94" s="51"/>
      <c r="AP94" s="51"/>
      <c r="AQ94" s="51"/>
      <c r="AR94" s="2"/>
      <c r="AS94" s="51"/>
      <c r="AT94" s="51"/>
      <c r="AU94" s="51"/>
      <c r="AV94" s="2"/>
      <c r="AW94" s="51"/>
      <c r="AX94" s="51"/>
      <c r="AY94" s="51"/>
      <c r="AZ94" s="2"/>
      <c r="BA94" s="51"/>
      <c r="BB94" s="51"/>
      <c r="BC94" s="51"/>
      <c r="BD94" s="2"/>
      <c r="BE94" s="51"/>
      <c r="BF94" s="51"/>
      <c r="BG94" s="51"/>
      <c r="BH94" s="2"/>
      <c r="BI94" s="51"/>
      <c r="BJ94" s="51"/>
      <c r="BK94" s="51"/>
      <c r="BL94" s="2"/>
      <c r="BM94" s="51"/>
      <c r="BN94" s="51"/>
      <c r="BO94" s="51"/>
      <c r="BP94" s="2"/>
      <c r="BQ94" s="51"/>
      <c r="BR94" s="51"/>
      <c r="BS94" s="51"/>
      <c r="BT94" s="2"/>
      <c r="BU94" s="51"/>
    </row>
    <row r="95" spans="1:73" x14ac:dyDescent="0.2">
      <c r="A95" s="51"/>
      <c r="B95" s="51"/>
      <c r="C95" s="22" t="s">
        <v>400</v>
      </c>
      <c r="D95" s="22"/>
      <c r="E95" s="22"/>
      <c r="F95" s="22"/>
      <c r="G95" s="22"/>
      <c r="H95" s="22"/>
      <c r="I95" s="22"/>
      <c r="J95" s="22"/>
      <c r="K95" s="22"/>
      <c r="L95" s="22"/>
      <c r="M95" s="22"/>
      <c r="N95" s="22"/>
      <c r="O95" s="80" cm="1">
        <f t="array" ref="O95">INDEX($V$71:$W$80, O$93, 2)*$O$90</f>
        <v>803.38635401393333</v>
      </c>
      <c r="P95" s="80" cm="1">
        <f t="array" ref="P95">INDEX($V$71:$W$80, P$93, 2)*$O$90</f>
        <v>774.04528717168523</v>
      </c>
      <c r="Q95" s="80" cm="1">
        <f t="array" ref="Q95">INDEX($V$71:$W$80, Q$93, 2)*$O$90</f>
        <v>742.25913142591662</v>
      </c>
      <c r="R95" s="80" cm="1">
        <f t="array" ref="R95">INDEX($V$71:$W$80, R$93, 2)*$O$90</f>
        <v>722.34912178296258</v>
      </c>
      <c r="S95" s="80" cm="1">
        <f t="array" ref="S95">INDEX($V$71:$W$80, S$93, 2)*$O$90</f>
        <v>698.59682957733332</v>
      </c>
      <c r="T95" s="80" cm="1">
        <f t="array" ref="T95">INDEX($V$71:$W$80, T$93, 2)*$O$90</f>
        <v>670.65295639423994</v>
      </c>
      <c r="U95" s="51"/>
      <c r="V95" s="51"/>
      <c r="W95" s="51"/>
      <c r="X95" s="2"/>
      <c r="Y95" s="51"/>
      <c r="Z95" s="51"/>
      <c r="AA95" s="51"/>
      <c r="AB95" s="2"/>
      <c r="AC95" s="51"/>
      <c r="AD95" s="51"/>
      <c r="AE95" s="51"/>
      <c r="AF95" s="2"/>
      <c r="AG95" s="51"/>
      <c r="AH95" s="51"/>
      <c r="AI95" s="51"/>
      <c r="AJ95" s="2"/>
      <c r="AK95" s="51"/>
      <c r="AL95" s="51"/>
      <c r="AM95" s="51"/>
      <c r="AN95" s="2"/>
      <c r="AO95" s="51"/>
      <c r="AP95" s="51"/>
      <c r="AQ95" s="51"/>
      <c r="AR95" s="2"/>
      <c r="AS95" s="51"/>
      <c r="AT95" s="51"/>
      <c r="AU95" s="51"/>
      <c r="AV95" s="2"/>
      <c r="AW95" s="51"/>
      <c r="AX95" s="51"/>
      <c r="AY95" s="51"/>
      <c r="AZ95" s="2"/>
      <c r="BA95" s="51"/>
      <c r="BB95" s="51"/>
      <c r="BC95" s="51"/>
      <c r="BD95" s="2"/>
      <c r="BE95" s="51"/>
      <c r="BF95" s="51"/>
      <c r="BG95" s="51"/>
      <c r="BH95" s="2"/>
      <c r="BI95" s="51"/>
      <c r="BJ95" s="51"/>
      <c r="BK95" s="51"/>
      <c r="BL95" s="2"/>
      <c r="BM95" s="51"/>
      <c r="BN95" s="51"/>
      <c r="BO95" s="51"/>
      <c r="BP95" s="2"/>
      <c r="BQ95" s="51"/>
      <c r="BR95" s="51"/>
      <c r="BS95" s="51"/>
      <c r="BT95" s="2"/>
      <c r="BU95" s="51"/>
    </row>
    <row r="96" spans="1:73" x14ac:dyDescent="0.2">
      <c r="A96" s="51"/>
      <c r="B96" s="51"/>
      <c r="C96" s="304" t="s">
        <v>401</v>
      </c>
      <c r="D96" s="304"/>
      <c r="E96" s="304"/>
      <c r="F96" s="304"/>
      <c r="G96" s="304"/>
      <c r="H96" s="304"/>
      <c r="I96" s="304"/>
      <c r="J96" s="304"/>
      <c r="K96" s="304"/>
      <c r="L96" s="304"/>
      <c r="M96" s="304"/>
      <c r="N96" s="304"/>
      <c r="O96" s="312" cm="1">
        <f t="array" ref="O96">INDEX($V$71:$W$80, O$93, 2)*$P$90</f>
        <v>1217.109271831564</v>
      </c>
      <c r="P96" s="312" cm="1">
        <f t="array" ref="P96">INDEX($V$71:$W$80, P$93, 2)*$P$90</f>
        <v>1172.6583245124982</v>
      </c>
      <c r="Q96" s="312" cm="1">
        <f t="array" ref="Q96">INDEX($V$71:$W$80, Q$93, 2)*$P$90</f>
        <v>1124.5031315835101</v>
      </c>
      <c r="R96" s="312" cm="1">
        <f t="array" ref="R96">INDEX($V$71:$W$80, R$93, 2)*$P$90</f>
        <v>1094.3399887598582</v>
      </c>
      <c r="S96" s="312" cm="1">
        <f t="array" ref="S96">INDEX($V$71:$W$80, S$93, 2)*$P$90</f>
        <v>1058.3558885491861</v>
      </c>
      <c r="T96" s="312" cm="1">
        <f t="array" ref="T96">INDEX($V$71:$W$80, T$93, 2)*$P$90</f>
        <v>1016.0216530072187</v>
      </c>
      <c r="U96" s="51"/>
      <c r="V96" s="51"/>
      <c r="W96" s="51"/>
      <c r="X96" s="2"/>
      <c r="Y96" s="51"/>
      <c r="Z96" s="51"/>
      <c r="AA96" s="51"/>
      <c r="AB96" s="2"/>
      <c r="AC96" s="51"/>
      <c r="AD96" s="51"/>
      <c r="AE96" s="51"/>
      <c r="AF96" s="2"/>
      <c r="AG96" s="51"/>
      <c r="AH96" s="51"/>
      <c r="AI96" s="51"/>
      <c r="AJ96" s="2"/>
      <c r="AK96" s="51"/>
      <c r="AL96" s="51"/>
      <c r="AM96" s="51"/>
      <c r="AN96" s="2"/>
      <c r="AO96" s="51"/>
      <c r="AP96" s="51"/>
      <c r="AQ96" s="51"/>
      <c r="AR96" s="2"/>
      <c r="AS96" s="51"/>
      <c r="AT96" s="51"/>
      <c r="AU96" s="51"/>
      <c r="AV96" s="2"/>
      <c r="AW96" s="51"/>
      <c r="AX96" s="51"/>
      <c r="AY96" s="51"/>
      <c r="AZ96" s="2"/>
      <c r="BA96" s="51"/>
      <c r="BB96" s="51"/>
      <c r="BC96" s="51"/>
      <c r="BD96" s="2"/>
      <c r="BE96" s="51"/>
      <c r="BF96" s="51"/>
      <c r="BG96" s="51"/>
      <c r="BH96" s="2"/>
      <c r="BI96" s="51"/>
      <c r="BJ96" s="51"/>
      <c r="BK96" s="51"/>
      <c r="BL96" s="2"/>
      <c r="BM96" s="51"/>
      <c r="BN96" s="51"/>
      <c r="BO96" s="51"/>
      <c r="BP96" s="2"/>
      <c r="BQ96" s="51"/>
      <c r="BR96" s="51"/>
      <c r="BS96" s="51"/>
      <c r="BT96" s="2"/>
      <c r="BU96" s="51"/>
    </row>
    <row r="97" spans="1:73" x14ac:dyDescent="0.2">
      <c r="A97" s="51"/>
      <c r="B97" s="51"/>
      <c r="C97" s="22" t="s">
        <v>402</v>
      </c>
      <c r="D97" s="22"/>
      <c r="E97" s="22"/>
      <c r="F97" s="22"/>
      <c r="G97" s="22"/>
      <c r="H97" s="22"/>
      <c r="I97" s="22"/>
      <c r="J97" s="22"/>
      <c r="K97" s="22"/>
      <c r="L97" s="22"/>
      <c r="M97" s="22"/>
      <c r="N97" s="22"/>
      <c r="O97" s="80" cm="1">
        <f t="array" ref="O97">INDEX($V$71:$W$80, O$93, 2)*$Q$90</f>
        <v>1821.5999999999997</v>
      </c>
      <c r="P97" s="80" cm="1">
        <f t="array" ref="P97">INDEX($V$71:$W$80, P$93, 2)*$Q$90</f>
        <v>1755.0719999999994</v>
      </c>
      <c r="Q97" s="80" cm="1">
        <f t="array" ref="Q97">INDEX($V$71:$W$80, Q$93, 2)*$Q$90</f>
        <v>1682.9999999999995</v>
      </c>
      <c r="R97" s="80" cm="1">
        <f t="array" ref="R97">INDEX($V$71:$W$80, R$93, 2)*$Q$90</f>
        <v>1637.8559999999995</v>
      </c>
      <c r="S97" s="80" cm="1">
        <f t="array" ref="S97">INDEX($V$71:$W$80, S$93, 2)*$Q$90</f>
        <v>1583.9999999999998</v>
      </c>
      <c r="T97" s="80" cm="1">
        <f t="array" ref="T97">INDEX($V$71:$W$80, T$93, 2)*$Q$90</f>
        <v>1520.6399999999996</v>
      </c>
      <c r="U97" s="51"/>
      <c r="V97" s="51"/>
      <c r="W97" s="51"/>
      <c r="X97" s="2"/>
      <c r="Y97" s="51"/>
      <c r="Z97" s="51"/>
      <c r="AA97" s="51"/>
      <c r="AB97" s="2"/>
      <c r="AC97" s="51"/>
      <c r="AD97" s="51"/>
      <c r="AE97" s="51"/>
      <c r="AF97" s="2"/>
      <c r="AG97" s="51"/>
      <c r="AH97" s="51"/>
      <c r="AI97" s="51"/>
      <c r="AJ97" s="2"/>
      <c r="AK97" s="51"/>
      <c r="AL97" s="51"/>
      <c r="AM97" s="51"/>
      <c r="AN97" s="2"/>
      <c r="AO97" s="51"/>
      <c r="AP97" s="51"/>
      <c r="AQ97" s="51"/>
      <c r="AR97" s="2"/>
      <c r="AS97" s="51"/>
      <c r="AT97" s="51"/>
      <c r="AU97" s="51"/>
      <c r="AV97" s="2"/>
      <c r="AW97" s="51"/>
      <c r="AX97" s="51"/>
      <c r="AY97" s="51"/>
      <c r="AZ97" s="2"/>
      <c r="BA97" s="51"/>
      <c r="BB97" s="51"/>
      <c r="BC97" s="51"/>
      <c r="BD97" s="2"/>
      <c r="BE97" s="51"/>
      <c r="BF97" s="51"/>
      <c r="BG97" s="51"/>
      <c r="BH97" s="2"/>
      <c r="BI97" s="51"/>
      <c r="BJ97" s="51"/>
      <c r="BK97" s="51"/>
      <c r="BL97" s="2"/>
      <c r="BM97" s="51"/>
      <c r="BN97" s="51"/>
      <c r="BO97" s="51"/>
      <c r="BP97" s="2"/>
      <c r="BQ97" s="51"/>
      <c r="BR97" s="51"/>
      <c r="BS97" s="51"/>
      <c r="BT97" s="2"/>
      <c r="BU97" s="51"/>
    </row>
    <row r="98" spans="1:73" x14ac:dyDescent="0.2">
      <c r="A98" s="51"/>
      <c r="B98" s="51"/>
      <c r="C98" s="304" t="s">
        <v>403</v>
      </c>
      <c r="D98" s="304"/>
      <c r="E98" s="304"/>
      <c r="F98" s="304"/>
      <c r="G98" s="304"/>
      <c r="H98" s="304"/>
      <c r="I98" s="304"/>
      <c r="J98" s="304"/>
      <c r="K98" s="304"/>
      <c r="L98" s="304"/>
      <c r="M98" s="304"/>
      <c r="N98" s="304"/>
      <c r="O98" s="312" cm="1">
        <f t="array" ref="O98">INDEX($V$71:$W$80, O$93, 2)*$R$90</f>
        <v>2679.0023391095669</v>
      </c>
      <c r="P98" s="312" cm="1">
        <f t="array" ref="P98">INDEX($V$71:$W$80, P$93, 2)*$R$90</f>
        <v>2581.1605145507824</v>
      </c>
      <c r="Q98" s="312" cm="1">
        <f t="array" ref="Q98">INDEX($V$71:$W$80, Q$93, 2)*$R$90</f>
        <v>2475.1652046120998</v>
      </c>
      <c r="R98" s="312" cm="1">
        <f t="array" ref="R98">INDEX($V$71:$W$80, R$93, 2)*$R$90</f>
        <v>2408.7725379472104</v>
      </c>
      <c r="S98" s="312" cm="1">
        <f t="array" ref="S98">INDEX($V$71:$W$80, S$93, 2)*$R$90</f>
        <v>2329.5672513996233</v>
      </c>
      <c r="T98" s="312" cm="1">
        <f t="array" ref="T98">INDEX($V$71:$W$80, T$93, 2)*$R$90</f>
        <v>2236.3845613436383</v>
      </c>
      <c r="U98" s="51"/>
      <c r="V98" s="51"/>
      <c r="W98" s="51"/>
      <c r="X98" s="2"/>
      <c r="Y98" s="51"/>
      <c r="Z98" s="51"/>
      <c r="AA98" s="51"/>
      <c r="AB98" s="2"/>
      <c r="AC98" s="51"/>
      <c r="AD98" s="51"/>
      <c r="AE98" s="51"/>
      <c r="AF98" s="2"/>
      <c r="AG98" s="51"/>
      <c r="AH98" s="51"/>
      <c r="AI98" s="51"/>
      <c r="AJ98" s="2"/>
      <c r="AK98" s="51"/>
      <c r="AL98" s="51"/>
      <c r="AM98" s="51"/>
      <c r="AN98" s="2"/>
      <c r="AO98" s="51"/>
      <c r="AP98" s="51"/>
      <c r="AQ98" s="51"/>
      <c r="AR98" s="2"/>
      <c r="AS98" s="51"/>
      <c r="AT98" s="51"/>
      <c r="AU98" s="51"/>
      <c r="AV98" s="2"/>
      <c r="AW98" s="51"/>
      <c r="AX98" s="51"/>
      <c r="AY98" s="51"/>
      <c r="AZ98" s="2"/>
      <c r="BA98" s="51"/>
      <c r="BB98" s="51"/>
      <c r="BC98" s="51"/>
      <c r="BD98" s="2"/>
      <c r="BE98" s="51"/>
      <c r="BF98" s="51"/>
      <c r="BG98" s="51"/>
      <c r="BH98" s="2"/>
      <c r="BI98" s="51"/>
      <c r="BJ98" s="51"/>
      <c r="BK98" s="51"/>
      <c r="BL98" s="2"/>
      <c r="BM98" s="51"/>
      <c r="BN98" s="51"/>
      <c r="BO98" s="51"/>
      <c r="BP98" s="2"/>
      <c r="BQ98" s="51"/>
      <c r="BR98" s="51"/>
      <c r="BS98" s="51"/>
      <c r="BT98" s="2"/>
      <c r="BU98" s="51"/>
    </row>
    <row r="99" spans="1:73" x14ac:dyDescent="0.2">
      <c r="A99" s="51"/>
      <c r="B99" s="51"/>
      <c r="C99" s="22" t="s">
        <v>404</v>
      </c>
      <c r="D99" s="22"/>
      <c r="E99" s="22"/>
      <c r="F99" s="22"/>
      <c r="G99" s="22"/>
      <c r="H99" s="22"/>
      <c r="I99" s="22"/>
      <c r="J99" s="22"/>
      <c r="K99" s="22"/>
      <c r="L99" s="22"/>
      <c r="M99" s="22"/>
      <c r="N99" s="22"/>
      <c r="O99" s="80" cm="1">
        <f t="array" ref="O99">INDEX($V$71:$W$80, O$93, 2)*$S$90</f>
        <v>3845.3152946464543</v>
      </c>
      <c r="P99" s="80" cm="1">
        <f t="array" ref="P99">INDEX($V$71:$W$80, P$93, 2)*$S$90</f>
        <v>3704.8776925811053</v>
      </c>
      <c r="Q99" s="80" cm="1">
        <f t="array" ref="Q99">INDEX($V$71:$W$80, Q$93, 2)*$S$90</f>
        <v>3552.736957010311</v>
      </c>
      <c r="R99" s="80" cm="1">
        <f t="array" ref="R99">INDEX($V$71:$W$80, R$93, 2)*$S$90</f>
        <v>3457.440012751681</v>
      </c>
      <c r="S99" s="80" cm="1">
        <f t="array" ref="S99">INDEX($V$71:$W$80, S$93, 2)*$S$90</f>
        <v>3343.7524301273515</v>
      </c>
      <c r="T99" s="80" cm="1">
        <f t="array" ref="T99">INDEX($V$71:$W$80, T$93, 2)*$S$90</f>
        <v>3210.0023329222577</v>
      </c>
      <c r="U99" s="51"/>
      <c r="V99" s="51"/>
      <c r="W99" s="51"/>
      <c r="X99" s="2"/>
      <c r="Y99" s="51"/>
      <c r="Z99" s="51"/>
      <c r="AA99" s="51"/>
      <c r="AB99" s="2"/>
      <c r="AC99" s="51"/>
      <c r="AD99" s="51"/>
      <c r="AE99" s="51"/>
      <c r="AF99" s="2"/>
      <c r="AG99" s="51"/>
      <c r="AH99" s="51"/>
      <c r="AI99" s="51"/>
      <c r="AJ99" s="2"/>
      <c r="AK99" s="51"/>
      <c r="AL99" s="51"/>
      <c r="AM99" s="51"/>
      <c r="AN99" s="2"/>
      <c r="AO99" s="51"/>
      <c r="AP99" s="51"/>
      <c r="AQ99" s="51"/>
      <c r="AR99" s="2"/>
      <c r="AS99" s="51"/>
      <c r="AT99" s="51"/>
      <c r="AU99" s="51"/>
      <c r="AV99" s="2"/>
      <c r="AW99" s="51"/>
      <c r="AX99" s="51"/>
      <c r="AY99" s="51"/>
      <c r="AZ99" s="2"/>
      <c r="BA99" s="51"/>
      <c r="BB99" s="51"/>
      <c r="BC99" s="51"/>
      <c r="BD99" s="2"/>
      <c r="BE99" s="51"/>
      <c r="BF99" s="51"/>
      <c r="BG99" s="51"/>
      <c r="BH99" s="2"/>
      <c r="BI99" s="51"/>
      <c r="BJ99" s="51"/>
      <c r="BK99" s="51"/>
      <c r="BL99" s="2"/>
      <c r="BM99" s="51"/>
      <c r="BN99" s="51"/>
      <c r="BO99" s="51"/>
      <c r="BP99" s="2"/>
      <c r="BQ99" s="51"/>
      <c r="BR99" s="51"/>
      <c r="BS99" s="51"/>
      <c r="BT99" s="2"/>
      <c r="BU99" s="51"/>
    </row>
    <row r="100" spans="1:73" x14ac:dyDescent="0.2">
      <c r="A100" s="51"/>
      <c r="B100" s="51"/>
      <c r="C100" s="304" t="s">
        <v>405</v>
      </c>
      <c r="D100" s="304"/>
      <c r="E100" s="304"/>
      <c r="F100" s="304"/>
      <c r="G100" s="304"/>
      <c r="H100" s="304"/>
      <c r="I100" s="304"/>
      <c r="J100" s="304"/>
      <c r="K100" s="304"/>
      <c r="L100" s="304"/>
      <c r="M100" s="304"/>
      <c r="N100" s="304"/>
      <c r="O100" s="312" cm="1">
        <f t="array" ref="O100">INDEX($V$71:$W$80, O$93, 2)*$T$90</f>
        <v>5344.7180517970392</v>
      </c>
      <c r="P100" s="312" cm="1">
        <f t="array" ref="P100">INDEX($V$71:$W$80, P$93, 2)*$T$90</f>
        <v>5149.5196533835815</v>
      </c>
      <c r="Q100" s="312" cm="1">
        <f t="array" ref="Q100">INDEX($V$71:$W$80, Q$93, 2)*$T$90</f>
        <v>4938.0547217690028</v>
      </c>
      <c r="R100" s="312" cm="1">
        <f t="array" ref="R100">INDEX($V$71:$W$80, R$93, 2)*$T$90</f>
        <v>4805.5986657027279</v>
      </c>
      <c r="S100" s="312" cm="1">
        <f t="array" ref="S100">INDEX($V$71:$W$80, S$93, 2)*$T$90</f>
        <v>4647.580914606121</v>
      </c>
      <c r="T100" s="312" cm="1">
        <f t="array" ref="T100">INDEX($V$71:$W$80, T$93, 2)*$T$90</f>
        <v>4461.6776780218761</v>
      </c>
      <c r="U100" s="51"/>
      <c r="V100" s="51"/>
      <c r="W100" s="51"/>
      <c r="X100" s="2"/>
      <c r="Y100" s="51"/>
      <c r="Z100" s="51"/>
      <c r="AA100" s="51"/>
      <c r="AB100" s="2"/>
      <c r="AC100" s="51"/>
      <c r="AD100" s="51"/>
      <c r="AE100" s="51"/>
      <c r="AF100" s="2"/>
      <c r="AG100" s="51"/>
      <c r="AH100" s="51"/>
      <c r="AI100" s="51"/>
      <c r="AJ100" s="2"/>
      <c r="AK100" s="51"/>
      <c r="AL100" s="51"/>
      <c r="AM100" s="51"/>
      <c r="AN100" s="2"/>
      <c r="AO100" s="51"/>
      <c r="AP100" s="51"/>
      <c r="AQ100" s="51"/>
      <c r="AR100" s="2"/>
      <c r="AS100" s="51"/>
      <c r="AT100" s="51"/>
      <c r="AU100" s="51"/>
      <c r="AV100" s="2"/>
      <c r="AW100" s="51"/>
      <c r="AX100" s="51"/>
      <c r="AY100" s="51"/>
      <c r="AZ100" s="2"/>
      <c r="BA100" s="51"/>
      <c r="BB100" s="51"/>
      <c r="BC100" s="51"/>
      <c r="BD100" s="2"/>
      <c r="BE100" s="51"/>
      <c r="BF100" s="51"/>
      <c r="BG100" s="51"/>
      <c r="BH100" s="2"/>
      <c r="BI100" s="51"/>
      <c r="BJ100" s="51"/>
      <c r="BK100" s="51"/>
      <c r="BL100" s="2"/>
      <c r="BM100" s="51"/>
      <c r="BN100" s="51"/>
      <c r="BO100" s="51"/>
      <c r="BP100" s="2"/>
      <c r="BQ100" s="51"/>
      <c r="BR100" s="51"/>
      <c r="BS100" s="51"/>
      <c r="BT100" s="2"/>
      <c r="BU100" s="51"/>
    </row>
    <row r="101" spans="1:73" x14ac:dyDescent="0.2">
      <c r="A101" s="51"/>
      <c r="B101" s="51"/>
      <c r="C101" s="22" t="s">
        <v>406</v>
      </c>
      <c r="D101" s="22"/>
      <c r="E101" s="22"/>
      <c r="F101" s="22"/>
      <c r="G101" s="22"/>
      <c r="H101" s="22"/>
      <c r="I101" s="22"/>
      <c r="J101" s="22"/>
      <c r="K101" s="22"/>
      <c r="L101" s="22"/>
      <c r="M101" s="22"/>
      <c r="N101" s="22"/>
      <c r="O101" s="80">
        <f>O94*'MODEL INPUT'!G119</f>
        <v>788.91897710204967</v>
      </c>
      <c r="P101" s="80">
        <f>(P94+O95)*'MODEL INPUT'!G119</f>
        <v>1965.185815046179</v>
      </c>
      <c r="Q101" s="80">
        <f>(Q94+P95+O96)*'MODEL INPUT'!G119</f>
        <v>3715.6243716969852</v>
      </c>
      <c r="R101" s="80">
        <f>(R94+Q95+P96+O97)*'MODEL INPUT'!G119</f>
        <v>6314.1172467976385</v>
      </c>
      <c r="S101" s="80">
        <f>(S94+R95+Q96+P97+O98)*'MODEL INPUT'!G119</f>
        <v>10107.406390541928</v>
      </c>
      <c r="T101" s="80">
        <f>(T94+S95+R96+Q97+P98+O99)*'MODEL INPUT'!G119</f>
        <v>15512.194783056395</v>
      </c>
      <c r="U101" s="51"/>
      <c r="V101" s="51"/>
      <c r="W101" s="51"/>
      <c r="X101" s="2"/>
      <c r="Y101" s="51"/>
      <c r="Z101" s="51"/>
      <c r="AA101" s="51"/>
      <c r="AB101" s="2"/>
      <c r="AC101" s="51"/>
      <c r="AD101" s="51"/>
      <c r="AE101" s="51"/>
      <c r="AF101" s="2"/>
      <c r="AG101" s="51"/>
      <c r="AH101" s="51"/>
      <c r="AI101" s="51"/>
      <c r="AJ101" s="2"/>
      <c r="AK101" s="51"/>
      <c r="AL101" s="51"/>
      <c r="AM101" s="51"/>
      <c r="AN101" s="2"/>
      <c r="AO101" s="51"/>
      <c r="AP101" s="51"/>
      <c r="AQ101" s="51"/>
      <c r="AR101" s="2"/>
      <c r="AS101" s="51"/>
      <c r="AT101" s="51"/>
      <c r="AU101" s="51"/>
      <c r="AV101" s="2"/>
      <c r="AW101" s="51"/>
      <c r="AX101" s="51"/>
      <c r="AY101" s="51"/>
      <c r="AZ101" s="2"/>
      <c r="BA101" s="51"/>
      <c r="BB101" s="51"/>
      <c r="BC101" s="51"/>
      <c r="BD101" s="2"/>
      <c r="BE101" s="51"/>
      <c r="BF101" s="51"/>
      <c r="BG101" s="51"/>
      <c r="BH101" s="2"/>
      <c r="BI101" s="51"/>
      <c r="BJ101" s="51"/>
      <c r="BK101" s="51"/>
      <c r="BL101" s="2"/>
      <c r="BM101" s="51"/>
      <c r="BN101" s="51"/>
      <c r="BO101" s="51"/>
      <c r="BP101" s="2"/>
      <c r="BQ101" s="51"/>
      <c r="BR101" s="51"/>
      <c r="BS101" s="51"/>
      <c r="BT101" s="2"/>
      <c r="BU101" s="51"/>
    </row>
    <row r="102" spans="1:73" x14ac:dyDescent="0.2">
      <c r="A102" s="51"/>
      <c r="B102" s="51"/>
      <c r="C102" s="308" t="s">
        <v>377</v>
      </c>
      <c r="D102" s="308"/>
      <c r="E102" s="308"/>
      <c r="F102" s="308"/>
      <c r="G102" s="308"/>
      <c r="H102" s="308"/>
      <c r="I102" s="308"/>
      <c r="J102" s="308"/>
      <c r="K102" s="308"/>
      <c r="L102" s="308"/>
      <c r="M102" s="308"/>
      <c r="N102" s="308"/>
      <c r="O102" s="308">
        <f>'MODEL INPUT'!G120</f>
        <v>2500</v>
      </c>
      <c r="P102" s="308">
        <f>O102*(1+'MODEL INPUT'!$G$121)</f>
        <v>2550</v>
      </c>
      <c r="Q102" s="308">
        <f>P102*(1+'MODEL INPUT'!$G$121)</f>
        <v>2601</v>
      </c>
      <c r="R102" s="308">
        <f>Q102*(1+'MODEL INPUT'!$G$121)</f>
        <v>2653.02</v>
      </c>
      <c r="S102" s="308">
        <f>R102*(1+'MODEL INPUT'!$G$121)</f>
        <v>2706.0803999999998</v>
      </c>
      <c r="T102" s="308">
        <f>S102*(1+'MODEL INPUT'!$G$121)</f>
        <v>2760.2020079999998</v>
      </c>
      <c r="U102" s="51"/>
      <c r="V102" s="51"/>
      <c r="W102" s="51"/>
      <c r="X102" s="2"/>
      <c r="Y102" s="51"/>
      <c r="Z102" s="51"/>
      <c r="AA102" s="51"/>
      <c r="AB102" s="2"/>
      <c r="AC102" s="51"/>
      <c r="AD102" s="51"/>
      <c r="AE102" s="51"/>
      <c r="AF102" s="2"/>
      <c r="AG102" s="51"/>
      <c r="AH102" s="51"/>
      <c r="AI102" s="51"/>
      <c r="AJ102" s="2"/>
      <c r="AK102" s="51"/>
      <c r="AL102" s="51"/>
      <c r="AM102" s="51"/>
      <c r="AN102" s="2"/>
      <c r="AO102" s="51"/>
      <c r="AP102" s="51"/>
      <c r="AQ102" s="51"/>
      <c r="AR102" s="2"/>
      <c r="AS102" s="51"/>
      <c r="AT102" s="51"/>
      <c r="AU102" s="51"/>
      <c r="AV102" s="2"/>
      <c r="AW102" s="51"/>
      <c r="AX102" s="51"/>
      <c r="AY102" s="51"/>
      <c r="AZ102" s="2"/>
      <c r="BA102" s="51"/>
      <c r="BB102" s="51"/>
      <c r="BC102" s="51"/>
      <c r="BD102" s="2"/>
      <c r="BE102" s="51"/>
      <c r="BF102" s="51"/>
      <c r="BG102" s="51"/>
      <c r="BH102" s="2"/>
      <c r="BI102" s="51"/>
      <c r="BJ102" s="51"/>
      <c r="BK102" s="51"/>
      <c r="BL102" s="2"/>
      <c r="BM102" s="51"/>
      <c r="BN102" s="51"/>
      <c r="BO102" s="51"/>
      <c r="BP102" s="2"/>
      <c r="BQ102" s="51"/>
      <c r="BR102" s="51"/>
      <c r="BS102" s="51"/>
      <c r="BT102" s="2"/>
      <c r="BU102" s="51"/>
    </row>
    <row r="103" spans="1:73" x14ac:dyDescent="0.2">
      <c r="A103" s="51"/>
      <c r="B103" s="51"/>
      <c r="C103" s="75" t="s">
        <v>407</v>
      </c>
      <c r="D103" s="75"/>
      <c r="E103" s="75"/>
      <c r="F103" s="75"/>
      <c r="G103" s="75"/>
      <c r="H103" s="75"/>
      <c r="I103" s="75"/>
      <c r="J103" s="75"/>
      <c r="K103" s="75"/>
      <c r="L103" s="75"/>
      <c r="M103" s="75"/>
      <c r="N103" s="75"/>
      <c r="O103" s="75">
        <f>O102*O101/1000</f>
        <v>1972.2974427551242</v>
      </c>
      <c r="P103" s="75">
        <f t="shared" ref="P103:T103" si="19">P102*P101/1000</f>
        <v>5011.2238283677571</v>
      </c>
      <c r="Q103" s="75">
        <f t="shared" si="19"/>
        <v>9664.3389907838591</v>
      </c>
      <c r="R103" s="75">
        <f t="shared" si="19"/>
        <v>16751.47933809907</v>
      </c>
      <c r="S103" s="75">
        <f t="shared" si="19"/>
        <v>27351.454328280255</v>
      </c>
      <c r="T103" s="75">
        <f t="shared" si="19"/>
        <v>42816.791188679381</v>
      </c>
      <c r="U103" s="51"/>
      <c r="V103" s="51"/>
      <c r="W103" s="51"/>
      <c r="X103" s="2"/>
      <c r="Y103" s="51"/>
      <c r="Z103" s="51"/>
      <c r="AA103" s="51"/>
      <c r="AB103" s="2"/>
      <c r="AC103" s="51"/>
      <c r="AD103" s="51"/>
      <c r="AE103" s="51"/>
      <c r="AF103" s="2"/>
      <c r="AG103" s="51"/>
      <c r="AH103" s="51"/>
      <c r="AI103" s="51"/>
      <c r="AJ103" s="2"/>
      <c r="AK103" s="51"/>
      <c r="AL103" s="51"/>
      <c r="AM103" s="51"/>
      <c r="AN103" s="2"/>
      <c r="AO103" s="51"/>
      <c r="AP103" s="51"/>
      <c r="AQ103" s="51"/>
      <c r="AR103" s="2"/>
      <c r="AS103" s="51"/>
      <c r="AT103" s="51"/>
      <c r="AU103" s="51"/>
      <c r="AV103" s="2"/>
      <c r="AW103" s="51"/>
      <c r="AX103" s="51"/>
      <c r="AY103" s="51"/>
      <c r="AZ103" s="2"/>
      <c r="BA103" s="51"/>
      <c r="BB103" s="51"/>
      <c r="BC103" s="51"/>
      <c r="BD103" s="2"/>
      <c r="BE103" s="51"/>
      <c r="BF103" s="51"/>
      <c r="BG103" s="51"/>
      <c r="BH103" s="2"/>
      <c r="BI103" s="51"/>
      <c r="BJ103" s="51"/>
      <c r="BK103" s="51"/>
      <c r="BL103" s="2"/>
      <c r="BM103" s="51"/>
      <c r="BN103" s="51"/>
      <c r="BO103" s="51"/>
      <c r="BP103" s="2"/>
      <c r="BQ103" s="51"/>
      <c r="BR103" s="51"/>
      <c r="BS103" s="51"/>
      <c r="BT103" s="2"/>
      <c r="BU103" s="51"/>
    </row>
    <row r="104" spans="1:73" x14ac:dyDescent="0.2">
      <c r="A104" s="51"/>
      <c r="B104" s="51"/>
      <c r="C104" s="304" t="s">
        <v>412</v>
      </c>
      <c r="D104" s="304"/>
      <c r="E104" s="304"/>
      <c r="F104" s="304"/>
      <c r="G104" s="304"/>
      <c r="H104" s="304"/>
      <c r="I104" s="304"/>
      <c r="J104" s="304"/>
      <c r="K104" s="304"/>
      <c r="L104" s="304"/>
      <c r="M104" s="304"/>
      <c r="N104" s="312">
        <f>N90+N101</f>
        <v>571.68041818989104</v>
      </c>
      <c r="O104" s="312">
        <f t="shared" ref="O104:T104" si="20">O90+O101</f>
        <v>1662.1650140737163</v>
      </c>
      <c r="P104" s="312">
        <f t="shared" si="20"/>
        <v>3288.1306757326615</v>
      </c>
      <c r="Q104" s="312">
        <f t="shared" si="20"/>
        <v>5695.6243716969848</v>
      </c>
      <c r="R104" s="312">
        <f t="shared" si="20"/>
        <v>9226.0763110471671</v>
      </c>
      <c r="S104" s="312">
        <f t="shared" si="20"/>
        <v>14287.096928201117</v>
      </c>
      <c r="T104" s="312">
        <f t="shared" si="20"/>
        <v>21321.670926314044</v>
      </c>
      <c r="U104" s="51"/>
      <c r="V104" s="51"/>
      <c r="W104" s="51"/>
      <c r="X104" s="2"/>
      <c r="Y104" s="51"/>
      <c r="Z104" s="51"/>
      <c r="AA104" s="51"/>
      <c r="AB104" s="2"/>
      <c r="AC104" s="51"/>
      <c r="AD104" s="51"/>
      <c r="AE104" s="51"/>
      <c r="AF104" s="2"/>
      <c r="AG104" s="51"/>
      <c r="AH104" s="51"/>
      <c r="AI104" s="51"/>
      <c r="AJ104" s="2"/>
      <c r="AK104" s="51"/>
      <c r="AL104" s="51"/>
      <c r="AM104" s="51"/>
      <c r="AN104" s="2"/>
      <c r="AO104" s="51"/>
      <c r="AP104" s="51"/>
      <c r="AQ104" s="51"/>
      <c r="AR104" s="2"/>
      <c r="AS104" s="51"/>
      <c r="AT104" s="51"/>
      <c r="AU104" s="51"/>
      <c r="AV104" s="2"/>
      <c r="AW104" s="51"/>
      <c r="AX104" s="51"/>
      <c r="AY104" s="51"/>
      <c r="AZ104" s="2"/>
      <c r="BA104" s="51"/>
      <c r="BB104" s="51"/>
      <c r="BC104" s="51"/>
      <c r="BD104" s="2"/>
      <c r="BE104" s="51"/>
      <c r="BF104" s="51"/>
      <c r="BG104" s="51"/>
      <c r="BH104" s="2"/>
      <c r="BI104" s="51"/>
      <c r="BJ104" s="51"/>
      <c r="BK104" s="51"/>
      <c r="BL104" s="2"/>
      <c r="BM104" s="51"/>
      <c r="BN104" s="51"/>
      <c r="BO104" s="51"/>
      <c r="BP104" s="2"/>
      <c r="BQ104" s="51"/>
      <c r="BR104" s="51"/>
      <c r="BS104" s="51"/>
      <c r="BT104" s="2"/>
      <c r="BU104" s="51"/>
    </row>
    <row r="105" spans="1:73" x14ac:dyDescent="0.2">
      <c r="A105" s="51"/>
      <c r="B105" s="51"/>
      <c r="C105" s="75" t="s">
        <v>413</v>
      </c>
      <c r="D105" s="75"/>
      <c r="E105" s="75"/>
      <c r="F105" s="75"/>
      <c r="G105" s="75"/>
      <c r="H105" s="75"/>
      <c r="I105" s="75"/>
      <c r="J105" s="75"/>
      <c r="K105" s="75"/>
      <c r="L105" s="75"/>
      <c r="M105" s="75"/>
      <c r="N105" s="75">
        <f>N92+N103</f>
        <v>1429.2010454747276</v>
      </c>
      <c r="O105" s="75">
        <f t="shared" ref="O105:T105" si="21">O92+O103</f>
        <v>4199.0748370328738</v>
      </c>
      <c r="P105" s="75">
        <f t="shared" si="21"/>
        <v>8452.203411013299</v>
      </c>
      <c r="Q105" s="75">
        <f t="shared" si="21"/>
        <v>14917.318590783858</v>
      </c>
      <c r="R105" s="75">
        <f t="shared" si="21"/>
        <v>24631.47468746706</v>
      </c>
      <c r="S105" s="75">
        <f t="shared" si="21"/>
        <v>38888.244543145745</v>
      </c>
      <c r="T105" s="75">
        <f t="shared" si="21"/>
        <v>59172.825459048203</v>
      </c>
      <c r="U105" s="51"/>
      <c r="V105" s="51"/>
      <c r="W105" s="51"/>
      <c r="X105" s="2"/>
      <c r="Y105" s="51"/>
      <c r="Z105" s="51"/>
      <c r="AA105" s="51"/>
      <c r="AB105" s="2"/>
      <c r="AC105" s="51"/>
      <c r="AD105" s="51"/>
      <c r="AE105" s="51"/>
      <c r="AF105" s="2"/>
      <c r="AG105" s="51"/>
      <c r="AH105" s="51"/>
      <c r="AI105" s="51"/>
      <c r="AJ105" s="2"/>
      <c r="AK105" s="51"/>
      <c r="AL105" s="51"/>
      <c r="AM105" s="51"/>
      <c r="AN105" s="2"/>
      <c r="AO105" s="51"/>
      <c r="AP105" s="51"/>
      <c r="AQ105" s="51"/>
      <c r="AR105" s="2"/>
      <c r="AS105" s="51"/>
      <c r="AT105" s="51"/>
      <c r="AU105" s="51"/>
      <c r="AV105" s="2"/>
      <c r="AW105" s="51"/>
      <c r="AX105" s="51"/>
      <c r="AY105" s="51"/>
      <c r="AZ105" s="2"/>
      <c r="BA105" s="51"/>
      <c r="BB105" s="51"/>
      <c r="BC105" s="51"/>
      <c r="BD105" s="2"/>
      <c r="BE105" s="51"/>
      <c r="BF105" s="51"/>
      <c r="BG105" s="51"/>
      <c r="BH105" s="2"/>
      <c r="BI105" s="51"/>
      <c r="BJ105" s="51"/>
      <c r="BK105" s="51"/>
      <c r="BL105" s="2"/>
      <c r="BM105" s="51"/>
      <c r="BN105" s="51"/>
      <c r="BO105" s="51"/>
      <c r="BP105" s="2"/>
      <c r="BQ105" s="51"/>
      <c r="BR105" s="51"/>
      <c r="BS105" s="51"/>
      <c r="BT105" s="2"/>
      <c r="BU105" s="51"/>
    </row>
    <row r="106" spans="1:73" x14ac:dyDescent="0.2">
      <c r="A106" s="51"/>
      <c r="B106" s="51"/>
      <c r="C106" s="309" t="s">
        <v>383</v>
      </c>
      <c r="D106" s="309"/>
      <c r="E106" s="309"/>
      <c r="F106" s="309"/>
      <c r="G106" s="309"/>
      <c r="H106" s="309"/>
      <c r="I106" s="309"/>
      <c r="J106" s="309"/>
      <c r="K106" s="309"/>
      <c r="L106" s="309"/>
      <c r="M106" s="309"/>
      <c r="N106" s="309"/>
      <c r="O106" s="310">
        <f>(O105/N105)-1</f>
        <v>1.9380574904618104</v>
      </c>
      <c r="P106" s="310">
        <f t="shared" ref="P106:T106" si="22">(P105/O105)-1</f>
        <v>1.0128727729429436</v>
      </c>
      <c r="Q106" s="310">
        <f t="shared" si="22"/>
        <v>0.76490293304423473</v>
      </c>
      <c r="R106" s="310">
        <f t="shared" si="22"/>
        <v>0.65119988137041962</v>
      </c>
      <c r="S106" s="310">
        <f t="shared" si="22"/>
        <v>0.57880293553567808</v>
      </c>
      <c r="T106" s="310">
        <f t="shared" si="22"/>
        <v>0.52161215180070974</v>
      </c>
      <c r="U106" s="51"/>
      <c r="V106" s="51"/>
      <c r="W106" s="51"/>
      <c r="X106" s="2"/>
      <c r="Y106" s="51"/>
      <c r="Z106" s="51"/>
      <c r="AA106" s="51"/>
      <c r="AB106" s="2"/>
      <c r="AC106" s="51"/>
      <c r="AD106" s="51"/>
      <c r="AE106" s="51"/>
      <c r="AF106" s="2"/>
      <c r="AG106" s="51"/>
      <c r="AH106" s="51"/>
      <c r="AI106" s="51"/>
      <c r="AJ106" s="2"/>
      <c r="AK106" s="51"/>
      <c r="AL106" s="51"/>
      <c r="AM106" s="51"/>
      <c r="AN106" s="2"/>
      <c r="AO106" s="51"/>
      <c r="AP106" s="51"/>
      <c r="AQ106" s="51"/>
      <c r="AR106" s="2"/>
      <c r="AS106" s="51"/>
      <c r="AT106" s="51"/>
      <c r="AU106" s="51"/>
      <c r="AV106" s="2"/>
      <c r="AW106" s="51"/>
      <c r="AX106" s="51"/>
      <c r="AY106" s="51"/>
      <c r="AZ106" s="2"/>
      <c r="BA106" s="51"/>
      <c r="BB106" s="51"/>
      <c r="BC106" s="51"/>
      <c r="BD106" s="2"/>
      <c r="BE106" s="51"/>
      <c r="BF106" s="51"/>
      <c r="BG106" s="51"/>
      <c r="BH106" s="2"/>
      <c r="BI106" s="51"/>
      <c r="BJ106" s="51"/>
      <c r="BK106" s="51"/>
      <c r="BL106" s="2"/>
      <c r="BM106" s="51"/>
      <c r="BN106" s="51"/>
      <c r="BO106" s="51"/>
      <c r="BP106" s="2"/>
      <c r="BQ106" s="51"/>
      <c r="BR106" s="51"/>
      <c r="BS106" s="51"/>
      <c r="BT106" s="2"/>
      <c r="BU106" s="51"/>
    </row>
    <row r="107" spans="1:73" ht="17" thickBot="1" x14ac:dyDescent="0.25">
      <c r="A107" s="51"/>
      <c r="B107" s="51"/>
      <c r="C107" s="57" t="s">
        <v>414</v>
      </c>
      <c r="D107" s="57">
        <v>2014</v>
      </c>
      <c r="E107" s="57">
        <v>2015</v>
      </c>
      <c r="F107" s="57">
        <v>2016</v>
      </c>
      <c r="G107" s="57">
        <v>2017</v>
      </c>
      <c r="H107" s="57">
        <v>2018</v>
      </c>
      <c r="I107" s="57">
        <v>2019</v>
      </c>
      <c r="J107" s="57">
        <v>2020</v>
      </c>
      <c r="K107" s="57">
        <v>2021</v>
      </c>
      <c r="L107" s="57">
        <v>2022</v>
      </c>
      <c r="M107" s="57">
        <v>2023</v>
      </c>
      <c r="N107" s="57">
        <v>2024</v>
      </c>
      <c r="O107" s="57">
        <v>2025</v>
      </c>
      <c r="P107" s="57">
        <v>2026</v>
      </c>
      <c r="Q107" s="57">
        <v>2027</v>
      </c>
      <c r="R107" s="57">
        <v>2028</v>
      </c>
      <c r="S107" s="57">
        <v>2029</v>
      </c>
      <c r="T107" s="57">
        <v>2030</v>
      </c>
      <c r="U107" s="51"/>
      <c r="V107" s="51"/>
      <c r="W107" s="51"/>
      <c r="X107" s="2"/>
      <c r="Y107" s="51"/>
      <c r="Z107" s="51"/>
      <c r="AA107" s="51"/>
      <c r="AB107" s="2"/>
      <c r="AC107" s="51"/>
      <c r="AD107" s="51"/>
      <c r="AE107" s="51"/>
      <c r="AF107" s="2"/>
      <c r="AG107" s="51"/>
      <c r="AH107" s="51"/>
      <c r="AI107" s="51"/>
      <c r="AJ107" s="2"/>
      <c r="AK107" s="51"/>
      <c r="AL107" s="51"/>
      <c r="AM107" s="51"/>
      <c r="AN107" s="2"/>
      <c r="AO107" s="51"/>
      <c r="AP107" s="51"/>
      <c r="AQ107" s="51"/>
      <c r="AR107" s="2"/>
      <c r="AS107" s="51"/>
      <c r="AT107" s="51"/>
      <c r="AU107" s="51"/>
      <c r="AV107" s="2"/>
      <c r="AW107" s="51"/>
      <c r="AX107" s="51"/>
      <c r="AY107" s="51"/>
      <c r="AZ107" s="2"/>
      <c r="BA107" s="51"/>
      <c r="BB107" s="51"/>
      <c r="BC107" s="51"/>
      <c r="BD107" s="2"/>
      <c r="BE107" s="51"/>
      <c r="BF107" s="51"/>
      <c r="BG107" s="51"/>
      <c r="BH107" s="2"/>
      <c r="BI107" s="51"/>
      <c r="BJ107" s="51"/>
      <c r="BK107" s="51"/>
      <c r="BL107" s="2"/>
      <c r="BM107" s="51"/>
      <c r="BN107" s="51"/>
      <c r="BO107" s="51"/>
      <c r="BP107" s="2"/>
      <c r="BQ107" s="51"/>
      <c r="BR107" s="51"/>
      <c r="BS107" s="51"/>
      <c r="BT107" s="2"/>
      <c r="BU107" s="51"/>
    </row>
    <row r="108" spans="1:73" ht="17" thickTop="1" x14ac:dyDescent="0.2">
      <c r="A108" s="51"/>
      <c r="B108" s="51"/>
      <c r="C108" s="314" t="s">
        <v>415</v>
      </c>
      <c r="D108" s="314"/>
      <c r="E108" s="314"/>
      <c r="F108" s="314"/>
      <c r="G108" s="314"/>
      <c r="H108" s="314"/>
      <c r="I108" s="314"/>
      <c r="J108" s="314"/>
      <c r="K108" s="314"/>
      <c r="L108" s="314"/>
      <c r="M108" s="314">
        <f>M85</f>
        <v>0</v>
      </c>
      <c r="N108" s="314">
        <f t="shared" ref="N108:T108" si="23">N85</f>
        <v>70204.758017872489</v>
      </c>
      <c r="O108" s="314">
        <f t="shared" si="23"/>
        <v>145455.52512297785</v>
      </c>
      <c r="P108" s="314">
        <f t="shared" si="23"/>
        <v>233667.4869840263</v>
      </c>
      <c r="Q108" s="314">
        <f t="shared" si="23"/>
        <v>332096.62941705302</v>
      </c>
      <c r="R108" s="314">
        <f t="shared" si="23"/>
        <v>442185.00053143711</v>
      </c>
      <c r="S108" s="314">
        <f t="shared" si="23"/>
        <v>565862.32740295946</v>
      </c>
      <c r="T108" s="314">
        <f t="shared" si="23"/>
        <v>705732.06507134007</v>
      </c>
      <c r="U108" s="51"/>
      <c r="V108" s="51"/>
      <c r="W108" s="51"/>
      <c r="X108" s="2"/>
      <c r="Y108" s="51"/>
      <c r="Z108" s="51"/>
      <c r="AA108" s="51"/>
      <c r="AB108" s="2"/>
      <c r="AC108" s="51"/>
      <c r="AD108" s="51"/>
      <c r="AE108" s="51"/>
      <c r="AF108" s="2"/>
      <c r="AG108" s="51"/>
      <c r="AH108" s="51"/>
      <c r="AI108" s="51"/>
      <c r="AJ108" s="2"/>
      <c r="AK108" s="51"/>
      <c r="AL108" s="51"/>
      <c r="AM108" s="51"/>
      <c r="AN108" s="2"/>
      <c r="AO108" s="51"/>
      <c r="AP108" s="51"/>
      <c r="AQ108" s="51"/>
      <c r="AR108" s="2"/>
      <c r="AS108" s="51"/>
      <c r="AT108" s="51"/>
      <c r="AU108" s="51"/>
      <c r="AV108" s="2"/>
      <c r="AW108" s="51"/>
      <c r="AX108" s="51"/>
      <c r="AY108" s="51"/>
      <c r="AZ108" s="2"/>
      <c r="BA108" s="51"/>
      <c r="BB108" s="51"/>
      <c r="BC108" s="51"/>
      <c r="BD108" s="2"/>
      <c r="BE108" s="51"/>
      <c r="BF108" s="51"/>
      <c r="BG108" s="51"/>
      <c r="BH108" s="2"/>
      <c r="BI108" s="51"/>
      <c r="BJ108" s="51"/>
      <c r="BK108" s="51"/>
      <c r="BL108" s="2"/>
      <c r="BM108" s="51"/>
      <c r="BN108" s="51"/>
      <c r="BO108" s="51"/>
      <c r="BP108" s="2"/>
      <c r="BQ108" s="51"/>
      <c r="BR108" s="51"/>
      <c r="BS108" s="51"/>
      <c r="BT108" s="2"/>
      <c r="BU108" s="51"/>
    </row>
    <row r="109" spans="1:73" x14ac:dyDescent="0.2">
      <c r="A109" s="51"/>
      <c r="B109" s="51"/>
      <c r="C109" s="23" t="s">
        <v>416</v>
      </c>
      <c r="D109" s="23"/>
      <c r="E109" s="23"/>
      <c r="F109" s="23"/>
      <c r="G109" s="23"/>
      <c r="H109" s="23"/>
      <c r="I109" s="23"/>
      <c r="J109" s="23"/>
      <c r="K109" s="23"/>
      <c r="L109" s="23"/>
      <c r="M109" s="23"/>
      <c r="N109" s="23">
        <f>N104</f>
        <v>571.68041818989104</v>
      </c>
      <c r="O109" s="23">
        <f t="shared" ref="O109:T109" si="24">O104</f>
        <v>1662.1650140737163</v>
      </c>
      <c r="P109" s="23">
        <f t="shared" si="24"/>
        <v>3288.1306757326615</v>
      </c>
      <c r="Q109" s="23">
        <f t="shared" si="24"/>
        <v>5695.6243716969848</v>
      </c>
      <c r="R109" s="23">
        <f t="shared" si="24"/>
        <v>9226.0763110471671</v>
      </c>
      <c r="S109" s="23">
        <f t="shared" si="24"/>
        <v>14287.096928201117</v>
      </c>
      <c r="T109" s="23">
        <f t="shared" si="24"/>
        <v>21321.670926314044</v>
      </c>
      <c r="U109" s="51"/>
      <c r="V109" s="51"/>
      <c r="W109" s="51"/>
      <c r="X109" s="2"/>
      <c r="Y109" s="51"/>
      <c r="Z109" s="51"/>
      <c r="AA109" s="51"/>
      <c r="AB109" s="2"/>
      <c r="AC109" s="51"/>
      <c r="AD109" s="51"/>
      <c r="AE109" s="51"/>
      <c r="AF109" s="2"/>
      <c r="AG109" s="51"/>
      <c r="AH109" s="51"/>
      <c r="AI109" s="51"/>
      <c r="AJ109" s="2"/>
      <c r="AK109" s="51"/>
      <c r="AL109" s="51"/>
      <c r="AM109" s="51"/>
      <c r="AN109" s="2"/>
      <c r="AO109" s="51"/>
      <c r="AP109" s="51"/>
      <c r="AQ109" s="51"/>
      <c r="AR109" s="2"/>
      <c r="AS109" s="51"/>
      <c r="AT109" s="51"/>
      <c r="AU109" s="51"/>
      <c r="AV109" s="2"/>
      <c r="AW109" s="51"/>
      <c r="AX109" s="51"/>
      <c r="AY109" s="51"/>
      <c r="AZ109" s="2"/>
      <c r="BA109" s="51"/>
      <c r="BB109" s="51"/>
      <c r="BC109" s="51"/>
      <c r="BD109" s="2"/>
      <c r="BE109" s="51"/>
      <c r="BF109" s="51"/>
      <c r="BG109" s="51"/>
      <c r="BH109" s="2"/>
      <c r="BI109" s="51"/>
      <c r="BJ109" s="51"/>
      <c r="BK109" s="51"/>
      <c r="BL109" s="2"/>
      <c r="BM109" s="51"/>
      <c r="BN109" s="51"/>
      <c r="BO109" s="51"/>
      <c r="BP109" s="2"/>
      <c r="BQ109" s="51"/>
      <c r="BR109" s="51"/>
      <c r="BS109" s="51"/>
      <c r="BT109" s="2"/>
      <c r="BU109" s="51"/>
    </row>
    <row r="110" spans="1:73" x14ac:dyDescent="0.2">
      <c r="A110" s="51"/>
      <c r="B110" s="51"/>
      <c r="C110" s="305" t="s">
        <v>417</v>
      </c>
      <c r="D110" s="304"/>
      <c r="E110" s="304"/>
      <c r="F110" s="304"/>
      <c r="G110" s="304"/>
      <c r="H110" s="304"/>
      <c r="I110" s="304"/>
      <c r="J110" s="304"/>
      <c r="K110" s="304"/>
      <c r="L110" s="304"/>
      <c r="M110" s="312">
        <f>SUM(M108:M109)</f>
        <v>0</v>
      </c>
      <c r="N110" s="312">
        <f t="shared" ref="N110:T110" si="25">SUM(N108:N109)</f>
        <v>70776.438436062381</v>
      </c>
      <c r="O110" s="312">
        <f t="shared" si="25"/>
        <v>147117.69013705157</v>
      </c>
      <c r="P110" s="312">
        <f t="shared" si="25"/>
        <v>236955.61765975895</v>
      </c>
      <c r="Q110" s="312">
        <f t="shared" si="25"/>
        <v>337792.25378874998</v>
      </c>
      <c r="R110" s="312">
        <f t="shared" si="25"/>
        <v>451411.0768424843</v>
      </c>
      <c r="S110" s="312">
        <f t="shared" si="25"/>
        <v>580149.42433116061</v>
      </c>
      <c r="T110" s="312">
        <f t="shared" si="25"/>
        <v>727053.73599765415</v>
      </c>
      <c r="U110" s="51"/>
      <c r="V110" s="51"/>
      <c r="W110" s="51"/>
      <c r="X110" s="2"/>
      <c r="Y110" s="51"/>
      <c r="Z110" s="51"/>
      <c r="AA110" s="51"/>
      <c r="AB110" s="2"/>
      <c r="AC110" s="51"/>
      <c r="AD110" s="51"/>
      <c r="AE110" s="51"/>
      <c r="AF110" s="2"/>
      <c r="AG110" s="51"/>
      <c r="AH110" s="51"/>
      <c r="AI110" s="51"/>
      <c r="AJ110" s="2"/>
      <c r="AK110" s="51"/>
      <c r="AL110" s="51"/>
      <c r="AM110" s="51"/>
      <c r="AN110" s="2"/>
      <c r="AO110" s="51"/>
      <c r="AP110" s="51"/>
      <c r="AQ110" s="51"/>
      <c r="AR110" s="2"/>
      <c r="AS110" s="51"/>
      <c r="AT110" s="51"/>
      <c r="AU110" s="51"/>
      <c r="AV110" s="2"/>
      <c r="AW110" s="51"/>
      <c r="AX110" s="51"/>
      <c r="AY110" s="51"/>
      <c r="AZ110" s="2"/>
      <c r="BA110" s="51"/>
      <c r="BB110" s="51"/>
      <c r="BC110" s="51"/>
      <c r="BD110" s="2"/>
      <c r="BE110" s="51"/>
      <c r="BF110" s="51"/>
      <c r="BG110" s="51"/>
      <c r="BH110" s="2"/>
      <c r="BI110" s="51"/>
      <c r="BJ110" s="51"/>
      <c r="BK110" s="51"/>
      <c r="BL110" s="2"/>
      <c r="BM110" s="51"/>
      <c r="BN110" s="51"/>
      <c r="BO110" s="51"/>
      <c r="BP110" s="2"/>
      <c r="BQ110" s="51"/>
      <c r="BR110" s="51"/>
      <c r="BS110" s="51"/>
      <c r="BT110" s="2"/>
      <c r="BU110" s="51"/>
    </row>
    <row r="111" spans="1:73" x14ac:dyDescent="0.2">
      <c r="A111" s="51"/>
      <c r="B111" s="51"/>
      <c r="C111" s="58" t="s">
        <v>383</v>
      </c>
      <c r="D111" s="22"/>
      <c r="E111" s="22"/>
      <c r="F111" s="22"/>
      <c r="G111" s="22"/>
      <c r="H111" s="22"/>
      <c r="I111" s="22"/>
      <c r="J111" s="22"/>
      <c r="K111" s="22"/>
      <c r="L111" s="22"/>
      <c r="M111" s="22"/>
      <c r="N111" s="86" t="e">
        <f>(N110/M110)-1</f>
        <v>#DIV/0!</v>
      </c>
      <c r="O111" s="86">
        <f t="shared" ref="O111:T111" si="26">(O110/N110)-1</f>
        <v>1.078625223137696</v>
      </c>
      <c r="P111" s="86">
        <f t="shared" si="26"/>
        <v>0.61065346688774391</v>
      </c>
      <c r="Q111" s="86">
        <f t="shared" si="26"/>
        <v>0.42555073023751167</v>
      </c>
      <c r="R111" s="86">
        <f t="shared" si="26"/>
        <v>0.33635710049405021</v>
      </c>
      <c r="S111" s="86">
        <f t="shared" si="26"/>
        <v>0.28519093591847855</v>
      </c>
      <c r="T111" s="86">
        <f t="shared" si="26"/>
        <v>0.25321805987458457</v>
      </c>
      <c r="U111" s="51"/>
      <c r="V111" s="51"/>
      <c r="W111" s="51"/>
      <c r="X111" s="2"/>
      <c r="Y111" s="51"/>
      <c r="Z111" s="51"/>
      <c r="AA111" s="51"/>
      <c r="AB111" s="2"/>
      <c r="AC111" s="51"/>
      <c r="AD111" s="51"/>
      <c r="AE111" s="51"/>
      <c r="AF111" s="2"/>
      <c r="AG111" s="51"/>
      <c r="AH111" s="51"/>
      <c r="AI111" s="51"/>
      <c r="AJ111" s="2"/>
      <c r="AK111" s="51"/>
      <c r="AL111" s="51"/>
      <c r="AM111" s="51"/>
      <c r="AN111" s="2"/>
      <c r="AO111" s="51"/>
      <c r="AP111" s="51"/>
      <c r="AQ111" s="51"/>
      <c r="AR111" s="2"/>
      <c r="AS111" s="51"/>
      <c r="AT111" s="51"/>
      <c r="AU111" s="51"/>
      <c r="AV111" s="2"/>
      <c r="AW111" s="51"/>
      <c r="AX111" s="51"/>
      <c r="AY111" s="51"/>
      <c r="AZ111" s="2"/>
      <c r="BA111" s="51"/>
      <c r="BB111" s="51"/>
      <c r="BC111" s="51"/>
      <c r="BD111" s="2"/>
      <c r="BE111" s="51"/>
      <c r="BF111" s="51"/>
      <c r="BG111" s="51"/>
      <c r="BH111" s="2"/>
      <c r="BI111" s="51"/>
      <c r="BJ111" s="51"/>
      <c r="BK111" s="51"/>
      <c r="BL111" s="2"/>
      <c r="BM111" s="51"/>
      <c r="BN111" s="51"/>
      <c r="BO111" s="51"/>
      <c r="BP111" s="2"/>
      <c r="BQ111" s="51"/>
      <c r="BR111" s="51"/>
      <c r="BS111" s="51"/>
      <c r="BT111" s="2"/>
      <c r="BU111" s="51"/>
    </row>
    <row r="112" spans="1:73" x14ac:dyDescent="0.2">
      <c r="A112" s="51"/>
      <c r="B112" s="51"/>
      <c r="C112" s="304" t="s">
        <v>418</v>
      </c>
      <c r="D112" s="304"/>
      <c r="E112" s="304"/>
      <c r="F112" s="304"/>
      <c r="G112" s="304"/>
      <c r="H112" s="304"/>
      <c r="I112" s="304"/>
      <c r="J112" s="304"/>
      <c r="K112" s="304"/>
      <c r="L112" s="304"/>
      <c r="M112" s="313">
        <f>M86</f>
        <v>0</v>
      </c>
      <c r="N112" s="313">
        <f t="shared" ref="N112:T112" si="27">N86</f>
        <v>120694.62251446021</v>
      </c>
      <c r="O112" s="313">
        <f t="shared" si="27"/>
        <v>188909.16513780734</v>
      </c>
      <c r="P112" s="313">
        <f t="shared" si="27"/>
        <v>264899.51712690364</v>
      </c>
      <c r="Q112" s="313">
        <f t="shared" si="27"/>
        <v>352433.93297722749</v>
      </c>
      <c r="R112" s="313">
        <f t="shared" si="27"/>
        <v>453539.68706813053</v>
      </c>
      <c r="S112" s="313">
        <f t="shared" si="27"/>
        <v>570714.6149690313</v>
      </c>
      <c r="T112" s="313">
        <f t="shared" si="27"/>
        <v>706935.33020455879</v>
      </c>
      <c r="U112" s="51"/>
      <c r="V112" s="51"/>
      <c r="W112" s="51"/>
      <c r="X112" s="2"/>
      <c r="Y112" s="51"/>
      <c r="Z112" s="51"/>
      <c r="AA112" s="51"/>
      <c r="AB112" s="2"/>
      <c r="AC112" s="51"/>
      <c r="AD112" s="51"/>
      <c r="AE112" s="51"/>
      <c r="AF112" s="2"/>
      <c r="AG112" s="51"/>
      <c r="AH112" s="51"/>
      <c r="AI112" s="51"/>
      <c r="AJ112" s="2"/>
      <c r="AK112" s="51"/>
      <c r="AL112" s="51"/>
      <c r="AM112" s="51"/>
      <c r="AN112" s="2"/>
      <c r="AO112" s="51"/>
      <c r="AP112" s="51"/>
      <c r="AQ112" s="51"/>
      <c r="AR112" s="2"/>
      <c r="AS112" s="51"/>
      <c r="AT112" s="51"/>
      <c r="AU112" s="51"/>
      <c r="AV112" s="2"/>
      <c r="AW112" s="51"/>
      <c r="AX112" s="51"/>
      <c r="AY112" s="51"/>
      <c r="AZ112" s="2"/>
      <c r="BA112" s="51"/>
      <c r="BB112" s="51"/>
      <c r="BC112" s="51"/>
      <c r="BD112" s="2"/>
      <c r="BE112" s="51"/>
      <c r="BF112" s="51"/>
      <c r="BG112" s="51"/>
      <c r="BH112" s="2"/>
      <c r="BI112" s="51"/>
      <c r="BJ112" s="51"/>
      <c r="BK112" s="51"/>
      <c r="BL112" s="2"/>
      <c r="BM112" s="51"/>
      <c r="BN112" s="51"/>
      <c r="BO112" s="51"/>
      <c r="BP112" s="2"/>
      <c r="BQ112" s="51"/>
      <c r="BR112" s="51"/>
      <c r="BS112" s="51"/>
      <c r="BT112" s="2"/>
      <c r="BU112" s="51"/>
    </row>
    <row r="113" spans="1:75" x14ac:dyDescent="0.2">
      <c r="A113" s="51"/>
      <c r="B113" s="51"/>
      <c r="C113" s="22" t="s">
        <v>419</v>
      </c>
      <c r="D113" s="22"/>
      <c r="E113" s="22"/>
      <c r="F113" s="22"/>
      <c r="G113" s="22"/>
      <c r="H113" s="22"/>
      <c r="I113" s="22"/>
      <c r="J113" s="22"/>
      <c r="K113" s="22"/>
      <c r="L113" s="22"/>
      <c r="M113" s="22"/>
      <c r="N113" s="87">
        <f>N105</f>
        <v>1429.2010454747276</v>
      </c>
      <c r="O113" s="87">
        <f t="shared" ref="O113:T113" si="28">O105</f>
        <v>4199.0748370328738</v>
      </c>
      <c r="P113" s="87">
        <f t="shared" si="28"/>
        <v>8452.203411013299</v>
      </c>
      <c r="Q113" s="87">
        <f t="shared" si="28"/>
        <v>14917.318590783858</v>
      </c>
      <c r="R113" s="87">
        <f t="shared" si="28"/>
        <v>24631.47468746706</v>
      </c>
      <c r="S113" s="87">
        <f t="shared" si="28"/>
        <v>38888.244543145745</v>
      </c>
      <c r="T113" s="87">
        <f t="shared" si="28"/>
        <v>59172.825459048203</v>
      </c>
      <c r="U113" s="51"/>
      <c r="V113" s="51"/>
      <c r="W113" s="51"/>
      <c r="X113" s="2"/>
      <c r="Y113" s="51"/>
      <c r="Z113" s="51"/>
      <c r="AA113" s="51"/>
      <c r="AB113" s="2"/>
      <c r="AC113" s="51"/>
      <c r="AD113" s="51"/>
      <c r="AE113" s="51"/>
      <c r="AF113" s="2"/>
      <c r="AG113" s="51"/>
      <c r="AH113" s="51"/>
      <c r="AI113" s="51"/>
      <c r="AJ113" s="2"/>
      <c r="AK113" s="51"/>
      <c r="AL113" s="51"/>
      <c r="AM113" s="51"/>
      <c r="AN113" s="2"/>
      <c r="AO113" s="51"/>
      <c r="AP113" s="51"/>
      <c r="AQ113" s="51"/>
      <c r="AR113" s="2"/>
      <c r="AS113" s="51"/>
      <c r="AT113" s="51"/>
      <c r="AU113" s="51"/>
      <c r="AV113" s="2"/>
      <c r="AW113" s="51"/>
      <c r="AX113" s="51"/>
      <c r="AY113" s="51"/>
      <c r="AZ113" s="2"/>
      <c r="BA113" s="51"/>
      <c r="BB113" s="51"/>
      <c r="BC113" s="51"/>
      <c r="BD113" s="2"/>
      <c r="BE113" s="51"/>
      <c r="BF113" s="51"/>
      <c r="BG113" s="51"/>
      <c r="BH113" s="2"/>
      <c r="BI113" s="51"/>
      <c r="BJ113" s="51"/>
      <c r="BK113" s="51"/>
      <c r="BL113" s="2"/>
      <c r="BM113" s="51"/>
      <c r="BN113" s="51"/>
      <c r="BO113" s="51"/>
      <c r="BP113" s="2"/>
      <c r="BQ113" s="51"/>
      <c r="BR113" s="51"/>
      <c r="BS113" s="51"/>
      <c r="BT113" s="2"/>
      <c r="BU113" s="51"/>
    </row>
    <row r="114" spans="1:75" x14ac:dyDescent="0.2">
      <c r="A114" s="51"/>
      <c r="B114" s="51"/>
      <c r="C114" s="305" t="s">
        <v>420</v>
      </c>
      <c r="D114" s="304"/>
      <c r="E114" s="304"/>
      <c r="F114" s="304"/>
      <c r="G114" s="304"/>
      <c r="H114" s="304"/>
      <c r="I114" s="304"/>
      <c r="J114" s="304"/>
      <c r="K114" s="304"/>
      <c r="L114" s="304"/>
      <c r="M114" s="313">
        <f>SUM(M112:M113)</f>
        <v>0</v>
      </c>
      <c r="N114" s="313">
        <f t="shared" ref="N114:T114" si="29">SUM(N112:N113)</f>
        <v>122123.82355993493</v>
      </c>
      <c r="O114" s="313">
        <f t="shared" si="29"/>
        <v>193108.23997484022</v>
      </c>
      <c r="P114" s="313">
        <f t="shared" si="29"/>
        <v>273351.72053791693</v>
      </c>
      <c r="Q114" s="313">
        <f t="shared" si="29"/>
        <v>367351.25156801136</v>
      </c>
      <c r="R114" s="313">
        <f t="shared" si="29"/>
        <v>478171.16175559757</v>
      </c>
      <c r="S114" s="313">
        <f t="shared" si="29"/>
        <v>609602.85951217706</v>
      </c>
      <c r="T114" s="313">
        <f t="shared" si="29"/>
        <v>766108.15566360694</v>
      </c>
      <c r="U114" s="51"/>
      <c r="V114" s="51"/>
      <c r="W114" s="51"/>
      <c r="X114" s="2"/>
      <c r="Y114" s="51"/>
      <c r="Z114" s="51"/>
      <c r="AA114" s="51"/>
      <c r="AB114" s="2"/>
      <c r="AC114" s="51"/>
      <c r="AD114" s="51"/>
      <c r="AE114" s="51"/>
      <c r="AF114" s="2"/>
      <c r="AG114" s="51"/>
      <c r="AH114" s="51"/>
      <c r="AI114" s="51"/>
      <c r="AJ114" s="2"/>
      <c r="AK114" s="51"/>
      <c r="AL114" s="51"/>
      <c r="AM114" s="51"/>
      <c r="AN114" s="2"/>
      <c r="AO114" s="51"/>
      <c r="AP114" s="51"/>
      <c r="AQ114" s="51"/>
      <c r="AR114" s="2"/>
      <c r="AS114" s="51"/>
      <c r="AT114" s="51"/>
      <c r="AU114" s="51"/>
      <c r="AV114" s="2"/>
      <c r="AW114" s="51"/>
      <c r="AX114" s="51"/>
      <c r="AY114" s="51"/>
      <c r="AZ114" s="2"/>
      <c r="BA114" s="51"/>
      <c r="BB114" s="51"/>
      <c r="BC114" s="51"/>
      <c r="BD114" s="2"/>
      <c r="BE114" s="51"/>
      <c r="BF114" s="51"/>
      <c r="BG114" s="51"/>
      <c r="BH114" s="2"/>
      <c r="BI114" s="51"/>
      <c r="BJ114" s="51"/>
      <c r="BK114" s="51"/>
      <c r="BL114" s="2"/>
      <c r="BM114" s="51"/>
      <c r="BN114" s="51"/>
      <c r="BO114" s="51"/>
      <c r="BP114" s="2"/>
      <c r="BQ114" s="51"/>
      <c r="BR114" s="51"/>
      <c r="BS114" s="51"/>
      <c r="BT114" s="2"/>
      <c r="BU114" s="51"/>
    </row>
    <row r="115" spans="1:75" ht="17" thickBot="1" x14ac:dyDescent="0.25">
      <c r="A115" s="51"/>
      <c r="B115" s="51"/>
      <c r="C115" s="59" t="s">
        <v>383</v>
      </c>
      <c r="D115" s="60"/>
      <c r="E115" s="60"/>
      <c r="F115" s="60"/>
      <c r="G115" s="60"/>
      <c r="H115" s="60"/>
      <c r="I115" s="60"/>
      <c r="J115" s="60"/>
      <c r="K115" s="60"/>
      <c r="L115" s="60"/>
      <c r="M115" s="60"/>
      <c r="N115" s="88" t="e">
        <f>(N114/M114)-1</f>
        <v>#DIV/0!</v>
      </c>
      <c r="O115" s="88">
        <f t="shared" ref="O115:T115" si="30">(O114/N114)-1</f>
        <v>0.58124954120903483</v>
      </c>
      <c r="P115" s="88">
        <f t="shared" si="30"/>
        <v>0.41553628459112635</v>
      </c>
      <c r="Q115" s="88">
        <f t="shared" si="30"/>
        <v>0.34387759054567812</v>
      </c>
      <c r="R115" s="88">
        <f t="shared" si="30"/>
        <v>0.30167288042319096</v>
      </c>
      <c r="S115" s="88">
        <f t="shared" si="30"/>
        <v>0.27486328802019377</v>
      </c>
      <c r="T115" s="88">
        <f t="shared" si="30"/>
        <v>0.25673320541289812</v>
      </c>
      <c r="U115" s="51"/>
      <c r="V115" s="2"/>
      <c r="W115" s="51"/>
      <c r="X115" s="51"/>
      <c r="Y115" s="51"/>
      <c r="Z115" s="2"/>
      <c r="AA115" s="51"/>
      <c r="AB115" s="51"/>
      <c r="AC115" s="51"/>
      <c r="AD115" s="2"/>
      <c r="AE115" s="51"/>
      <c r="AF115" s="51"/>
      <c r="AG115" s="51"/>
      <c r="AH115" s="2"/>
      <c r="AI115" s="51"/>
      <c r="AJ115" s="51"/>
      <c r="AK115" s="51"/>
      <c r="AL115" s="2"/>
      <c r="AM115" s="51"/>
      <c r="AN115" s="51"/>
      <c r="AO115" s="51"/>
      <c r="AP115" s="2"/>
      <c r="AQ115" s="51"/>
      <c r="AR115" s="51"/>
      <c r="AS115" s="51"/>
      <c r="AT115" s="2"/>
      <c r="AU115" s="51"/>
      <c r="AV115" s="51"/>
      <c r="AW115" s="51"/>
      <c r="AX115" s="2"/>
      <c r="AY115" s="51"/>
      <c r="AZ115" s="51"/>
      <c r="BA115" s="51"/>
      <c r="BB115" s="2"/>
      <c r="BC115" s="51"/>
      <c r="BD115" s="51"/>
      <c r="BE115" s="51"/>
      <c r="BF115" s="2"/>
      <c r="BG115" s="51"/>
      <c r="BH115" s="51"/>
      <c r="BI115" s="51"/>
      <c r="BJ115" s="2"/>
      <c r="BK115" s="51"/>
      <c r="BL115" s="51"/>
      <c r="BM115" s="51"/>
      <c r="BN115" s="2"/>
      <c r="BO115" s="51"/>
      <c r="BP115" s="51"/>
      <c r="BQ115" s="51"/>
      <c r="BR115" s="2"/>
      <c r="BS115" s="51"/>
      <c r="BT115" s="51"/>
      <c r="BU115" s="51"/>
      <c r="BV115" s="2"/>
      <c r="BW115" s="51"/>
    </row>
    <row r="116" spans="1:75" ht="17" thickTop="1" x14ac:dyDescent="0.2">
      <c r="A116" s="51"/>
      <c r="B116" s="51"/>
      <c r="C116" s="51"/>
      <c r="D116" s="51"/>
      <c r="E116" s="51"/>
      <c r="F116" s="2"/>
      <c r="G116" s="51"/>
      <c r="H116" s="51"/>
      <c r="I116" s="51"/>
      <c r="J116" s="2"/>
      <c r="K116" s="51"/>
      <c r="L116" s="51"/>
      <c r="M116" s="51"/>
      <c r="N116" s="2"/>
      <c r="O116" s="51"/>
      <c r="P116" s="51"/>
      <c r="Q116" s="51"/>
      <c r="R116" s="2"/>
      <c r="S116" s="51"/>
      <c r="T116" s="51"/>
      <c r="U116" s="51"/>
      <c r="V116" s="2"/>
      <c r="W116" s="51"/>
      <c r="X116" s="51"/>
      <c r="Y116" s="51"/>
      <c r="Z116" s="2"/>
      <c r="AA116" s="51"/>
      <c r="AB116" s="51"/>
      <c r="AC116" s="51"/>
      <c r="AD116" s="2"/>
      <c r="AE116" s="51"/>
      <c r="AF116" s="51"/>
      <c r="AG116" s="51"/>
      <c r="AH116" s="2"/>
      <c r="AI116" s="51"/>
      <c r="AJ116" s="51"/>
      <c r="AK116" s="51"/>
      <c r="AL116" s="2"/>
      <c r="AM116" s="51"/>
      <c r="AN116" s="51"/>
      <c r="AO116" s="51"/>
      <c r="AP116" s="2"/>
      <c r="AQ116" s="51"/>
      <c r="AR116" s="51"/>
      <c r="AS116" s="51"/>
      <c r="AT116" s="2"/>
      <c r="AU116" s="51"/>
      <c r="AV116" s="51"/>
      <c r="AW116" s="51"/>
      <c r="AX116" s="2"/>
      <c r="AY116" s="51"/>
      <c r="AZ116" s="51"/>
      <c r="BA116" s="51"/>
      <c r="BB116" s="2"/>
      <c r="BC116" s="51"/>
      <c r="BD116" s="51"/>
      <c r="BE116" s="51"/>
      <c r="BF116" s="2"/>
      <c r="BG116" s="51"/>
      <c r="BH116" s="51"/>
      <c r="BI116" s="51"/>
      <c r="BJ116" s="2"/>
      <c r="BK116" s="51"/>
      <c r="BL116" s="51"/>
      <c r="BM116" s="51"/>
      <c r="BN116" s="2"/>
      <c r="BO116" s="51"/>
      <c r="BP116" s="51"/>
      <c r="BQ116" s="51"/>
      <c r="BR116" s="2"/>
      <c r="BS116" s="51"/>
      <c r="BT116" s="51"/>
      <c r="BU116" s="51"/>
      <c r="BV116" s="2"/>
      <c r="BW116" s="51"/>
    </row>
    <row r="117" spans="1:75" x14ac:dyDescent="0.2">
      <c r="A117" s="51"/>
      <c r="B117" s="51"/>
      <c r="C117" s="51"/>
      <c r="D117" s="51"/>
      <c r="E117" s="51"/>
      <c r="F117" s="2"/>
      <c r="G117" s="51"/>
      <c r="H117" s="51"/>
      <c r="I117" s="51"/>
      <c r="J117" s="2"/>
      <c r="K117" s="51"/>
      <c r="L117" s="51"/>
      <c r="M117" s="51"/>
      <c r="N117" s="2"/>
      <c r="O117" s="51"/>
      <c r="P117" s="51"/>
      <c r="Q117" s="51"/>
      <c r="R117" s="2"/>
      <c r="S117" s="51"/>
      <c r="T117" s="51"/>
      <c r="U117" s="51"/>
      <c r="V117" s="2"/>
      <c r="W117" s="51"/>
      <c r="X117" s="51"/>
      <c r="Y117" s="51"/>
      <c r="Z117" s="2"/>
      <c r="AA117" s="51"/>
      <c r="AB117" s="51"/>
      <c r="AC117" s="51"/>
      <c r="AD117" s="2"/>
      <c r="AE117" s="51"/>
      <c r="AF117" s="51"/>
      <c r="AG117" s="51"/>
      <c r="AH117" s="2"/>
      <c r="AI117" s="51"/>
      <c r="AJ117" s="51"/>
      <c r="AK117" s="51"/>
      <c r="AL117" s="2"/>
      <c r="AM117" s="51"/>
      <c r="AN117" s="51"/>
      <c r="AO117" s="51"/>
      <c r="AP117" s="2"/>
      <c r="AQ117" s="51"/>
      <c r="AR117" s="51"/>
      <c r="AS117" s="51"/>
      <c r="AT117" s="2"/>
      <c r="AU117" s="51"/>
      <c r="AV117" s="51"/>
      <c r="AW117" s="51"/>
      <c r="AX117" s="2"/>
      <c r="AY117" s="51"/>
      <c r="AZ117" s="51"/>
      <c r="BA117" s="51"/>
      <c r="BB117" s="2"/>
      <c r="BC117" s="51"/>
      <c r="BD117" s="51"/>
      <c r="BE117" s="51"/>
      <c r="BF117" s="2"/>
      <c r="BG117" s="51"/>
      <c r="BH117" s="51"/>
      <c r="BI117" s="51"/>
      <c r="BJ117" s="2"/>
      <c r="BK117" s="51"/>
      <c r="BL117" s="51"/>
      <c r="BM117" s="51"/>
      <c r="BN117" s="2"/>
      <c r="BO117" s="51"/>
      <c r="BP117" s="51"/>
      <c r="BQ117" s="51"/>
      <c r="BR117" s="2"/>
      <c r="BS117" s="51"/>
      <c r="BT117" s="51"/>
      <c r="BU117" s="51"/>
      <c r="BV117" s="2"/>
      <c r="BW117" s="51"/>
    </row>
    <row r="118" spans="1:75" x14ac:dyDescent="0.2">
      <c r="A118" s="51"/>
      <c r="B118" s="51"/>
      <c r="C118" s="51"/>
      <c r="D118" s="51"/>
      <c r="E118" s="51"/>
      <c r="F118" s="2"/>
      <c r="G118" s="51"/>
      <c r="H118" s="51"/>
      <c r="I118" s="51"/>
      <c r="J118" s="2"/>
      <c r="K118" s="51"/>
      <c r="L118" s="51"/>
      <c r="M118" s="51"/>
      <c r="N118" s="2"/>
      <c r="O118" s="51"/>
      <c r="P118" s="51"/>
      <c r="Q118" s="51"/>
      <c r="R118" s="2"/>
      <c r="S118" s="51"/>
      <c r="T118" s="51"/>
      <c r="U118" s="51"/>
      <c r="V118" s="2"/>
      <c r="W118" s="51"/>
      <c r="X118" s="51"/>
      <c r="Y118" s="51"/>
      <c r="Z118" s="2"/>
      <c r="AA118" s="51"/>
      <c r="AB118" s="51"/>
      <c r="AC118" s="51"/>
      <c r="AD118" s="2"/>
      <c r="AE118" s="51"/>
      <c r="AF118" s="51"/>
      <c r="AG118" s="51"/>
      <c r="AH118" s="2"/>
      <c r="AI118" s="51"/>
      <c r="AJ118" s="51"/>
      <c r="AK118" s="51"/>
      <c r="AL118" s="2"/>
      <c r="AM118" s="51"/>
      <c r="AN118" s="51"/>
      <c r="AO118" s="51"/>
      <c r="AP118" s="2"/>
      <c r="AQ118" s="51"/>
      <c r="AR118" s="51"/>
      <c r="AS118" s="51"/>
      <c r="AT118" s="2"/>
      <c r="AU118" s="51"/>
      <c r="AV118" s="51"/>
      <c r="AW118" s="51"/>
      <c r="AX118" s="2"/>
      <c r="AY118" s="51"/>
      <c r="AZ118" s="51"/>
      <c r="BA118" s="51"/>
      <c r="BB118" s="2"/>
      <c r="BC118" s="51"/>
      <c r="BD118" s="51"/>
      <c r="BE118" s="51"/>
      <c r="BF118" s="2"/>
      <c r="BG118" s="51"/>
      <c r="BH118" s="51"/>
      <c r="BI118" s="51"/>
      <c r="BJ118" s="2"/>
      <c r="BK118" s="51"/>
      <c r="BL118" s="51"/>
      <c r="BM118" s="51"/>
      <c r="BN118" s="2"/>
      <c r="BO118" s="51"/>
      <c r="BP118" s="51"/>
      <c r="BQ118" s="51"/>
      <c r="BR118" s="2"/>
      <c r="BS118" s="51"/>
      <c r="BT118" s="51"/>
      <c r="BU118" s="51"/>
      <c r="BV118" s="2"/>
      <c r="BW118" s="51"/>
    </row>
    <row r="119" spans="1:75" x14ac:dyDescent="0.2">
      <c r="A119" s="51"/>
      <c r="B119" s="51"/>
      <c r="C119" s="51"/>
      <c r="D119" s="51"/>
      <c r="E119" s="51"/>
      <c r="F119" s="2"/>
      <c r="G119" s="51"/>
      <c r="H119" s="51"/>
      <c r="I119" s="51"/>
      <c r="J119" s="2"/>
      <c r="K119" s="51"/>
      <c r="L119" s="51"/>
      <c r="M119" s="51"/>
      <c r="N119" s="2"/>
      <c r="O119" s="51"/>
      <c r="P119" s="51"/>
      <c r="Q119" s="51"/>
      <c r="R119" s="2"/>
      <c r="S119" s="51"/>
      <c r="T119" s="51"/>
      <c r="U119" s="51"/>
      <c r="V119" s="2"/>
      <c r="W119" s="51"/>
      <c r="X119" s="51"/>
      <c r="Y119" s="51"/>
      <c r="Z119" s="2"/>
      <c r="AA119" s="51"/>
      <c r="AB119" s="51"/>
      <c r="AC119" s="51"/>
      <c r="AD119" s="2"/>
      <c r="AE119" s="51"/>
      <c r="AF119" s="51"/>
      <c r="AG119" s="51"/>
      <c r="AH119" s="2"/>
      <c r="AI119" s="51"/>
      <c r="AJ119" s="51"/>
      <c r="AK119" s="51"/>
      <c r="AL119" s="2"/>
      <c r="AM119" s="51"/>
      <c r="AN119" s="51"/>
      <c r="AO119" s="51"/>
      <c r="AP119" s="2"/>
      <c r="AQ119" s="51"/>
      <c r="AR119" s="51"/>
      <c r="AS119" s="51"/>
      <c r="AT119" s="2"/>
      <c r="AU119" s="51"/>
      <c r="AV119" s="51"/>
      <c r="AW119" s="51"/>
      <c r="AX119" s="2"/>
      <c r="AY119" s="51"/>
      <c r="AZ119" s="51"/>
      <c r="BA119" s="51"/>
      <c r="BB119" s="2"/>
      <c r="BC119" s="51"/>
      <c r="BD119" s="51"/>
      <c r="BE119" s="51"/>
      <c r="BF119" s="2"/>
      <c r="BG119" s="51"/>
      <c r="BH119" s="51"/>
      <c r="BI119" s="51"/>
      <c r="BJ119" s="2"/>
      <c r="BK119" s="51"/>
      <c r="BL119" s="51"/>
      <c r="BM119" s="51"/>
      <c r="BN119" s="2"/>
      <c r="BO119" s="51"/>
      <c r="BP119" s="51"/>
      <c r="BQ119" s="51"/>
      <c r="BR119" s="2"/>
      <c r="BS119" s="51"/>
      <c r="BT119" s="51"/>
      <c r="BU119" s="51"/>
      <c r="BV119" s="2"/>
      <c r="BW119" s="51"/>
    </row>
    <row r="120" spans="1:75" x14ac:dyDescent="0.2">
      <c r="A120" s="51"/>
      <c r="B120" s="51"/>
      <c r="C120" s="51"/>
      <c r="D120" s="51"/>
      <c r="E120" s="51"/>
      <c r="F120" s="2"/>
      <c r="G120" s="51"/>
      <c r="H120" s="51"/>
      <c r="I120" s="51"/>
      <c r="J120" s="2"/>
      <c r="K120" s="51"/>
      <c r="L120" s="51"/>
      <c r="M120" s="51"/>
      <c r="N120" s="2"/>
      <c r="O120" s="51"/>
      <c r="P120" s="51"/>
      <c r="Q120" s="51"/>
      <c r="R120" s="2"/>
      <c r="S120" s="51"/>
      <c r="T120" s="51"/>
      <c r="U120" s="51"/>
      <c r="V120" s="2"/>
      <c r="W120" s="51"/>
      <c r="X120" s="51"/>
      <c r="Y120" s="51"/>
      <c r="Z120" s="2"/>
      <c r="AA120" s="51"/>
      <c r="AB120" s="51"/>
      <c r="AC120" s="51"/>
      <c r="AD120" s="2"/>
      <c r="AE120" s="51"/>
      <c r="AF120" s="51"/>
      <c r="AG120" s="51"/>
      <c r="AH120" s="2"/>
      <c r="AI120" s="51"/>
      <c r="AJ120" s="51"/>
      <c r="AK120" s="51"/>
      <c r="AL120" s="2"/>
      <c r="AM120" s="51"/>
      <c r="AN120" s="51"/>
      <c r="AO120" s="51"/>
      <c r="AP120" s="2"/>
      <c r="AQ120" s="51"/>
      <c r="AR120" s="51"/>
      <c r="AS120" s="51"/>
      <c r="AT120" s="2"/>
      <c r="AU120" s="51"/>
      <c r="AV120" s="51"/>
      <c r="AW120" s="51"/>
      <c r="AX120" s="2"/>
      <c r="AY120" s="51"/>
      <c r="AZ120" s="51"/>
      <c r="BA120" s="51"/>
      <c r="BB120" s="2"/>
      <c r="BC120" s="51"/>
      <c r="BD120" s="51"/>
      <c r="BE120" s="51"/>
      <c r="BF120" s="2"/>
      <c r="BG120" s="51"/>
      <c r="BH120" s="51"/>
      <c r="BI120" s="51"/>
      <c r="BJ120" s="2"/>
      <c r="BK120" s="51"/>
      <c r="BL120" s="51"/>
      <c r="BM120" s="51"/>
      <c r="BN120" s="2"/>
      <c r="BO120" s="51"/>
      <c r="BP120" s="51"/>
      <c r="BQ120" s="51"/>
      <c r="BR120" s="2"/>
      <c r="BS120" s="51"/>
      <c r="BT120" s="51"/>
      <c r="BU120" s="51"/>
      <c r="BV120" s="2"/>
      <c r="BW120" s="51"/>
    </row>
    <row r="121" spans="1:75" x14ac:dyDescent="0.2">
      <c r="A121" s="51"/>
      <c r="B121" s="51"/>
      <c r="C121" s="51"/>
      <c r="D121" s="51"/>
      <c r="E121" s="51"/>
      <c r="F121" s="2"/>
      <c r="G121" s="51"/>
      <c r="H121" s="51"/>
      <c r="I121" s="51"/>
      <c r="J121" s="2"/>
      <c r="K121" s="51"/>
      <c r="L121" s="51"/>
      <c r="M121" s="51"/>
      <c r="N121" s="2"/>
      <c r="O121" s="51"/>
      <c r="P121" s="51"/>
      <c r="Q121" s="51"/>
      <c r="R121" s="2"/>
      <c r="S121" s="51"/>
      <c r="T121" s="51"/>
      <c r="U121" s="51"/>
      <c r="V121" s="2"/>
      <c r="W121" s="51"/>
      <c r="X121" s="51"/>
      <c r="Y121" s="51"/>
      <c r="Z121" s="2"/>
      <c r="AA121" s="51"/>
      <c r="AB121" s="51"/>
      <c r="AC121" s="51"/>
      <c r="AD121" s="2"/>
      <c r="AE121" s="51"/>
      <c r="AF121" s="51"/>
      <c r="AG121" s="51"/>
      <c r="AH121" s="2"/>
      <c r="AI121" s="51"/>
      <c r="AJ121" s="51"/>
      <c r="AK121" s="51"/>
      <c r="AL121" s="2"/>
      <c r="AM121" s="51"/>
      <c r="AN121" s="51"/>
      <c r="AO121" s="51"/>
      <c r="AP121" s="2"/>
      <c r="AQ121" s="51"/>
      <c r="AR121" s="51"/>
      <c r="AS121" s="51"/>
      <c r="AT121" s="2"/>
      <c r="AU121" s="51"/>
      <c r="AV121" s="51"/>
      <c r="AW121" s="51"/>
      <c r="AX121" s="2"/>
      <c r="AY121" s="51"/>
      <c r="AZ121" s="51"/>
      <c r="BA121" s="51"/>
      <c r="BB121" s="2"/>
      <c r="BC121" s="51"/>
      <c r="BD121" s="51"/>
      <c r="BE121" s="51"/>
      <c r="BF121" s="2"/>
      <c r="BG121" s="51"/>
      <c r="BH121" s="51"/>
      <c r="BI121" s="51"/>
      <c r="BJ121" s="2"/>
      <c r="BK121" s="51"/>
      <c r="BL121" s="51"/>
      <c r="BM121" s="51"/>
      <c r="BN121" s="2"/>
      <c r="BO121" s="51"/>
      <c r="BP121" s="51"/>
      <c r="BQ121" s="51"/>
      <c r="BR121" s="2"/>
      <c r="BS121" s="51"/>
      <c r="BT121" s="51"/>
      <c r="BU121" s="51"/>
      <c r="BV121" s="2"/>
      <c r="BW121" s="51"/>
    </row>
    <row r="122" spans="1:75" x14ac:dyDescent="0.2">
      <c r="A122" s="51"/>
      <c r="B122" s="51"/>
      <c r="C122" s="51"/>
      <c r="D122" s="51"/>
      <c r="E122" s="51"/>
      <c r="F122" s="2"/>
      <c r="G122" s="51"/>
      <c r="H122" s="51"/>
      <c r="I122" s="51"/>
      <c r="J122" s="2"/>
      <c r="K122" s="51"/>
      <c r="L122" s="51"/>
      <c r="M122" s="51"/>
      <c r="N122" s="2"/>
      <c r="O122" s="51"/>
      <c r="P122" s="51"/>
      <c r="Q122" s="51"/>
      <c r="R122" s="2"/>
      <c r="S122" s="51"/>
      <c r="T122" s="51"/>
      <c r="U122" s="51"/>
      <c r="V122" s="2"/>
      <c r="W122" s="51"/>
      <c r="X122" s="51"/>
      <c r="Y122" s="51"/>
      <c r="Z122" s="2"/>
      <c r="AA122" s="51"/>
      <c r="AB122" s="51"/>
      <c r="AC122" s="51"/>
      <c r="AD122" s="2"/>
      <c r="AE122" s="51"/>
      <c r="AF122" s="51"/>
      <c r="AG122" s="51"/>
      <c r="AH122" s="2"/>
      <c r="AI122" s="51"/>
      <c r="AJ122" s="51"/>
      <c r="AK122" s="51"/>
      <c r="AL122" s="2"/>
      <c r="AM122" s="51"/>
      <c r="AN122" s="51"/>
      <c r="AO122" s="51"/>
      <c r="AP122" s="2"/>
      <c r="AQ122" s="51"/>
      <c r="AR122" s="51"/>
      <c r="AS122" s="51"/>
      <c r="AT122" s="2"/>
      <c r="AU122" s="51"/>
      <c r="AV122" s="51"/>
      <c r="AW122" s="51"/>
      <c r="AX122" s="2"/>
      <c r="AY122" s="51"/>
      <c r="AZ122" s="51"/>
      <c r="BA122" s="51"/>
      <c r="BB122" s="2"/>
      <c r="BC122" s="51"/>
      <c r="BD122" s="51"/>
      <c r="BE122" s="51"/>
      <c r="BF122" s="2"/>
      <c r="BG122" s="51"/>
      <c r="BH122" s="51"/>
      <c r="BI122" s="51"/>
      <c r="BJ122" s="2"/>
      <c r="BK122" s="51"/>
      <c r="BL122" s="51"/>
      <c r="BM122" s="51"/>
      <c r="BN122" s="2"/>
      <c r="BO122" s="51"/>
      <c r="BP122" s="51"/>
      <c r="BQ122" s="51"/>
      <c r="BR122" s="2"/>
      <c r="BS122" s="51"/>
      <c r="BT122" s="51"/>
      <c r="BU122" s="51"/>
      <c r="BV122" s="2"/>
      <c r="BW122" s="51"/>
    </row>
    <row r="123" spans="1:75" x14ac:dyDescent="0.2">
      <c r="A123" s="51"/>
      <c r="B123" s="51"/>
      <c r="C123" s="51"/>
      <c r="D123" s="51"/>
      <c r="E123" s="51"/>
      <c r="F123" s="2"/>
      <c r="G123" s="51"/>
      <c r="H123" s="51"/>
      <c r="I123" s="51"/>
      <c r="J123" s="2"/>
      <c r="K123" s="51"/>
      <c r="L123" s="51"/>
      <c r="M123" s="51"/>
      <c r="N123" s="2"/>
      <c r="O123" s="51"/>
      <c r="P123" s="51"/>
      <c r="Q123" s="51"/>
      <c r="R123" s="2"/>
      <c r="S123" s="51"/>
      <c r="T123" s="51"/>
      <c r="U123" s="51"/>
      <c r="V123" s="2"/>
      <c r="W123" s="51"/>
      <c r="X123" s="51"/>
      <c r="Y123" s="51"/>
      <c r="Z123" s="2"/>
      <c r="AA123" s="51"/>
      <c r="AB123" s="51"/>
      <c r="AC123" s="51"/>
      <c r="AD123" s="2"/>
      <c r="AE123" s="51"/>
      <c r="AF123" s="51"/>
      <c r="AG123" s="51"/>
      <c r="AH123" s="2"/>
      <c r="AI123" s="51"/>
      <c r="AJ123" s="51"/>
      <c r="AK123" s="51"/>
      <c r="AL123" s="2"/>
      <c r="AM123" s="51"/>
      <c r="AN123" s="51"/>
      <c r="AO123" s="51"/>
      <c r="AP123" s="2"/>
      <c r="AQ123" s="51"/>
      <c r="AR123" s="51"/>
      <c r="AS123" s="51"/>
      <c r="AT123" s="2"/>
      <c r="AU123" s="51"/>
      <c r="AV123" s="51"/>
      <c r="AW123" s="51"/>
      <c r="AX123" s="2"/>
      <c r="AY123" s="51"/>
      <c r="AZ123" s="51"/>
      <c r="BA123" s="51"/>
      <c r="BB123" s="2"/>
      <c r="BC123" s="51"/>
      <c r="BD123" s="51"/>
      <c r="BE123" s="51"/>
      <c r="BF123" s="2"/>
      <c r="BG123" s="51"/>
      <c r="BH123" s="51"/>
      <c r="BI123" s="51"/>
      <c r="BJ123" s="2"/>
      <c r="BK123" s="51"/>
      <c r="BL123" s="51"/>
      <c r="BM123" s="51"/>
      <c r="BN123" s="2"/>
      <c r="BO123" s="51"/>
      <c r="BP123" s="51"/>
      <c r="BQ123" s="51"/>
      <c r="BR123" s="2"/>
      <c r="BS123" s="51"/>
      <c r="BT123" s="51"/>
      <c r="BU123" s="51"/>
      <c r="BV123" s="2"/>
      <c r="BW123" s="51"/>
    </row>
    <row r="124" spans="1:75" x14ac:dyDescent="0.2">
      <c r="A124" s="51"/>
      <c r="B124" s="51"/>
      <c r="C124" s="51"/>
      <c r="D124" s="51"/>
      <c r="E124" s="51"/>
      <c r="F124" s="2"/>
      <c r="G124" s="51"/>
      <c r="H124" s="51"/>
      <c r="I124" s="51"/>
      <c r="J124" s="2"/>
      <c r="K124" s="51"/>
      <c r="L124" s="51"/>
      <c r="M124" s="51"/>
      <c r="N124" s="2"/>
      <c r="O124" s="51"/>
      <c r="P124" s="51"/>
      <c r="Q124" s="51"/>
      <c r="R124" s="2"/>
      <c r="S124" s="51"/>
      <c r="T124" s="51"/>
      <c r="U124" s="51"/>
      <c r="V124" s="2"/>
      <c r="W124" s="51"/>
      <c r="X124" s="51"/>
      <c r="Y124" s="51"/>
      <c r="Z124" s="2"/>
      <c r="AA124" s="51"/>
      <c r="AB124" s="51"/>
      <c r="AC124" s="51"/>
      <c r="AD124" s="2"/>
      <c r="AE124" s="51"/>
      <c r="AF124" s="51"/>
      <c r="AG124" s="51"/>
      <c r="AH124" s="2"/>
      <c r="AI124" s="51"/>
      <c r="AJ124" s="51"/>
      <c r="AK124" s="51"/>
      <c r="AL124" s="2"/>
      <c r="AM124" s="51"/>
      <c r="AN124" s="51"/>
      <c r="AO124" s="51"/>
      <c r="AP124" s="2"/>
      <c r="AQ124" s="51"/>
      <c r="AR124" s="51"/>
      <c r="AS124" s="51"/>
      <c r="AT124" s="2"/>
      <c r="AU124" s="51"/>
      <c r="AV124" s="51"/>
      <c r="AW124" s="51"/>
      <c r="AX124" s="2"/>
      <c r="AY124" s="51"/>
      <c r="AZ124" s="51"/>
      <c r="BA124" s="51"/>
      <c r="BB124" s="2"/>
      <c r="BC124" s="51"/>
      <c r="BD124" s="51"/>
      <c r="BE124" s="51"/>
      <c r="BF124" s="2"/>
      <c r="BG124" s="51"/>
      <c r="BH124" s="51"/>
      <c r="BI124" s="51"/>
      <c r="BJ124" s="2"/>
      <c r="BK124" s="51"/>
      <c r="BL124" s="51"/>
      <c r="BM124" s="51"/>
      <c r="BN124" s="2"/>
      <c r="BO124" s="51"/>
      <c r="BP124" s="51"/>
      <c r="BQ124" s="51"/>
      <c r="BR124" s="2"/>
      <c r="BS124" s="51"/>
      <c r="BT124" s="51"/>
      <c r="BU124" s="51"/>
      <c r="BV124" s="2"/>
      <c r="BW124" s="51"/>
    </row>
    <row r="125" spans="1:75" x14ac:dyDescent="0.2">
      <c r="A125" s="51"/>
      <c r="B125" s="51"/>
      <c r="C125" s="51"/>
      <c r="D125" s="51"/>
      <c r="E125" s="51"/>
      <c r="F125" s="2"/>
      <c r="G125" s="51"/>
      <c r="H125" s="51"/>
      <c r="I125" s="51"/>
      <c r="J125" s="2"/>
      <c r="K125" s="51"/>
      <c r="L125" s="51"/>
      <c r="M125" s="51"/>
      <c r="N125" s="2"/>
      <c r="O125" s="51"/>
      <c r="P125" s="51"/>
      <c r="Q125" s="51"/>
      <c r="R125" s="2"/>
      <c r="S125" s="51"/>
      <c r="T125" s="51"/>
      <c r="U125" s="51"/>
      <c r="V125" s="2"/>
      <c r="W125" s="51"/>
      <c r="X125" s="51"/>
      <c r="Y125" s="51"/>
      <c r="Z125" s="2"/>
      <c r="AA125" s="51"/>
      <c r="AB125" s="51"/>
      <c r="AC125" s="51"/>
      <c r="AD125" s="2"/>
      <c r="AE125" s="51"/>
      <c r="AF125" s="51"/>
      <c r="AG125" s="51"/>
      <c r="AH125" s="2"/>
      <c r="AI125" s="51"/>
      <c r="AJ125" s="51"/>
      <c r="AK125" s="51"/>
      <c r="AL125" s="2"/>
      <c r="AM125" s="51"/>
      <c r="AN125" s="51"/>
      <c r="AO125" s="51"/>
      <c r="AP125" s="2"/>
      <c r="AQ125" s="51"/>
      <c r="AR125" s="51"/>
      <c r="AS125" s="51"/>
      <c r="AT125" s="2"/>
      <c r="AU125" s="51"/>
      <c r="AV125" s="51"/>
      <c r="AW125" s="51"/>
      <c r="AX125" s="2"/>
      <c r="AY125" s="51"/>
      <c r="AZ125" s="51"/>
      <c r="BA125" s="51"/>
      <c r="BB125" s="2"/>
      <c r="BC125" s="51"/>
      <c r="BD125" s="51"/>
      <c r="BE125" s="51"/>
      <c r="BF125" s="2"/>
      <c r="BG125" s="51"/>
      <c r="BH125" s="51"/>
      <c r="BI125" s="51"/>
      <c r="BJ125" s="2"/>
      <c r="BK125" s="51"/>
      <c r="BL125" s="51"/>
      <c r="BM125" s="51"/>
      <c r="BN125" s="2"/>
      <c r="BO125" s="51"/>
      <c r="BP125" s="51"/>
      <c r="BQ125" s="51"/>
      <c r="BR125" s="2"/>
      <c r="BS125" s="51"/>
      <c r="BT125" s="51"/>
      <c r="BU125" s="51"/>
      <c r="BV125" s="2"/>
      <c r="BW125" s="51"/>
    </row>
    <row r="126" spans="1:75" x14ac:dyDescent="0.2">
      <c r="A126" s="51"/>
      <c r="B126" s="51"/>
      <c r="C126" s="51"/>
      <c r="D126" s="51"/>
      <c r="E126" s="51"/>
      <c r="F126" s="2"/>
      <c r="G126" s="51"/>
      <c r="H126" s="51"/>
      <c r="I126" s="51"/>
      <c r="J126" s="2"/>
      <c r="K126" s="51"/>
      <c r="L126" s="51"/>
      <c r="M126" s="51"/>
      <c r="N126" s="2"/>
      <c r="O126" s="51"/>
      <c r="P126" s="51"/>
      <c r="Q126" s="51"/>
      <c r="R126" s="2"/>
      <c r="S126" s="51"/>
      <c r="T126" s="51"/>
      <c r="U126" s="51"/>
      <c r="V126" s="2"/>
      <c r="W126" s="51"/>
      <c r="X126" s="51"/>
      <c r="Y126" s="51"/>
      <c r="Z126" s="2"/>
      <c r="AA126" s="51"/>
      <c r="AB126" s="51"/>
      <c r="AC126" s="51"/>
      <c r="AD126" s="2"/>
      <c r="AE126" s="51"/>
      <c r="AF126" s="51"/>
      <c r="AG126" s="51"/>
      <c r="AH126" s="2"/>
      <c r="AI126" s="51"/>
      <c r="AJ126" s="51"/>
      <c r="AK126" s="51"/>
      <c r="AL126" s="2"/>
      <c r="AM126" s="51"/>
      <c r="AN126" s="51"/>
      <c r="AO126" s="51"/>
      <c r="AP126" s="2"/>
      <c r="AQ126" s="51"/>
      <c r="AR126" s="51"/>
      <c r="AS126" s="51"/>
      <c r="AT126" s="2"/>
      <c r="AU126" s="51"/>
      <c r="AV126" s="51"/>
      <c r="AW126" s="51"/>
      <c r="AX126" s="2"/>
      <c r="AY126" s="51"/>
      <c r="AZ126" s="51"/>
      <c r="BA126" s="51"/>
      <c r="BB126" s="2"/>
      <c r="BC126" s="51"/>
      <c r="BD126" s="51"/>
      <c r="BE126" s="51"/>
      <c r="BF126" s="2"/>
      <c r="BG126" s="51"/>
      <c r="BH126" s="51"/>
      <c r="BI126" s="51"/>
      <c r="BJ126" s="2"/>
      <c r="BK126" s="51"/>
      <c r="BL126" s="51"/>
      <c r="BM126" s="51"/>
      <c r="BN126" s="2"/>
      <c r="BO126" s="51"/>
      <c r="BP126" s="51"/>
      <c r="BQ126" s="51"/>
      <c r="BR126" s="2"/>
      <c r="BS126" s="51"/>
      <c r="BT126" s="51"/>
      <c r="BU126" s="51"/>
      <c r="BV126" s="2"/>
      <c r="BW126" s="51"/>
    </row>
    <row r="127" spans="1:75" x14ac:dyDescent="0.2">
      <c r="A127" s="51"/>
      <c r="B127" s="51"/>
      <c r="C127" s="51"/>
      <c r="D127" s="51"/>
      <c r="E127" s="51"/>
      <c r="F127" s="2"/>
      <c r="G127" s="51"/>
      <c r="H127" s="51"/>
      <c r="I127" s="51"/>
      <c r="J127" s="2"/>
      <c r="K127" s="51"/>
      <c r="L127" s="51"/>
      <c r="M127" s="51"/>
      <c r="N127" s="2"/>
      <c r="O127" s="51"/>
      <c r="P127" s="51"/>
      <c r="Q127" s="51"/>
      <c r="R127" s="2"/>
      <c r="S127" s="51"/>
      <c r="T127" s="51"/>
      <c r="U127" s="51"/>
      <c r="V127" s="2"/>
      <c r="W127" s="51"/>
      <c r="X127" s="51"/>
      <c r="Y127" s="51"/>
      <c r="Z127" s="2"/>
      <c r="AA127" s="51"/>
      <c r="AB127" s="51"/>
      <c r="AC127" s="51"/>
      <c r="AD127" s="2"/>
      <c r="AE127" s="51"/>
      <c r="AF127" s="51"/>
      <c r="AG127" s="51"/>
      <c r="AH127" s="2"/>
      <c r="AI127" s="51"/>
      <c r="AJ127" s="51"/>
      <c r="AK127" s="51"/>
      <c r="AL127" s="2"/>
      <c r="AM127" s="51"/>
      <c r="AN127" s="51"/>
      <c r="AO127" s="51"/>
      <c r="AP127" s="2"/>
      <c r="AQ127" s="51"/>
      <c r="AR127" s="51"/>
      <c r="AS127" s="51"/>
      <c r="AT127" s="2"/>
      <c r="AU127" s="51"/>
      <c r="AV127" s="51"/>
      <c r="AW127" s="51"/>
      <c r="AX127" s="2"/>
      <c r="AY127" s="51"/>
      <c r="AZ127" s="51"/>
      <c r="BA127" s="51"/>
      <c r="BB127" s="2"/>
      <c r="BC127" s="51"/>
      <c r="BD127" s="51"/>
      <c r="BE127" s="51"/>
      <c r="BF127" s="2"/>
      <c r="BG127" s="51"/>
      <c r="BH127" s="51"/>
      <c r="BI127" s="51"/>
      <c r="BJ127" s="2"/>
      <c r="BK127" s="51"/>
      <c r="BL127" s="51"/>
      <c r="BM127" s="51"/>
      <c r="BN127" s="2"/>
      <c r="BO127" s="51"/>
      <c r="BP127" s="51"/>
      <c r="BQ127" s="51"/>
      <c r="BR127" s="2"/>
      <c r="BS127" s="51"/>
      <c r="BT127" s="51"/>
      <c r="BU127" s="51"/>
      <c r="BV127" s="2"/>
      <c r="BW127" s="51"/>
    </row>
    <row r="128" spans="1:75" x14ac:dyDescent="0.2">
      <c r="A128" s="51"/>
      <c r="B128" s="51"/>
      <c r="C128" s="51"/>
      <c r="D128" s="51"/>
      <c r="E128" s="51"/>
      <c r="F128" s="2"/>
      <c r="G128" s="51"/>
      <c r="H128" s="51"/>
      <c r="I128" s="51"/>
      <c r="J128" s="2"/>
      <c r="K128" s="51"/>
      <c r="L128" s="51"/>
      <c r="M128" s="51"/>
      <c r="N128" s="2"/>
      <c r="O128" s="51"/>
      <c r="P128" s="51"/>
      <c r="Q128" s="51"/>
      <c r="R128" s="2"/>
      <c r="S128" s="51"/>
      <c r="T128" s="51"/>
      <c r="U128" s="51"/>
      <c r="V128" s="2"/>
      <c r="W128" s="51"/>
      <c r="X128" s="51"/>
      <c r="Y128" s="51"/>
      <c r="Z128" s="2"/>
      <c r="AA128" s="51"/>
      <c r="AB128" s="51"/>
      <c r="AC128" s="51"/>
      <c r="AD128" s="2"/>
      <c r="AE128" s="51"/>
      <c r="AF128" s="51"/>
      <c r="AG128" s="51"/>
      <c r="AH128" s="2"/>
      <c r="AI128" s="51"/>
      <c r="AJ128" s="51"/>
      <c r="AK128" s="51"/>
      <c r="AL128" s="2"/>
      <c r="AM128" s="51"/>
      <c r="AN128" s="51"/>
      <c r="AO128" s="51"/>
      <c r="AP128" s="2"/>
      <c r="AQ128" s="51"/>
      <c r="AR128" s="51"/>
      <c r="AS128" s="51"/>
      <c r="AT128" s="2"/>
      <c r="AU128" s="51"/>
      <c r="AV128" s="51"/>
      <c r="AW128" s="51"/>
      <c r="AX128" s="2"/>
      <c r="AY128" s="51"/>
      <c r="AZ128" s="51"/>
      <c r="BA128" s="51"/>
      <c r="BB128" s="2"/>
      <c r="BC128" s="51"/>
      <c r="BD128" s="51"/>
      <c r="BE128" s="51"/>
      <c r="BF128" s="2"/>
      <c r="BG128" s="51"/>
      <c r="BH128" s="51"/>
      <c r="BI128" s="51"/>
      <c r="BJ128" s="2"/>
      <c r="BK128" s="51"/>
      <c r="BL128" s="51"/>
      <c r="BM128" s="51"/>
      <c r="BN128" s="2"/>
      <c r="BO128" s="51"/>
      <c r="BP128" s="51"/>
      <c r="BQ128" s="51"/>
      <c r="BR128" s="2"/>
      <c r="BS128" s="51"/>
      <c r="BT128" s="51"/>
      <c r="BU128" s="51"/>
      <c r="BV128" s="2"/>
      <c r="BW128" s="51"/>
    </row>
    <row r="129" spans="1:75" x14ac:dyDescent="0.2">
      <c r="A129" s="51"/>
      <c r="B129" s="51"/>
      <c r="C129" s="51"/>
      <c r="D129" s="51"/>
      <c r="E129" s="51"/>
      <c r="F129" s="2"/>
      <c r="G129" s="51"/>
      <c r="H129" s="51"/>
      <c r="I129" s="51"/>
      <c r="J129" s="2"/>
      <c r="K129" s="51"/>
      <c r="L129" s="51"/>
      <c r="M129" s="51"/>
      <c r="N129" s="2"/>
      <c r="O129" s="51"/>
      <c r="P129" s="51"/>
      <c r="Q129" s="51"/>
      <c r="R129" s="2"/>
      <c r="S129" s="51"/>
      <c r="T129" s="51"/>
      <c r="U129" s="51"/>
      <c r="V129" s="2"/>
      <c r="W129" s="51"/>
      <c r="X129" s="51"/>
      <c r="Y129" s="51"/>
      <c r="Z129" s="2"/>
      <c r="AA129" s="51"/>
      <c r="AB129" s="51"/>
      <c r="AC129" s="51"/>
      <c r="AD129" s="2"/>
      <c r="AE129" s="51"/>
      <c r="AF129" s="51"/>
      <c r="AG129" s="51"/>
      <c r="AH129" s="2"/>
      <c r="AI129" s="51"/>
      <c r="AJ129" s="51"/>
      <c r="AK129" s="51"/>
      <c r="AL129" s="2"/>
      <c r="AM129" s="51"/>
      <c r="AN129" s="51"/>
      <c r="AO129" s="51"/>
      <c r="AP129" s="2"/>
      <c r="AQ129" s="51"/>
      <c r="AR129" s="51"/>
      <c r="AS129" s="51"/>
      <c r="AT129" s="2"/>
      <c r="AU129" s="51"/>
      <c r="AV129" s="51"/>
      <c r="AW129" s="51"/>
      <c r="AX129" s="2"/>
      <c r="AY129" s="51"/>
      <c r="AZ129" s="51"/>
      <c r="BA129" s="51"/>
      <c r="BB129" s="2"/>
      <c r="BC129" s="51"/>
      <c r="BD129" s="51"/>
      <c r="BE129" s="51"/>
      <c r="BF129" s="2"/>
      <c r="BG129" s="51"/>
      <c r="BH129" s="51"/>
      <c r="BI129" s="51"/>
      <c r="BJ129" s="2"/>
      <c r="BK129" s="51"/>
      <c r="BL129" s="51"/>
      <c r="BM129" s="51"/>
      <c r="BN129" s="2"/>
      <c r="BO129" s="51"/>
      <c r="BP129" s="51"/>
      <c r="BQ129" s="51"/>
      <c r="BR129" s="2"/>
      <c r="BS129" s="51"/>
      <c r="BT129" s="51"/>
      <c r="BU129" s="51"/>
      <c r="BV129" s="2"/>
      <c r="BW129" s="51"/>
    </row>
    <row r="130" spans="1:75" x14ac:dyDescent="0.2">
      <c r="A130" s="51"/>
      <c r="B130" s="51"/>
      <c r="C130" s="51"/>
      <c r="D130" s="51"/>
      <c r="E130" s="51"/>
      <c r="F130" s="2"/>
      <c r="G130" s="51"/>
      <c r="H130" s="51"/>
      <c r="I130" s="51"/>
      <c r="J130" s="2"/>
      <c r="K130" s="51"/>
      <c r="L130" s="51"/>
      <c r="M130" s="51"/>
      <c r="N130" s="2"/>
      <c r="O130" s="51"/>
      <c r="P130" s="51"/>
      <c r="Q130" s="51"/>
      <c r="R130" s="2"/>
      <c r="S130" s="51"/>
      <c r="T130" s="51"/>
      <c r="U130" s="51"/>
      <c r="V130" s="2"/>
      <c r="W130" s="51"/>
      <c r="X130" s="51"/>
      <c r="Y130" s="51"/>
      <c r="Z130" s="2"/>
      <c r="AA130" s="51"/>
      <c r="AB130" s="51"/>
      <c r="AC130" s="51"/>
      <c r="AD130" s="2"/>
      <c r="AE130" s="51"/>
      <c r="AF130" s="51"/>
      <c r="AG130" s="51"/>
      <c r="AH130" s="2"/>
      <c r="AI130" s="51"/>
      <c r="AJ130" s="51"/>
      <c r="AK130" s="51"/>
      <c r="AL130" s="2"/>
      <c r="AM130" s="51"/>
      <c r="AN130" s="51"/>
      <c r="AO130" s="51"/>
      <c r="AP130" s="2"/>
      <c r="AQ130" s="51"/>
      <c r="AR130" s="51"/>
      <c r="AS130" s="51"/>
      <c r="AT130" s="2"/>
      <c r="AU130" s="51"/>
      <c r="AV130" s="51"/>
      <c r="AW130" s="51"/>
      <c r="AX130" s="2"/>
      <c r="AY130" s="51"/>
      <c r="AZ130" s="51"/>
      <c r="BA130" s="51"/>
      <c r="BB130" s="2"/>
      <c r="BC130" s="51"/>
      <c r="BD130" s="51"/>
      <c r="BE130" s="51"/>
      <c r="BF130" s="2"/>
      <c r="BG130" s="51"/>
      <c r="BH130" s="51"/>
      <c r="BI130" s="51"/>
      <c r="BJ130" s="2"/>
      <c r="BK130" s="51"/>
      <c r="BL130" s="51"/>
      <c r="BM130" s="51"/>
      <c r="BN130" s="2"/>
      <c r="BO130" s="51"/>
      <c r="BP130" s="51"/>
      <c r="BQ130" s="51"/>
      <c r="BR130" s="2"/>
      <c r="BS130" s="51"/>
      <c r="BT130" s="51"/>
      <c r="BU130" s="51"/>
      <c r="BV130" s="2"/>
      <c r="BW130" s="51"/>
    </row>
    <row r="131" spans="1:75" x14ac:dyDescent="0.2">
      <c r="A131" s="51"/>
      <c r="B131" s="51"/>
      <c r="C131" s="51"/>
      <c r="D131" s="51"/>
      <c r="E131" s="51"/>
      <c r="F131" s="2"/>
      <c r="G131" s="51"/>
      <c r="H131" s="51"/>
      <c r="I131" s="51"/>
      <c r="J131" s="2"/>
      <c r="K131" s="51"/>
      <c r="L131" s="51"/>
      <c r="M131" s="51"/>
      <c r="N131" s="2"/>
      <c r="O131" s="51"/>
      <c r="P131" s="51"/>
      <c r="Q131" s="51"/>
      <c r="R131" s="2"/>
      <c r="S131" s="51"/>
      <c r="T131" s="51"/>
      <c r="U131" s="51"/>
      <c r="V131" s="2"/>
      <c r="W131" s="51"/>
      <c r="X131" s="51"/>
      <c r="Y131" s="51"/>
      <c r="Z131" s="2"/>
      <c r="AA131" s="51"/>
      <c r="AB131" s="51"/>
      <c r="AC131" s="51"/>
      <c r="AD131" s="2"/>
      <c r="AE131" s="51"/>
      <c r="AF131" s="51"/>
      <c r="AG131" s="51"/>
      <c r="AH131" s="2"/>
      <c r="AI131" s="51"/>
      <c r="AJ131" s="51"/>
      <c r="AK131" s="51"/>
      <c r="AL131" s="2"/>
      <c r="AM131" s="51"/>
      <c r="AN131" s="51"/>
      <c r="AO131" s="51"/>
      <c r="AP131" s="2"/>
      <c r="AQ131" s="51"/>
      <c r="AR131" s="51"/>
      <c r="AS131" s="51"/>
      <c r="AT131" s="2"/>
      <c r="AU131" s="51"/>
      <c r="AV131" s="51"/>
      <c r="AW131" s="51"/>
      <c r="AX131" s="2"/>
      <c r="AY131" s="51"/>
      <c r="AZ131" s="51"/>
      <c r="BA131" s="51"/>
      <c r="BB131" s="2"/>
      <c r="BC131" s="51"/>
      <c r="BD131" s="51"/>
      <c r="BE131" s="51"/>
      <c r="BF131" s="2"/>
      <c r="BG131" s="51"/>
      <c r="BH131" s="51"/>
      <c r="BI131" s="51"/>
      <c r="BJ131" s="2"/>
      <c r="BK131" s="51"/>
      <c r="BL131" s="51"/>
      <c r="BM131" s="51"/>
      <c r="BN131" s="2"/>
      <c r="BO131" s="51"/>
      <c r="BP131" s="51"/>
      <c r="BQ131" s="51"/>
      <c r="BR131" s="2"/>
      <c r="BS131" s="51"/>
      <c r="BT131" s="51"/>
      <c r="BU131" s="51"/>
      <c r="BV131" s="2"/>
      <c r="BW131" s="51"/>
    </row>
    <row r="132" spans="1:75" x14ac:dyDescent="0.2">
      <c r="A132" s="51"/>
      <c r="B132" s="51"/>
      <c r="C132" s="51"/>
      <c r="D132" s="51"/>
      <c r="E132" s="51"/>
      <c r="F132" s="2"/>
      <c r="G132" s="51"/>
      <c r="H132" s="51"/>
      <c r="I132" s="51"/>
      <c r="J132" s="2"/>
      <c r="K132" s="51"/>
      <c r="L132" s="51"/>
      <c r="M132" s="51"/>
      <c r="N132" s="2"/>
      <c r="O132" s="51"/>
      <c r="P132" s="51"/>
      <c r="Q132" s="51"/>
      <c r="R132" s="2"/>
      <c r="S132" s="51"/>
      <c r="T132" s="51"/>
      <c r="U132" s="51"/>
      <c r="V132" s="2"/>
      <c r="W132" s="51"/>
      <c r="X132" s="51"/>
      <c r="Y132" s="51"/>
      <c r="Z132" s="2"/>
      <c r="AA132" s="51"/>
      <c r="AB132" s="51"/>
      <c r="AC132" s="51"/>
      <c r="AD132" s="2"/>
      <c r="AE132" s="51"/>
      <c r="AF132" s="51"/>
      <c r="AG132" s="51"/>
      <c r="AH132" s="2"/>
      <c r="AI132" s="51"/>
      <c r="AJ132" s="51"/>
      <c r="AK132" s="51"/>
      <c r="AL132" s="2"/>
      <c r="AM132" s="51"/>
      <c r="AN132" s="51"/>
      <c r="AO132" s="51"/>
      <c r="AP132" s="2"/>
      <c r="AQ132" s="51"/>
      <c r="AR132" s="51"/>
      <c r="AS132" s="51"/>
      <c r="AT132" s="2"/>
      <c r="AU132" s="51"/>
      <c r="AV132" s="51"/>
      <c r="AW132" s="51"/>
      <c r="AX132" s="2"/>
      <c r="AY132" s="51"/>
      <c r="AZ132" s="51"/>
      <c r="BA132" s="51"/>
      <c r="BB132" s="2"/>
      <c r="BC132" s="51"/>
      <c r="BD132" s="51"/>
      <c r="BE132" s="51"/>
      <c r="BF132" s="2"/>
      <c r="BG132" s="51"/>
      <c r="BH132" s="51"/>
      <c r="BI132" s="51"/>
      <c r="BJ132" s="2"/>
      <c r="BK132" s="51"/>
      <c r="BL132" s="51"/>
      <c r="BM132" s="51"/>
      <c r="BN132" s="2"/>
      <c r="BO132" s="51"/>
      <c r="BP132" s="51"/>
      <c r="BQ132" s="51"/>
      <c r="BR132" s="2"/>
      <c r="BS132" s="51"/>
      <c r="BT132" s="51"/>
      <c r="BU132" s="51"/>
      <c r="BV132" s="2"/>
      <c r="BW132" s="51"/>
    </row>
    <row r="133" spans="1:75" x14ac:dyDescent="0.2">
      <c r="A133" s="51"/>
      <c r="B133" s="51"/>
      <c r="C133" s="51"/>
      <c r="D133" s="51"/>
      <c r="E133" s="51"/>
      <c r="F133" s="2"/>
      <c r="G133" s="51"/>
      <c r="H133" s="51"/>
      <c r="I133" s="51"/>
      <c r="J133" s="2"/>
      <c r="K133" s="51"/>
      <c r="L133" s="51"/>
      <c r="M133" s="51"/>
      <c r="N133" s="2"/>
      <c r="O133" s="51"/>
      <c r="P133" s="51"/>
      <c r="Q133" s="51"/>
      <c r="R133" s="2"/>
      <c r="S133" s="51"/>
      <c r="T133" s="51"/>
      <c r="U133" s="51"/>
      <c r="V133" s="2"/>
      <c r="W133" s="51"/>
      <c r="X133" s="51"/>
      <c r="Y133" s="51"/>
      <c r="Z133" s="2"/>
      <c r="AA133" s="51"/>
      <c r="AB133" s="51"/>
      <c r="AC133" s="51"/>
      <c r="AD133" s="2"/>
      <c r="AE133" s="51"/>
      <c r="AF133" s="51"/>
      <c r="AG133" s="51"/>
      <c r="AH133" s="2"/>
      <c r="AI133" s="51"/>
      <c r="AJ133" s="51"/>
      <c r="AK133" s="51"/>
      <c r="AL133" s="2"/>
      <c r="AM133" s="51"/>
      <c r="AN133" s="51"/>
      <c r="AO133" s="51"/>
      <c r="AP133" s="2"/>
      <c r="AQ133" s="51"/>
      <c r="AR133" s="51"/>
      <c r="AS133" s="51"/>
      <c r="AT133" s="2"/>
      <c r="AU133" s="51"/>
      <c r="AV133" s="51"/>
      <c r="AW133" s="51"/>
      <c r="AX133" s="2"/>
      <c r="AY133" s="51"/>
      <c r="AZ133" s="51"/>
      <c r="BA133" s="51"/>
      <c r="BB133" s="2"/>
      <c r="BC133" s="51"/>
      <c r="BD133" s="51"/>
      <c r="BE133" s="51"/>
      <c r="BF133" s="2"/>
      <c r="BG133" s="51"/>
      <c r="BH133" s="51"/>
      <c r="BI133" s="51"/>
      <c r="BJ133" s="2"/>
      <c r="BK133" s="51"/>
      <c r="BL133" s="51"/>
      <c r="BM133" s="51"/>
      <c r="BN133" s="2"/>
      <c r="BO133" s="51"/>
      <c r="BP133" s="51"/>
      <c r="BQ133" s="51"/>
      <c r="BR133" s="2"/>
      <c r="BS133" s="51"/>
      <c r="BT133" s="51"/>
      <c r="BU133" s="51"/>
      <c r="BV133" s="2"/>
      <c r="BW133" s="51"/>
    </row>
    <row r="134" spans="1:75" x14ac:dyDescent="0.2">
      <c r="A134" s="51"/>
      <c r="B134" s="51"/>
      <c r="C134" s="51"/>
      <c r="D134" s="51"/>
      <c r="E134" s="51"/>
      <c r="F134" s="2"/>
      <c r="G134" s="51"/>
      <c r="H134" s="51"/>
      <c r="I134" s="51"/>
      <c r="J134" s="2"/>
      <c r="K134" s="51"/>
      <c r="L134" s="51"/>
      <c r="M134" s="51"/>
      <c r="N134" s="2"/>
      <c r="O134" s="51"/>
      <c r="P134" s="51"/>
      <c r="Q134" s="51"/>
      <c r="R134" s="2"/>
      <c r="S134" s="51"/>
      <c r="T134" s="51"/>
      <c r="U134" s="51"/>
      <c r="V134" s="2"/>
      <c r="W134" s="51"/>
      <c r="X134" s="51"/>
      <c r="Y134" s="51"/>
      <c r="Z134" s="2"/>
      <c r="AA134" s="51"/>
      <c r="AB134" s="51"/>
      <c r="AC134" s="51"/>
      <c r="AD134" s="2"/>
      <c r="AE134" s="51"/>
      <c r="AF134" s="51"/>
      <c r="AG134" s="51"/>
      <c r="AH134" s="2"/>
      <c r="AI134" s="51"/>
      <c r="AJ134" s="51"/>
      <c r="AK134" s="51"/>
      <c r="AL134" s="2"/>
      <c r="AM134" s="51"/>
      <c r="AN134" s="51"/>
      <c r="AO134" s="51"/>
      <c r="AP134" s="2"/>
      <c r="AQ134" s="51"/>
      <c r="AR134" s="51"/>
      <c r="AS134" s="51"/>
      <c r="AT134" s="2"/>
      <c r="AU134" s="51"/>
      <c r="AV134" s="51"/>
      <c r="AW134" s="51"/>
      <c r="AX134" s="2"/>
      <c r="AY134" s="51"/>
      <c r="AZ134" s="51"/>
      <c r="BA134" s="51"/>
      <c r="BB134" s="2"/>
      <c r="BC134" s="51"/>
      <c r="BD134" s="51"/>
      <c r="BE134" s="51"/>
      <c r="BF134" s="2"/>
      <c r="BG134" s="51"/>
      <c r="BH134" s="51"/>
      <c r="BI134" s="51"/>
      <c r="BJ134" s="2"/>
      <c r="BK134" s="51"/>
      <c r="BL134" s="51"/>
      <c r="BM134" s="51"/>
      <c r="BN134" s="2"/>
      <c r="BO134" s="51"/>
      <c r="BP134" s="51"/>
      <c r="BQ134" s="51"/>
      <c r="BR134" s="2"/>
      <c r="BS134" s="51"/>
      <c r="BT134" s="51"/>
      <c r="BU134" s="51"/>
      <c r="BV134" s="2"/>
      <c r="BW134" s="51"/>
    </row>
    <row r="135" spans="1:75" x14ac:dyDescent="0.2">
      <c r="A135" s="51"/>
      <c r="B135" s="51"/>
      <c r="C135" s="51"/>
      <c r="D135" s="51"/>
      <c r="E135" s="51"/>
      <c r="F135" s="2"/>
      <c r="G135" s="51"/>
      <c r="H135" s="51"/>
      <c r="I135" s="51"/>
      <c r="J135" s="2"/>
      <c r="K135" s="51"/>
      <c r="L135" s="51"/>
      <c r="M135" s="51"/>
      <c r="N135" s="2"/>
      <c r="O135" s="51"/>
      <c r="P135" s="51"/>
      <c r="Q135" s="51"/>
      <c r="R135" s="2"/>
      <c r="S135" s="51"/>
      <c r="T135" s="51"/>
      <c r="U135" s="51"/>
      <c r="V135" s="2"/>
      <c r="W135" s="51"/>
      <c r="X135" s="51"/>
      <c r="Y135" s="51"/>
      <c r="Z135" s="2"/>
      <c r="AA135" s="51"/>
      <c r="AB135" s="51"/>
      <c r="AC135" s="51"/>
      <c r="AD135" s="2"/>
      <c r="AE135" s="51"/>
      <c r="AF135" s="51"/>
      <c r="AG135" s="51"/>
      <c r="AH135" s="2"/>
      <c r="AI135" s="51"/>
      <c r="AJ135" s="51"/>
      <c r="AK135" s="51"/>
      <c r="AL135" s="2"/>
      <c r="AM135" s="51"/>
      <c r="AN135" s="51"/>
      <c r="AO135" s="51"/>
      <c r="AP135" s="2"/>
      <c r="AQ135" s="51"/>
      <c r="AR135" s="51"/>
      <c r="AS135" s="51"/>
      <c r="AT135" s="2"/>
      <c r="AU135" s="51"/>
      <c r="AV135" s="51"/>
      <c r="AW135" s="51"/>
      <c r="AX135" s="2"/>
      <c r="AY135" s="51"/>
      <c r="AZ135" s="51"/>
      <c r="BA135" s="51"/>
      <c r="BB135" s="2"/>
      <c r="BC135" s="51"/>
      <c r="BD135" s="51"/>
      <c r="BE135" s="51"/>
      <c r="BF135" s="2"/>
      <c r="BG135" s="51"/>
      <c r="BH135" s="51"/>
      <c r="BI135" s="51"/>
      <c r="BJ135" s="2"/>
      <c r="BK135" s="51"/>
      <c r="BL135" s="51"/>
      <c r="BM135" s="51"/>
      <c r="BN135" s="2"/>
      <c r="BO135" s="51"/>
      <c r="BP135" s="51"/>
      <c r="BQ135" s="51"/>
      <c r="BR135" s="2"/>
      <c r="BS135" s="51"/>
      <c r="BT135" s="51"/>
      <c r="BU135" s="51"/>
      <c r="BV135" s="2"/>
      <c r="BW135" s="51"/>
    </row>
    <row r="136" spans="1:75" x14ac:dyDescent="0.2">
      <c r="A136" s="51"/>
      <c r="B136" s="51"/>
      <c r="C136" s="51"/>
      <c r="D136" s="51"/>
      <c r="E136" s="51"/>
      <c r="F136" s="2"/>
      <c r="G136" s="51"/>
      <c r="H136" s="51"/>
      <c r="I136" s="51"/>
      <c r="J136" s="2"/>
      <c r="K136" s="51"/>
      <c r="L136" s="51"/>
      <c r="M136" s="51"/>
      <c r="N136" s="2"/>
      <c r="O136" s="51"/>
      <c r="P136" s="51"/>
      <c r="Q136" s="51"/>
      <c r="R136" s="2"/>
      <c r="S136" s="51"/>
      <c r="T136" s="51"/>
      <c r="U136" s="51"/>
      <c r="V136" s="2"/>
      <c r="W136" s="51"/>
      <c r="X136" s="51"/>
      <c r="Y136" s="51"/>
      <c r="Z136" s="2"/>
      <c r="AA136" s="51"/>
      <c r="AB136" s="51"/>
      <c r="AC136" s="51"/>
      <c r="AD136" s="2"/>
      <c r="AE136" s="51"/>
      <c r="AF136" s="51"/>
      <c r="AG136" s="51"/>
      <c r="AH136" s="2"/>
      <c r="AI136" s="51"/>
      <c r="AJ136" s="51"/>
      <c r="AK136" s="51"/>
      <c r="AL136" s="2"/>
      <c r="AM136" s="51"/>
      <c r="AN136" s="51"/>
      <c r="AO136" s="51"/>
      <c r="AP136" s="2"/>
      <c r="AQ136" s="51"/>
      <c r="AR136" s="51"/>
      <c r="AS136" s="51"/>
      <c r="AT136" s="2"/>
      <c r="AU136" s="51"/>
      <c r="AV136" s="51"/>
      <c r="AW136" s="51"/>
      <c r="AX136" s="2"/>
      <c r="AY136" s="51"/>
      <c r="AZ136" s="51"/>
      <c r="BA136" s="51"/>
      <c r="BB136" s="2"/>
      <c r="BC136" s="51"/>
      <c r="BD136" s="51"/>
      <c r="BE136" s="51"/>
      <c r="BF136" s="2"/>
      <c r="BG136" s="51"/>
      <c r="BH136" s="51"/>
      <c r="BI136" s="51"/>
      <c r="BJ136" s="2"/>
      <c r="BK136" s="51"/>
      <c r="BL136" s="51"/>
      <c r="BM136" s="51"/>
      <c r="BN136" s="2"/>
      <c r="BO136" s="51"/>
      <c r="BP136" s="51"/>
      <c r="BQ136" s="51"/>
      <c r="BR136" s="2"/>
      <c r="BS136" s="51"/>
      <c r="BT136" s="51"/>
      <c r="BU136" s="51"/>
      <c r="BV136" s="2"/>
      <c r="BW136" s="51"/>
    </row>
    <row r="137" spans="1:75" x14ac:dyDescent="0.2">
      <c r="A137" s="51"/>
      <c r="B137" s="51"/>
      <c r="C137" s="51"/>
      <c r="D137" s="51"/>
      <c r="E137" s="51"/>
      <c r="F137" s="2"/>
      <c r="G137" s="51"/>
      <c r="H137" s="51"/>
      <c r="I137" s="51"/>
      <c r="J137" s="2"/>
      <c r="K137" s="51"/>
      <c r="L137" s="51"/>
      <c r="M137" s="51"/>
      <c r="N137" s="2"/>
      <c r="O137" s="51"/>
      <c r="P137" s="51"/>
      <c r="Q137" s="51"/>
      <c r="R137" s="2"/>
      <c r="S137" s="51"/>
      <c r="T137" s="51"/>
      <c r="U137" s="51"/>
      <c r="V137" s="2"/>
      <c r="W137" s="51"/>
      <c r="X137" s="51"/>
      <c r="Y137" s="51"/>
      <c r="Z137" s="2"/>
      <c r="AA137" s="51"/>
      <c r="AB137" s="51"/>
      <c r="AC137" s="51"/>
      <c r="AD137" s="2"/>
      <c r="AE137" s="51"/>
      <c r="AF137" s="51"/>
      <c r="AG137" s="51"/>
      <c r="AH137" s="2"/>
      <c r="AI137" s="51"/>
      <c r="AJ137" s="51"/>
      <c r="AK137" s="51"/>
      <c r="AL137" s="2"/>
      <c r="AM137" s="51"/>
      <c r="AN137" s="51"/>
      <c r="AO137" s="51"/>
      <c r="AP137" s="2"/>
      <c r="AQ137" s="51"/>
      <c r="AR137" s="51"/>
      <c r="AS137" s="51"/>
      <c r="AT137" s="2"/>
      <c r="AU137" s="51"/>
      <c r="AV137" s="51"/>
      <c r="AW137" s="51"/>
      <c r="AX137" s="2"/>
      <c r="AY137" s="51"/>
      <c r="AZ137" s="51"/>
      <c r="BA137" s="51"/>
      <c r="BB137" s="2"/>
      <c r="BC137" s="51"/>
      <c r="BD137" s="51"/>
      <c r="BE137" s="51"/>
      <c r="BF137" s="2"/>
      <c r="BG137" s="51"/>
      <c r="BH137" s="51"/>
      <c r="BI137" s="51"/>
      <c r="BJ137" s="2"/>
      <c r="BK137" s="51"/>
      <c r="BL137" s="51"/>
      <c r="BM137" s="51"/>
      <c r="BN137" s="2"/>
      <c r="BO137" s="51"/>
      <c r="BP137" s="51"/>
      <c r="BQ137" s="51"/>
      <c r="BR137" s="2"/>
      <c r="BS137" s="51"/>
      <c r="BT137" s="51"/>
      <c r="BU137" s="51"/>
      <c r="BV137" s="2"/>
      <c r="BW137" s="51"/>
    </row>
    <row r="138" spans="1:75" x14ac:dyDescent="0.2">
      <c r="A138" s="51"/>
      <c r="B138" s="51"/>
      <c r="C138" s="51"/>
      <c r="D138" s="51"/>
      <c r="E138" s="51"/>
      <c r="F138" s="2"/>
      <c r="G138" s="51"/>
      <c r="H138" s="51"/>
      <c r="I138" s="51"/>
      <c r="J138" s="2"/>
      <c r="K138" s="51"/>
      <c r="L138" s="51"/>
      <c r="M138" s="51"/>
      <c r="N138" s="2"/>
      <c r="O138" s="51"/>
      <c r="P138" s="51"/>
      <c r="Q138" s="51"/>
      <c r="R138" s="2"/>
      <c r="S138" s="51"/>
      <c r="T138" s="51"/>
      <c r="U138" s="51"/>
      <c r="V138" s="2"/>
      <c r="W138" s="51"/>
      <c r="X138" s="51"/>
      <c r="Y138" s="51"/>
      <c r="Z138" s="2"/>
      <c r="AA138" s="51"/>
      <c r="AB138" s="51"/>
      <c r="AC138" s="51"/>
      <c r="AD138" s="2"/>
      <c r="AE138" s="51"/>
      <c r="AF138" s="51"/>
      <c r="AG138" s="51"/>
      <c r="AH138" s="2"/>
      <c r="AI138" s="51"/>
      <c r="AJ138" s="51"/>
      <c r="AK138" s="51"/>
      <c r="AL138" s="2"/>
      <c r="AM138" s="51"/>
      <c r="AN138" s="51"/>
      <c r="AO138" s="51"/>
      <c r="AP138" s="2"/>
      <c r="AQ138" s="51"/>
      <c r="AR138" s="51"/>
      <c r="AS138" s="51"/>
      <c r="AT138" s="2"/>
      <c r="AU138" s="51"/>
      <c r="AV138" s="51"/>
      <c r="AW138" s="51"/>
      <c r="AX138" s="2"/>
      <c r="AY138" s="51"/>
      <c r="AZ138" s="51"/>
      <c r="BA138" s="51"/>
      <c r="BB138" s="2"/>
      <c r="BC138" s="51"/>
      <c r="BD138" s="51"/>
      <c r="BE138" s="51"/>
      <c r="BF138" s="2"/>
      <c r="BG138" s="51"/>
      <c r="BH138" s="51"/>
      <c r="BI138" s="51"/>
      <c r="BJ138" s="2"/>
      <c r="BK138" s="51"/>
      <c r="BL138" s="51"/>
      <c r="BM138" s="51"/>
      <c r="BN138" s="2"/>
      <c r="BO138" s="51"/>
      <c r="BP138" s="51"/>
      <c r="BQ138" s="51"/>
      <c r="BR138" s="2"/>
      <c r="BS138" s="51"/>
      <c r="BT138" s="51"/>
      <c r="BU138" s="51"/>
      <c r="BV138" s="2"/>
      <c r="BW138" s="51"/>
    </row>
    <row r="139" spans="1:75" x14ac:dyDescent="0.2">
      <c r="A139" s="51"/>
      <c r="B139" s="51"/>
      <c r="C139" s="51"/>
      <c r="D139" s="51"/>
      <c r="E139" s="51"/>
      <c r="F139" s="2"/>
      <c r="G139" s="51"/>
      <c r="H139" s="51"/>
      <c r="I139" s="51"/>
      <c r="J139" s="2"/>
      <c r="K139" s="51"/>
      <c r="L139" s="51"/>
      <c r="M139" s="51"/>
      <c r="N139" s="2"/>
      <c r="O139" s="51"/>
      <c r="P139" s="51"/>
      <c r="Q139" s="51"/>
      <c r="R139" s="2"/>
      <c r="S139" s="51"/>
      <c r="T139" s="51"/>
      <c r="U139" s="51"/>
      <c r="V139" s="2"/>
      <c r="W139" s="51"/>
      <c r="X139" s="51"/>
      <c r="Y139" s="51"/>
      <c r="Z139" s="2"/>
      <c r="AA139" s="51"/>
      <c r="AB139" s="51"/>
      <c r="AC139" s="51"/>
      <c r="AD139" s="2"/>
      <c r="AE139" s="51"/>
      <c r="AF139" s="51"/>
      <c r="AG139" s="51"/>
      <c r="AH139" s="2"/>
      <c r="AI139" s="51"/>
      <c r="AJ139" s="51"/>
      <c r="AK139" s="51"/>
      <c r="AL139" s="2"/>
      <c r="AM139" s="51"/>
      <c r="AN139" s="51"/>
      <c r="AO139" s="51"/>
      <c r="AP139" s="2"/>
      <c r="AQ139" s="51"/>
      <c r="AR139" s="51"/>
      <c r="AS139" s="51"/>
      <c r="AT139" s="2"/>
      <c r="AU139" s="51"/>
      <c r="AV139" s="51"/>
      <c r="AW139" s="51"/>
      <c r="AX139" s="2"/>
      <c r="AY139" s="51"/>
      <c r="AZ139" s="51"/>
      <c r="BA139" s="51"/>
      <c r="BB139" s="2"/>
      <c r="BC139" s="51"/>
      <c r="BD139" s="51"/>
      <c r="BE139" s="51"/>
      <c r="BF139" s="2"/>
      <c r="BG139" s="51"/>
      <c r="BH139" s="51"/>
      <c r="BI139" s="51"/>
      <c r="BJ139" s="2"/>
      <c r="BK139" s="51"/>
      <c r="BL139" s="51"/>
      <c r="BM139" s="51"/>
      <c r="BN139" s="2"/>
      <c r="BO139" s="51"/>
      <c r="BP139" s="51"/>
      <c r="BQ139" s="51"/>
      <c r="BR139" s="2"/>
      <c r="BS139" s="51"/>
      <c r="BT139" s="51"/>
      <c r="BU139" s="51"/>
      <c r="BV139" s="2"/>
      <c r="BW139" s="51"/>
    </row>
    <row r="140" spans="1:75" x14ac:dyDescent="0.2">
      <c r="A140" s="51"/>
      <c r="B140" s="51"/>
      <c r="C140" s="51"/>
      <c r="D140" s="51"/>
      <c r="E140" s="51"/>
      <c r="F140" s="2"/>
      <c r="G140" s="51"/>
      <c r="H140" s="51"/>
      <c r="I140" s="51"/>
      <c r="J140" s="2"/>
      <c r="K140" s="51"/>
      <c r="L140" s="51"/>
      <c r="M140" s="51"/>
      <c r="N140" s="2"/>
      <c r="O140" s="51"/>
      <c r="P140" s="51"/>
      <c r="Q140" s="51"/>
      <c r="R140" s="2"/>
      <c r="S140" s="51"/>
      <c r="T140" s="51"/>
      <c r="U140" s="51"/>
      <c r="V140" s="2"/>
      <c r="W140" s="51"/>
      <c r="X140" s="51"/>
      <c r="Y140" s="51"/>
      <c r="Z140" s="2"/>
      <c r="AA140" s="51"/>
      <c r="AB140" s="51"/>
      <c r="AC140" s="51"/>
      <c r="AD140" s="2"/>
      <c r="AE140" s="51"/>
      <c r="AF140" s="51"/>
      <c r="AG140" s="51"/>
      <c r="AH140" s="2"/>
      <c r="AI140" s="51"/>
      <c r="AJ140" s="51"/>
      <c r="AK140" s="51"/>
      <c r="AL140" s="2"/>
      <c r="AM140" s="51"/>
      <c r="AN140" s="51"/>
      <c r="AO140" s="51"/>
      <c r="AP140" s="2"/>
      <c r="AQ140" s="51"/>
      <c r="AR140" s="51"/>
      <c r="AS140" s="51"/>
      <c r="AT140" s="2"/>
      <c r="AU140" s="51"/>
      <c r="AV140" s="51"/>
      <c r="AW140" s="51"/>
      <c r="AX140" s="2"/>
      <c r="AY140" s="51"/>
      <c r="AZ140" s="51"/>
      <c r="BA140" s="51"/>
      <c r="BB140" s="2"/>
      <c r="BC140" s="51"/>
      <c r="BD140" s="51"/>
      <c r="BE140" s="51"/>
      <c r="BF140" s="2"/>
      <c r="BG140" s="51"/>
      <c r="BH140" s="51"/>
      <c r="BI140" s="51"/>
      <c r="BJ140" s="2"/>
      <c r="BK140" s="51"/>
      <c r="BL140" s="51"/>
      <c r="BM140" s="51"/>
      <c r="BN140" s="2"/>
      <c r="BO140" s="51"/>
      <c r="BP140" s="51"/>
      <c r="BQ140" s="51"/>
      <c r="BR140" s="2"/>
      <c r="BS140" s="51"/>
      <c r="BT140" s="51"/>
      <c r="BU140" s="51"/>
      <c r="BV140" s="2"/>
      <c r="BW140" s="51"/>
    </row>
    <row r="141" spans="1:75" x14ac:dyDescent="0.2">
      <c r="A141" s="51"/>
      <c r="B141" s="51"/>
      <c r="C141" s="51"/>
      <c r="D141" s="51"/>
      <c r="E141" s="51"/>
      <c r="F141" s="2"/>
      <c r="G141" s="51"/>
      <c r="H141" s="51"/>
      <c r="I141" s="51"/>
      <c r="J141" s="2"/>
      <c r="K141" s="51"/>
      <c r="L141" s="51"/>
      <c r="M141" s="51"/>
      <c r="N141" s="2"/>
      <c r="O141" s="51"/>
      <c r="P141" s="51"/>
      <c r="Q141" s="51"/>
      <c r="R141" s="2"/>
      <c r="S141" s="51"/>
      <c r="T141" s="51"/>
      <c r="U141" s="51"/>
      <c r="V141" s="2"/>
      <c r="W141" s="51"/>
      <c r="X141" s="51"/>
      <c r="Y141" s="51"/>
      <c r="Z141" s="2"/>
      <c r="AA141" s="51"/>
      <c r="AB141" s="51"/>
      <c r="AC141" s="51"/>
      <c r="AD141" s="2"/>
      <c r="AE141" s="51"/>
      <c r="AF141" s="51"/>
      <c r="AG141" s="51"/>
      <c r="AH141" s="2"/>
      <c r="AI141" s="51"/>
      <c r="AJ141" s="51"/>
      <c r="AK141" s="51"/>
      <c r="AL141" s="2"/>
      <c r="AM141" s="51"/>
      <c r="AN141" s="51"/>
      <c r="AO141" s="51"/>
      <c r="AP141" s="2"/>
      <c r="AQ141" s="51"/>
      <c r="AR141" s="51"/>
      <c r="AS141" s="51"/>
      <c r="AT141" s="2"/>
      <c r="AU141" s="51"/>
      <c r="AV141" s="51"/>
      <c r="AW141" s="51"/>
      <c r="AX141" s="2"/>
      <c r="AY141" s="51"/>
      <c r="AZ141" s="51"/>
      <c r="BA141" s="51"/>
      <c r="BB141" s="2"/>
      <c r="BC141" s="51"/>
      <c r="BD141" s="51"/>
      <c r="BE141" s="51"/>
      <c r="BF141" s="2"/>
      <c r="BG141" s="51"/>
      <c r="BH141" s="51"/>
      <c r="BI141" s="51"/>
      <c r="BJ141" s="2"/>
      <c r="BK141" s="51"/>
      <c r="BL141" s="51"/>
      <c r="BM141" s="51"/>
      <c r="BN141" s="2"/>
      <c r="BO141" s="51"/>
      <c r="BP141" s="51"/>
      <c r="BQ141" s="51"/>
      <c r="BR141" s="2"/>
      <c r="BS141" s="51"/>
      <c r="BT141" s="51"/>
      <c r="BU141" s="51"/>
      <c r="BV141" s="2"/>
      <c r="BW141" s="51"/>
    </row>
    <row r="142" spans="1:75" x14ac:dyDescent="0.2">
      <c r="A142" s="51"/>
      <c r="B142" s="51"/>
      <c r="C142" s="51"/>
      <c r="D142" s="51"/>
      <c r="E142" s="51"/>
      <c r="F142" s="2"/>
      <c r="G142" s="51"/>
      <c r="H142" s="51"/>
      <c r="I142" s="51"/>
      <c r="J142" s="2"/>
      <c r="K142" s="51"/>
      <c r="L142" s="51"/>
      <c r="M142" s="51"/>
      <c r="N142" s="2"/>
      <c r="O142" s="51"/>
      <c r="P142" s="51"/>
      <c r="Q142" s="51"/>
      <c r="R142" s="2"/>
      <c r="S142" s="51"/>
      <c r="T142" s="51"/>
      <c r="U142" s="51"/>
      <c r="V142" s="2"/>
      <c r="W142" s="51"/>
      <c r="X142" s="51"/>
      <c r="Y142" s="51"/>
      <c r="Z142" s="2"/>
      <c r="AA142" s="51"/>
      <c r="AB142" s="51"/>
      <c r="AC142" s="51"/>
      <c r="AD142" s="2"/>
      <c r="AE142" s="51"/>
      <c r="AF142" s="51"/>
      <c r="AG142" s="51"/>
      <c r="AH142" s="2"/>
      <c r="AI142" s="51"/>
      <c r="AJ142" s="51"/>
      <c r="AK142" s="51"/>
      <c r="AL142" s="2"/>
      <c r="AM142" s="51"/>
      <c r="AN142" s="51"/>
      <c r="AO142" s="51"/>
      <c r="AP142" s="2"/>
      <c r="AQ142" s="51"/>
      <c r="AR142" s="51"/>
      <c r="AS142" s="51"/>
      <c r="AT142" s="2"/>
      <c r="AU142" s="51"/>
      <c r="AV142" s="51"/>
      <c r="AW142" s="51"/>
      <c r="AX142" s="2"/>
      <c r="AY142" s="51"/>
      <c r="AZ142" s="51"/>
      <c r="BA142" s="51"/>
      <c r="BB142" s="2"/>
      <c r="BC142" s="51"/>
      <c r="BD142" s="51"/>
      <c r="BE142" s="51"/>
      <c r="BF142" s="2"/>
      <c r="BG142" s="51"/>
      <c r="BH142" s="51"/>
      <c r="BI142" s="51"/>
      <c r="BJ142" s="2"/>
      <c r="BK142" s="51"/>
      <c r="BL142" s="51"/>
      <c r="BM142" s="51"/>
      <c r="BN142" s="2"/>
      <c r="BO142" s="51"/>
      <c r="BP142" s="51"/>
      <c r="BQ142" s="51"/>
      <c r="BR142" s="2"/>
      <c r="BS142" s="51"/>
      <c r="BT142" s="51"/>
      <c r="BU142" s="51"/>
      <c r="BV142" s="2"/>
      <c r="BW142" s="51"/>
    </row>
    <row r="143" spans="1:75" x14ac:dyDescent="0.2">
      <c r="A143" s="51"/>
      <c r="B143" s="51"/>
      <c r="C143" s="51"/>
      <c r="D143" s="51"/>
      <c r="E143" s="51"/>
      <c r="F143" s="2"/>
      <c r="G143" s="51"/>
      <c r="H143" s="51"/>
      <c r="I143" s="51"/>
      <c r="J143" s="2"/>
      <c r="K143" s="51"/>
      <c r="L143" s="51"/>
      <c r="M143" s="51"/>
      <c r="N143" s="2"/>
      <c r="O143" s="51"/>
      <c r="P143" s="51"/>
      <c r="Q143" s="51"/>
      <c r="R143" s="2"/>
      <c r="S143" s="51"/>
      <c r="T143" s="51"/>
      <c r="U143" s="51"/>
      <c r="V143" s="2"/>
      <c r="W143" s="51"/>
      <c r="X143" s="51"/>
      <c r="Y143" s="51"/>
      <c r="Z143" s="2"/>
      <c r="AA143" s="51"/>
      <c r="AB143" s="51"/>
      <c r="AC143" s="51"/>
      <c r="AD143" s="2"/>
      <c r="AE143" s="51"/>
      <c r="AF143" s="51"/>
      <c r="AG143" s="51"/>
      <c r="AH143" s="2"/>
      <c r="AI143" s="51"/>
      <c r="AJ143" s="51"/>
      <c r="AK143" s="51"/>
      <c r="AL143" s="2"/>
      <c r="AM143" s="51"/>
      <c r="AN143" s="51"/>
      <c r="AO143" s="51"/>
      <c r="AP143" s="2"/>
      <c r="AQ143" s="51"/>
      <c r="AR143" s="51"/>
      <c r="AS143" s="51"/>
      <c r="AT143" s="2"/>
      <c r="AU143" s="51"/>
      <c r="AV143" s="51"/>
      <c r="AW143" s="51"/>
      <c r="AX143" s="2"/>
      <c r="AY143" s="51"/>
      <c r="AZ143" s="51"/>
      <c r="BA143" s="51"/>
      <c r="BB143" s="2"/>
      <c r="BC143" s="51"/>
      <c r="BD143" s="51"/>
      <c r="BE143" s="51"/>
      <c r="BF143" s="2"/>
      <c r="BG143" s="51"/>
      <c r="BH143" s="51"/>
      <c r="BI143" s="51"/>
      <c r="BJ143" s="2"/>
      <c r="BK143" s="51"/>
      <c r="BL143" s="51"/>
      <c r="BM143" s="51"/>
      <c r="BN143" s="2"/>
      <c r="BO143" s="51"/>
      <c r="BP143" s="51"/>
      <c r="BQ143" s="51"/>
      <c r="BR143" s="2"/>
      <c r="BS143" s="51"/>
      <c r="BT143" s="51"/>
      <c r="BU143" s="51"/>
      <c r="BV143" s="2"/>
      <c r="BW143" s="51"/>
    </row>
    <row r="144" spans="1:75" x14ac:dyDescent="0.2">
      <c r="A144" s="51"/>
      <c r="B144" s="51"/>
      <c r="C144" s="51"/>
      <c r="D144" s="51"/>
      <c r="E144" s="51"/>
      <c r="F144" s="2"/>
      <c r="G144" s="51"/>
      <c r="H144" s="51"/>
      <c r="I144" s="51"/>
      <c r="J144" s="2"/>
      <c r="K144" s="51"/>
      <c r="L144" s="51"/>
      <c r="M144" s="51"/>
      <c r="N144" s="2"/>
      <c r="O144" s="51"/>
      <c r="P144" s="51"/>
      <c r="Q144" s="51"/>
      <c r="R144" s="2"/>
      <c r="S144" s="51"/>
      <c r="T144" s="51"/>
      <c r="U144" s="51"/>
      <c r="V144" s="2"/>
      <c r="W144" s="51"/>
      <c r="X144" s="51"/>
      <c r="Y144" s="51"/>
      <c r="Z144" s="2"/>
      <c r="AA144" s="51"/>
      <c r="AB144" s="51"/>
      <c r="AC144" s="51"/>
      <c r="AD144" s="2"/>
      <c r="AE144" s="51"/>
      <c r="AF144" s="51"/>
      <c r="AG144" s="51"/>
      <c r="AH144" s="2"/>
      <c r="AI144" s="51"/>
      <c r="AJ144" s="51"/>
      <c r="AK144" s="51"/>
      <c r="AL144" s="2"/>
      <c r="AM144" s="51"/>
      <c r="AN144" s="51"/>
      <c r="AO144" s="51"/>
      <c r="AP144" s="2"/>
      <c r="AQ144" s="51"/>
      <c r="AR144" s="51"/>
      <c r="AS144" s="51"/>
      <c r="AT144" s="2"/>
      <c r="AU144" s="51"/>
      <c r="AV144" s="51"/>
      <c r="AW144" s="51"/>
      <c r="AX144" s="2"/>
      <c r="AY144" s="51"/>
      <c r="AZ144" s="51"/>
      <c r="BA144" s="51"/>
      <c r="BB144" s="2"/>
      <c r="BC144" s="51"/>
      <c r="BD144" s="51"/>
      <c r="BE144" s="51"/>
      <c r="BF144" s="2"/>
      <c r="BG144" s="51"/>
      <c r="BH144" s="51"/>
      <c r="BI144" s="51"/>
      <c r="BJ144" s="2"/>
      <c r="BK144" s="51"/>
      <c r="BL144" s="51"/>
      <c r="BM144" s="51"/>
      <c r="BN144" s="2"/>
      <c r="BO144" s="51"/>
      <c r="BP144" s="51"/>
      <c r="BQ144" s="51"/>
      <c r="BR144" s="2"/>
      <c r="BS144" s="51"/>
      <c r="BT144" s="51"/>
      <c r="BU144" s="51"/>
      <c r="BV144" s="2"/>
      <c r="BW144" s="51"/>
    </row>
    <row r="145" spans="1:75" x14ac:dyDescent="0.2">
      <c r="A145" s="51"/>
      <c r="B145" s="51"/>
      <c r="C145" s="51"/>
      <c r="D145" s="51"/>
      <c r="E145" s="51"/>
      <c r="F145" s="2"/>
      <c r="G145" s="51"/>
      <c r="H145" s="51"/>
      <c r="I145" s="51"/>
      <c r="J145" s="2"/>
      <c r="K145" s="51"/>
      <c r="L145" s="51"/>
      <c r="M145" s="51"/>
      <c r="N145" s="2"/>
      <c r="O145" s="51"/>
      <c r="P145" s="51"/>
      <c r="Q145" s="51"/>
      <c r="R145" s="2"/>
      <c r="S145" s="51"/>
      <c r="T145" s="51"/>
      <c r="U145" s="51"/>
      <c r="V145" s="2"/>
      <c r="W145" s="51"/>
      <c r="X145" s="51"/>
      <c r="Y145" s="51"/>
      <c r="Z145" s="2"/>
      <c r="AA145" s="51"/>
      <c r="AB145" s="51"/>
      <c r="AC145" s="51"/>
      <c r="AD145" s="2"/>
      <c r="AE145" s="51"/>
      <c r="AF145" s="51"/>
      <c r="AG145" s="51"/>
      <c r="AH145" s="2"/>
      <c r="AI145" s="51"/>
      <c r="AJ145" s="51"/>
      <c r="AK145" s="51"/>
      <c r="AL145" s="2"/>
      <c r="AM145" s="51"/>
      <c r="AN145" s="51"/>
      <c r="AO145" s="51"/>
      <c r="AP145" s="2"/>
      <c r="AQ145" s="51"/>
      <c r="AR145" s="51"/>
      <c r="AS145" s="51"/>
      <c r="AT145" s="2"/>
      <c r="AU145" s="51"/>
      <c r="AV145" s="51"/>
      <c r="AW145" s="51"/>
      <c r="AX145" s="2"/>
      <c r="AY145" s="51"/>
      <c r="AZ145" s="51"/>
      <c r="BA145" s="51"/>
      <c r="BB145" s="2"/>
      <c r="BC145" s="51"/>
      <c r="BD145" s="51"/>
      <c r="BE145" s="51"/>
      <c r="BF145" s="2"/>
      <c r="BG145" s="51"/>
      <c r="BH145" s="51"/>
      <c r="BI145" s="51"/>
      <c r="BJ145" s="2"/>
      <c r="BK145" s="51"/>
      <c r="BL145" s="51"/>
      <c r="BM145" s="51"/>
      <c r="BN145" s="2"/>
      <c r="BO145" s="51"/>
      <c r="BP145" s="51"/>
      <c r="BQ145" s="51"/>
      <c r="BR145" s="2"/>
      <c r="BS145" s="51"/>
      <c r="BT145" s="51"/>
      <c r="BU145" s="51"/>
      <c r="BV145" s="2"/>
      <c r="BW145" s="51"/>
    </row>
    <row r="146" spans="1:75" x14ac:dyDescent="0.2">
      <c r="A146" s="51"/>
      <c r="B146" s="51"/>
      <c r="C146" s="51"/>
      <c r="D146" s="51"/>
      <c r="E146" s="51"/>
      <c r="F146" s="2"/>
      <c r="G146" s="51"/>
      <c r="H146" s="51"/>
      <c r="I146" s="51"/>
      <c r="J146" s="2"/>
      <c r="K146" s="51"/>
      <c r="L146" s="51"/>
      <c r="M146" s="51"/>
      <c r="N146" s="2"/>
      <c r="O146" s="51"/>
      <c r="P146" s="51"/>
      <c r="Q146" s="51"/>
      <c r="R146" s="2"/>
      <c r="S146" s="51"/>
      <c r="T146" s="51"/>
      <c r="U146" s="51"/>
      <c r="V146" s="2"/>
      <c r="W146" s="51"/>
      <c r="X146" s="51"/>
      <c r="Y146" s="51"/>
      <c r="Z146" s="2"/>
      <c r="AA146" s="51"/>
      <c r="AB146" s="51"/>
      <c r="AC146" s="51"/>
      <c r="AD146" s="2"/>
      <c r="AE146" s="51"/>
      <c r="AF146" s="51"/>
      <c r="AG146" s="51"/>
      <c r="AH146" s="2"/>
      <c r="AI146" s="51"/>
      <c r="AJ146" s="51"/>
      <c r="AK146" s="51"/>
      <c r="AL146" s="2"/>
      <c r="AM146" s="51"/>
      <c r="AN146" s="51"/>
      <c r="AO146" s="51"/>
      <c r="AP146" s="2"/>
      <c r="AQ146" s="51"/>
      <c r="AR146" s="51"/>
      <c r="AS146" s="51"/>
      <c r="AT146" s="2"/>
      <c r="AU146" s="51"/>
      <c r="AV146" s="51"/>
      <c r="AW146" s="51"/>
      <c r="AX146" s="2"/>
      <c r="AY146" s="51"/>
      <c r="AZ146" s="51"/>
      <c r="BA146" s="51"/>
      <c r="BB146" s="2"/>
      <c r="BC146" s="51"/>
      <c r="BD146" s="51"/>
      <c r="BE146" s="51"/>
      <c r="BF146" s="2"/>
      <c r="BG146" s="51"/>
      <c r="BH146" s="51"/>
      <c r="BI146" s="51"/>
      <c r="BJ146" s="2"/>
      <c r="BK146" s="51"/>
      <c r="BL146" s="51"/>
      <c r="BM146" s="51"/>
      <c r="BN146" s="2"/>
      <c r="BO146" s="51"/>
      <c r="BP146" s="51"/>
      <c r="BQ146" s="51"/>
      <c r="BR146" s="2"/>
      <c r="BS146" s="51"/>
      <c r="BT146" s="51"/>
      <c r="BU146" s="51"/>
      <c r="BV146" s="2"/>
      <c r="BW146" s="51"/>
    </row>
    <row r="147" spans="1:75" x14ac:dyDescent="0.2">
      <c r="A147" s="51"/>
      <c r="B147" s="51"/>
      <c r="C147" s="51"/>
      <c r="D147" s="51"/>
      <c r="E147" s="51"/>
      <c r="F147" s="2"/>
      <c r="G147" s="51"/>
      <c r="H147" s="51"/>
      <c r="I147" s="51"/>
      <c r="J147" s="2"/>
      <c r="K147" s="51"/>
      <c r="L147" s="51"/>
      <c r="M147" s="51"/>
      <c r="N147" s="2"/>
      <c r="O147" s="51"/>
      <c r="P147" s="51"/>
      <c r="Q147" s="51"/>
      <c r="R147" s="2"/>
      <c r="S147" s="51"/>
      <c r="T147" s="51"/>
      <c r="U147" s="51"/>
      <c r="V147" s="2"/>
      <c r="W147" s="51"/>
      <c r="X147" s="51"/>
      <c r="Y147" s="51"/>
      <c r="Z147" s="2"/>
      <c r="AA147" s="51"/>
      <c r="AB147" s="51"/>
      <c r="AC147" s="51"/>
      <c r="AD147" s="2"/>
      <c r="AE147" s="51"/>
      <c r="AF147" s="51"/>
      <c r="AG147" s="51"/>
      <c r="AH147" s="2"/>
      <c r="AI147" s="51"/>
      <c r="AJ147" s="51"/>
      <c r="AK147" s="51"/>
      <c r="AL147" s="2"/>
      <c r="AM147" s="51"/>
      <c r="AN147" s="51"/>
      <c r="AO147" s="51"/>
      <c r="AP147" s="2"/>
      <c r="AQ147" s="51"/>
      <c r="AR147" s="51"/>
      <c r="AS147" s="51"/>
      <c r="AT147" s="2"/>
      <c r="AU147" s="51"/>
      <c r="AV147" s="51"/>
      <c r="AW147" s="51"/>
      <c r="AX147" s="2"/>
      <c r="AY147" s="51"/>
      <c r="AZ147" s="51"/>
      <c r="BA147" s="51"/>
      <c r="BB147" s="2"/>
      <c r="BC147" s="51"/>
      <c r="BD147" s="51"/>
      <c r="BE147" s="51"/>
      <c r="BF147" s="2"/>
      <c r="BG147" s="51"/>
      <c r="BH147" s="51"/>
      <c r="BI147" s="51"/>
      <c r="BJ147" s="2"/>
      <c r="BK147" s="51"/>
      <c r="BL147" s="51"/>
      <c r="BM147" s="51"/>
      <c r="BN147" s="2"/>
      <c r="BO147" s="51"/>
      <c r="BP147" s="51"/>
      <c r="BQ147" s="51"/>
      <c r="BR147" s="2"/>
      <c r="BS147" s="51"/>
      <c r="BT147" s="51"/>
      <c r="BU147" s="51"/>
      <c r="BV147" s="2"/>
      <c r="BW147" s="51"/>
    </row>
    <row r="148" spans="1:75" x14ac:dyDescent="0.2">
      <c r="A148" s="51"/>
      <c r="B148" s="51"/>
      <c r="C148" s="51"/>
      <c r="D148" s="51"/>
      <c r="E148" s="51"/>
      <c r="F148" s="2"/>
      <c r="G148" s="51"/>
      <c r="H148" s="51"/>
      <c r="I148" s="51"/>
      <c r="J148" s="2"/>
      <c r="K148" s="51"/>
      <c r="L148" s="51"/>
      <c r="M148" s="51"/>
      <c r="N148" s="2"/>
      <c r="O148" s="51"/>
      <c r="P148" s="51"/>
      <c r="Q148" s="51"/>
      <c r="R148" s="2"/>
      <c r="S148" s="51"/>
      <c r="T148" s="51"/>
      <c r="U148" s="51"/>
      <c r="V148" s="2"/>
      <c r="W148" s="51"/>
      <c r="X148" s="51"/>
      <c r="Y148" s="51"/>
      <c r="Z148" s="2"/>
      <c r="AA148" s="51"/>
      <c r="AB148" s="51"/>
      <c r="AC148" s="51"/>
      <c r="AD148" s="2"/>
      <c r="AE148" s="51"/>
      <c r="AF148" s="51"/>
      <c r="AG148" s="51"/>
      <c r="AH148" s="2"/>
      <c r="AI148" s="51"/>
      <c r="AJ148" s="51"/>
      <c r="AK148" s="51"/>
      <c r="AL148" s="2"/>
      <c r="AM148" s="51"/>
      <c r="AN148" s="51"/>
      <c r="AO148" s="51"/>
      <c r="AP148" s="2"/>
      <c r="AQ148" s="51"/>
      <c r="AR148" s="51"/>
      <c r="AS148" s="51"/>
      <c r="AT148" s="2"/>
      <c r="AU148" s="51"/>
      <c r="AV148" s="51"/>
      <c r="AW148" s="51"/>
      <c r="AX148" s="2"/>
      <c r="AY148" s="51"/>
      <c r="AZ148" s="51"/>
      <c r="BA148" s="51"/>
      <c r="BB148" s="2"/>
      <c r="BC148" s="51"/>
      <c r="BD148" s="51"/>
      <c r="BE148" s="51"/>
      <c r="BF148" s="2"/>
      <c r="BG148" s="51"/>
      <c r="BH148" s="51"/>
      <c r="BI148" s="51"/>
      <c r="BJ148" s="2"/>
      <c r="BK148" s="51"/>
      <c r="BL148" s="51"/>
      <c r="BM148" s="51"/>
      <c r="BN148" s="2"/>
      <c r="BO148" s="51"/>
      <c r="BP148" s="51"/>
      <c r="BQ148" s="51"/>
      <c r="BR148" s="2"/>
      <c r="BS148" s="51"/>
      <c r="BT148" s="51"/>
      <c r="BU148" s="51"/>
      <c r="BV148" s="2"/>
      <c r="BW148" s="51"/>
    </row>
    <row r="149" spans="1:75" x14ac:dyDescent="0.2">
      <c r="A149" s="51"/>
      <c r="B149" s="51"/>
      <c r="C149" s="51"/>
      <c r="D149" s="51"/>
      <c r="E149" s="51"/>
      <c r="F149" s="2"/>
      <c r="G149" s="51"/>
      <c r="H149" s="51"/>
      <c r="I149" s="51"/>
      <c r="J149" s="2"/>
      <c r="K149" s="51"/>
      <c r="L149" s="51"/>
      <c r="M149" s="51"/>
      <c r="N149" s="2"/>
      <c r="O149" s="51"/>
      <c r="P149" s="51"/>
      <c r="Q149" s="51"/>
      <c r="R149" s="2"/>
      <c r="S149" s="51"/>
      <c r="T149" s="51"/>
      <c r="U149" s="51"/>
      <c r="V149" s="2"/>
      <c r="W149" s="51"/>
      <c r="X149" s="51"/>
      <c r="Y149" s="51"/>
      <c r="Z149" s="2"/>
      <c r="AA149" s="51"/>
      <c r="AB149" s="51"/>
      <c r="AC149" s="51"/>
      <c r="AD149" s="2"/>
      <c r="AE149" s="51"/>
      <c r="AF149" s="51"/>
      <c r="AG149" s="51"/>
      <c r="AH149" s="2"/>
      <c r="AI149" s="51"/>
      <c r="AJ149" s="51"/>
      <c r="AK149" s="51"/>
      <c r="AL149" s="2"/>
      <c r="AM149" s="51"/>
      <c r="AN149" s="51"/>
      <c r="AO149" s="51"/>
      <c r="AP149" s="2"/>
      <c r="AQ149" s="51"/>
      <c r="AR149" s="51"/>
      <c r="AS149" s="51"/>
      <c r="AT149" s="2"/>
      <c r="AU149" s="51"/>
      <c r="AV149" s="51"/>
      <c r="AW149" s="51"/>
      <c r="AX149" s="2"/>
      <c r="AY149" s="51"/>
      <c r="AZ149" s="51"/>
      <c r="BA149" s="51"/>
      <c r="BB149" s="2"/>
      <c r="BC149" s="51"/>
      <c r="BD149" s="51"/>
      <c r="BE149" s="51"/>
      <c r="BF149" s="2"/>
      <c r="BG149" s="51"/>
      <c r="BH149" s="51"/>
      <c r="BI149" s="51"/>
      <c r="BJ149" s="2"/>
      <c r="BK149" s="51"/>
      <c r="BL149" s="51"/>
      <c r="BM149" s="51"/>
      <c r="BN149" s="2"/>
      <c r="BO149" s="51"/>
      <c r="BP149" s="51"/>
      <c r="BQ149" s="51"/>
      <c r="BR149" s="2"/>
      <c r="BS149" s="51"/>
      <c r="BT149" s="51"/>
      <c r="BU149" s="51"/>
      <c r="BV149" s="2"/>
      <c r="BW149" s="51"/>
    </row>
    <row r="150" spans="1:75" x14ac:dyDescent="0.2">
      <c r="A150" s="51"/>
      <c r="B150" s="51"/>
      <c r="C150" s="51"/>
      <c r="D150" s="51"/>
      <c r="E150" s="51"/>
      <c r="F150" s="2"/>
      <c r="G150" s="51"/>
      <c r="H150" s="51"/>
      <c r="I150" s="51"/>
      <c r="J150" s="2"/>
      <c r="K150" s="51"/>
      <c r="L150" s="51"/>
      <c r="M150" s="51"/>
      <c r="N150" s="2"/>
      <c r="O150" s="51"/>
      <c r="P150" s="51"/>
      <c r="Q150" s="51"/>
      <c r="R150" s="2"/>
      <c r="S150" s="51"/>
      <c r="T150" s="51"/>
      <c r="U150" s="51"/>
      <c r="V150" s="2"/>
      <c r="W150" s="51"/>
      <c r="X150" s="51"/>
      <c r="Y150" s="51"/>
      <c r="Z150" s="2"/>
      <c r="AA150" s="51"/>
      <c r="AB150" s="51"/>
      <c r="AC150" s="51"/>
      <c r="AD150" s="2"/>
      <c r="AE150" s="51"/>
      <c r="AF150" s="51"/>
      <c r="AG150" s="51"/>
      <c r="AH150" s="2"/>
      <c r="AI150" s="51"/>
      <c r="AJ150" s="51"/>
      <c r="AK150" s="51"/>
      <c r="AL150" s="2"/>
      <c r="AM150" s="51"/>
      <c r="AN150" s="51"/>
      <c r="AO150" s="51"/>
      <c r="AP150" s="2"/>
      <c r="AQ150" s="51"/>
      <c r="AR150" s="51"/>
      <c r="AS150" s="51"/>
      <c r="AT150" s="2"/>
      <c r="AU150" s="51"/>
      <c r="AV150" s="51"/>
      <c r="AW150" s="51"/>
      <c r="AX150" s="2"/>
      <c r="AY150" s="51"/>
      <c r="AZ150" s="51"/>
      <c r="BA150" s="51"/>
      <c r="BB150" s="2"/>
      <c r="BC150" s="51"/>
      <c r="BD150" s="51"/>
      <c r="BE150" s="51"/>
      <c r="BF150" s="2"/>
      <c r="BG150" s="51"/>
      <c r="BH150" s="51"/>
      <c r="BI150" s="51"/>
      <c r="BJ150" s="2"/>
      <c r="BK150" s="51"/>
      <c r="BL150" s="51"/>
      <c r="BM150" s="51"/>
      <c r="BN150" s="2"/>
      <c r="BO150" s="51"/>
      <c r="BP150" s="51"/>
      <c r="BQ150" s="51"/>
      <c r="BR150" s="2"/>
      <c r="BS150" s="51"/>
      <c r="BT150" s="51"/>
      <c r="BU150" s="51"/>
      <c r="BV150" s="2"/>
      <c r="BW150" s="51"/>
    </row>
    <row r="151" spans="1:75" x14ac:dyDescent="0.2">
      <c r="A151" s="51"/>
      <c r="B151" s="51"/>
      <c r="C151" s="51"/>
      <c r="D151" s="51"/>
      <c r="E151" s="51"/>
      <c r="F151" s="2"/>
      <c r="G151" s="51"/>
      <c r="H151" s="51"/>
      <c r="I151" s="51"/>
      <c r="J151" s="2"/>
      <c r="K151" s="51"/>
      <c r="L151" s="51"/>
      <c r="M151" s="51"/>
      <c r="N151" s="2"/>
      <c r="O151" s="51"/>
      <c r="P151" s="51"/>
      <c r="Q151" s="51"/>
      <c r="R151" s="2"/>
      <c r="S151" s="51"/>
      <c r="T151" s="51"/>
      <c r="U151" s="51"/>
      <c r="V151" s="2"/>
      <c r="W151" s="51"/>
      <c r="X151" s="51"/>
      <c r="Y151" s="51"/>
      <c r="Z151" s="2"/>
      <c r="AA151" s="51"/>
      <c r="AB151" s="51"/>
      <c r="AC151" s="51"/>
      <c r="AD151" s="2"/>
      <c r="AE151" s="51"/>
      <c r="AF151" s="51"/>
      <c r="AG151" s="51"/>
      <c r="AH151" s="2"/>
      <c r="AI151" s="51"/>
      <c r="AJ151" s="51"/>
      <c r="AK151" s="51"/>
      <c r="AL151" s="2"/>
      <c r="AM151" s="51"/>
      <c r="AN151" s="51"/>
      <c r="AO151" s="51"/>
      <c r="AP151" s="2"/>
      <c r="AQ151" s="51"/>
      <c r="AR151" s="51"/>
      <c r="AS151" s="51"/>
      <c r="AT151" s="2"/>
      <c r="AU151" s="51"/>
      <c r="AV151" s="51"/>
      <c r="AW151" s="51"/>
      <c r="AX151" s="2"/>
      <c r="AY151" s="51"/>
      <c r="AZ151" s="51"/>
      <c r="BA151" s="51"/>
      <c r="BB151" s="2"/>
      <c r="BC151" s="51"/>
      <c r="BD151" s="51"/>
      <c r="BE151" s="51"/>
      <c r="BF151" s="2"/>
      <c r="BG151" s="51"/>
      <c r="BH151" s="51"/>
      <c r="BI151" s="51"/>
      <c r="BJ151" s="2"/>
      <c r="BK151" s="51"/>
      <c r="BL151" s="51"/>
      <c r="BM151" s="51"/>
      <c r="BN151" s="2"/>
      <c r="BO151" s="51"/>
      <c r="BP151" s="51"/>
      <c r="BQ151" s="51"/>
      <c r="BR151" s="2"/>
      <c r="BS151" s="51"/>
      <c r="BT151" s="51"/>
      <c r="BU151" s="51"/>
      <c r="BV151" s="2"/>
      <c r="BW151" s="51"/>
    </row>
    <row r="152" spans="1:75" x14ac:dyDescent="0.2">
      <c r="A152" s="51"/>
      <c r="B152" s="51"/>
      <c r="C152" s="51"/>
      <c r="D152" s="51"/>
      <c r="E152" s="51"/>
      <c r="F152" s="2"/>
      <c r="G152" s="51"/>
      <c r="H152" s="51"/>
      <c r="I152" s="51"/>
      <c r="J152" s="2"/>
      <c r="K152" s="51"/>
      <c r="L152" s="51"/>
      <c r="M152" s="51"/>
      <c r="N152" s="2"/>
      <c r="O152" s="51"/>
      <c r="P152" s="51"/>
      <c r="Q152" s="51"/>
      <c r="R152" s="2"/>
      <c r="S152" s="51"/>
      <c r="T152" s="51"/>
      <c r="U152" s="51"/>
      <c r="V152" s="2"/>
      <c r="W152" s="51"/>
      <c r="X152" s="51"/>
      <c r="Y152" s="51"/>
      <c r="Z152" s="2"/>
      <c r="AA152" s="51"/>
      <c r="AB152" s="51"/>
      <c r="AC152" s="51"/>
      <c r="AD152" s="2"/>
      <c r="AE152" s="51"/>
      <c r="AF152" s="51"/>
      <c r="AG152" s="51"/>
      <c r="AH152" s="2"/>
      <c r="AI152" s="51"/>
      <c r="AJ152" s="51"/>
      <c r="AK152" s="51"/>
      <c r="AL152" s="2"/>
      <c r="AM152" s="51"/>
      <c r="AN152" s="51"/>
      <c r="AO152" s="51"/>
      <c r="AP152" s="2"/>
      <c r="AQ152" s="51"/>
      <c r="AR152" s="51"/>
      <c r="AS152" s="51"/>
      <c r="AT152" s="2"/>
      <c r="AU152" s="51"/>
      <c r="AV152" s="51"/>
      <c r="AW152" s="51"/>
      <c r="AX152" s="2"/>
      <c r="AY152" s="51"/>
      <c r="AZ152" s="51"/>
      <c r="BA152" s="51"/>
      <c r="BB152" s="2"/>
      <c r="BC152" s="51"/>
      <c r="BD152" s="51"/>
      <c r="BE152" s="51"/>
      <c r="BF152" s="2"/>
      <c r="BG152" s="51"/>
      <c r="BH152" s="51"/>
      <c r="BI152" s="51"/>
      <c r="BJ152" s="2"/>
      <c r="BK152" s="51"/>
      <c r="BL152" s="51"/>
      <c r="BM152" s="51"/>
      <c r="BN152" s="2"/>
      <c r="BO152" s="51"/>
      <c r="BP152" s="51"/>
      <c r="BQ152" s="51"/>
      <c r="BR152" s="2"/>
      <c r="BS152" s="51"/>
      <c r="BT152" s="51"/>
      <c r="BU152" s="51"/>
      <c r="BV152" s="2"/>
      <c r="BW152" s="51"/>
    </row>
    <row r="153" spans="1:75" x14ac:dyDescent="0.2">
      <c r="A153" s="51"/>
      <c r="B153" s="51"/>
      <c r="C153" s="51"/>
      <c r="D153" s="51"/>
      <c r="E153" s="51"/>
      <c r="F153" s="2"/>
      <c r="G153" s="51"/>
      <c r="H153" s="51"/>
      <c r="I153" s="51"/>
      <c r="J153" s="2"/>
      <c r="K153" s="51"/>
      <c r="L153" s="51"/>
      <c r="M153" s="51"/>
      <c r="N153" s="2"/>
      <c r="O153" s="51"/>
      <c r="P153" s="51"/>
      <c r="Q153" s="51"/>
      <c r="R153" s="2"/>
      <c r="S153" s="51"/>
      <c r="T153" s="51"/>
      <c r="U153" s="51"/>
      <c r="V153" s="2"/>
      <c r="W153" s="51"/>
      <c r="X153" s="51"/>
      <c r="Y153" s="51"/>
      <c r="Z153" s="2"/>
      <c r="AA153" s="51"/>
      <c r="AB153" s="51"/>
      <c r="AC153" s="51"/>
      <c r="AD153" s="2"/>
      <c r="AE153" s="51"/>
      <c r="AF153" s="51"/>
      <c r="AG153" s="51"/>
      <c r="AH153" s="2"/>
      <c r="AI153" s="51"/>
      <c r="AJ153" s="51"/>
      <c r="AK153" s="51"/>
      <c r="AL153" s="2"/>
      <c r="AM153" s="51"/>
      <c r="AN153" s="51"/>
      <c r="AO153" s="51"/>
      <c r="AP153" s="2"/>
      <c r="AQ153" s="51"/>
      <c r="AR153" s="51"/>
      <c r="AS153" s="51"/>
      <c r="AT153" s="2"/>
      <c r="AU153" s="51"/>
      <c r="AV153" s="51"/>
      <c r="AW153" s="51"/>
      <c r="AX153" s="2"/>
      <c r="AY153" s="51"/>
      <c r="AZ153" s="51"/>
      <c r="BA153" s="51"/>
      <c r="BB153" s="2"/>
      <c r="BC153" s="51"/>
      <c r="BD153" s="51"/>
      <c r="BE153" s="51"/>
      <c r="BF153" s="2"/>
      <c r="BG153" s="51"/>
      <c r="BH153" s="51"/>
      <c r="BI153" s="51"/>
      <c r="BJ153" s="2"/>
      <c r="BK153" s="51"/>
      <c r="BL153" s="51"/>
      <c r="BM153" s="51"/>
      <c r="BN153" s="2"/>
      <c r="BO153" s="51"/>
      <c r="BP153" s="51"/>
      <c r="BQ153" s="51"/>
      <c r="BR153" s="2"/>
      <c r="BS153" s="51"/>
      <c r="BT153" s="51"/>
      <c r="BU153" s="51"/>
      <c r="BV153" s="2"/>
      <c r="BW153" s="51"/>
    </row>
    <row r="154" spans="1:75" x14ac:dyDescent="0.2">
      <c r="A154" s="51"/>
      <c r="B154" s="51"/>
      <c r="C154" s="51"/>
      <c r="D154" s="51"/>
      <c r="E154" s="51"/>
      <c r="F154" s="2"/>
      <c r="G154" s="51"/>
      <c r="H154" s="51"/>
      <c r="I154" s="51"/>
      <c r="J154" s="2"/>
      <c r="K154" s="51"/>
      <c r="L154" s="51"/>
      <c r="M154" s="51"/>
      <c r="N154" s="2"/>
      <c r="O154" s="51"/>
      <c r="P154" s="51"/>
      <c r="Q154" s="51"/>
      <c r="R154" s="2"/>
      <c r="S154" s="51"/>
      <c r="T154" s="51"/>
      <c r="U154" s="51"/>
      <c r="V154" s="2"/>
      <c r="W154" s="51"/>
      <c r="X154" s="51"/>
      <c r="Y154" s="51"/>
      <c r="Z154" s="2"/>
      <c r="AA154" s="51"/>
      <c r="AB154" s="51"/>
      <c r="AC154" s="51"/>
      <c r="AD154" s="2"/>
      <c r="AE154" s="51"/>
      <c r="AF154" s="51"/>
      <c r="AG154" s="51"/>
      <c r="AH154" s="2"/>
      <c r="AI154" s="51"/>
      <c r="AJ154" s="51"/>
      <c r="AK154" s="51"/>
      <c r="AL154" s="2"/>
      <c r="AM154" s="51"/>
      <c r="AN154" s="51"/>
      <c r="AO154" s="51"/>
      <c r="AP154" s="2"/>
      <c r="AQ154" s="51"/>
      <c r="AR154" s="51"/>
      <c r="AS154" s="51"/>
      <c r="AT154" s="2"/>
      <c r="AU154" s="51"/>
      <c r="AV154" s="51"/>
      <c r="AW154" s="51"/>
      <c r="AX154" s="2"/>
      <c r="AY154" s="51"/>
      <c r="AZ154" s="51"/>
      <c r="BA154" s="51"/>
      <c r="BB154" s="2"/>
      <c r="BC154" s="51"/>
      <c r="BD154" s="51"/>
      <c r="BE154" s="51"/>
      <c r="BF154" s="2"/>
      <c r="BG154" s="51"/>
      <c r="BH154" s="51"/>
      <c r="BI154" s="51"/>
      <c r="BJ154" s="2"/>
      <c r="BK154" s="51"/>
      <c r="BL154" s="51"/>
      <c r="BM154" s="51"/>
      <c r="BN154" s="2"/>
      <c r="BO154" s="51"/>
      <c r="BP154" s="51"/>
      <c r="BQ154" s="51"/>
      <c r="BR154" s="2"/>
      <c r="BS154" s="51"/>
      <c r="BT154" s="51"/>
      <c r="BU154" s="51"/>
      <c r="BV154" s="2"/>
      <c r="BW154" s="51"/>
    </row>
    <row r="155" spans="1:75" x14ac:dyDescent="0.2">
      <c r="A155" s="51"/>
      <c r="B155" s="51"/>
      <c r="C155" s="51"/>
      <c r="D155" s="51"/>
      <c r="E155" s="51"/>
      <c r="F155" s="2"/>
      <c r="G155" s="51"/>
      <c r="H155" s="51"/>
      <c r="I155" s="51"/>
      <c r="J155" s="2"/>
      <c r="K155" s="51"/>
      <c r="L155" s="51"/>
      <c r="M155" s="51"/>
      <c r="N155" s="2"/>
      <c r="O155" s="51"/>
      <c r="P155" s="51"/>
      <c r="Q155" s="51"/>
      <c r="R155" s="2"/>
      <c r="S155" s="51"/>
      <c r="T155" s="51"/>
      <c r="U155" s="51"/>
      <c r="V155" s="2"/>
      <c r="W155" s="51"/>
      <c r="X155" s="51"/>
      <c r="Y155" s="51"/>
      <c r="Z155" s="2"/>
      <c r="AA155" s="51"/>
      <c r="AB155" s="51"/>
      <c r="AC155" s="51"/>
      <c r="AD155" s="2"/>
      <c r="AE155" s="51"/>
      <c r="AF155" s="51"/>
      <c r="AG155" s="51"/>
      <c r="AH155" s="2"/>
      <c r="AI155" s="51"/>
      <c r="AJ155" s="51"/>
      <c r="AK155" s="51"/>
      <c r="AL155" s="2"/>
      <c r="AM155" s="51"/>
      <c r="AN155" s="51"/>
      <c r="AO155" s="51"/>
      <c r="AP155" s="2"/>
      <c r="AQ155" s="51"/>
      <c r="AR155" s="51"/>
      <c r="AS155" s="51"/>
      <c r="AT155" s="2"/>
      <c r="AU155" s="51"/>
      <c r="AV155" s="51"/>
      <c r="AW155" s="51"/>
      <c r="AX155" s="2"/>
      <c r="AY155" s="51"/>
      <c r="AZ155" s="51"/>
      <c r="BA155" s="51"/>
      <c r="BB155" s="2"/>
      <c r="BC155" s="51"/>
      <c r="BD155" s="51"/>
      <c r="BE155" s="51"/>
      <c r="BF155" s="2"/>
      <c r="BG155" s="51"/>
      <c r="BH155" s="51"/>
      <c r="BI155" s="51"/>
      <c r="BJ155" s="2"/>
      <c r="BK155" s="51"/>
      <c r="BL155" s="51"/>
      <c r="BM155" s="51"/>
      <c r="BN155" s="2"/>
      <c r="BO155" s="51"/>
      <c r="BP155" s="51"/>
      <c r="BQ155" s="51"/>
      <c r="BR155" s="2"/>
      <c r="BS155" s="51"/>
      <c r="BT155" s="51"/>
      <c r="BU155" s="51"/>
      <c r="BV155" s="2"/>
      <c r="BW155" s="51"/>
    </row>
    <row r="156" spans="1:75" x14ac:dyDescent="0.2">
      <c r="A156" s="51"/>
      <c r="B156" s="51"/>
      <c r="C156" s="51"/>
      <c r="D156" s="51"/>
      <c r="E156" s="51"/>
      <c r="F156" s="2"/>
      <c r="G156" s="51"/>
      <c r="H156" s="51"/>
      <c r="I156" s="51"/>
      <c r="J156" s="2"/>
      <c r="K156" s="51"/>
      <c r="L156" s="51"/>
      <c r="M156" s="51"/>
      <c r="N156" s="2"/>
      <c r="O156" s="51"/>
      <c r="P156" s="51"/>
      <c r="Q156" s="51"/>
      <c r="R156" s="2"/>
      <c r="S156" s="51"/>
      <c r="T156" s="51"/>
      <c r="U156" s="51"/>
      <c r="V156" s="2"/>
      <c r="W156" s="51"/>
      <c r="X156" s="51"/>
      <c r="Y156" s="51"/>
      <c r="Z156" s="2"/>
      <c r="AA156" s="51"/>
      <c r="AB156" s="51"/>
      <c r="AC156" s="51"/>
      <c r="AD156" s="2"/>
      <c r="AE156" s="51"/>
      <c r="AF156" s="51"/>
      <c r="AG156" s="51"/>
      <c r="AH156" s="2"/>
      <c r="AI156" s="51"/>
      <c r="AJ156" s="51"/>
      <c r="AK156" s="51"/>
      <c r="AL156" s="2"/>
      <c r="AM156" s="51"/>
      <c r="AN156" s="51"/>
      <c r="AO156" s="51"/>
      <c r="AP156" s="2"/>
      <c r="AQ156" s="51"/>
      <c r="AR156" s="51"/>
      <c r="AS156" s="51"/>
      <c r="AT156" s="2"/>
      <c r="AU156" s="51"/>
      <c r="AV156" s="51"/>
      <c r="AW156" s="51"/>
      <c r="AX156" s="2"/>
      <c r="AY156" s="51"/>
      <c r="AZ156" s="51"/>
      <c r="BA156" s="51"/>
      <c r="BB156" s="2"/>
      <c r="BC156" s="51"/>
      <c r="BD156" s="51"/>
      <c r="BE156" s="51"/>
      <c r="BF156" s="2"/>
      <c r="BG156" s="51"/>
      <c r="BH156" s="51"/>
      <c r="BI156" s="51"/>
      <c r="BJ156" s="2"/>
      <c r="BK156" s="51"/>
      <c r="BL156" s="51"/>
      <c r="BM156" s="51"/>
      <c r="BN156" s="2"/>
      <c r="BO156" s="51"/>
      <c r="BP156" s="51"/>
      <c r="BQ156" s="51"/>
      <c r="BR156" s="2"/>
      <c r="BS156" s="51"/>
      <c r="BT156" s="51"/>
      <c r="BU156" s="51"/>
      <c r="BV156" s="2"/>
      <c r="BW156" s="51"/>
    </row>
    <row r="157" spans="1:75" x14ac:dyDescent="0.2">
      <c r="A157" s="51"/>
      <c r="B157" s="51"/>
      <c r="C157" s="51"/>
      <c r="D157" s="51"/>
      <c r="E157" s="51"/>
      <c r="F157" s="2"/>
      <c r="G157" s="51"/>
      <c r="H157" s="51"/>
      <c r="I157" s="51"/>
      <c r="J157" s="2"/>
      <c r="K157" s="51"/>
      <c r="L157" s="51"/>
      <c r="M157" s="51"/>
      <c r="N157" s="2"/>
      <c r="O157" s="51"/>
      <c r="P157" s="51"/>
      <c r="Q157" s="51"/>
      <c r="R157" s="2"/>
      <c r="S157" s="51"/>
      <c r="T157" s="51"/>
      <c r="U157" s="51"/>
      <c r="V157" s="2"/>
      <c r="W157" s="51"/>
      <c r="X157" s="51"/>
      <c r="Y157" s="51"/>
      <c r="Z157" s="2"/>
      <c r="AA157" s="51"/>
      <c r="AB157" s="51"/>
      <c r="AC157" s="51"/>
      <c r="AD157" s="2"/>
      <c r="AE157" s="51"/>
      <c r="AF157" s="51"/>
      <c r="AG157" s="51"/>
      <c r="AH157" s="2"/>
      <c r="AI157" s="51"/>
      <c r="AJ157" s="51"/>
      <c r="AK157" s="51"/>
      <c r="AL157" s="2"/>
      <c r="AM157" s="51"/>
      <c r="AN157" s="51"/>
      <c r="AO157" s="51"/>
      <c r="AP157" s="2"/>
      <c r="AQ157" s="51"/>
      <c r="AR157" s="51"/>
      <c r="AS157" s="51"/>
      <c r="AT157" s="2"/>
      <c r="AU157" s="51"/>
      <c r="AV157" s="51"/>
      <c r="AW157" s="51"/>
      <c r="AX157" s="2"/>
      <c r="AY157" s="51"/>
      <c r="AZ157" s="51"/>
      <c r="BA157" s="51"/>
      <c r="BB157" s="2"/>
      <c r="BC157" s="51"/>
      <c r="BD157" s="51"/>
      <c r="BE157" s="51"/>
      <c r="BF157" s="2"/>
      <c r="BG157" s="51"/>
      <c r="BH157" s="51"/>
      <c r="BI157" s="51"/>
      <c r="BJ157" s="2"/>
      <c r="BK157" s="51"/>
      <c r="BL157" s="51"/>
      <c r="BM157" s="51"/>
      <c r="BN157" s="2"/>
      <c r="BO157" s="51"/>
      <c r="BP157" s="51"/>
      <c r="BQ157" s="51"/>
      <c r="BR157" s="2"/>
      <c r="BS157" s="51"/>
      <c r="BT157" s="51"/>
      <c r="BU157" s="51"/>
      <c r="BV157" s="2"/>
      <c r="BW157" s="51"/>
    </row>
    <row r="158" spans="1:75" x14ac:dyDescent="0.2">
      <c r="A158" s="51"/>
      <c r="B158" s="51"/>
      <c r="C158" s="51"/>
      <c r="D158" s="51"/>
      <c r="E158" s="51"/>
      <c r="F158" s="2"/>
      <c r="G158" s="51"/>
      <c r="H158" s="51"/>
      <c r="I158" s="51"/>
      <c r="J158" s="2"/>
      <c r="K158" s="51"/>
      <c r="L158" s="51"/>
      <c r="M158" s="51"/>
      <c r="N158" s="2"/>
      <c r="O158" s="51"/>
      <c r="P158" s="51"/>
      <c r="Q158" s="51"/>
      <c r="R158" s="2"/>
      <c r="S158" s="51"/>
      <c r="T158" s="51"/>
      <c r="U158" s="51"/>
      <c r="V158" s="2"/>
      <c r="W158" s="51"/>
      <c r="X158" s="51"/>
      <c r="Y158" s="51"/>
      <c r="Z158" s="2"/>
      <c r="AA158" s="51"/>
      <c r="AB158" s="51"/>
      <c r="AC158" s="51"/>
      <c r="AD158" s="2"/>
      <c r="AE158" s="51"/>
      <c r="AF158" s="51"/>
      <c r="AG158" s="51"/>
      <c r="AH158" s="2"/>
      <c r="AI158" s="51"/>
      <c r="AJ158" s="51"/>
      <c r="AK158" s="51"/>
      <c r="AL158" s="2"/>
      <c r="AM158" s="51"/>
      <c r="AN158" s="51"/>
      <c r="AO158" s="51"/>
      <c r="AP158" s="2"/>
      <c r="AQ158" s="51"/>
      <c r="AR158" s="51"/>
      <c r="AS158" s="51"/>
      <c r="AT158" s="2"/>
      <c r="AU158" s="51"/>
      <c r="AV158" s="51"/>
      <c r="AW158" s="51"/>
      <c r="AX158" s="2"/>
      <c r="AY158" s="51"/>
      <c r="AZ158" s="51"/>
      <c r="BA158" s="51"/>
      <c r="BB158" s="2"/>
      <c r="BC158" s="51"/>
      <c r="BD158" s="51"/>
      <c r="BE158" s="51"/>
      <c r="BF158" s="2"/>
      <c r="BG158" s="51"/>
      <c r="BH158" s="51"/>
      <c r="BI158" s="51"/>
      <c r="BJ158" s="2"/>
      <c r="BK158" s="51"/>
      <c r="BL158" s="51"/>
      <c r="BM158" s="51"/>
      <c r="BN158" s="2"/>
      <c r="BO158" s="51"/>
      <c r="BP158" s="51"/>
      <c r="BQ158" s="51"/>
      <c r="BR158" s="2"/>
      <c r="BS158" s="51"/>
      <c r="BT158" s="51"/>
      <c r="BU158" s="51"/>
      <c r="BV158" s="2"/>
      <c r="BW158" s="51"/>
    </row>
    <row r="159" spans="1:75" x14ac:dyDescent="0.2">
      <c r="A159" s="51"/>
      <c r="B159" s="51"/>
      <c r="C159" s="51"/>
      <c r="D159" s="51"/>
      <c r="E159" s="51"/>
      <c r="F159" s="2"/>
      <c r="G159" s="51"/>
      <c r="H159" s="51"/>
      <c r="I159" s="51"/>
      <c r="J159" s="2"/>
      <c r="K159" s="51"/>
      <c r="L159" s="51"/>
      <c r="M159" s="51"/>
      <c r="N159" s="2"/>
      <c r="O159" s="51"/>
      <c r="P159" s="51"/>
      <c r="Q159" s="51"/>
      <c r="R159" s="2"/>
      <c r="S159" s="51"/>
      <c r="T159" s="51"/>
      <c r="U159" s="51"/>
      <c r="V159" s="2"/>
      <c r="W159" s="51"/>
      <c r="X159" s="51"/>
      <c r="Y159" s="51"/>
      <c r="Z159" s="2"/>
      <c r="AA159" s="51"/>
      <c r="AB159" s="51"/>
      <c r="AC159" s="51"/>
      <c r="AD159" s="2"/>
      <c r="AE159" s="51"/>
      <c r="AF159" s="51"/>
      <c r="AG159" s="51"/>
      <c r="AH159" s="2"/>
      <c r="AI159" s="51"/>
      <c r="AJ159" s="51"/>
      <c r="AK159" s="51"/>
      <c r="AL159" s="2"/>
      <c r="AM159" s="51"/>
      <c r="AN159" s="51"/>
      <c r="AO159" s="51"/>
      <c r="AP159" s="2"/>
      <c r="AQ159" s="51"/>
      <c r="AR159" s="51"/>
      <c r="AS159" s="51"/>
      <c r="AT159" s="2"/>
      <c r="AU159" s="51"/>
      <c r="AV159" s="51"/>
      <c r="AW159" s="51"/>
      <c r="AX159" s="2"/>
      <c r="AY159" s="51"/>
      <c r="AZ159" s="51"/>
      <c r="BA159" s="51"/>
      <c r="BB159" s="2"/>
      <c r="BC159" s="51"/>
      <c r="BD159" s="51"/>
      <c r="BE159" s="51"/>
      <c r="BF159" s="2"/>
      <c r="BG159" s="51"/>
      <c r="BH159" s="51"/>
      <c r="BI159" s="51"/>
      <c r="BJ159" s="2"/>
      <c r="BK159" s="51"/>
      <c r="BL159" s="51"/>
      <c r="BM159" s="51"/>
      <c r="BN159" s="2"/>
      <c r="BO159" s="51"/>
      <c r="BP159" s="51"/>
      <c r="BQ159" s="51"/>
      <c r="BR159" s="2"/>
      <c r="BS159" s="51"/>
      <c r="BT159" s="51"/>
      <c r="BU159" s="51"/>
      <c r="BV159" s="2"/>
      <c r="BW159" s="51"/>
    </row>
    <row r="160" spans="1:75" x14ac:dyDescent="0.2">
      <c r="A160" s="51"/>
      <c r="B160" s="51"/>
      <c r="C160" s="51"/>
      <c r="D160" s="51"/>
      <c r="E160" s="51"/>
      <c r="F160" s="2"/>
      <c r="G160" s="51"/>
      <c r="H160" s="51"/>
      <c r="I160" s="51"/>
      <c r="J160" s="2"/>
      <c r="K160" s="51"/>
      <c r="L160" s="51"/>
      <c r="M160" s="51"/>
      <c r="N160" s="2"/>
      <c r="O160" s="51"/>
      <c r="P160" s="51"/>
      <c r="Q160" s="51"/>
      <c r="R160" s="2"/>
      <c r="S160" s="51"/>
      <c r="T160" s="51"/>
      <c r="U160" s="51"/>
      <c r="V160" s="2"/>
      <c r="W160" s="51"/>
      <c r="X160" s="51"/>
      <c r="Y160" s="51"/>
      <c r="Z160" s="2"/>
      <c r="AA160" s="51"/>
      <c r="AB160" s="51"/>
      <c r="AC160" s="51"/>
      <c r="AD160" s="2"/>
      <c r="AE160" s="51"/>
      <c r="AF160" s="51"/>
      <c r="AG160" s="51"/>
      <c r="AH160" s="2"/>
      <c r="AI160" s="51"/>
      <c r="AJ160" s="51"/>
      <c r="AK160" s="51"/>
      <c r="AL160" s="2"/>
      <c r="AM160" s="51"/>
      <c r="AN160" s="51"/>
      <c r="AO160" s="51"/>
      <c r="AP160" s="2"/>
      <c r="AQ160" s="51"/>
      <c r="AR160" s="51"/>
      <c r="AS160" s="51"/>
      <c r="AT160" s="2"/>
      <c r="AU160" s="51"/>
      <c r="AV160" s="51"/>
      <c r="AW160" s="51"/>
      <c r="AX160" s="2"/>
      <c r="AY160" s="51"/>
      <c r="AZ160" s="51"/>
      <c r="BA160" s="51"/>
      <c r="BB160" s="2"/>
      <c r="BC160" s="51"/>
      <c r="BD160" s="51"/>
      <c r="BE160" s="51"/>
      <c r="BF160" s="2"/>
      <c r="BG160" s="51"/>
      <c r="BH160" s="51"/>
      <c r="BI160" s="51"/>
      <c r="BJ160" s="2"/>
      <c r="BK160" s="51"/>
      <c r="BL160" s="51"/>
      <c r="BM160" s="51"/>
      <c r="BN160" s="2"/>
      <c r="BO160" s="51"/>
      <c r="BP160" s="51"/>
      <c r="BQ160" s="51"/>
      <c r="BR160" s="2"/>
      <c r="BS160" s="51"/>
      <c r="BT160" s="51"/>
      <c r="BU160" s="51"/>
      <c r="BV160" s="2"/>
      <c r="BW160" s="51"/>
    </row>
    <row r="161" spans="1:75" x14ac:dyDescent="0.2">
      <c r="A161" s="51"/>
      <c r="B161" s="51"/>
      <c r="C161" s="51"/>
      <c r="D161" s="51"/>
      <c r="E161" s="51"/>
      <c r="F161" s="2"/>
      <c r="G161" s="51"/>
      <c r="H161" s="51"/>
      <c r="I161" s="51"/>
      <c r="J161" s="2"/>
      <c r="K161" s="51"/>
      <c r="L161" s="51"/>
      <c r="M161" s="51"/>
      <c r="N161" s="2"/>
      <c r="O161" s="51"/>
      <c r="P161" s="51"/>
      <c r="Q161" s="51"/>
      <c r="R161" s="2"/>
      <c r="S161" s="51"/>
      <c r="T161" s="51"/>
      <c r="U161" s="51"/>
      <c r="V161" s="2"/>
      <c r="W161" s="51"/>
      <c r="X161" s="51"/>
      <c r="Y161" s="51"/>
      <c r="Z161" s="2"/>
      <c r="AA161" s="51"/>
      <c r="AB161" s="51"/>
      <c r="AC161" s="51"/>
      <c r="AD161" s="2"/>
      <c r="AE161" s="51"/>
      <c r="AF161" s="51"/>
      <c r="AG161" s="51"/>
      <c r="AH161" s="2"/>
      <c r="AI161" s="51"/>
      <c r="AJ161" s="51"/>
      <c r="AK161" s="51"/>
      <c r="AL161" s="2"/>
      <c r="AM161" s="51"/>
      <c r="AN161" s="51"/>
      <c r="AO161" s="51"/>
      <c r="AP161" s="2"/>
      <c r="AQ161" s="51"/>
      <c r="AR161" s="51"/>
      <c r="AS161" s="51"/>
      <c r="AT161" s="2"/>
      <c r="AU161" s="51"/>
      <c r="AV161" s="51"/>
      <c r="AW161" s="51"/>
      <c r="AX161" s="2"/>
      <c r="AY161" s="51"/>
      <c r="AZ161" s="51"/>
      <c r="BA161" s="51"/>
      <c r="BB161" s="2"/>
      <c r="BC161" s="51"/>
      <c r="BD161" s="51"/>
      <c r="BE161" s="51"/>
      <c r="BF161" s="2"/>
      <c r="BG161" s="51"/>
      <c r="BH161" s="51"/>
      <c r="BI161" s="51"/>
      <c r="BJ161" s="2"/>
      <c r="BK161" s="51"/>
      <c r="BL161" s="51"/>
      <c r="BM161" s="51"/>
      <c r="BN161" s="2"/>
      <c r="BO161" s="51"/>
      <c r="BP161" s="51"/>
      <c r="BQ161" s="51"/>
      <c r="BR161" s="2"/>
      <c r="BS161" s="51"/>
      <c r="BT161" s="51"/>
      <c r="BU161" s="51"/>
      <c r="BV161" s="2"/>
      <c r="BW161" s="51"/>
    </row>
    <row r="162" spans="1:75" x14ac:dyDescent="0.2">
      <c r="A162" s="51"/>
      <c r="B162" s="51"/>
      <c r="C162" s="51"/>
      <c r="D162" s="51"/>
      <c r="E162" s="51"/>
      <c r="F162" s="2"/>
      <c r="G162" s="51"/>
      <c r="H162" s="51"/>
      <c r="I162" s="51"/>
      <c r="J162" s="2"/>
      <c r="K162" s="51"/>
      <c r="L162" s="51"/>
      <c r="M162" s="51"/>
      <c r="N162" s="2"/>
      <c r="O162" s="51"/>
      <c r="P162" s="51"/>
      <c r="Q162" s="51"/>
      <c r="R162" s="2"/>
      <c r="S162" s="51"/>
      <c r="T162" s="51"/>
      <c r="U162" s="51"/>
      <c r="V162" s="2"/>
      <c r="W162" s="51"/>
      <c r="X162" s="51"/>
      <c r="Y162" s="51"/>
      <c r="Z162" s="2"/>
      <c r="AA162" s="51"/>
      <c r="AB162" s="51"/>
      <c r="AC162" s="51"/>
      <c r="AD162" s="2"/>
      <c r="AE162" s="51"/>
      <c r="AF162" s="51"/>
      <c r="AG162" s="51"/>
      <c r="AH162" s="2"/>
      <c r="AI162" s="51"/>
      <c r="AJ162" s="51"/>
      <c r="AK162" s="51"/>
      <c r="AL162" s="2"/>
      <c r="AM162" s="51"/>
      <c r="AN162" s="51"/>
      <c r="AO162" s="51"/>
      <c r="AP162" s="2"/>
      <c r="AQ162" s="51"/>
      <c r="AR162" s="51"/>
      <c r="AS162" s="51"/>
      <c r="AT162" s="2"/>
      <c r="AU162" s="51"/>
      <c r="AV162" s="51"/>
      <c r="AW162" s="51"/>
      <c r="AX162" s="2"/>
      <c r="AY162" s="51"/>
      <c r="AZ162" s="51"/>
      <c r="BA162" s="51"/>
      <c r="BB162" s="2"/>
      <c r="BC162" s="51"/>
      <c r="BD162" s="51"/>
      <c r="BE162" s="51"/>
      <c r="BF162" s="2"/>
      <c r="BG162" s="51"/>
      <c r="BH162" s="51"/>
      <c r="BI162" s="51"/>
      <c r="BJ162" s="2"/>
      <c r="BK162" s="51"/>
      <c r="BL162" s="51"/>
      <c r="BM162" s="51"/>
      <c r="BN162" s="2"/>
      <c r="BO162" s="51"/>
      <c r="BP162" s="51"/>
      <c r="BQ162" s="51"/>
      <c r="BR162" s="2"/>
      <c r="BS162" s="51"/>
      <c r="BT162" s="51"/>
      <c r="BU162" s="51"/>
      <c r="BV162" s="2"/>
      <c r="BW162" s="51"/>
    </row>
    <row r="163" spans="1:75" x14ac:dyDescent="0.2">
      <c r="A163" s="51"/>
      <c r="B163" s="51"/>
      <c r="C163" s="51"/>
      <c r="D163" s="51"/>
      <c r="E163" s="51"/>
      <c r="F163" s="2"/>
      <c r="G163" s="51"/>
      <c r="H163" s="51"/>
      <c r="I163" s="51"/>
      <c r="J163" s="2"/>
      <c r="K163" s="51"/>
      <c r="L163" s="51"/>
      <c r="M163" s="51"/>
      <c r="N163" s="2"/>
      <c r="O163" s="51"/>
      <c r="P163" s="51"/>
      <c r="Q163" s="51"/>
      <c r="R163" s="2"/>
      <c r="S163" s="51"/>
      <c r="T163" s="51"/>
      <c r="U163" s="51"/>
      <c r="V163" s="2"/>
      <c r="W163" s="51"/>
      <c r="X163" s="51"/>
      <c r="Y163" s="51"/>
      <c r="Z163" s="2"/>
      <c r="AA163" s="51"/>
      <c r="AB163" s="51"/>
      <c r="AC163" s="51"/>
      <c r="AD163" s="2"/>
      <c r="AE163" s="51"/>
      <c r="AF163" s="51"/>
      <c r="AG163" s="51"/>
      <c r="AH163" s="2"/>
      <c r="AI163" s="51"/>
      <c r="AJ163" s="51"/>
      <c r="AK163" s="51"/>
      <c r="AL163" s="2"/>
      <c r="AM163" s="51"/>
      <c r="AN163" s="51"/>
      <c r="AO163" s="51"/>
      <c r="AP163" s="2"/>
      <c r="AQ163" s="51"/>
      <c r="AR163" s="51"/>
      <c r="AS163" s="51"/>
      <c r="AT163" s="2"/>
      <c r="AU163" s="51"/>
      <c r="AV163" s="51"/>
      <c r="AW163" s="51"/>
      <c r="AX163" s="2"/>
      <c r="AY163" s="51"/>
      <c r="AZ163" s="51"/>
      <c r="BA163" s="51"/>
      <c r="BB163" s="2"/>
      <c r="BC163" s="51"/>
      <c r="BD163" s="51"/>
      <c r="BE163" s="51"/>
      <c r="BF163" s="2"/>
      <c r="BG163" s="51"/>
      <c r="BH163" s="51"/>
      <c r="BI163" s="51"/>
      <c r="BJ163" s="2"/>
      <c r="BK163" s="51"/>
      <c r="BL163" s="51"/>
      <c r="BM163" s="51"/>
      <c r="BN163" s="2"/>
      <c r="BO163" s="51"/>
      <c r="BP163" s="51"/>
      <c r="BQ163" s="51"/>
      <c r="BR163" s="2"/>
      <c r="BS163" s="51"/>
      <c r="BT163" s="51"/>
      <c r="BU163" s="51"/>
      <c r="BV163" s="2"/>
      <c r="BW163" s="51"/>
    </row>
    <row r="164" spans="1:75" x14ac:dyDescent="0.2">
      <c r="A164" s="51"/>
      <c r="B164" s="51"/>
      <c r="C164" s="51"/>
      <c r="D164" s="51"/>
      <c r="E164" s="51"/>
      <c r="F164" s="2"/>
      <c r="G164" s="51"/>
      <c r="H164" s="51"/>
      <c r="I164" s="51"/>
      <c r="J164" s="2"/>
      <c r="K164" s="51"/>
      <c r="L164" s="51"/>
      <c r="M164" s="51"/>
      <c r="N164" s="2"/>
      <c r="O164" s="51"/>
      <c r="P164" s="51"/>
      <c r="Q164" s="51"/>
      <c r="R164" s="2"/>
      <c r="S164" s="51"/>
      <c r="T164" s="51"/>
      <c r="U164" s="51"/>
      <c r="V164" s="2"/>
      <c r="W164" s="51"/>
      <c r="X164" s="51"/>
      <c r="Y164" s="51"/>
      <c r="Z164" s="2"/>
      <c r="AA164" s="51"/>
      <c r="AB164" s="51"/>
      <c r="AC164" s="51"/>
      <c r="AD164" s="2"/>
      <c r="AE164" s="51"/>
      <c r="AF164" s="51"/>
      <c r="AG164" s="51"/>
      <c r="AH164" s="2"/>
      <c r="AI164" s="51"/>
      <c r="AJ164" s="51"/>
      <c r="AK164" s="51"/>
      <c r="AL164" s="2"/>
      <c r="AM164" s="51"/>
      <c r="AN164" s="51"/>
      <c r="AO164" s="51"/>
      <c r="AP164" s="2"/>
      <c r="AQ164" s="51"/>
      <c r="AR164" s="51"/>
      <c r="AS164" s="51"/>
      <c r="AT164" s="2"/>
      <c r="AU164" s="51"/>
      <c r="AV164" s="51"/>
      <c r="AW164" s="51"/>
      <c r="AX164" s="2"/>
      <c r="AY164" s="51"/>
      <c r="AZ164" s="51"/>
      <c r="BA164" s="51"/>
      <c r="BB164" s="2"/>
      <c r="BC164" s="51"/>
      <c r="BD164" s="51"/>
      <c r="BE164" s="51"/>
      <c r="BF164" s="2"/>
      <c r="BG164" s="51"/>
      <c r="BH164" s="51"/>
      <c r="BI164" s="51"/>
      <c r="BJ164" s="2"/>
      <c r="BK164" s="51"/>
      <c r="BL164" s="51"/>
      <c r="BM164" s="51"/>
      <c r="BN164" s="2"/>
      <c r="BO164" s="51"/>
      <c r="BP164" s="51"/>
      <c r="BQ164" s="51"/>
      <c r="BR164" s="2"/>
      <c r="BS164" s="51"/>
      <c r="BT164" s="51"/>
      <c r="BU164" s="51"/>
      <c r="BV164" s="2"/>
      <c r="BW164" s="51"/>
    </row>
    <row r="165" spans="1:75" x14ac:dyDescent="0.2">
      <c r="A165" s="51"/>
      <c r="B165" s="51"/>
      <c r="C165" s="51"/>
      <c r="D165" s="51"/>
      <c r="E165" s="51"/>
      <c r="F165" s="2"/>
      <c r="G165" s="51"/>
      <c r="H165" s="51"/>
      <c r="I165" s="51"/>
      <c r="J165" s="2"/>
      <c r="K165" s="51"/>
      <c r="L165" s="51"/>
      <c r="M165" s="51"/>
      <c r="N165" s="2"/>
      <c r="O165" s="51"/>
      <c r="P165" s="51"/>
      <c r="Q165" s="51"/>
      <c r="R165" s="2"/>
      <c r="S165" s="51"/>
      <c r="T165" s="51"/>
      <c r="U165" s="51"/>
      <c r="V165" s="2"/>
      <c r="W165" s="51"/>
      <c r="X165" s="51"/>
      <c r="Y165" s="51"/>
      <c r="Z165" s="2"/>
      <c r="AA165" s="51"/>
      <c r="AB165" s="51"/>
      <c r="AC165" s="51"/>
      <c r="AD165" s="2"/>
      <c r="AE165" s="51"/>
      <c r="AF165" s="51"/>
      <c r="AG165" s="51"/>
      <c r="AH165" s="2"/>
      <c r="AI165" s="51"/>
      <c r="AJ165" s="51"/>
      <c r="AK165" s="51"/>
      <c r="AL165" s="2"/>
      <c r="AM165" s="51"/>
      <c r="AN165" s="51"/>
      <c r="AO165" s="51"/>
      <c r="AP165" s="2"/>
      <c r="AQ165" s="51"/>
      <c r="AR165" s="51"/>
      <c r="AS165" s="51"/>
      <c r="AT165" s="2"/>
      <c r="AU165" s="51"/>
      <c r="AV165" s="51"/>
      <c r="AW165" s="51"/>
      <c r="AX165" s="2"/>
      <c r="AY165" s="51"/>
      <c r="AZ165" s="51"/>
      <c r="BA165" s="51"/>
      <c r="BB165" s="2"/>
      <c r="BC165" s="51"/>
      <c r="BD165" s="51"/>
      <c r="BE165" s="51"/>
      <c r="BF165" s="2"/>
      <c r="BG165" s="51"/>
      <c r="BH165" s="51"/>
      <c r="BI165" s="51"/>
      <c r="BJ165" s="2"/>
      <c r="BK165" s="51"/>
      <c r="BL165" s="51"/>
      <c r="BM165" s="51"/>
      <c r="BN165" s="2"/>
      <c r="BO165" s="51"/>
      <c r="BP165" s="51"/>
      <c r="BQ165" s="51"/>
      <c r="BR165" s="2"/>
      <c r="BS165" s="51"/>
      <c r="BT165" s="51"/>
      <c r="BU165" s="51"/>
      <c r="BV165" s="2"/>
      <c r="BW165" s="51"/>
    </row>
    <row r="166" spans="1:75" x14ac:dyDescent="0.2">
      <c r="A166" s="51"/>
      <c r="B166" s="51"/>
      <c r="C166" s="51"/>
      <c r="D166" s="51"/>
      <c r="E166" s="51"/>
      <c r="F166" s="2"/>
      <c r="G166" s="51"/>
      <c r="H166" s="51"/>
      <c r="I166" s="51"/>
      <c r="J166" s="2"/>
      <c r="K166" s="51"/>
      <c r="L166" s="51"/>
      <c r="M166" s="51"/>
      <c r="N166" s="2"/>
      <c r="O166" s="51"/>
      <c r="P166" s="51"/>
      <c r="Q166" s="51"/>
      <c r="R166" s="2"/>
      <c r="S166" s="51"/>
      <c r="T166" s="51"/>
      <c r="U166" s="51"/>
      <c r="V166" s="2"/>
      <c r="W166" s="51"/>
      <c r="X166" s="51"/>
      <c r="Y166" s="51"/>
      <c r="Z166" s="2"/>
      <c r="AA166" s="51"/>
      <c r="AB166" s="51"/>
      <c r="AC166" s="51"/>
      <c r="AD166" s="2"/>
      <c r="AE166" s="51"/>
      <c r="AF166" s="51"/>
      <c r="AG166" s="51"/>
      <c r="AH166" s="2"/>
      <c r="AI166" s="51"/>
      <c r="AJ166" s="51"/>
      <c r="AK166" s="51"/>
      <c r="AL166" s="2"/>
      <c r="AM166" s="51"/>
      <c r="AN166" s="51"/>
      <c r="AO166" s="51"/>
      <c r="AP166" s="2"/>
      <c r="AQ166" s="51"/>
      <c r="AR166" s="51"/>
      <c r="AS166" s="51"/>
      <c r="AT166" s="2"/>
      <c r="AU166" s="51"/>
      <c r="AV166" s="51"/>
      <c r="AW166" s="51"/>
      <c r="AX166" s="2"/>
      <c r="AY166" s="51"/>
      <c r="AZ166" s="51"/>
      <c r="BA166" s="51"/>
      <c r="BB166" s="2"/>
      <c r="BC166" s="51"/>
      <c r="BD166" s="51"/>
      <c r="BE166" s="51"/>
      <c r="BF166" s="2"/>
      <c r="BG166" s="51"/>
      <c r="BH166" s="51"/>
      <c r="BI166" s="51"/>
      <c r="BJ166" s="2"/>
      <c r="BK166" s="51"/>
      <c r="BL166" s="51"/>
      <c r="BM166" s="51"/>
      <c r="BN166" s="2"/>
      <c r="BO166" s="51"/>
      <c r="BP166" s="51"/>
      <c r="BQ166" s="51"/>
      <c r="BR166" s="2"/>
      <c r="BS166" s="51"/>
      <c r="BT166" s="51"/>
      <c r="BU166" s="51"/>
      <c r="BV166" s="2"/>
      <c r="BW166" s="51"/>
    </row>
    <row r="167" spans="1:75" x14ac:dyDescent="0.2">
      <c r="A167" s="51"/>
      <c r="B167" s="51"/>
      <c r="C167" s="51"/>
      <c r="D167" s="51"/>
      <c r="E167" s="51"/>
      <c r="F167" s="2"/>
      <c r="G167" s="51"/>
      <c r="H167" s="51"/>
      <c r="I167" s="51"/>
      <c r="J167" s="2"/>
      <c r="K167" s="51"/>
      <c r="L167" s="51"/>
      <c r="M167" s="51"/>
      <c r="N167" s="2"/>
      <c r="O167" s="51"/>
      <c r="P167" s="51"/>
      <c r="Q167" s="51"/>
      <c r="R167" s="2"/>
      <c r="S167" s="51"/>
      <c r="T167" s="51"/>
      <c r="U167" s="51"/>
      <c r="V167" s="2"/>
      <c r="W167" s="51"/>
      <c r="X167" s="51"/>
      <c r="Y167" s="51"/>
      <c r="Z167" s="2"/>
      <c r="AA167" s="51"/>
      <c r="AB167" s="51"/>
      <c r="AC167" s="51"/>
      <c r="AD167" s="2"/>
      <c r="AE167" s="51"/>
      <c r="AF167" s="51"/>
      <c r="AG167" s="51"/>
      <c r="AH167" s="2"/>
      <c r="AI167" s="51"/>
      <c r="AJ167" s="51"/>
      <c r="AK167" s="51"/>
      <c r="AL167" s="2"/>
      <c r="AM167" s="51"/>
      <c r="AN167" s="51"/>
      <c r="AO167" s="51"/>
      <c r="AP167" s="2"/>
      <c r="AQ167" s="51"/>
      <c r="AR167" s="51"/>
      <c r="AS167" s="51"/>
      <c r="AT167" s="2"/>
      <c r="AU167" s="51"/>
      <c r="AV167" s="51"/>
      <c r="AW167" s="51"/>
      <c r="AX167" s="2"/>
      <c r="AY167" s="51"/>
      <c r="AZ167" s="51"/>
      <c r="BA167" s="51"/>
      <c r="BB167" s="2"/>
      <c r="BC167" s="51"/>
      <c r="BD167" s="51"/>
      <c r="BE167" s="51"/>
      <c r="BF167" s="2"/>
      <c r="BG167" s="51"/>
      <c r="BH167" s="51"/>
      <c r="BI167" s="51"/>
      <c r="BJ167" s="2"/>
      <c r="BK167" s="51"/>
      <c r="BL167" s="51"/>
      <c r="BM167" s="51"/>
      <c r="BN167" s="2"/>
      <c r="BO167" s="51"/>
      <c r="BP167" s="51"/>
      <c r="BQ167" s="51"/>
      <c r="BR167" s="2"/>
      <c r="BS167" s="51"/>
      <c r="BT167" s="51"/>
      <c r="BU167" s="51"/>
      <c r="BV167" s="2"/>
      <c r="BW167" s="51"/>
    </row>
    <row r="168" spans="1:75" x14ac:dyDescent="0.2">
      <c r="A168" s="51"/>
      <c r="B168" s="51"/>
      <c r="C168" s="51"/>
      <c r="D168" s="51"/>
      <c r="E168" s="51"/>
      <c r="F168" s="2"/>
      <c r="G168" s="51"/>
      <c r="H168" s="51"/>
      <c r="I168" s="51"/>
      <c r="J168" s="2"/>
      <c r="K168" s="51"/>
      <c r="L168" s="51"/>
      <c r="M168" s="51"/>
      <c r="N168" s="2"/>
      <c r="O168" s="51"/>
      <c r="P168" s="51"/>
      <c r="Q168" s="51"/>
      <c r="R168" s="2"/>
      <c r="S168" s="51"/>
      <c r="T168" s="51"/>
      <c r="U168" s="51"/>
      <c r="V168" s="2"/>
      <c r="W168" s="51"/>
      <c r="X168" s="51"/>
      <c r="Y168" s="51"/>
      <c r="Z168" s="2"/>
      <c r="AA168" s="51"/>
      <c r="AB168" s="51"/>
      <c r="AC168" s="51"/>
      <c r="AD168" s="2"/>
      <c r="AE168" s="51"/>
      <c r="AF168" s="51"/>
      <c r="AG168" s="51"/>
      <c r="AH168" s="2"/>
      <c r="AI168" s="51"/>
      <c r="AJ168" s="51"/>
      <c r="AK168" s="51"/>
      <c r="AL168" s="2"/>
      <c r="AM168" s="51"/>
      <c r="AN168" s="51"/>
      <c r="AO168" s="51"/>
      <c r="AP168" s="2"/>
      <c r="AQ168" s="51"/>
      <c r="AR168" s="51"/>
      <c r="AS168" s="51"/>
      <c r="AT168" s="2"/>
      <c r="AU168" s="51"/>
      <c r="AV168" s="51"/>
      <c r="AW168" s="51"/>
      <c r="AX168" s="2"/>
      <c r="AY168" s="51"/>
      <c r="AZ168" s="51"/>
      <c r="BA168" s="51"/>
      <c r="BB168" s="2"/>
      <c r="BC168" s="51"/>
      <c r="BD168" s="51"/>
      <c r="BE168" s="51"/>
      <c r="BF168" s="2"/>
      <c r="BG168" s="51"/>
      <c r="BH168" s="51"/>
      <c r="BI168" s="51"/>
      <c r="BJ168" s="2"/>
      <c r="BK168" s="51"/>
      <c r="BL168" s="51"/>
      <c r="BM168" s="51"/>
      <c r="BN168" s="2"/>
      <c r="BO168" s="51"/>
      <c r="BP168" s="51"/>
      <c r="BQ168" s="51"/>
      <c r="BR168" s="2"/>
      <c r="BS168" s="51"/>
      <c r="BT168" s="51"/>
      <c r="BU168" s="51"/>
      <c r="BV168" s="2"/>
      <c r="BW168" s="51"/>
    </row>
    <row r="169" spans="1:75" x14ac:dyDescent="0.2">
      <c r="A169" s="51"/>
      <c r="B169" s="51"/>
      <c r="C169" s="51"/>
      <c r="D169" s="51"/>
      <c r="E169" s="51"/>
      <c r="F169" s="2"/>
      <c r="G169" s="51"/>
      <c r="H169" s="51"/>
      <c r="I169" s="51"/>
      <c r="J169" s="2"/>
      <c r="K169" s="51"/>
      <c r="L169" s="51"/>
      <c r="M169" s="51"/>
      <c r="N169" s="2"/>
      <c r="O169" s="51"/>
      <c r="P169" s="51"/>
      <c r="Q169" s="51"/>
      <c r="R169" s="2"/>
      <c r="S169" s="51"/>
      <c r="T169" s="51"/>
      <c r="U169" s="51"/>
      <c r="V169" s="2"/>
      <c r="W169" s="51"/>
      <c r="X169" s="51"/>
      <c r="Y169" s="51"/>
      <c r="Z169" s="2"/>
      <c r="AA169" s="51"/>
      <c r="AB169" s="51"/>
      <c r="AC169" s="51"/>
      <c r="AD169" s="2"/>
      <c r="AE169" s="51"/>
      <c r="AF169" s="51"/>
      <c r="AG169" s="51"/>
      <c r="AH169" s="2"/>
      <c r="AI169" s="51"/>
      <c r="AJ169" s="51"/>
      <c r="AK169" s="51"/>
      <c r="AL169" s="2"/>
      <c r="AM169" s="51"/>
      <c r="AN169" s="51"/>
      <c r="AO169" s="51"/>
      <c r="AP169" s="2"/>
      <c r="AQ169" s="51"/>
      <c r="AR169" s="51"/>
      <c r="AS169" s="51"/>
      <c r="AT169" s="2"/>
      <c r="AU169" s="51"/>
      <c r="AV169" s="51"/>
      <c r="AW169" s="51"/>
      <c r="AX169" s="2"/>
      <c r="AY169" s="51"/>
      <c r="AZ169" s="51"/>
      <c r="BA169" s="51"/>
      <c r="BB169" s="2"/>
      <c r="BC169" s="51"/>
      <c r="BD169" s="51"/>
      <c r="BE169" s="51"/>
      <c r="BF169" s="2"/>
      <c r="BG169" s="51"/>
      <c r="BH169" s="51"/>
      <c r="BI169" s="51"/>
      <c r="BJ169" s="2"/>
      <c r="BK169" s="51"/>
      <c r="BL169" s="51"/>
      <c r="BM169" s="51"/>
      <c r="BN169" s="2"/>
      <c r="BO169" s="51"/>
      <c r="BP169" s="51"/>
      <c r="BQ169" s="51"/>
      <c r="BR169" s="2"/>
      <c r="BS169" s="51"/>
      <c r="BT169" s="51"/>
      <c r="BU169" s="51"/>
      <c r="BV169" s="2"/>
      <c r="BW169" s="51"/>
    </row>
    <row r="170" spans="1:75" x14ac:dyDescent="0.2">
      <c r="A170" s="51"/>
      <c r="B170" s="51"/>
      <c r="C170" s="51"/>
      <c r="D170" s="51"/>
      <c r="E170" s="51"/>
      <c r="F170" s="2"/>
      <c r="G170" s="51"/>
      <c r="H170" s="51"/>
      <c r="I170" s="51"/>
      <c r="J170" s="2"/>
      <c r="K170" s="51"/>
      <c r="L170" s="51"/>
      <c r="M170" s="51"/>
      <c r="N170" s="2"/>
      <c r="O170" s="51"/>
      <c r="P170" s="51"/>
      <c r="Q170" s="51"/>
      <c r="R170" s="2"/>
      <c r="S170" s="51"/>
      <c r="T170" s="51"/>
      <c r="U170" s="51"/>
      <c r="V170" s="2"/>
      <c r="W170" s="51"/>
      <c r="X170" s="51"/>
      <c r="Y170" s="51"/>
      <c r="Z170" s="2"/>
      <c r="AA170" s="51"/>
      <c r="AB170" s="51"/>
      <c r="AC170" s="51"/>
      <c r="AD170" s="2"/>
      <c r="AE170" s="51"/>
      <c r="AF170" s="51"/>
      <c r="AG170" s="51"/>
      <c r="AH170" s="2"/>
      <c r="AI170" s="51"/>
      <c r="AJ170" s="51"/>
      <c r="AK170" s="51"/>
      <c r="AL170" s="2"/>
      <c r="AM170" s="51"/>
      <c r="AN170" s="51"/>
      <c r="AO170" s="51"/>
      <c r="AP170" s="2"/>
      <c r="AQ170" s="51"/>
      <c r="AR170" s="51"/>
      <c r="AS170" s="51"/>
      <c r="AT170" s="2"/>
      <c r="AU170" s="51"/>
      <c r="AV170" s="51"/>
      <c r="AW170" s="51"/>
      <c r="AX170" s="2"/>
      <c r="AY170" s="51"/>
      <c r="AZ170" s="51"/>
      <c r="BA170" s="51"/>
      <c r="BB170" s="2"/>
      <c r="BC170" s="51"/>
      <c r="BD170" s="51"/>
      <c r="BE170" s="51"/>
      <c r="BF170" s="2"/>
      <c r="BG170" s="51"/>
      <c r="BH170" s="51"/>
      <c r="BI170" s="51"/>
      <c r="BJ170" s="2"/>
      <c r="BK170" s="51"/>
      <c r="BL170" s="51"/>
      <c r="BM170" s="51"/>
      <c r="BN170" s="2"/>
      <c r="BO170" s="51"/>
      <c r="BP170" s="51"/>
      <c r="BQ170" s="51"/>
      <c r="BR170" s="2"/>
      <c r="BS170" s="51"/>
      <c r="BT170" s="51"/>
      <c r="BU170" s="51"/>
      <c r="BV170" s="2"/>
      <c r="BW170" s="51"/>
    </row>
    <row r="171" spans="1:75" x14ac:dyDescent="0.2">
      <c r="A171" s="51"/>
      <c r="B171" s="51"/>
      <c r="C171" s="51"/>
      <c r="D171" s="51"/>
      <c r="E171" s="51"/>
      <c r="F171" s="2"/>
      <c r="G171" s="51"/>
      <c r="H171" s="51"/>
      <c r="I171" s="51"/>
      <c r="J171" s="2"/>
      <c r="K171" s="51"/>
      <c r="L171" s="51"/>
      <c r="M171" s="51"/>
      <c r="N171" s="2"/>
      <c r="O171" s="51"/>
      <c r="P171" s="51"/>
      <c r="Q171" s="51"/>
      <c r="R171" s="2"/>
      <c r="S171" s="51"/>
      <c r="T171" s="51"/>
      <c r="U171" s="51"/>
      <c r="V171" s="2"/>
      <c r="W171" s="51"/>
      <c r="X171" s="51"/>
      <c r="Y171" s="51"/>
      <c r="Z171" s="2"/>
      <c r="AA171" s="51"/>
      <c r="AB171" s="51"/>
      <c r="AC171" s="51"/>
      <c r="AD171" s="2"/>
      <c r="AE171" s="51"/>
      <c r="AF171" s="51"/>
      <c r="AG171" s="51"/>
      <c r="AH171" s="2"/>
      <c r="AI171" s="51"/>
      <c r="AJ171" s="51"/>
      <c r="AK171" s="51"/>
      <c r="AL171" s="2"/>
      <c r="AM171" s="51"/>
      <c r="AN171" s="51"/>
      <c r="AO171" s="51"/>
      <c r="AP171" s="2"/>
      <c r="AQ171" s="51"/>
      <c r="AR171" s="51"/>
      <c r="AS171" s="51"/>
      <c r="AT171" s="2"/>
      <c r="AU171" s="51"/>
      <c r="AV171" s="51"/>
      <c r="AW171" s="51"/>
      <c r="AX171" s="2"/>
      <c r="AY171" s="51"/>
      <c r="AZ171" s="51"/>
      <c r="BA171" s="51"/>
      <c r="BB171" s="2"/>
      <c r="BC171" s="51"/>
      <c r="BD171" s="51"/>
      <c r="BE171" s="51"/>
      <c r="BF171" s="2"/>
      <c r="BG171" s="51"/>
      <c r="BH171" s="51"/>
      <c r="BI171" s="51"/>
      <c r="BJ171" s="2"/>
      <c r="BK171" s="51"/>
      <c r="BL171" s="51"/>
      <c r="BM171" s="51"/>
      <c r="BN171" s="2"/>
      <c r="BO171" s="51"/>
      <c r="BP171" s="51"/>
      <c r="BQ171" s="51"/>
      <c r="BR171" s="2"/>
      <c r="BS171" s="51"/>
      <c r="BT171" s="51"/>
      <c r="BU171" s="51"/>
      <c r="BV171" s="2"/>
      <c r="BW171" s="51"/>
    </row>
    <row r="172" spans="1:75" x14ac:dyDescent="0.2">
      <c r="A172" s="51"/>
      <c r="B172" s="51"/>
      <c r="C172" s="51"/>
      <c r="D172" s="51"/>
      <c r="E172" s="51"/>
      <c r="F172" s="2"/>
      <c r="G172" s="51"/>
      <c r="H172" s="51"/>
      <c r="I172" s="51"/>
      <c r="J172" s="2"/>
      <c r="K172" s="51"/>
      <c r="L172" s="51"/>
      <c r="M172" s="51"/>
      <c r="N172" s="2"/>
      <c r="O172" s="51"/>
      <c r="P172" s="51"/>
      <c r="Q172" s="51"/>
      <c r="R172" s="2"/>
      <c r="S172" s="51"/>
      <c r="T172" s="51"/>
      <c r="U172" s="51"/>
      <c r="V172" s="2"/>
      <c r="W172" s="51"/>
      <c r="X172" s="51"/>
      <c r="Y172" s="51"/>
      <c r="Z172" s="2"/>
      <c r="AA172" s="51"/>
      <c r="AB172" s="51"/>
      <c r="AC172" s="51"/>
      <c r="AD172" s="2"/>
      <c r="AE172" s="51"/>
      <c r="AF172" s="51"/>
      <c r="AG172" s="51"/>
      <c r="AH172" s="2"/>
      <c r="AI172" s="51"/>
      <c r="AJ172" s="51"/>
      <c r="AK172" s="51"/>
      <c r="AL172" s="2"/>
      <c r="AM172" s="51"/>
      <c r="AN172" s="51"/>
      <c r="AO172" s="51"/>
      <c r="AP172" s="2"/>
      <c r="AQ172" s="51"/>
      <c r="AR172" s="51"/>
      <c r="AS172" s="51"/>
      <c r="AT172" s="2"/>
      <c r="AU172" s="51"/>
      <c r="AV172" s="51"/>
      <c r="AW172" s="51"/>
      <c r="AX172" s="2"/>
      <c r="AY172" s="51"/>
      <c r="AZ172" s="51"/>
      <c r="BA172" s="51"/>
      <c r="BB172" s="2"/>
      <c r="BC172" s="51"/>
      <c r="BD172" s="51"/>
      <c r="BE172" s="51"/>
      <c r="BF172" s="2"/>
      <c r="BG172" s="51"/>
      <c r="BH172" s="51"/>
      <c r="BI172" s="51"/>
      <c r="BJ172" s="2"/>
      <c r="BK172" s="51"/>
      <c r="BL172" s="51"/>
      <c r="BM172" s="51"/>
      <c r="BN172" s="2"/>
      <c r="BO172" s="51"/>
      <c r="BP172" s="51"/>
      <c r="BQ172" s="51"/>
      <c r="BR172" s="2"/>
      <c r="BS172" s="51"/>
      <c r="BT172" s="51"/>
      <c r="BU172" s="51"/>
      <c r="BV172" s="2"/>
      <c r="BW172" s="51"/>
    </row>
    <row r="173" spans="1:75" x14ac:dyDescent="0.2">
      <c r="A173" s="51"/>
      <c r="B173" s="51"/>
      <c r="C173" s="51"/>
      <c r="D173" s="51"/>
      <c r="E173" s="51"/>
      <c r="F173" s="2"/>
      <c r="G173" s="51"/>
      <c r="H173" s="51"/>
      <c r="I173" s="51"/>
      <c r="J173" s="2"/>
      <c r="K173" s="51"/>
      <c r="L173" s="51"/>
      <c r="M173" s="51"/>
      <c r="N173" s="2"/>
      <c r="O173" s="51"/>
      <c r="P173" s="51"/>
      <c r="Q173" s="51"/>
      <c r="R173" s="2"/>
      <c r="S173" s="51"/>
      <c r="T173" s="51"/>
      <c r="U173" s="51"/>
      <c r="V173" s="2"/>
      <c r="W173" s="51"/>
      <c r="X173" s="51"/>
      <c r="Y173" s="51"/>
      <c r="Z173" s="2"/>
      <c r="AA173" s="51"/>
      <c r="AB173" s="51"/>
      <c r="AC173" s="51"/>
      <c r="AD173" s="2"/>
      <c r="AE173" s="51"/>
      <c r="AF173" s="51"/>
      <c r="AG173" s="51"/>
      <c r="AH173" s="2"/>
      <c r="AI173" s="51"/>
      <c r="AJ173" s="51"/>
      <c r="AK173" s="51"/>
      <c r="AL173" s="2"/>
      <c r="AM173" s="51"/>
      <c r="AN173" s="51"/>
      <c r="AO173" s="51"/>
      <c r="AP173" s="2"/>
      <c r="AQ173" s="51"/>
      <c r="AR173" s="51"/>
      <c r="AS173" s="51"/>
      <c r="AT173" s="2"/>
      <c r="AU173" s="51"/>
      <c r="AV173" s="51"/>
      <c r="AW173" s="51"/>
      <c r="AX173" s="2"/>
      <c r="AY173" s="51"/>
      <c r="AZ173" s="51"/>
      <c r="BA173" s="51"/>
      <c r="BB173" s="2"/>
      <c r="BC173" s="51"/>
      <c r="BD173" s="51"/>
      <c r="BE173" s="51"/>
      <c r="BF173" s="2"/>
      <c r="BG173" s="51"/>
      <c r="BH173" s="51"/>
      <c r="BI173" s="51"/>
      <c r="BJ173" s="2"/>
      <c r="BK173" s="51"/>
      <c r="BL173" s="51"/>
      <c r="BM173" s="51"/>
      <c r="BN173" s="2"/>
      <c r="BO173" s="51"/>
      <c r="BP173" s="51"/>
      <c r="BQ173" s="51"/>
      <c r="BR173" s="2"/>
      <c r="BS173" s="51"/>
      <c r="BT173" s="51"/>
      <c r="BU173" s="51"/>
      <c r="BV173" s="2"/>
      <c r="BW173" s="51"/>
    </row>
    <row r="174" spans="1:75" x14ac:dyDescent="0.2">
      <c r="A174" s="51"/>
      <c r="B174" s="51"/>
      <c r="C174" s="51"/>
      <c r="D174" s="51"/>
      <c r="E174" s="51"/>
      <c r="F174" s="2"/>
      <c r="G174" s="51"/>
      <c r="H174" s="51"/>
      <c r="I174" s="51"/>
      <c r="J174" s="2"/>
      <c r="K174" s="51"/>
      <c r="L174" s="51"/>
      <c r="M174" s="51"/>
      <c r="N174" s="2"/>
      <c r="O174" s="51"/>
      <c r="P174" s="51"/>
      <c r="Q174" s="51"/>
      <c r="R174" s="2"/>
      <c r="S174" s="51"/>
      <c r="T174" s="51"/>
      <c r="U174" s="51"/>
      <c r="V174" s="2"/>
      <c r="W174" s="51"/>
      <c r="X174" s="51"/>
      <c r="Y174" s="51"/>
      <c r="Z174" s="2"/>
      <c r="AA174" s="51"/>
      <c r="AB174" s="51"/>
      <c r="AC174" s="51"/>
      <c r="AD174" s="2"/>
      <c r="AE174" s="51"/>
      <c r="AF174" s="51"/>
      <c r="AG174" s="51"/>
      <c r="AH174" s="2"/>
      <c r="AI174" s="51"/>
      <c r="AJ174" s="51"/>
      <c r="AK174" s="51"/>
      <c r="AL174" s="2"/>
      <c r="AM174" s="51"/>
      <c r="AN174" s="51"/>
      <c r="AO174" s="51"/>
      <c r="AP174" s="2"/>
      <c r="AQ174" s="51"/>
      <c r="AR174" s="51"/>
      <c r="AS174" s="51"/>
      <c r="AT174" s="2"/>
      <c r="AU174" s="51"/>
      <c r="AV174" s="51"/>
      <c r="AW174" s="51"/>
      <c r="AX174" s="2"/>
      <c r="AY174" s="51"/>
      <c r="AZ174" s="51"/>
      <c r="BA174" s="51"/>
      <c r="BB174" s="2"/>
      <c r="BC174" s="51"/>
      <c r="BD174" s="51"/>
      <c r="BE174" s="51"/>
      <c r="BF174" s="2"/>
      <c r="BG174" s="51"/>
      <c r="BH174" s="51"/>
      <c r="BI174" s="51"/>
      <c r="BJ174" s="2"/>
      <c r="BK174" s="51"/>
      <c r="BL174" s="51"/>
      <c r="BM174" s="51"/>
      <c r="BN174" s="2"/>
      <c r="BO174" s="51"/>
      <c r="BP174" s="51"/>
      <c r="BQ174" s="51"/>
      <c r="BR174" s="2"/>
      <c r="BS174" s="51"/>
      <c r="BT174" s="51"/>
      <c r="BU174" s="51"/>
      <c r="BV174" s="2"/>
      <c r="BW174" s="51"/>
    </row>
    <row r="175" spans="1:75" x14ac:dyDescent="0.2">
      <c r="A175" s="51"/>
      <c r="B175" s="51"/>
      <c r="C175" s="51"/>
      <c r="D175" s="51"/>
      <c r="E175" s="51"/>
      <c r="F175" s="2"/>
      <c r="G175" s="51"/>
      <c r="H175" s="51"/>
      <c r="I175" s="51"/>
      <c r="J175" s="2"/>
      <c r="K175" s="51"/>
      <c r="L175" s="51"/>
      <c r="M175" s="51"/>
      <c r="N175" s="2"/>
      <c r="O175" s="51"/>
      <c r="P175" s="51"/>
      <c r="Q175" s="51"/>
      <c r="R175" s="2"/>
      <c r="S175" s="51"/>
      <c r="T175" s="51"/>
      <c r="U175" s="51"/>
      <c r="V175" s="2"/>
      <c r="W175" s="51"/>
      <c r="X175" s="51"/>
      <c r="Y175" s="51"/>
      <c r="Z175" s="2"/>
      <c r="AA175" s="51"/>
      <c r="AB175" s="51"/>
      <c r="AC175" s="51"/>
      <c r="AD175" s="2"/>
      <c r="AE175" s="51"/>
      <c r="AF175" s="51"/>
      <c r="AG175" s="51"/>
      <c r="AH175" s="2"/>
      <c r="AI175" s="51"/>
      <c r="AJ175" s="51"/>
      <c r="AK175" s="51"/>
      <c r="AL175" s="2"/>
      <c r="AM175" s="51"/>
      <c r="AN175" s="51"/>
      <c r="AO175" s="51"/>
      <c r="AP175" s="2"/>
      <c r="AQ175" s="51"/>
      <c r="AR175" s="51"/>
      <c r="AS175" s="51"/>
      <c r="AT175" s="2"/>
      <c r="AU175" s="51"/>
      <c r="AV175" s="51"/>
      <c r="AW175" s="51"/>
      <c r="AX175" s="2"/>
      <c r="AY175" s="51"/>
      <c r="AZ175" s="51"/>
      <c r="BA175" s="51"/>
      <c r="BB175" s="2"/>
      <c r="BC175" s="51"/>
      <c r="BD175" s="51"/>
      <c r="BE175" s="51"/>
      <c r="BF175" s="2"/>
      <c r="BG175" s="51"/>
      <c r="BH175" s="51"/>
      <c r="BI175" s="51"/>
      <c r="BJ175" s="2"/>
      <c r="BK175" s="51"/>
      <c r="BL175" s="51"/>
      <c r="BM175" s="51"/>
      <c r="BN175" s="2"/>
      <c r="BO175" s="51"/>
      <c r="BP175" s="51"/>
      <c r="BQ175" s="51"/>
      <c r="BR175" s="2"/>
      <c r="BS175" s="51"/>
      <c r="BT175" s="51"/>
      <c r="BU175" s="51"/>
      <c r="BV175" s="2"/>
      <c r="BW175" s="51"/>
    </row>
    <row r="176" spans="1:75" x14ac:dyDescent="0.2">
      <c r="A176" s="51"/>
      <c r="B176" s="51"/>
      <c r="C176" s="51"/>
      <c r="D176" s="51"/>
      <c r="E176" s="51"/>
      <c r="F176" s="2"/>
      <c r="G176" s="51"/>
      <c r="H176" s="51"/>
      <c r="I176" s="51"/>
      <c r="J176" s="2"/>
      <c r="K176" s="51"/>
      <c r="L176" s="51"/>
      <c r="M176" s="51"/>
      <c r="N176" s="2"/>
      <c r="O176" s="51"/>
      <c r="P176" s="51"/>
      <c r="Q176" s="51"/>
      <c r="R176" s="2"/>
      <c r="S176" s="51"/>
      <c r="T176" s="51"/>
      <c r="U176" s="51"/>
      <c r="V176" s="2"/>
      <c r="W176" s="51"/>
      <c r="X176" s="51"/>
      <c r="Y176" s="51"/>
      <c r="Z176" s="2"/>
      <c r="AA176" s="51"/>
      <c r="AB176" s="51"/>
      <c r="AC176" s="51"/>
      <c r="AD176" s="2"/>
      <c r="AE176" s="51"/>
      <c r="AF176" s="51"/>
      <c r="AG176" s="51"/>
      <c r="AH176" s="2"/>
      <c r="AI176" s="51"/>
      <c r="AJ176" s="51"/>
      <c r="AK176" s="51"/>
      <c r="AL176" s="2"/>
      <c r="AM176" s="51"/>
      <c r="AN176" s="51"/>
      <c r="AO176" s="51"/>
      <c r="AP176" s="2"/>
      <c r="AQ176" s="51"/>
      <c r="AR176" s="51"/>
      <c r="AS176" s="51"/>
      <c r="AT176" s="2"/>
      <c r="AU176" s="51"/>
      <c r="AV176" s="51"/>
      <c r="AW176" s="51"/>
      <c r="AX176" s="2"/>
      <c r="AY176" s="51"/>
      <c r="AZ176" s="51"/>
      <c r="BA176" s="51"/>
      <c r="BB176" s="2"/>
      <c r="BC176" s="51"/>
      <c r="BD176" s="51"/>
      <c r="BE176" s="51"/>
      <c r="BF176" s="2"/>
      <c r="BG176" s="51"/>
      <c r="BH176" s="51"/>
      <c r="BI176" s="51"/>
      <c r="BJ176" s="2"/>
      <c r="BK176" s="51"/>
      <c r="BL176" s="51"/>
      <c r="BM176" s="51"/>
      <c r="BN176" s="2"/>
      <c r="BO176" s="51"/>
      <c r="BP176" s="51"/>
      <c r="BQ176" s="51"/>
      <c r="BR176" s="2"/>
      <c r="BS176" s="51"/>
      <c r="BT176" s="51"/>
      <c r="BU176" s="51"/>
      <c r="BV176" s="2"/>
      <c r="BW176" s="51"/>
    </row>
    <row r="177" spans="1:75" x14ac:dyDescent="0.2">
      <c r="A177" s="51"/>
      <c r="B177" s="51"/>
      <c r="C177" s="51"/>
      <c r="D177" s="51"/>
      <c r="E177" s="51"/>
      <c r="F177" s="2"/>
      <c r="G177" s="51"/>
      <c r="H177" s="51"/>
      <c r="I177" s="51"/>
      <c r="J177" s="2"/>
      <c r="K177" s="51"/>
      <c r="L177" s="51"/>
      <c r="M177" s="51"/>
      <c r="N177" s="2"/>
      <c r="O177" s="51"/>
      <c r="P177" s="51"/>
      <c r="Q177" s="51"/>
      <c r="R177" s="2"/>
      <c r="S177" s="51"/>
      <c r="T177" s="51"/>
      <c r="U177" s="51"/>
      <c r="V177" s="2"/>
      <c r="W177" s="51"/>
      <c r="X177" s="51"/>
      <c r="Y177" s="51"/>
      <c r="Z177" s="2"/>
      <c r="AA177" s="51"/>
      <c r="AB177" s="51"/>
      <c r="AC177" s="51"/>
      <c r="AD177" s="2"/>
      <c r="AE177" s="51"/>
      <c r="AF177" s="51"/>
      <c r="AG177" s="51"/>
      <c r="AH177" s="2"/>
      <c r="AI177" s="51"/>
      <c r="AJ177" s="51"/>
      <c r="AK177" s="51"/>
      <c r="AL177" s="2"/>
      <c r="AM177" s="51"/>
      <c r="AN177" s="51"/>
      <c r="AO177" s="51"/>
      <c r="AP177" s="2"/>
      <c r="AQ177" s="51"/>
      <c r="AR177" s="51"/>
      <c r="AS177" s="51"/>
      <c r="AT177" s="2"/>
      <c r="AU177" s="51"/>
      <c r="AV177" s="51"/>
      <c r="AW177" s="51"/>
      <c r="AX177" s="2"/>
      <c r="AY177" s="51"/>
      <c r="AZ177" s="51"/>
      <c r="BA177" s="51"/>
      <c r="BB177" s="2"/>
      <c r="BC177" s="51"/>
      <c r="BD177" s="51"/>
      <c r="BE177" s="51"/>
      <c r="BF177" s="2"/>
      <c r="BG177" s="51"/>
      <c r="BH177" s="51"/>
      <c r="BI177" s="51"/>
      <c r="BJ177" s="2"/>
      <c r="BK177" s="51"/>
      <c r="BL177" s="51"/>
      <c r="BM177" s="51"/>
      <c r="BN177" s="2"/>
      <c r="BO177" s="51"/>
      <c r="BP177" s="51"/>
      <c r="BQ177" s="51"/>
      <c r="BR177" s="2"/>
      <c r="BS177" s="51"/>
      <c r="BT177" s="51"/>
      <c r="BU177" s="51"/>
      <c r="BV177" s="2"/>
      <c r="BW177" s="51"/>
    </row>
    <row r="178" spans="1:75" x14ac:dyDescent="0.2">
      <c r="A178" s="51"/>
      <c r="B178" s="51"/>
      <c r="C178" s="51"/>
      <c r="D178" s="51"/>
      <c r="E178" s="51"/>
      <c r="F178" s="2"/>
      <c r="G178" s="51"/>
      <c r="H178" s="51"/>
      <c r="I178" s="51"/>
      <c r="J178" s="2"/>
      <c r="K178" s="51"/>
      <c r="L178" s="51"/>
      <c r="M178" s="51"/>
      <c r="N178" s="2"/>
      <c r="O178" s="51"/>
      <c r="P178" s="51"/>
      <c r="Q178" s="51"/>
      <c r="R178" s="2"/>
      <c r="S178" s="51"/>
      <c r="T178" s="51"/>
      <c r="U178" s="51"/>
      <c r="V178" s="2"/>
      <c r="W178" s="51"/>
      <c r="X178" s="51"/>
      <c r="Y178" s="51"/>
      <c r="Z178" s="2"/>
      <c r="AA178" s="51"/>
      <c r="AB178" s="51"/>
      <c r="AC178" s="51"/>
      <c r="AD178" s="2"/>
      <c r="AE178" s="51"/>
      <c r="AF178" s="51"/>
      <c r="AG178" s="51"/>
      <c r="AH178" s="2"/>
      <c r="AI178" s="51"/>
      <c r="AJ178" s="51"/>
      <c r="AK178" s="51"/>
      <c r="AL178" s="2"/>
      <c r="AM178" s="51"/>
      <c r="AN178" s="51"/>
      <c r="AO178" s="51"/>
      <c r="AP178" s="2"/>
      <c r="AQ178" s="51"/>
      <c r="AR178" s="51"/>
      <c r="AS178" s="51"/>
      <c r="AT178" s="2"/>
      <c r="AU178" s="51"/>
      <c r="AV178" s="51"/>
      <c r="AW178" s="51"/>
      <c r="AX178" s="2"/>
      <c r="AY178" s="51"/>
      <c r="AZ178" s="51"/>
      <c r="BA178" s="51"/>
      <c r="BB178" s="2"/>
      <c r="BC178" s="51"/>
      <c r="BD178" s="51"/>
      <c r="BE178" s="51"/>
      <c r="BF178" s="2"/>
      <c r="BG178" s="51"/>
      <c r="BH178" s="51"/>
      <c r="BI178" s="51"/>
      <c r="BJ178" s="2"/>
      <c r="BK178" s="51"/>
      <c r="BL178" s="51"/>
      <c r="BM178" s="51"/>
      <c r="BN178" s="2"/>
      <c r="BO178" s="51"/>
      <c r="BP178" s="51"/>
      <c r="BQ178" s="51"/>
      <c r="BR178" s="2"/>
      <c r="BS178" s="51"/>
      <c r="BT178" s="51"/>
      <c r="BU178" s="51"/>
      <c r="BV178" s="2"/>
      <c r="BW178" s="51"/>
    </row>
    <row r="179" spans="1:75" x14ac:dyDescent="0.2">
      <c r="A179" s="51"/>
      <c r="B179" s="51"/>
      <c r="C179" s="51"/>
      <c r="D179" s="51"/>
      <c r="E179" s="51"/>
      <c r="F179" s="2"/>
      <c r="G179" s="51"/>
      <c r="H179" s="51"/>
      <c r="I179" s="51"/>
      <c r="J179" s="2"/>
      <c r="K179" s="51"/>
      <c r="L179" s="51"/>
      <c r="M179" s="51"/>
      <c r="N179" s="2"/>
      <c r="O179" s="51"/>
      <c r="P179" s="51"/>
      <c r="Q179" s="51"/>
      <c r="R179" s="2"/>
      <c r="S179" s="51"/>
      <c r="T179" s="51"/>
      <c r="U179" s="51"/>
      <c r="V179" s="2"/>
      <c r="W179" s="51"/>
      <c r="X179" s="51"/>
      <c r="Y179" s="51"/>
      <c r="Z179" s="2"/>
      <c r="AA179" s="51"/>
      <c r="AB179" s="51"/>
      <c r="AC179" s="51"/>
      <c r="AD179" s="2"/>
      <c r="AE179" s="51"/>
      <c r="AF179" s="51"/>
      <c r="AG179" s="51"/>
      <c r="AH179" s="2"/>
      <c r="AI179" s="51"/>
      <c r="AJ179" s="51"/>
      <c r="AK179" s="51"/>
      <c r="AL179" s="2"/>
      <c r="AM179" s="51"/>
      <c r="AN179" s="51"/>
      <c r="AO179" s="51"/>
      <c r="AP179" s="2"/>
      <c r="AQ179" s="51"/>
      <c r="AR179" s="51"/>
      <c r="AS179" s="51"/>
      <c r="AT179" s="2"/>
      <c r="AU179" s="51"/>
      <c r="AV179" s="51"/>
      <c r="AW179" s="51"/>
      <c r="AX179" s="2"/>
      <c r="AY179" s="51"/>
      <c r="AZ179" s="51"/>
      <c r="BA179" s="51"/>
      <c r="BB179" s="2"/>
      <c r="BC179" s="51"/>
      <c r="BD179" s="51"/>
      <c r="BE179" s="51"/>
      <c r="BF179" s="2"/>
      <c r="BG179" s="51"/>
      <c r="BH179" s="51"/>
      <c r="BI179" s="51"/>
      <c r="BJ179" s="2"/>
      <c r="BK179" s="51"/>
      <c r="BL179" s="51"/>
      <c r="BM179" s="51"/>
      <c r="BN179" s="2"/>
      <c r="BO179" s="51"/>
      <c r="BP179" s="51"/>
      <c r="BQ179" s="51"/>
      <c r="BR179" s="2"/>
      <c r="BS179" s="51"/>
      <c r="BT179" s="51"/>
      <c r="BU179" s="51"/>
      <c r="BV179" s="2"/>
      <c r="BW179" s="51"/>
    </row>
    <row r="180" spans="1:75" x14ac:dyDescent="0.2">
      <c r="A180" s="51"/>
      <c r="B180" s="51"/>
      <c r="C180" s="51"/>
      <c r="D180" s="51"/>
      <c r="E180" s="51"/>
      <c r="F180" s="2"/>
      <c r="G180" s="51"/>
      <c r="H180" s="51"/>
      <c r="I180" s="51"/>
      <c r="J180" s="2"/>
      <c r="K180" s="51"/>
      <c r="L180" s="51"/>
      <c r="M180" s="51"/>
      <c r="N180" s="2"/>
      <c r="O180" s="51"/>
      <c r="P180" s="51"/>
      <c r="Q180" s="51"/>
      <c r="R180" s="2"/>
      <c r="S180" s="51"/>
      <c r="T180" s="51"/>
      <c r="U180" s="51"/>
      <c r="V180" s="2"/>
      <c r="W180" s="51"/>
      <c r="X180" s="51"/>
      <c r="Y180" s="51"/>
      <c r="Z180" s="2"/>
      <c r="AA180" s="51"/>
      <c r="AB180" s="51"/>
      <c r="AC180" s="51"/>
      <c r="AD180" s="2"/>
      <c r="AE180" s="51"/>
      <c r="AF180" s="51"/>
      <c r="AG180" s="51"/>
      <c r="AH180" s="2"/>
      <c r="AI180" s="51"/>
      <c r="AJ180" s="51"/>
      <c r="AK180" s="51"/>
      <c r="AL180" s="2"/>
      <c r="AM180" s="51"/>
      <c r="AN180" s="51"/>
      <c r="AO180" s="51"/>
      <c r="AP180" s="2"/>
      <c r="AQ180" s="51"/>
      <c r="AR180" s="51"/>
      <c r="AS180" s="51"/>
      <c r="AT180" s="2"/>
      <c r="AU180" s="51"/>
      <c r="AV180" s="51"/>
      <c r="AW180" s="51"/>
      <c r="AX180" s="2"/>
      <c r="AY180" s="51"/>
      <c r="AZ180" s="51"/>
      <c r="BA180" s="51"/>
      <c r="BB180" s="2"/>
      <c r="BC180" s="51"/>
      <c r="BD180" s="51"/>
      <c r="BE180" s="51"/>
      <c r="BF180" s="2"/>
      <c r="BG180" s="51"/>
      <c r="BH180" s="51"/>
      <c r="BI180" s="51"/>
      <c r="BJ180" s="2"/>
      <c r="BK180" s="51"/>
      <c r="BL180" s="51"/>
      <c r="BM180" s="51"/>
      <c r="BN180" s="2"/>
      <c r="BO180" s="51"/>
      <c r="BP180" s="51"/>
      <c r="BQ180" s="51"/>
      <c r="BR180" s="2"/>
      <c r="BS180" s="51"/>
      <c r="BT180" s="51"/>
      <c r="BU180" s="51"/>
      <c r="BV180" s="2"/>
      <c r="BW180" s="51"/>
    </row>
    <row r="181" spans="1:75" x14ac:dyDescent="0.2">
      <c r="A181" s="51"/>
      <c r="B181" s="51"/>
      <c r="C181" s="51"/>
      <c r="D181" s="51"/>
      <c r="E181" s="51"/>
      <c r="F181" s="2"/>
      <c r="G181" s="51"/>
      <c r="H181" s="51"/>
      <c r="I181" s="51"/>
      <c r="J181" s="2"/>
      <c r="K181" s="51"/>
      <c r="L181" s="51"/>
      <c r="M181" s="51"/>
      <c r="N181" s="2"/>
      <c r="O181" s="51"/>
      <c r="P181" s="51"/>
      <c r="Q181" s="51"/>
      <c r="R181" s="2"/>
      <c r="S181" s="51"/>
      <c r="T181" s="51"/>
      <c r="U181" s="51"/>
      <c r="V181" s="2"/>
      <c r="W181" s="51"/>
      <c r="X181" s="51"/>
      <c r="Y181" s="51"/>
      <c r="Z181" s="2"/>
      <c r="AA181" s="51"/>
      <c r="AB181" s="51"/>
      <c r="AC181" s="51"/>
      <c r="AD181" s="2"/>
      <c r="AE181" s="51"/>
      <c r="AF181" s="51"/>
      <c r="AG181" s="51"/>
      <c r="AH181" s="2"/>
      <c r="AI181" s="51"/>
      <c r="AJ181" s="51"/>
      <c r="AK181" s="51"/>
      <c r="AL181" s="2"/>
      <c r="AM181" s="51"/>
      <c r="AN181" s="51"/>
      <c r="AO181" s="51"/>
      <c r="AP181" s="2"/>
      <c r="AQ181" s="51"/>
      <c r="AR181" s="51"/>
      <c r="AS181" s="51"/>
      <c r="AT181" s="2"/>
      <c r="AU181" s="51"/>
      <c r="AV181" s="51"/>
      <c r="AW181" s="51"/>
      <c r="AX181" s="2"/>
      <c r="AY181" s="51"/>
      <c r="AZ181" s="51"/>
      <c r="BA181" s="51"/>
      <c r="BB181" s="2"/>
      <c r="BC181" s="51"/>
      <c r="BD181" s="51"/>
      <c r="BE181" s="51"/>
      <c r="BF181" s="2"/>
      <c r="BG181" s="51"/>
      <c r="BH181" s="51"/>
      <c r="BI181" s="51"/>
      <c r="BJ181" s="2"/>
      <c r="BK181" s="51"/>
      <c r="BL181" s="51"/>
      <c r="BM181" s="51"/>
      <c r="BN181" s="2"/>
      <c r="BO181" s="51"/>
      <c r="BP181" s="51"/>
      <c r="BQ181" s="51"/>
      <c r="BR181" s="2"/>
      <c r="BS181" s="51"/>
      <c r="BT181" s="51"/>
      <c r="BU181" s="51"/>
      <c r="BV181" s="2"/>
      <c r="BW181" s="51"/>
    </row>
    <row r="182" spans="1:75" x14ac:dyDescent="0.2">
      <c r="A182" s="51"/>
      <c r="B182" s="51"/>
      <c r="C182" s="51"/>
      <c r="D182" s="51"/>
      <c r="E182" s="51"/>
      <c r="F182" s="2"/>
      <c r="G182" s="51"/>
      <c r="H182" s="51"/>
      <c r="I182" s="51"/>
      <c r="J182" s="2"/>
      <c r="K182" s="51"/>
      <c r="L182" s="51"/>
      <c r="M182" s="51"/>
      <c r="N182" s="2"/>
      <c r="O182" s="51"/>
      <c r="P182" s="51"/>
      <c r="Q182" s="51"/>
      <c r="R182" s="2"/>
      <c r="S182" s="51"/>
      <c r="T182" s="51"/>
      <c r="U182" s="51"/>
      <c r="V182" s="2"/>
      <c r="W182" s="51"/>
      <c r="X182" s="51"/>
      <c r="Y182" s="51"/>
      <c r="Z182" s="2"/>
      <c r="AA182" s="51"/>
      <c r="AB182" s="51"/>
      <c r="AC182" s="51"/>
      <c r="AD182" s="2"/>
      <c r="AE182" s="51"/>
      <c r="AF182" s="51"/>
      <c r="AG182" s="51"/>
      <c r="AH182" s="2"/>
      <c r="AI182" s="51"/>
      <c r="AJ182" s="51"/>
      <c r="AK182" s="51"/>
      <c r="AL182" s="2"/>
      <c r="AM182" s="51"/>
      <c r="AN182" s="51"/>
      <c r="AO182" s="51"/>
      <c r="AP182" s="2"/>
      <c r="AQ182" s="51"/>
      <c r="AR182" s="51"/>
      <c r="AS182" s="51"/>
      <c r="AT182" s="2"/>
      <c r="AU182" s="51"/>
      <c r="AV182" s="51"/>
      <c r="AW182" s="51"/>
      <c r="AX182" s="2"/>
      <c r="AY182" s="51"/>
      <c r="AZ182" s="51"/>
      <c r="BA182" s="51"/>
      <c r="BB182" s="2"/>
      <c r="BC182" s="51"/>
      <c r="BD182" s="51"/>
      <c r="BE182" s="51"/>
      <c r="BF182" s="2"/>
      <c r="BG182" s="51"/>
      <c r="BH182" s="51"/>
      <c r="BI182" s="51"/>
      <c r="BJ182" s="2"/>
      <c r="BK182" s="51"/>
      <c r="BL182" s="51"/>
      <c r="BM182" s="51"/>
      <c r="BN182" s="2"/>
      <c r="BO182" s="51"/>
      <c r="BP182" s="51"/>
      <c r="BQ182" s="51"/>
      <c r="BR182" s="2"/>
      <c r="BS182" s="51"/>
      <c r="BT182" s="51"/>
      <c r="BU182" s="51"/>
      <c r="BV182" s="2"/>
      <c r="BW182" s="51"/>
    </row>
    <row r="183" spans="1:75" x14ac:dyDescent="0.2">
      <c r="A183" s="51"/>
      <c r="B183" s="51"/>
      <c r="C183" s="51"/>
      <c r="D183" s="51"/>
      <c r="E183" s="51"/>
      <c r="F183" s="2"/>
      <c r="G183" s="51"/>
      <c r="H183" s="51"/>
      <c r="I183" s="51"/>
      <c r="J183" s="2"/>
      <c r="K183" s="51"/>
      <c r="L183" s="51"/>
      <c r="M183" s="51"/>
      <c r="N183" s="2"/>
      <c r="O183" s="51"/>
      <c r="P183" s="51"/>
      <c r="Q183" s="51"/>
      <c r="R183" s="2"/>
      <c r="S183" s="51"/>
      <c r="T183" s="51"/>
      <c r="U183" s="51"/>
      <c r="V183" s="2"/>
      <c r="W183" s="51"/>
      <c r="X183" s="51"/>
      <c r="Y183" s="51"/>
      <c r="Z183" s="2"/>
      <c r="AA183" s="51"/>
      <c r="AB183" s="51"/>
      <c r="AC183" s="51"/>
      <c r="AD183" s="2"/>
      <c r="AE183" s="51"/>
      <c r="AF183" s="51"/>
      <c r="AG183" s="51"/>
      <c r="AH183" s="2"/>
      <c r="AI183" s="51"/>
      <c r="AJ183" s="51"/>
      <c r="AK183" s="51"/>
      <c r="AL183" s="2"/>
      <c r="AM183" s="51"/>
      <c r="AN183" s="51"/>
      <c r="AO183" s="51"/>
      <c r="AP183" s="2"/>
      <c r="AQ183" s="51"/>
      <c r="AR183" s="51"/>
      <c r="AS183" s="51"/>
      <c r="AT183" s="2"/>
      <c r="AU183" s="51"/>
      <c r="AV183" s="51"/>
      <c r="AW183" s="51"/>
      <c r="AX183" s="2"/>
      <c r="AY183" s="51"/>
      <c r="AZ183" s="51"/>
      <c r="BA183" s="51"/>
      <c r="BB183" s="2"/>
      <c r="BC183" s="51"/>
      <c r="BD183" s="51"/>
      <c r="BE183" s="51"/>
      <c r="BF183" s="2"/>
      <c r="BG183" s="51"/>
      <c r="BH183" s="51"/>
      <c r="BI183" s="51"/>
      <c r="BJ183" s="2"/>
      <c r="BK183" s="51"/>
      <c r="BL183" s="51"/>
      <c r="BM183" s="51"/>
      <c r="BN183" s="2"/>
      <c r="BO183" s="51"/>
      <c r="BP183" s="51"/>
      <c r="BQ183" s="51"/>
      <c r="BR183" s="2"/>
      <c r="BS183" s="51"/>
      <c r="BT183" s="51"/>
      <c r="BU183" s="51"/>
      <c r="BV183" s="2"/>
      <c r="BW183" s="51"/>
    </row>
    <row r="184" spans="1:75" x14ac:dyDescent="0.2">
      <c r="A184" s="51"/>
      <c r="B184" s="51"/>
      <c r="C184" s="51"/>
      <c r="D184" s="51"/>
      <c r="E184" s="51"/>
      <c r="F184" s="2"/>
      <c r="G184" s="51"/>
      <c r="H184" s="51"/>
      <c r="I184" s="51"/>
      <c r="J184" s="2"/>
      <c r="K184" s="51"/>
      <c r="L184" s="51"/>
      <c r="M184" s="51"/>
      <c r="N184" s="2"/>
      <c r="O184" s="51"/>
      <c r="P184" s="51"/>
      <c r="Q184" s="51"/>
      <c r="R184" s="2"/>
      <c r="S184" s="51"/>
      <c r="T184" s="51"/>
      <c r="U184" s="51"/>
      <c r="V184" s="2"/>
      <c r="W184" s="51"/>
      <c r="X184" s="51"/>
      <c r="Y184" s="51"/>
      <c r="Z184" s="2"/>
      <c r="AA184" s="51"/>
      <c r="AB184" s="51"/>
      <c r="AC184" s="51"/>
      <c r="AD184" s="2"/>
      <c r="AE184" s="51"/>
      <c r="AF184" s="51"/>
      <c r="AG184" s="51"/>
      <c r="AH184" s="2"/>
      <c r="AI184" s="51"/>
      <c r="AJ184" s="51"/>
      <c r="AK184" s="51"/>
      <c r="AL184" s="2"/>
      <c r="AM184" s="51"/>
      <c r="AN184" s="51"/>
      <c r="AO184" s="51"/>
      <c r="AP184" s="2"/>
      <c r="AQ184" s="51"/>
      <c r="AR184" s="51"/>
      <c r="AS184" s="51"/>
      <c r="AT184" s="2"/>
      <c r="AU184" s="51"/>
      <c r="AV184" s="51"/>
      <c r="AW184" s="51"/>
      <c r="AX184" s="2"/>
      <c r="AY184" s="51"/>
      <c r="AZ184" s="51"/>
      <c r="BA184" s="51"/>
      <c r="BB184" s="2"/>
      <c r="BC184" s="51"/>
      <c r="BD184" s="51"/>
      <c r="BE184" s="51"/>
      <c r="BF184" s="2"/>
      <c r="BG184" s="51"/>
      <c r="BH184" s="51"/>
      <c r="BI184" s="51"/>
      <c r="BJ184" s="2"/>
      <c r="BK184" s="51"/>
      <c r="BL184" s="51"/>
      <c r="BM184" s="51"/>
      <c r="BN184" s="2"/>
      <c r="BO184" s="51"/>
      <c r="BP184" s="51"/>
      <c r="BQ184" s="51"/>
      <c r="BR184" s="2"/>
      <c r="BS184" s="51"/>
      <c r="BT184" s="51"/>
      <c r="BU184" s="51"/>
      <c r="BV184" s="2"/>
      <c r="BW184" s="51"/>
    </row>
    <row r="185" spans="1:75" x14ac:dyDescent="0.2">
      <c r="A185" s="51"/>
      <c r="B185" s="51"/>
      <c r="C185" s="51"/>
      <c r="D185" s="51"/>
      <c r="E185" s="51"/>
      <c r="F185" s="2"/>
      <c r="G185" s="51"/>
      <c r="H185" s="51"/>
      <c r="I185" s="51"/>
      <c r="J185" s="2"/>
      <c r="K185" s="51"/>
      <c r="L185" s="51"/>
      <c r="M185" s="51"/>
      <c r="N185" s="2"/>
      <c r="O185" s="51"/>
      <c r="P185" s="51"/>
      <c r="Q185" s="51"/>
      <c r="R185" s="2"/>
      <c r="S185" s="51"/>
      <c r="T185" s="51"/>
      <c r="U185" s="51"/>
      <c r="V185" s="2"/>
      <c r="W185" s="51"/>
      <c r="X185" s="51"/>
      <c r="Y185" s="51"/>
      <c r="Z185" s="2"/>
      <c r="AA185" s="51"/>
      <c r="AB185" s="51"/>
      <c r="AC185" s="51"/>
      <c r="AD185" s="2"/>
      <c r="AE185" s="51"/>
      <c r="AF185" s="51"/>
      <c r="AG185" s="51"/>
      <c r="AH185" s="2"/>
      <c r="AI185" s="51"/>
      <c r="AJ185" s="51"/>
      <c r="AK185" s="51"/>
      <c r="AL185" s="2"/>
      <c r="AM185" s="51"/>
      <c r="AN185" s="51"/>
      <c r="AO185" s="51"/>
      <c r="AP185" s="2"/>
      <c r="AQ185" s="51"/>
      <c r="AR185" s="51"/>
      <c r="AS185" s="51"/>
      <c r="AT185" s="2"/>
      <c r="AU185" s="51"/>
      <c r="AV185" s="51"/>
      <c r="AW185" s="51"/>
      <c r="AX185" s="2"/>
      <c r="AY185" s="51"/>
      <c r="AZ185" s="51"/>
      <c r="BA185" s="51"/>
      <c r="BB185" s="2"/>
      <c r="BC185" s="51"/>
      <c r="BD185" s="51"/>
      <c r="BE185" s="51"/>
      <c r="BF185" s="2"/>
      <c r="BG185" s="51"/>
      <c r="BH185" s="51"/>
      <c r="BI185" s="51"/>
      <c r="BJ185" s="2"/>
      <c r="BK185" s="51"/>
      <c r="BL185" s="51"/>
      <c r="BM185" s="51"/>
      <c r="BN185" s="2"/>
      <c r="BO185" s="51"/>
      <c r="BP185" s="51"/>
      <c r="BQ185" s="51"/>
      <c r="BR185" s="2"/>
      <c r="BS185" s="51"/>
      <c r="BT185" s="51"/>
      <c r="BU185" s="51"/>
      <c r="BV185" s="2"/>
      <c r="BW185" s="51"/>
    </row>
    <row r="186" spans="1:75" x14ac:dyDescent="0.2">
      <c r="A186" s="51"/>
      <c r="B186" s="51"/>
      <c r="C186" s="51"/>
      <c r="D186" s="51"/>
      <c r="E186" s="51"/>
      <c r="F186" s="2"/>
      <c r="G186" s="51"/>
      <c r="H186" s="51"/>
      <c r="I186" s="51"/>
      <c r="J186" s="2"/>
      <c r="K186" s="51"/>
      <c r="L186" s="51"/>
      <c r="M186" s="51"/>
      <c r="N186" s="2"/>
      <c r="O186" s="51"/>
      <c r="P186" s="51"/>
      <c r="Q186" s="51"/>
      <c r="R186" s="2"/>
      <c r="S186" s="51"/>
      <c r="T186" s="51"/>
      <c r="U186" s="51"/>
      <c r="V186" s="2"/>
      <c r="W186" s="51"/>
      <c r="X186" s="51"/>
      <c r="Y186" s="51"/>
      <c r="Z186" s="2"/>
      <c r="AA186" s="51"/>
      <c r="AB186" s="51"/>
      <c r="AC186" s="51"/>
      <c r="AD186" s="2"/>
      <c r="AE186" s="51"/>
      <c r="AF186" s="51"/>
      <c r="AG186" s="51"/>
      <c r="AH186" s="2"/>
      <c r="AI186" s="51"/>
      <c r="AJ186" s="51"/>
      <c r="AK186" s="51"/>
      <c r="AL186" s="2"/>
      <c r="AM186" s="51"/>
      <c r="AN186" s="51"/>
      <c r="AO186" s="51"/>
      <c r="AP186" s="2"/>
      <c r="AQ186" s="51"/>
      <c r="AR186" s="51"/>
      <c r="AS186" s="51"/>
      <c r="AT186" s="2"/>
      <c r="AU186" s="51"/>
      <c r="AV186" s="51"/>
      <c r="AW186" s="51"/>
      <c r="AX186" s="2"/>
      <c r="AY186" s="51"/>
      <c r="AZ186" s="51"/>
      <c r="BA186" s="51"/>
      <c r="BB186" s="2"/>
      <c r="BC186" s="51"/>
      <c r="BD186" s="51"/>
      <c r="BE186" s="51"/>
      <c r="BF186" s="2"/>
      <c r="BG186" s="51"/>
      <c r="BH186" s="51"/>
      <c r="BI186" s="51"/>
      <c r="BJ186" s="2"/>
      <c r="BK186" s="51"/>
      <c r="BL186" s="51"/>
      <c r="BM186" s="51"/>
      <c r="BN186" s="2"/>
      <c r="BO186" s="51"/>
      <c r="BP186" s="51"/>
      <c r="BQ186" s="51"/>
      <c r="BR186" s="2"/>
      <c r="BS186" s="51"/>
      <c r="BT186" s="51"/>
      <c r="BU186" s="51"/>
      <c r="BV186" s="2"/>
      <c r="BW186" s="51"/>
    </row>
    <row r="187" spans="1:75" x14ac:dyDescent="0.2">
      <c r="A187" s="51"/>
      <c r="B187" s="51"/>
      <c r="C187" s="51"/>
      <c r="D187" s="51"/>
      <c r="E187" s="51"/>
      <c r="F187" s="2"/>
      <c r="G187" s="51"/>
      <c r="H187" s="51"/>
      <c r="I187" s="51"/>
      <c r="J187" s="2"/>
      <c r="K187" s="51"/>
      <c r="L187" s="51"/>
      <c r="M187" s="51"/>
      <c r="N187" s="2"/>
      <c r="O187" s="51"/>
      <c r="P187" s="51"/>
      <c r="Q187" s="51"/>
      <c r="R187" s="2"/>
      <c r="S187" s="51"/>
      <c r="T187" s="51"/>
      <c r="U187" s="51"/>
      <c r="V187" s="2"/>
      <c r="W187" s="51"/>
      <c r="X187" s="51"/>
      <c r="Y187" s="51"/>
      <c r="Z187" s="2"/>
      <c r="AA187" s="51"/>
      <c r="AB187" s="51"/>
      <c r="AC187" s="51"/>
      <c r="AD187" s="2"/>
      <c r="AE187" s="51"/>
      <c r="AF187" s="51"/>
      <c r="AG187" s="51"/>
      <c r="AH187" s="2"/>
      <c r="AI187" s="51"/>
      <c r="AJ187" s="51"/>
      <c r="AK187" s="51"/>
      <c r="AL187" s="2"/>
      <c r="AM187" s="51"/>
      <c r="AN187" s="51"/>
      <c r="AO187" s="51"/>
      <c r="AP187" s="2"/>
      <c r="AQ187" s="51"/>
      <c r="AR187" s="51"/>
      <c r="AS187" s="51"/>
      <c r="AT187" s="2"/>
      <c r="AU187" s="51"/>
      <c r="AV187" s="51"/>
      <c r="AW187" s="51"/>
      <c r="AX187" s="2"/>
      <c r="AY187" s="51"/>
      <c r="AZ187" s="51"/>
      <c r="BA187" s="51"/>
      <c r="BB187" s="2"/>
      <c r="BC187" s="51"/>
      <c r="BD187" s="51"/>
      <c r="BE187" s="51"/>
      <c r="BF187" s="2"/>
      <c r="BG187" s="51"/>
      <c r="BH187" s="51"/>
      <c r="BI187" s="51"/>
      <c r="BJ187" s="2"/>
      <c r="BK187" s="51"/>
      <c r="BL187" s="51"/>
      <c r="BM187" s="51"/>
      <c r="BN187" s="2"/>
      <c r="BO187" s="51"/>
      <c r="BP187" s="51"/>
      <c r="BQ187" s="51"/>
      <c r="BR187" s="2"/>
      <c r="BS187" s="51"/>
      <c r="BT187" s="51"/>
      <c r="BU187" s="51"/>
      <c r="BV187" s="2"/>
      <c r="BW187" s="51"/>
    </row>
    <row r="188" spans="1:75" x14ac:dyDescent="0.2">
      <c r="A188" s="51"/>
      <c r="B188" s="51"/>
      <c r="C188" s="51"/>
      <c r="D188" s="51"/>
      <c r="E188" s="51"/>
      <c r="F188" s="2"/>
      <c r="G188" s="51"/>
      <c r="H188" s="51"/>
      <c r="I188" s="51"/>
      <c r="J188" s="2"/>
      <c r="K188" s="51"/>
      <c r="L188" s="51"/>
      <c r="M188" s="51"/>
      <c r="N188" s="2"/>
      <c r="O188" s="51"/>
      <c r="P188" s="51"/>
      <c r="Q188" s="51"/>
      <c r="R188" s="2"/>
      <c r="S188" s="51"/>
      <c r="T188" s="51"/>
      <c r="U188" s="51"/>
      <c r="V188" s="2"/>
      <c r="W188" s="51"/>
      <c r="X188" s="51"/>
      <c r="Y188" s="51"/>
      <c r="Z188" s="2"/>
      <c r="AA188" s="51"/>
      <c r="AB188" s="51"/>
      <c r="AC188" s="51"/>
      <c r="AD188" s="2"/>
      <c r="AE188" s="51"/>
      <c r="AF188" s="51"/>
      <c r="AG188" s="51"/>
      <c r="AH188" s="2"/>
      <c r="AI188" s="51"/>
      <c r="AJ188" s="51"/>
      <c r="AK188" s="51"/>
      <c r="AL188" s="2"/>
      <c r="AM188" s="51"/>
      <c r="AN188" s="51"/>
      <c r="AO188" s="51"/>
      <c r="AP188" s="2"/>
      <c r="AQ188" s="51"/>
      <c r="AR188" s="51"/>
      <c r="AS188" s="51"/>
      <c r="AT188" s="2"/>
      <c r="AU188" s="51"/>
      <c r="AV188" s="51"/>
      <c r="AW188" s="51"/>
      <c r="AX188" s="2"/>
      <c r="AY188" s="51"/>
      <c r="AZ188" s="51"/>
      <c r="BA188" s="51"/>
      <c r="BB188" s="2"/>
      <c r="BC188" s="51"/>
      <c r="BD188" s="51"/>
      <c r="BE188" s="51"/>
      <c r="BF188" s="2"/>
      <c r="BG188" s="51"/>
      <c r="BH188" s="51"/>
      <c r="BI188" s="51"/>
      <c r="BJ188" s="2"/>
      <c r="BK188" s="51"/>
      <c r="BL188" s="51"/>
      <c r="BM188" s="51"/>
      <c r="BN188" s="2"/>
      <c r="BO188" s="51"/>
      <c r="BP188" s="51"/>
      <c r="BQ188" s="51"/>
      <c r="BR188" s="2"/>
      <c r="BS188" s="51"/>
      <c r="BT188" s="51"/>
      <c r="BU188" s="51"/>
      <c r="BV188" s="2"/>
      <c r="BW188" s="51"/>
    </row>
    <row r="189" spans="1:75" x14ac:dyDescent="0.2">
      <c r="A189" s="51"/>
      <c r="B189" s="51"/>
      <c r="C189" s="51"/>
      <c r="D189" s="51"/>
      <c r="E189" s="51"/>
      <c r="F189" s="2"/>
      <c r="G189" s="51"/>
      <c r="H189" s="51"/>
      <c r="I189" s="51"/>
      <c r="J189" s="2"/>
      <c r="K189" s="51"/>
      <c r="L189" s="51"/>
      <c r="M189" s="51"/>
      <c r="N189" s="2"/>
      <c r="O189" s="51"/>
      <c r="P189" s="51"/>
      <c r="Q189" s="51"/>
      <c r="R189" s="2"/>
      <c r="S189" s="51"/>
      <c r="T189" s="51"/>
      <c r="U189" s="51"/>
      <c r="V189" s="2"/>
      <c r="W189" s="51"/>
      <c r="X189" s="51"/>
      <c r="Y189" s="51"/>
      <c r="Z189" s="2"/>
      <c r="AA189" s="51"/>
      <c r="AB189" s="51"/>
      <c r="AC189" s="51"/>
      <c r="AD189" s="2"/>
      <c r="AE189" s="51"/>
      <c r="AF189" s="51"/>
      <c r="AG189" s="51"/>
      <c r="AH189" s="2"/>
      <c r="AI189" s="51"/>
      <c r="AJ189" s="51"/>
      <c r="AK189" s="51"/>
      <c r="AL189" s="2"/>
      <c r="AM189" s="51"/>
      <c r="AN189" s="51"/>
      <c r="AO189" s="51"/>
      <c r="AP189" s="2"/>
      <c r="AQ189" s="51"/>
      <c r="AR189" s="51"/>
      <c r="AS189" s="51"/>
      <c r="AT189" s="2"/>
      <c r="AU189" s="51"/>
      <c r="AV189" s="51"/>
      <c r="AW189" s="51"/>
      <c r="AX189" s="2"/>
      <c r="AY189" s="51"/>
      <c r="AZ189" s="51"/>
      <c r="BA189" s="51"/>
      <c r="BB189" s="2"/>
      <c r="BC189" s="51"/>
      <c r="BD189" s="51"/>
      <c r="BE189" s="51"/>
      <c r="BF189" s="2"/>
      <c r="BG189" s="51"/>
      <c r="BH189" s="51"/>
      <c r="BI189" s="51"/>
      <c r="BJ189" s="2"/>
      <c r="BK189" s="51"/>
      <c r="BL189" s="51"/>
      <c r="BM189" s="51"/>
      <c r="BN189" s="2"/>
      <c r="BO189" s="51"/>
      <c r="BP189" s="51"/>
      <c r="BQ189" s="51"/>
      <c r="BR189" s="2"/>
      <c r="BS189" s="51"/>
      <c r="BT189" s="51"/>
      <c r="BU189" s="51"/>
      <c r="BV189" s="2"/>
      <c r="BW189" s="51"/>
    </row>
    <row r="190" spans="1:75" x14ac:dyDescent="0.2">
      <c r="A190" s="51"/>
      <c r="B190" s="51"/>
      <c r="C190" s="51"/>
      <c r="D190" s="51"/>
      <c r="E190" s="51"/>
      <c r="F190" s="2"/>
      <c r="G190" s="51"/>
      <c r="H190" s="51"/>
      <c r="I190" s="51"/>
      <c r="J190" s="2"/>
      <c r="K190" s="51"/>
      <c r="L190" s="51"/>
      <c r="M190" s="51"/>
      <c r="N190" s="2"/>
      <c r="O190" s="51"/>
      <c r="P190" s="51"/>
      <c r="Q190" s="51"/>
      <c r="R190" s="2"/>
      <c r="S190" s="51"/>
      <c r="T190" s="51"/>
      <c r="U190" s="51"/>
      <c r="V190" s="2"/>
      <c r="W190" s="51"/>
      <c r="X190" s="51"/>
      <c r="Y190" s="51"/>
      <c r="Z190" s="2"/>
      <c r="AA190" s="51"/>
      <c r="AB190" s="51"/>
      <c r="AC190" s="51"/>
      <c r="AD190" s="2"/>
      <c r="AE190" s="51"/>
      <c r="AF190" s="51"/>
      <c r="AG190" s="51"/>
      <c r="AH190" s="2"/>
      <c r="AI190" s="51"/>
      <c r="AJ190" s="51"/>
      <c r="AK190" s="51"/>
      <c r="AL190" s="2"/>
      <c r="AM190" s="51"/>
      <c r="AN190" s="51"/>
      <c r="AO190" s="51"/>
      <c r="AP190" s="2"/>
      <c r="AQ190" s="51"/>
      <c r="AR190" s="51"/>
      <c r="AS190" s="51"/>
      <c r="AT190" s="2"/>
      <c r="AU190" s="51"/>
      <c r="AV190" s="51"/>
      <c r="AW190" s="51"/>
      <c r="AX190" s="2"/>
      <c r="AY190" s="51"/>
      <c r="AZ190" s="51"/>
      <c r="BA190" s="51"/>
      <c r="BB190" s="2"/>
      <c r="BC190" s="51"/>
      <c r="BD190" s="51"/>
      <c r="BE190" s="51"/>
      <c r="BF190" s="2"/>
      <c r="BG190" s="51"/>
      <c r="BH190" s="51"/>
      <c r="BI190" s="51"/>
      <c r="BJ190" s="2"/>
      <c r="BK190" s="51"/>
      <c r="BL190" s="51"/>
      <c r="BM190" s="51"/>
      <c r="BN190" s="2"/>
      <c r="BO190" s="51"/>
      <c r="BP190" s="51"/>
      <c r="BQ190" s="51"/>
      <c r="BR190" s="2"/>
      <c r="BS190" s="51"/>
      <c r="BT190" s="51"/>
      <c r="BU190" s="51"/>
      <c r="BV190" s="2"/>
      <c r="BW190" s="51"/>
    </row>
    <row r="191" spans="1:75" x14ac:dyDescent="0.2">
      <c r="A191" s="51"/>
      <c r="B191" s="51"/>
      <c r="C191" s="51"/>
      <c r="D191" s="51"/>
      <c r="E191" s="51"/>
      <c r="F191" s="2"/>
      <c r="G191" s="51"/>
      <c r="H191" s="51"/>
      <c r="I191" s="51"/>
      <c r="J191" s="2"/>
      <c r="K191" s="51"/>
      <c r="L191" s="51"/>
      <c r="M191" s="51"/>
      <c r="N191" s="2"/>
      <c r="O191" s="51"/>
      <c r="P191" s="51"/>
      <c r="Q191" s="51"/>
      <c r="R191" s="2"/>
      <c r="S191" s="51"/>
      <c r="T191" s="51"/>
      <c r="U191" s="51"/>
      <c r="V191" s="2"/>
      <c r="W191" s="51"/>
      <c r="X191" s="51"/>
      <c r="Y191" s="51"/>
      <c r="Z191" s="2"/>
      <c r="AA191" s="51"/>
      <c r="AB191" s="51"/>
      <c r="AC191" s="51"/>
      <c r="AD191" s="2"/>
      <c r="AE191" s="51"/>
      <c r="AF191" s="51"/>
      <c r="AG191" s="51"/>
      <c r="AH191" s="2"/>
      <c r="AI191" s="51"/>
      <c r="AJ191" s="51"/>
      <c r="AK191" s="51"/>
      <c r="AL191" s="2"/>
      <c r="AM191" s="51"/>
      <c r="AN191" s="51"/>
      <c r="AO191" s="51"/>
      <c r="AP191" s="2"/>
      <c r="AQ191" s="51"/>
      <c r="AR191" s="51"/>
      <c r="AS191" s="51"/>
      <c r="AT191" s="2"/>
      <c r="AU191" s="51"/>
      <c r="AV191" s="51"/>
      <c r="AW191" s="51"/>
      <c r="AX191" s="2"/>
      <c r="AY191" s="51"/>
      <c r="AZ191" s="51"/>
      <c r="BA191" s="51"/>
      <c r="BB191" s="2"/>
      <c r="BC191" s="51"/>
      <c r="BD191" s="51"/>
      <c r="BE191" s="51"/>
      <c r="BF191" s="2"/>
      <c r="BG191" s="51"/>
      <c r="BH191" s="51"/>
      <c r="BI191" s="51"/>
      <c r="BJ191" s="2"/>
      <c r="BK191" s="51"/>
      <c r="BL191" s="51"/>
      <c r="BM191" s="51"/>
      <c r="BN191" s="2"/>
      <c r="BO191" s="51"/>
      <c r="BP191" s="51"/>
      <c r="BQ191" s="51"/>
      <c r="BR191" s="2"/>
      <c r="BS191" s="51"/>
      <c r="BT191" s="51"/>
      <c r="BU191" s="51"/>
      <c r="BV191" s="2"/>
      <c r="BW191" s="51"/>
    </row>
    <row r="192" spans="1:75" x14ac:dyDescent="0.2">
      <c r="A192" s="51"/>
      <c r="B192" s="51"/>
      <c r="C192" s="51"/>
      <c r="D192" s="51"/>
      <c r="E192" s="51"/>
      <c r="F192" s="2"/>
      <c r="G192" s="51"/>
      <c r="H192" s="51"/>
      <c r="I192" s="51"/>
      <c r="J192" s="2"/>
      <c r="K192" s="51"/>
      <c r="L192" s="51"/>
      <c r="M192" s="51"/>
      <c r="N192" s="2"/>
      <c r="O192" s="51"/>
      <c r="P192" s="51"/>
      <c r="Q192" s="51"/>
      <c r="R192" s="2"/>
      <c r="S192" s="51"/>
      <c r="T192" s="51"/>
      <c r="U192" s="51"/>
      <c r="V192" s="2"/>
      <c r="W192" s="51"/>
      <c r="X192" s="51"/>
      <c r="Y192" s="51"/>
      <c r="Z192" s="2"/>
      <c r="AA192" s="51"/>
      <c r="AB192" s="51"/>
      <c r="AC192" s="51"/>
      <c r="AD192" s="2"/>
      <c r="AE192" s="51"/>
      <c r="AF192" s="51"/>
      <c r="AG192" s="51"/>
      <c r="AH192" s="2"/>
      <c r="AI192" s="51"/>
      <c r="AJ192" s="51"/>
      <c r="AK192" s="51"/>
      <c r="AL192" s="2"/>
      <c r="AM192" s="51"/>
      <c r="AN192" s="51"/>
      <c r="AO192" s="51"/>
      <c r="AP192" s="2"/>
      <c r="AQ192" s="51"/>
      <c r="AR192" s="51"/>
      <c r="AS192" s="51"/>
      <c r="AT192" s="2"/>
      <c r="AU192" s="51"/>
      <c r="AV192" s="51"/>
      <c r="AW192" s="51"/>
      <c r="AX192" s="2"/>
      <c r="AY192" s="51"/>
      <c r="AZ192" s="51"/>
      <c r="BA192" s="51"/>
      <c r="BB192" s="2"/>
      <c r="BC192" s="51"/>
      <c r="BD192" s="51"/>
      <c r="BE192" s="51"/>
      <c r="BF192" s="2"/>
      <c r="BG192" s="51"/>
      <c r="BH192" s="51"/>
      <c r="BI192" s="51"/>
      <c r="BJ192" s="2"/>
      <c r="BK192" s="51"/>
      <c r="BL192" s="51"/>
      <c r="BM192" s="51"/>
      <c r="BN192" s="2"/>
      <c r="BO192" s="51"/>
      <c r="BP192" s="51"/>
      <c r="BQ192" s="51"/>
      <c r="BR192" s="2"/>
      <c r="BS192" s="51"/>
      <c r="BT192" s="51"/>
      <c r="BU192" s="51"/>
      <c r="BV192" s="2"/>
      <c r="BW192" s="51"/>
    </row>
    <row r="193" spans="1:75" x14ac:dyDescent="0.2">
      <c r="A193" s="51"/>
      <c r="B193" s="51"/>
      <c r="C193" s="51"/>
      <c r="D193" s="51"/>
      <c r="E193" s="51"/>
      <c r="F193" s="2"/>
      <c r="G193" s="51"/>
      <c r="H193" s="51"/>
      <c r="I193" s="51"/>
      <c r="J193" s="2"/>
      <c r="K193" s="51"/>
      <c r="L193" s="51"/>
      <c r="M193" s="51"/>
      <c r="N193" s="2"/>
      <c r="O193" s="51"/>
      <c r="P193" s="51"/>
      <c r="Q193" s="51"/>
      <c r="R193" s="2"/>
      <c r="S193" s="51"/>
      <c r="T193" s="51"/>
      <c r="U193" s="51"/>
      <c r="V193" s="2"/>
      <c r="W193" s="51"/>
      <c r="X193" s="51"/>
      <c r="Y193" s="51"/>
      <c r="Z193" s="2"/>
      <c r="AA193" s="51"/>
      <c r="AB193" s="51"/>
      <c r="AC193" s="51"/>
      <c r="AD193" s="2"/>
      <c r="AE193" s="51"/>
      <c r="AF193" s="51"/>
      <c r="AG193" s="51"/>
      <c r="AH193" s="2"/>
      <c r="AI193" s="51"/>
      <c r="AJ193" s="51"/>
      <c r="AK193" s="51"/>
      <c r="AL193" s="2"/>
      <c r="AM193" s="51"/>
      <c r="AN193" s="51"/>
      <c r="AO193" s="51"/>
      <c r="AP193" s="2"/>
      <c r="AQ193" s="51"/>
      <c r="AR193" s="51"/>
      <c r="AS193" s="51"/>
      <c r="AT193" s="2"/>
      <c r="AU193" s="51"/>
      <c r="AV193" s="51"/>
      <c r="AW193" s="51"/>
      <c r="AX193" s="2"/>
      <c r="AY193" s="51"/>
      <c r="AZ193" s="51"/>
      <c r="BA193" s="51"/>
      <c r="BB193" s="2"/>
      <c r="BC193" s="51"/>
      <c r="BD193" s="51"/>
      <c r="BE193" s="51"/>
      <c r="BF193" s="2"/>
      <c r="BG193" s="51"/>
      <c r="BH193" s="51"/>
      <c r="BI193" s="51"/>
      <c r="BJ193" s="2"/>
      <c r="BK193" s="51"/>
      <c r="BL193" s="51"/>
      <c r="BM193" s="51"/>
      <c r="BN193" s="2"/>
      <c r="BO193" s="51"/>
      <c r="BP193" s="51"/>
      <c r="BQ193" s="51"/>
      <c r="BR193" s="2"/>
      <c r="BS193" s="51"/>
      <c r="BT193" s="51"/>
      <c r="BU193" s="51"/>
      <c r="BV193" s="2"/>
      <c r="BW193" s="51"/>
    </row>
    <row r="194" spans="1:75" x14ac:dyDescent="0.2">
      <c r="A194" s="51"/>
      <c r="B194" s="51"/>
      <c r="C194" s="51"/>
      <c r="D194" s="51"/>
      <c r="E194" s="51"/>
      <c r="F194" s="2"/>
      <c r="G194" s="51"/>
      <c r="H194" s="51"/>
      <c r="I194" s="51"/>
      <c r="J194" s="2"/>
      <c r="K194" s="51"/>
      <c r="L194" s="51"/>
      <c r="M194" s="51"/>
      <c r="N194" s="2"/>
      <c r="O194" s="51"/>
      <c r="P194" s="51"/>
      <c r="Q194" s="51"/>
      <c r="R194" s="2"/>
      <c r="S194" s="51"/>
      <c r="T194" s="51"/>
      <c r="U194" s="51"/>
      <c r="V194" s="2"/>
      <c r="W194" s="51"/>
      <c r="X194" s="51"/>
      <c r="Y194" s="51"/>
      <c r="Z194" s="2"/>
      <c r="AA194" s="51"/>
      <c r="AB194" s="51"/>
      <c r="AC194" s="51"/>
      <c r="AD194" s="2"/>
      <c r="AE194" s="51"/>
      <c r="AF194" s="51"/>
      <c r="AG194" s="51"/>
      <c r="AH194" s="2"/>
      <c r="AI194" s="51"/>
      <c r="AJ194" s="51"/>
      <c r="AK194" s="51"/>
      <c r="AL194" s="2"/>
      <c r="AM194" s="51"/>
      <c r="AN194" s="51"/>
      <c r="AO194" s="51"/>
      <c r="AP194" s="2"/>
      <c r="AQ194" s="51"/>
      <c r="AR194" s="51"/>
      <c r="AS194" s="51"/>
      <c r="AT194" s="2"/>
      <c r="AU194" s="51"/>
      <c r="AV194" s="51"/>
      <c r="AW194" s="51"/>
      <c r="AX194" s="2"/>
      <c r="AY194" s="51"/>
      <c r="AZ194" s="51"/>
      <c r="BA194" s="51"/>
      <c r="BB194" s="2"/>
      <c r="BC194" s="51"/>
      <c r="BD194" s="51"/>
      <c r="BE194" s="51"/>
      <c r="BF194" s="2"/>
      <c r="BG194" s="51"/>
      <c r="BH194" s="51"/>
      <c r="BI194" s="51"/>
      <c r="BJ194" s="2"/>
      <c r="BK194" s="51"/>
      <c r="BL194" s="51"/>
      <c r="BM194" s="51"/>
      <c r="BN194" s="2"/>
      <c r="BO194" s="51"/>
      <c r="BP194" s="51"/>
      <c r="BQ194" s="51"/>
      <c r="BR194" s="2"/>
      <c r="BS194" s="51"/>
      <c r="BT194" s="51"/>
      <c r="BU194" s="51"/>
      <c r="BV194" s="2"/>
      <c r="BW194" s="51"/>
    </row>
    <row r="195" spans="1:75" x14ac:dyDescent="0.2">
      <c r="A195" s="51"/>
      <c r="B195" s="51"/>
      <c r="C195" s="51"/>
      <c r="D195" s="51"/>
      <c r="E195" s="51"/>
      <c r="F195" s="2"/>
      <c r="G195" s="51"/>
      <c r="H195" s="51"/>
      <c r="I195" s="51"/>
      <c r="J195" s="2"/>
      <c r="K195" s="51"/>
      <c r="L195" s="51"/>
      <c r="M195" s="51"/>
      <c r="N195" s="2"/>
      <c r="O195" s="51"/>
      <c r="P195" s="51"/>
      <c r="Q195" s="51"/>
      <c r="R195" s="2"/>
      <c r="S195" s="51"/>
      <c r="T195" s="51"/>
      <c r="U195" s="51"/>
      <c r="V195" s="2"/>
      <c r="W195" s="51"/>
      <c r="X195" s="51"/>
      <c r="Y195" s="51"/>
      <c r="Z195" s="2"/>
      <c r="AA195" s="51"/>
      <c r="AB195" s="51"/>
      <c r="AC195" s="51"/>
      <c r="AD195" s="2"/>
      <c r="AE195" s="51"/>
      <c r="AF195" s="51"/>
      <c r="AG195" s="51"/>
      <c r="AH195" s="2"/>
      <c r="AI195" s="51"/>
      <c r="AJ195" s="51"/>
      <c r="AK195" s="51"/>
      <c r="AL195" s="2"/>
      <c r="AM195" s="51"/>
      <c r="AN195" s="51"/>
      <c r="AO195" s="51"/>
      <c r="AP195" s="2"/>
      <c r="AQ195" s="51"/>
      <c r="AR195" s="51"/>
      <c r="AS195" s="51"/>
      <c r="AT195" s="2"/>
      <c r="AU195" s="51"/>
      <c r="AV195" s="51"/>
      <c r="AW195" s="51"/>
      <c r="AX195" s="2"/>
      <c r="AY195" s="51"/>
      <c r="AZ195" s="51"/>
      <c r="BA195" s="51"/>
      <c r="BB195" s="2"/>
      <c r="BC195" s="51"/>
      <c r="BD195" s="51"/>
      <c r="BE195" s="51"/>
      <c r="BF195" s="2"/>
      <c r="BG195" s="51"/>
      <c r="BH195" s="51"/>
      <c r="BI195" s="51"/>
      <c r="BJ195" s="2"/>
      <c r="BK195" s="51"/>
      <c r="BL195" s="51"/>
      <c r="BM195" s="51"/>
      <c r="BN195" s="2"/>
      <c r="BO195" s="51"/>
      <c r="BP195" s="51"/>
      <c r="BQ195" s="51"/>
      <c r="BR195" s="2"/>
      <c r="BS195" s="51"/>
      <c r="BT195" s="51"/>
      <c r="BU195" s="51"/>
      <c r="BV195" s="2"/>
      <c r="BW195" s="51"/>
    </row>
    <row r="196" spans="1:75" x14ac:dyDescent="0.2">
      <c r="A196" s="51"/>
      <c r="B196" s="51"/>
      <c r="C196" s="51"/>
      <c r="D196" s="51"/>
      <c r="E196" s="51"/>
      <c r="F196" s="2"/>
      <c r="G196" s="51"/>
      <c r="H196" s="51"/>
      <c r="I196" s="51"/>
      <c r="J196" s="2"/>
      <c r="K196" s="51"/>
      <c r="L196" s="51"/>
      <c r="M196" s="51"/>
      <c r="N196" s="2"/>
      <c r="O196" s="51"/>
      <c r="P196" s="51"/>
      <c r="Q196" s="51"/>
      <c r="R196" s="2"/>
      <c r="S196" s="51"/>
      <c r="T196" s="51"/>
      <c r="U196" s="51"/>
      <c r="V196" s="2"/>
      <c r="W196" s="51"/>
      <c r="X196" s="51"/>
      <c r="Y196" s="51"/>
      <c r="Z196" s="2"/>
      <c r="AA196" s="51"/>
      <c r="AB196" s="51"/>
      <c r="AC196" s="51"/>
      <c r="AD196" s="2"/>
      <c r="AE196" s="51"/>
      <c r="AF196" s="51"/>
      <c r="AG196" s="51"/>
      <c r="AH196" s="2"/>
      <c r="AI196" s="51"/>
      <c r="AJ196" s="51"/>
      <c r="AK196" s="51"/>
      <c r="AL196" s="2"/>
      <c r="AM196" s="51"/>
      <c r="AN196" s="51"/>
      <c r="AO196" s="51"/>
      <c r="AP196" s="2"/>
      <c r="AQ196" s="51"/>
      <c r="AR196" s="51"/>
      <c r="AS196" s="51"/>
      <c r="AT196" s="2"/>
      <c r="AU196" s="51"/>
      <c r="AV196" s="51"/>
      <c r="AW196" s="51"/>
      <c r="AX196" s="2"/>
      <c r="AY196" s="51"/>
      <c r="AZ196" s="51"/>
      <c r="BA196" s="51"/>
      <c r="BB196" s="2"/>
      <c r="BC196" s="51"/>
      <c r="BD196" s="51"/>
      <c r="BE196" s="51"/>
      <c r="BF196" s="2"/>
      <c r="BG196" s="51"/>
      <c r="BH196" s="51"/>
      <c r="BI196" s="51"/>
      <c r="BJ196" s="2"/>
      <c r="BK196" s="51"/>
      <c r="BL196" s="51"/>
      <c r="BM196" s="51"/>
      <c r="BN196" s="2"/>
      <c r="BO196" s="51"/>
      <c r="BP196" s="51"/>
      <c r="BQ196" s="51"/>
      <c r="BR196" s="2"/>
      <c r="BS196" s="51"/>
      <c r="BT196" s="51"/>
      <c r="BU196" s="51"/>
      <c r="BV196" s="2"/>
      <c r="BW196" s="51"/>
    </row>
    <row r="197" spans="1:75" x14ac:dyDescent="0.2">
      <c r="A197" s="51"/>
      <c r="B197" s="51"/>
      <c r="C197" s="51"/>
      <c r="D197" s="51"/>
      <c r="E197" s="51"/>
      <c r="F197" s="2"/>
      <c r="G197" s="51"/>
      <c r="H197" s="51"/>
      <c r="I197" s="51"/>
      <c r="J197" s="2"/>
      <c r="K197" s="51"/>
      <c r="L197" s="51"/>
      <c r="M197" s="51"/>
      <c r="N197" s="2"/>
      <c r="O197" s="51"/>
      <c r="P197" s="51"/>
      <c r="Q197" s="51"/>
      <c r="R197" s="2"/>
      <c r="S197" s="51"/>
      <c r="T197" s="51"/>
      <c r="U197" s="51"/>
      <c r="V197" s="2"/>
      <c r="W197" s="51"/>
      <c r="X197" s="51"/>
      <c r="Y197" s="51"/>
      <c r="Z197" s="2"/>
      <c r="AA197" s="51"/>
      <c r="AB197" s="51"/>
      <c r="AC197" s="51"/>
      <c r="AD197" s="2"/>
      <c r="AE197" s="51"/>
      <c r="AF197" s="51"/>
      <c r="AG197" s="51"/>
      <c r="AH197" s="2"/>
      <c r="AI197" s="51"/>
      <c r="AJ197" s="51"/>
      <c r="AK197" s="51"/>
      <c r="AL197" s="2"/>
      <c r="AM197" s="51"/>
      <c r="AN197" s="51"/>
      <c r="AO197" s="51"/>
      <c r="AP197" s="2"/>
      <c r="AQ197" s="51"/>
      <c r="AR197" s="51"/>
      <c r="AS197" s="51"/>
      <c r="AT197" s="2"/>
      <c r="AU197" s="51"/>
      <c r="AV197" s="51"/>
      <c r="AW197" s="51"/>
      <c r="AX197" s="2"/>
      <c r="AY197" s="51"/>
      <c r="AZ197" s="51"/>
      <c r="BA197" s="51"/>
      <c r="BB197" s="2"/>
      <c r="BC197" s="51"/>
      <c r="BD197" s="51"/>
      <c r="BE197" s="51"/>
      <c r="BF197" s="2"/>
      <c r="BG197" s="51"/>
      <c r="BH197" s="51"/>
      <c r="BI197" s="51"/>
      <c r="BJ197" s="2"/>
      <c r="BK197" s="51"/>
      <c r="BL197" s="51"/>
      <c r="BM197" s="51"/>
      <c r="BN197" s="2"/>
      <c r="BO197" s="51"/>
      <c r="BP197" s="51"/>
      <c r="BQ197" s="51"/>
      <c r="BR197" s="2"/>
      <c r="BS197" s="51"/>
      <c r="BT197" s="51"/>
      <c r="BU197" s="51"/>
      <c r="BV197" s="2"/>
      <c r="BW197" s="51"/>
    </row>
    <row r="198" spans="1:75" x14ac:dyDescent="0.2">
      <c r="A198" s="51"/>
      <c r="B198" s="51"/>
      <c r="C198" s="51"/>
      <c r="D198" s="51"/>
      <c r="E198" s="51"/>
      <c r="F198" s="2"/>
      <c r="G198" s="51"/>
      <c r="H198" s="51"/>
      <c r="I198" s="51"/>
      <c r="J198" s="2"/>
      <c r="K198" s="51"/>
      <c r="L198" s="51"/>
      <c r="M198" s="51"/>
      <c r="N198" s="2"/>
      <c r="O198" s="51"/>
      <c r="P198" s="51"/>
      <c r="Q198" s="51"/>
      <c r="R198" s="2"/>
      <c r="S198" s="51"/>
      <c r="T198" s="51"/>
      <c r="U198" s="51"/>
      <c r="V198" s="2"/>
      <c r="W198" s="51"/>
      <c r="X198" s="51"/>
      <c r="Y198" s="51"/>
      <c r="Z198" s="2"/>
      <c r="AA198" s="51"/>
      <c r="AB198" s="51"/>
      <c r="AC198" s="51"/>
      <c r="AD198" s="2"/>
      <c r="AE198" s="51"/>
      <c r="AF198" s="51"/>
      <c r="AG198" s="51"/>
      <c r="AH198" s="2"/>
      <c r="AI198" s="51"/>
      <c r="AJ198" s="51"/>
      <c r="AK198" s="51"/>
      <c r="AL198" s="2"/>
      <c r="AM198" s="51"/>
      <c r="AN198" s="51"/>
      <c r="AO198" s="51"/>
      <c r="AP198" s="2"/>
      <c r="AQ198" s="51"/>
      <c r="AR198" s="51"/>
      <c r="AS198" s="51"/>
      <c r="AT198" s="2"/>
      <c r="AU198" s="51"/>
      <c r="AV198" s="51"/>
      <c r="AW198" s="51"/>
      <c r="AX198" s="2"/>
      <c r="AY198" s="51"/>
      <c r="AZ198" s="51"/>
      <c r="BA198" s="51"/>
      <c r="BB198" s="2"/>
      <c r="BC198" s="51"/>
      <c r="BD198" s="51"/>
      <c r="BE198" s="51"/>
      <c r="BF198" s="2"/>
      <c r="BG198" s="51"/>
      <c r="BH198" s="51"/>
      <c r="BI198" s="51"/>
      <c r="BJ198" s="2"/>
      <c r="BK198" s="51"/>
      <c r="BL198" s="51"/>
      <c r="BM198" s="51"/>
      <c r="BN198" s="2"/>
      <c r="BO198" s="51"/>
      <c r="BP198" s="51"/>
      <c r="BQ198" s="51"/>
      <c r="BR198" s="2"/>
      <c r="BS198" s="51"/>
      <c r="BT198" s="51"/>
      <c r="BU198" s="51"/>
      <c r="BV198" s="2"/>
      <c r="BW198" s="51"/>
    </row>
    <row r="199" spans="1:75" x14ac:dyDescent="0.2">
      <c r="A199" s="51"/>
      <c r="B199" s="51"/>
      <c r="C199" s="51"/>
      <c r="D199" s="51"/>
      <c r="E199" s="51"/>
      <c r="F199" s="2"/>
      <c r="G199" s="51"/>
      <c r="H199" s="51"/>
      <c r="I199" s="51"/>
      <c r="J199" s="2"/>
      <c r="K199" s="51"/>
      <c r="L199" s="51"/>
      <c r="M199" s="51"/>
      <c r="N199" s="2"/>
      <c r="O199" s="51"/>
      <c r="P199" s="51"/>
      <c r="Q199" s="51"/>
      <c r="R199" s="2"/>
      <c r="S199" s="51"/>
      <c r="T199" s="51"/>
      <c r="U199" s="51"/>
      <c r="V199" s="2"/>
      <c r="W199" s="51"/>
      <c r="X199" s="51"/>
      <c r="Y199" s="51"/>
      <c r="Z199" s="2"/>
      <c r="AA199" s="51"/>
      <c r="AB199" s="51"/>
      <c r="AC199" s="51"/>
      <c r="AD199" s="2"/>
      <c r="AE199" s="51"/>
      <c r="AF199" s="51"/>
      <c r="AG199" s="51"/>
      <c r="AH199" s="2"/>
      <c r="AI199" s="51"/>
      <c r="AJ199" s="51"/>
      <c r="AK199" s="51"/>
      <c r="AL199" s="2"/>
      <c r="AM199" s="51"/>
      <c r="AN199" s="51"/>
      <c r="AO199" s="51"/>
      <c r="AP199" s="2"/>
      <c r="AQ199" s="51"/>
      <c r="AR199" s="51"/>
      <c r="AS199" s="51"/>
      <c r="AT199" s="2"/>
      <c r="AU199" s="51"/>
      <c r="AV199" s="51"/>
      <c r="AW199" s="51"/>
      <c r="AX199" s="2"/>
      <c r="AY199" s="51"/>
      <c r="AZ199" s="51"/>
      <c r="BA199" s="51"/>
      <c r="BB199" s="2"/>
      <c r="BC199" s="51"/>
      <c r="BD199" s="51"/>
      <c r="BE199" s="51"/>
      <c r="BF199" s="2"/>
      <c r="BG199" s="51"/>
      <c r="BH199" s="51"/>
      <c r="BI199" s="51"/>
      <c r="BJ199" s="2"/>
      <c r="BK199" s="51"/>
      <c r="BL199" s="51"/>
      <c r="BM199" s="51"/>
      <c r="BN199" s="2"/>
      <c r="BO199" s="51"/>
      <c r="BP199" s="51"/>
      <c r="BQ199" s="51"/>
      <c r="BR199" s="2"/>
      <c r="BS199" s="51"/>
      <c r="BT199" s="51"/>
      <c r="BU199" s="51"/>
      <c r="BV199" s="2"/>
      <c r="BW199" s="51"/>
    </row>
    <row r="200" spans="1:75" x14ac:dyDescent="0.2">
      <c r="A200" s="51"/>
      <c r="B200" s="51"/>
      <c r="C200" s="51"/>
      <c r="D200" s="51"/>
      <c r="E200" s="51"/>
      <c r="F200" s="2"/>
      <c r="G200" s="51"/>
      <c r="H200" s="51"/>
      <c r="I200" s="51"/>
      <c r="J200" s="2"/>
      <c r="K200" s="51"/>
      <c r="L200" s="51"/>
      <c r="M200" s="51"/>
      <c r="N200" s="2"/>
      <c r="O200" s="51"/>
      <c r="P200" s="51"/>
      <c r="Q200" s="51"/>
      <c r="R200" s="2"/>
      <c r="S200" s="51"/>
      <c r="T200" s="51"/>
      <c r="U200" s="51"/>
      <c r="V200" s="2"/>
      <c r="W200" s="51"/>
      <c r="X200" s="51"/>
      <c r="Y200" s="51"/>
      <c r="Z200" s="2"/>
      <c r="AA200" s="51"/>
      <c r="AB200" s="51"/>
      <c r="AC200" s="51"/>
      <c r="AD200" s="2"/>
      <c r="AE200" s="51"/>
      <c r="AF200" s="51"/>
      <c r="AG200" s="51"/>
      <c r="AH200" s="2"/>
      <c r="AI200" s="51"/>
      <c r="AJ200" s="51"/>
      <c r="AK200" s="51"/>
      <c r="AL200" s="2"/>
      <c r="AM200" s="51"/>
      <c r="AN200" s="51"/>
      <c r="AO200" s="51"/>
      <c r="AP200" s="2"/>
      <c r="AQ200" s="51"/>
      <c r="AR200" s="51"/>
      <c r="AS200" s="51"/>
      <c r="AT200" s="2"/>
      <c r="AU200" s="51"/>
      <c r="AV200" s="51"/>
      <c r="AW200" s="51"/>
      <c r="AX200" s="2"/>
      <c r="AY200" s="51"/>
      <c r="AZ200" s="51"/>
      <c r="BA200" s="51"/>
      <c r="BB200" s="2"/>
      <c r="BC200" s="51"/>
      <c r="BD200" s="51"/>
      <c r="BE200" s="51"/>
      <c r="BF200" s="2"/>
      <c r="BG200" s="51"/>
      <c r="BH200" s="51"/>
      <c r="BI200" s="51"/>
      <c r="BJ200" s="2"/>
      <c r="BK200" s="51"/>
      <c r="BL200" s="51"/>
      <c r="BM200" s="51"/>
      <c r="BN200" s="2"/>
      <c r="BO200" s="51"/>
      <c r="BP200" s="51"/>
      <c r="BQ200" s="51"/>
      <c r="BR200" s="2"/>
      <c r="BS200" s="51"/>
      <c r="BT200" s="51"/>
      <c r="BU200" s="51"/>
      <c r="BV200" s="2"/>
      <c r="BW200" s="51"/>
    </row>
    <row r="201" spans="1:75" x14ac:dyDescent="0.2">
      <c r="A201" s="51"/>
      <c r="B201" s="51"/>
      <c r="C201" s="51"/>
      <c r="D201" s="51"/>
      <c r="E201" s="51"/>
      <c r="F201" s="2"/>
      <c r="G201" s="51"/>
      <c r="H201" s="51"/>
      <c r="I201" s="51"/>
      <c r="J201" s="2"/>
      <c r="K201" s="51"/>
      <c r="L201" s="51"/>
      <c r="M201" s="51"/>
      <c r="N201" s="2"/>
      <c r="O201" s="51"/>
      <c r="P201" s="51"/>
      <c r="Q201" s="51"/>
      <c r="R201" s="2"/>
      <c r="S201" s="51"/>
      <c r="T201" s="51"/>
      <c r="U201" s="51"/>
      <c r="V201" s="2"/>
      <c r="W201" s="51"/>
      <c r="X201" s="51"/>
      <c r="Y201" s="51"/>
      <c r="Z201" s="2"/>
      <c r="AA201" s="51"/>
      <c r="AB201" s="51"/>
      <c r="AC201" s="51"/>
      <c r="AD201" s="2"/>
      <c r="AE201" s="51"/>
      <c r="AF201" s="51"/>
      <c r="AG201" s="51"/>
      <c r="AH201" s="2"/>
      <c r="AI201" s="51"/>
      <c r="AJ201" s="51"/>
      <c r="AK201" s="51"/>
      <c r="AL201" s="2"/>
      <c r="AM201" s="51"/>
      <c r="AN201" s="51"/>
      <c r="AO201" s="51"/>
      <c r="AP201" s="2"/>
      <c r="AQ201" s="51"/>
      <c r="AR201" s="51"/>
      <c r="AS201" s="51"/>
      <c r="AT201" s="2"/>
      <c r="AU201" s="51"/>
      <c r="AV201" s="51"/>
      <c r="AW201" s="51"/>
      <c r="AX201" s="2"/>
      <c r="AY201" s="51"/>
      <c r="AZ201" s="51"/>
      <c r="BA201" s="51"/>
      <c r="BB201" s="2"/>
      <c r="BC201" s="51"/>
      <c r="BD201" s="51"/>
      <c r="BE201" s="51"/>
      <c r="BF201" s="2"/>
      <c r="BG201" s="51"/>
      <c r="BH201" s="51"/>
      <c r="BI201" s="51"/>
      <c r="BJ201" s="2"/>
      <c r="BK201" s="51"/>
      <c r="BL201" s="51"/>
      <c r="BM201" s="51"/>
      <c r="BN201" s="2"/>
      <c r="BO201" s="51"/>
      <c r="BP201" s="51"/>
      <c r="BQ201" s="51"/>
      <c r="BR201" s="2"/>
      <c r="BS201" s="51"/>
      <c r="BT201" s="51"/>
      <c r="BU201" s="51"/>
      <c r="BV201" s="2"/>
      <c r="BW201" s="51"/>
    </row>
    <row r="202" spans="1:75" x14ac:dyDescent="0.2">
      <c r="A202" s="51"/>
      <c r="B202" s="51"/>
      <c r="C202" s="51"/>
      <c r="D202" s="51"/>
      <c r="E202" s="51"/>
      <c r="F202" s="2"/>
      <c r="G202" s="51"/>
      <c r="H202" s="51"/>
      <c r="I202" s="51"/>
      <c r="J202" s="2"/>
      <c r="K202" s="51"/>
      <c r="L202" s="51"/>
      <c r="M202" s="51"/>
      <c r="N202" s="2"/>
      <c r="O202" s="51"/>
      <c r="P202" s="51"/>
      <c r="Q202" s="51"/>
      <c r="R202" s="2"/>
      <c r="S202" s="51"/>
      <c r="T202" s="51"/>
      <c r="U202" s="51"/>
      <c r="V202" s="2"/>
      <c r="W202" s="51"/>
      <c r="X202" s="51"/>
      <c r="Y202" s="51"/>
      <c r="Z202" s="2"/>
      <c r="AA202" s="51"/>
      <c r="AB202" s="51"/>
      <c r="AC202" s="51"/>
      <c r="AD202" s="2"/>
      <c r="AE202" s="51"/>
      <c r="AF202" s="51"/>
      <c r="AG202" s="51"/>
      <c r="AH202" s="2"/>
      <c r="AI202" s="51"/>
      <c r="AJ202" s="51"/>
      <c r="AK202" s="51"/>
      <c r="AL202" s="2"/>
      <c r="AM202" s="51"/>
      <c r="AN202" s="51"/>
      <c r="AO202" s="51"/>
      <c r="AP202" s="2"/>
      <c r="AQ202" s="51"/>
      <c r="AR202" s="51"/>
      <c r="AS202" s="51"/>
      <c r="AT202" s="2"/>
      <c r="AU202" s="51"/>
      <c r="AV202" s="51"/>
      <c r="AW202" s="51"/>
      <c r="AX202" s="2"/>
      <c r="AY202" s="51"/>
      <c r="AZ202" s="51"/>
      <c r="BA202" s="51"/>
      <c r="BB202" s="2"/>
      <c r="BC202" s="51"/>
      <c r="BD202" s="51"/>
      <c r="BE202" s="51"/>
      <c r="BF202" s="2"/>
      <c r="BG202" s="51"/>
      <c r="BH202" s="51"/>
      <c r="BI202" s="51"/>
      <c r="BJ202" s="2"/>
      <c r="BK202" s="51"/>
      <c r="BL202" s="51"/>
      <c r="BM202" s="51"/>
      <c r="BN202" s="2"/>
      <c r="BO202" s="51"/>
      <c r="BP202" s="51"/>
      <c r="BQ202" s="51"/>
      <c r="BR202" s="2"/>
      <c r="BS202" s="51"/>
      <c r="BT202" s="51"/>
      <c r="BU202" s="51"/>
      <c r="BV202" s="2"/>
      <c r="BW202" s="51"/>
    </row>
    <row r="203" spans="1:75" x14ac:dyDescent="0.2">
      <c r="A203" s="51"/>
      <c r="B203" s="51"/>
      <c r="C203" s="51"/>
      <c r="D203" s="51"/>
      <c r="E203" s="51"/>
      <c r="F203" s="2"/>
      <c r="G203" s="51"/>
      <c r="H203" s="51"/>
      <c r="I203" s="51"/>
      <c r="J203" s="2"/>
      <c r="K203" s="51"/>
      <c r="L203" s="51"/>
      <c r="M203" s="51"/>
      <c r="N203" s="2"/>
      <c r="O203" s="51"/>
      <c r="P203" s="51"/>
      <c r="Q203" s="51"/>
      <c r="R203" s="2"/>
      <c r="S203" s="51"/>
      <c r="T203" s="51"/>
      <c r="U203" s="51"/>
      <c r="V203" s="2"/>
      <c r="W203" s="51"/>
      <c r="X203" s="51"/>
      <c r="Y203" s="51"/>
      <c r="Z203" s="2"/>
      <c r="AA203" s="51"/>
      <c r="AB203" s="51"/>
      <c r="AC203" s="51"/>
      <c r="AD203" s="2"/>
      <c r="AE203" s="51"/>
      <c r="AF203" s="51"/>
      <c r="AG203" s="51"/>
      <c r="AH203" s="2"/>
      <c r="AI203" s="51"/>
      <c r="AJ203" s="51"/>
      <c r="AK203" s="51"/>
      <c r="AL203" s="2"/>
      <c r="AM203" s="51"/>
      <c r="AN203" s="51"/>
      <c r="AO203" s="51"/>
      <c r="AP203" s="2"/>
      <c r="AQ203" s="51"/>
      <c r="AR203" s="51"/>
      <c r="AS203" s="51"/>
      <c r="AT203" s="2"/>
      <c r="AU203" s="51"/>
      <c r="AV203" s="51"/>
      <c r="AW203" s="51"/>
      <c r="AX203" s="2"/>
      <c r="AY203" s="51"/>
      <c r="AZ203" s="51"/>
      <c r="BA203" s="51"/>
      <c r="BB203" s="2"/>
      <c r="BC203" s="51"/>
      <c r="BD203" s="51"/>
      <c r="BE203" s="51"/>
      <c r="BF203" s="2"/>
      <c r="BG203" s="51"/>
      <c r="BH203" s="51"/>
      <c r="BI203" s="51"/>
      <c r="BJ203" s="2"/>
      <c r="BK203" s="51"/>
      <c r="BL203" s="51"/>
      <c r="BM203" s="51"/>
      <c r="BN203" s="2"/>
      <c r="BO203" s="51"/>
      <c r="BP203" s="51"/>
      <c r="BQ203" s="51"/>
      <c r="BR203" s="2"/>
      <c r="BS203" s="51"/>
      <c r="BT203" s="51"/>
      <c r="BU203" s="51"/>
      <c r="BV203" s="2"/>
      <c r="BW203" s="51"/>
    </row>
    <row r="204" spans="1:75" x14ac:dyDescent="0.2">
      <c r="A204" s="51"/>
      <c r="B204" s="51"/>
      <c r="C204" s="51"/>
      <c r="D204" s="51"/>
      <c r="E204" s="51"/>
      <c r="F204" s="2"/>
      <c r="G204" s="51"/>
      <c r="H204" s="51"/>
      <c r="I204" s="51"/>
      <c r="J204" s="2"/>
      <c r="K204" s="51"/>
      <c r="L204" s="51"/>
      <c r="M204" s="51"/>
      <c r="N204" s="2"/>
      <c r="O204" s="51"/>
      <c r="P204" s="51"/>
      <c r="Q204" s="51"/>
      <c r="R204" s="2"/>
      <c r="S204" s="51"/>
      <c r="T204" s="51"/>
      <c r="U204" s="51"/>
      <c r="V204" s="2"/>
      <c r="W204" s="51"/>
      <c r="X204" s="51"/>
      <c r="Y204" s="51"/>
      <c r="Z204" s="2"/>
      <c r="AA204" s="51"/>
      <c r="AB204" s="51"/>
      <c r="AC204" s="51"/>
      <c r="AD204" s="2"/>
      <c r="AE204" s="51"/>
      <c r="AF204" s="51"/>
      <c r="AG204" s="51"/>
      <c r="AH204" s="2"/>
      <c r="AI204" s="51"/>
      <c r="AJ204" s="51"/>
      <c r="AK204" s="51"/>
      <c r="AL204" s="2"/>
      <c r="AM204" s="51"/>
      <c r="AN204" s="51"/>
      <c r="AO204" s="51"/>
      <c r="AP204" s="2"/>
      <c r="AQ204" s="51"/>
      <c r="AR204" s="51"/>
      <c r="AS204" s="51"/>
      <c r="AT204" s="2"/>
      <c r="AU204" s="51"/>
      <c r="AV204" s="51"/>
      <c r="AW204" s="51"/>
      <c r="AX204" s="2"/>
      <c r="AY204" s="51"/>
      <c r="AZ204" s="51"/>
      <c r="BA204" s="51"/>
      <c r="BB204" s="2"/>
      <c r="BC204" s="51"/>
      <c r="BD204" s="51"/>
      <c r="BE204" s="51"/>
      <c r="BF204" s="2"/>
      <c r="BG204" s="51"/>
      <c r="BH204" s="51"/>
      <c r="BI204" s="51"/>
      <c r="BJ204" s="2"/>
      <c r="BK204" s="51"/>
      <c r="BL204" s="51"/>
      <c r="BM204" s="51"/>
      <c r="BN204" s="2"/>
      <c r="BO204" s="51"/>
      <c r="BP204" s="51"/>
      <c r="BQ204" s="51"/>
      <c r="BR204" s="2"/>
      <c r="BS204" s="51"/>
      <c r="BT204" s="51"/>
      <c r="BU204" s="51"/>
      <c r="BV204" s="2"/>
      <c r="BW204" s="51"/>
    </row>
    <row r="205" spans="1:75" x14ac:dyDescent="0.2">
      <c r="A205" s="51"/>
      <c r="B205" s="51"/>
      <c r="C205" s="51"/>
      <c r="D205" s="51"/>
      <c r="E205" s="51"/>
      <c r="F205" s="2"/>
      <c r="G205" s="51"/>
      <c r="H205" s="51"/>
      <c r="I205" s="51"/>
      <c r="J205" s="2"/>
      <c r="K205" s="51"/>
      <c r="L205" s="51"/>
      <c r="M205" s="51"/>
      <c r="N205" s="2"/>
      <c r="O205" s="51"/>
      <c r="P205" s="51"/>
      <c r="Q205" s="51"/>
      <c r="R205" s="2"/>
      <c r="S205" s="51"/>
      <c r="T205" s="51"/>
      <c r="U205" s="51"/>
      <c r="V205" s="2"/>
      <c r="W205" s="51"/>
      <c r="X205" s="51"/>
      <c r="Y205" s="51"/>
      <c r="Z205" s="2"/>
      <c r="AA205" s="51"/>
      <c r="AB205" s="51"/>
      <c r="AC205" s="51"/>
      <c r="AD205" s="2"/>
      <c r="AE205" s="51"/>
      <c r="AF205" s="51"/>
      <c r="AG205" s="51"/>
      <c r="AH205" s="2"/>
      <c r="AI205" s="51"/>
      <c r="AJ205" s="51"/>
      <c r="AK205" s="51"/>
      <c r="AL205" s="2"/>
      <c r="AM205" s="51"/>
      <c r="AN205" s="51"/>
      <c r="AO205" s="51"/>
      <c r="AP205" s="2"/>
      <c r="AQ205" s="51"/>
      <c r="AR205" s="51"/>
      <c r="AS205" s="51"/>
      <c r="AT205" s="2"/>
      <c r="AU205" s="51"/>
      <c r="AV205" s="51"/>
      <c r="AW205" s="51"/>
      <c r="AX205" s="2"/>
      <c r="AY205" s="51"/>
      <c r="AZ205" s="51"/>
      <c r="BA205" s="51"/>
      <c r="BB205" s="2"/>
      <c r="BC205" s="51"/>
      <c r="BD205" s="51"/>
      <c r="BE205" s="51"/>
      <c r="BF205" s="2"/>
      <c r="BG205" s="51"/>
      <c r="BH205" s="51"/>
      <c r="BI205" s="51"/>
      <c r="BJ205" s="2"/>
      <c r="BK205" s="51"/>
      <c r="BL205" s="51"/>
      <c r="BM205" s="51"/>
      <c r="BN205" s="2"/>
      <c r="BO205" s="51"/>
      <c r="BP205" s="51"/>
      <c r="BQ205" s="51"/>
      <c r="BR205" s="2"/>
      <c r="BS205" s="51"/>
      <c r="BT205" s="51"/>
      <c r="BU205" s="51"/>
      <c r="BV205" s="2"/>
      <c r="BW205" s="51"/>
    </row>
    <row r="206" spans="1:75" x14ac:dyDescent="0.2">
      <c r="A206" s="51"/>
      <c r="B206" s="51"/>
      <c r="C206" s="51"/>
      <c r="D206" s="51"/>
      <c r="E206" s="51"/>
      <c r="F206" s="2"/>
      <c r="G206" s="51"/>
      <c r="H206" s="51"/>
      <c r="I206" s="51"/>
      <c r="J206" s="2"/>
      <c r="K206" s="51"/>
      <c r="L206" s="51"/>
      <c r="M206" s="51"/>
      <c r="N206" s="2"/>
      <c r="O206" s="51"/>
      <c r="P206" s="51"/>
      <c r="Q206" s="51"/>
      <c r="R206" s="2"/>
      <c r="S206" s="51"/>
      <c r="T206" s="51"/>
      <c r="U206" s="51"/>
      <c r="V206" s="2"/>
      <c r="W206" s="51"/>
      <c r="X206" s="51"/>
      <c r="Y206" s="51"/>
      <c r="Z206" s="2"/>
      <c r="AA206" s="51"/>
      <c r="AB206" s="51"/>
      <c r="AC206" s="51"/>
      <c r="AD206" s="2"/>
      <c r="AE206" s="51"/>
      <c r="AF206" s="51"/>
      <c r="AG206" s="51"/>
      <c r="AH206" s="2"/>
      <c r="AI206" s="51"/>
      <c r="AJ206" s="51"/>
      <c r="AK206" s="51"/>
      <c r="AL206" s="2"/>
      <c r="AM206" s="51"/>
      <c r="AN206" s="51"/>
      <c r="AO206" s="51"/>
      <c r="AP206" s="2"/>
      <c r="AQ206" s="51"/>
      <c r="AR206" s="51"/>
      <c r="AS206" s="51"/>
      <c r="AT206" s="2"/>
      <c r="AU206" s="51"/>
      <c r="AV206" s="51"/>
      <c r="AW206" s="51"/>
      <c r="AX206" s="2"/>
      <c r="AY206" s="51"/>
      <c r="AZ206" s="51"/>
      <c r="BA206" s="51"/>
      <c r="BB206" s="2"/>
      <c r="BC206" s="51"/>
      <c r="BD206" s="51"/>
      <c r="BE206" s="51"/>
      <c r="BF206" s="2"/>
      <c r="BG206" s="51"/>
      <c r="BH206" s="51"/>
      <c r="BI206" s="51"/>
      <c r="BJ206" s="2"/>
      <c r="BK206" s="51"/>
      <c r="BL206" s="51"/>
      <c r="BM206" s="51"/>
      <c r="BN206" s="2"/>
      <c r="BO206" s="51"/>
      <c r="BP206" s="51"/>
      <c r="BQ206" s="51"/>
      <c r="BR206" s="2"/>
      <c r="BS206" s="51"/>
      <c r="BT206" s="51"/>
      <c r="BU206" s="51"/>
      <c r="BV206" s="2"/>
      <c r="BW206" s="51"/>
    </row>
    <row r="207" spans="1:75" x14ac:dyDescent="0.2">
      <c r="A207" s="51"/>
      <c r="B207" s="51"/>
      <c r="C207" s="51"/>
      <c r="D207" s="51"/>
      <c r="E207" s="51"/>
      <c r="F207" s="2"/>
      <c r="G207" s="51"/>
      <c r="H207" s="51"/>
      <c r="I207" s="51"/>
      <c r="J207" s="2"/>
      <c r="K207" s="51"/>
      <c r="L207" s="51"/>
      <c r="M207" s="51"/>
      <c r="N207" s="2"/>
      <c r="O207" s="51"/>
      <c r="P207" s="51"/>
      <c r="Q207" s="51"/>
      <c r="R207" s="2"/>
      <c r="S207" s="51"/>
      <c r="T207" s="51"/>
      <c r="U207" s="51"/>
      <c r="V207" s="2"/>
      <c r="W207" s="51"/>
      <c r="X207" s="51"/>
      <c r="Y207" s="51"/>
      <c r="Z207" s="2"/>
      <c r="AA207" s="51"/>
      <c r="AB207" s="51"/>
      <c r="AC207" s="51"/>
      <c r="AD207" s="2"/>
      <c r="AE207" s="51"/>
      <c r="AF207" s="51"/>
      <c r="AG207" s="51"/>
      <c r="AH207" s="2"/>
      <c r="AI207" s="51"/>
      <c r="AJ207" s="51"/>
      <c r="AK207" s="51"/>
      <c r="AL207" s="2"/>
      <c r="AM207" s="51"/>
      <c r="AN207" s="51"/>
      <c r="AO207" s="51"/>
      <c r="AP207" s="2"/>
      <c r="AQ207" s="51"/>
      <c r="AR207" s="51"/>
      <c r="AS207" s="51"/>
      <c r="AT207" s="2"/>
      <c r="AU207" s="51"/>
      <c r="AV207" s="51"/>
      <c r="AW207" s="51"/>
      <c r="AX207" s="2"/>
      <c r="AY207" s="51"/>
      <c r="AZ207" s="51"/>
      <c r="BA207" s="51"/>
      <c r="BB207" s="2"/>
      <c r="BC207" s="51"/>
      <c r="BD207" s="51"/>
      <c r="BE207" s="51"/>
      <c r="BF207" s="2"/>
      <c r="BG207" s="51"/>
      <c r="BH207" s="51"/>
      <c r="BI207" s="51"/>
      <c r="BJ207" s="2"/>
      <c r="BK207" s="51"/>
      <c r="BL207" s="51"/>
      <c r="BM207" s="51"/>
      <c r="BN207" s="2"/>
      <c r="BO207" s="51"/>
      <c r="BP207" s="51"/>
      <c r="BQ207" s="51"/>
      <c r="BR207" s="2"/>
      <c r="BS207" s="51"/>
      <c r="BT207" s="51"/>
      <c r="BU207" s="51"/>
      <c r="BV207" s="2"/>
      <c r="BW207" s="51"/>
    </row>
    <row r="208" spans="1:75" x14ac:dyDescent="0.2">
      <c r="A208" s="51"/>
      <c r="B208" s="51"/>
      <c r="C208" s="51"/>
      <c r="D208" s="51"/>
      <c r="E208" s="51"/>
      <c r="F208" s="2"/>
      <c r="G208" s="51"/>
      <c r="H208" s="51"/>
      <c r="I208" s="51"/>
      <c r="J208" s="2"/>
      <c r="K208" s="51"/>
      <c r="L208" s="51"/>
      <c r="M208" s="51"/>
      <c r="N208" s="2"/>
      <c r="O208" s="51"/>
      <c r="P208" s="51"/>
      <c r="Q208" s="51"/>
      <c r="R208" s="2"/>
      <c r="S208" s="51"/>
      <c r="T208" s="51"/>
      <c r="U208" s="51"/>
      <c r="V208" s="2"/>
      <c r="W208" s="51"/>
      <c r="X208" s="51"/>
      <c r="Y208" s="51"/>
      <c r="Z208" s="2"/>
      <c r="AA208" s="51"/>
      <c r="AB208" s="51"/>
      <c r="AC208" s="51"/>
      <c r="AD208" s="2"/>
      <c r="AE208" s="51"/>
      <c r="AF208" s="51"/>
      <c r="AG208" s="51"/>
      <c r="AH208" s="2"/>
      <c r="AI208" s="51"/>
      <c r="AJ208" s="51"/>
      <c r="AK208" s="51"/>
      <c r="AL208" s="2"/>
      <c r="AM208" s="51"/>
      <c r="AN208" s="51"/>
      <c r="AO208" s="51"/>
      <c r="AP208" s="2"/>
      <c r="AQ208" s="51"/>
      <c r="AR208" s="51"/>
      <c r="AS208" s="51"/>
      <c r="AT208" s="2"/>
      <c r="AU208" s="51"/>
      <c r="AV208" s="51"/>
      <c r="AW208" s="51"/>
      <c r="AX208" s="2"/>
      <c r="AY208" s="51"/>
      <c r="AZ208" s="51"/>
      <c r="BA208" s="51"/>
      <c r="BB208" s="2"/>
      <c r="BC208" s="51"/>
      <c r="BD208" s="51"/>
      <c r="BE208" s="51"/>
      <c r="BF208" s="2"/>
      <c r="BG208" s="51"/>
      <c r="BH208" s="51"/>
      <c r="BI208" s="51"/>
      <c r="BJ208" s="2"/>
      <c r="BK208" s="51"/>
      <c r="BL208" s="51"/>
      <c r="BM208" s="51"/>
      <c r="BN208" s="2"/>
      <c r="BO208" s="51"/>
      <c r="BP208" s="51"/>
      <c r="BQ208" s="51"/>
      <c r="BR208" s="2"/>
      <c r="BS208" s="51"/>
      <c r="BT208" s="51"/>
      <c r="BU208" s="51"/>
      <c r="BV208" s="2"/>
      <c r="BW208" s="51"/>
    </row>
    <row r="209" spans="1:75" x14ac:dyDescent="0.2">
      <c r="A209" s="51"/>
      <c r="B209" s="51"/>
      <c r="C209" s="51"/>
      <c r="D209" s="51"/>
      <c r="E209" s="51"/>
      <c r="F209" s="2"/>
      <c r="G209" s="51"/>
      <c r="H209" s="51"/>
      <c r="I209" s="51"/>
      <c r="J209" s="2"/>
      <c r="K209" s="51"/>
      <c r="L209" s="51"/>
      <c r="M209" s="51"/>
      <c r="N209" s="2"/>
      <c r="O209" s="51"/>
      <c r="P209" s="51"/>
      <c r="Q209" s="51"/>
      <c r="R209" s="2"/>
      <c r="S209" s="51"/>
      <c r="T209" s="51"/>
      <c r="U209" s="51"/>
      <c r="V209" s="2"/>
      <c r="W209" s="51"/>
      <c r="X209" s="51"/>
      <c r="Y209" s="51"/>
      <c r="Z209" s="2"/>
      <c r="AA209" s="51"/>
      <c r="AB209" s="51"/>
      <c r="AC209" s="51"/>
      <c r="AD209" s="2"/>
      <c r="AE209" s="51"/>
      <c r="AF209" s="51"/>
      <c r="AG209" s="51"/>
      <c r="AH209" s="2"/>
      <c r="AI209" s="51"/>
      <c r="AJ209" s="51"/>
      <c r="AK209" s="51"/>
      <c r="AL209" s="2"/>
      <c r="AM209" s="51"/>
      <c r="AN209" s="51"/>
      <c r="AO209" s="51"/>
      <c r="AP209" s="2"/>
      <c r="AQ209" s="51"/>
      <c r="AR209" s="51"/>
      <c r="AS209" s="51"/>
      <c r="AT209" s="2"/>
      <c r="AU209" s="51"/>
      <c r="AV209" s="51"/>
      <c r="AW209" s="51"/>
      <c r="AX209" s="2"/>
      <c r="AY209" s="51"/>
      <c r="AZ209" s="51"/>
      <c r="BA209" s="51"/>
      <c r="BB209" s="2"/>
      <c r="BC209" s="51"/>
      <c r="BD209" s="51"/>
      <c r="BE209" s="51"/>
      <c r="BF209" s="2"/>
      <c r="BG209" s="51"/>
      <c r="BH209" s="51"/>
      <c r="BI209" s="51"/>
      <c r="BJ209" s="2"/>
      <c r="BK209" s="51"/>
      <c r="BL209" s="51"/>
      <c r="BM209" s="51"/>
      <c r="BN209" s="2"/>
      <c r="BO209" s="51"/>
      <c r="BP209" s="51"/>
      <c r="BQ209" s="51"/>
      <c r="BR209" s="2"/>
      <c r="BS209" s="51"/>
      <c r="BT209" s="51"/>
      <c r="BU209" s="51"/>
      <c r="BV209" s="2"/>
      <c r="BW209" s="51"/>
    </row>
    <row r="210" spans="1:75" x14ac:dyDescent="0.2">
      <c r="A210" s="51"/>
      <c r="B210" s="51"/>
      <c r="C210" s="51"/>
      <c r="D210" s="51"/>
      <c r="E210" s="51"/>
      <c r="F210" s="2"/>
      <c r="G210" s="51"/>
      <c r="H210" s="51"/>
      <c r="I210" s="51"/>
      <c r="J210" s="2"/>
      <c r="K210" s="51"/>
      <c r="L210" s="51"/>
      <c r="M210" s="51"/>
      <c r="N210" s="2"/>
      <c r="O210" s="51"/>
      <c r="P210" s="51"/>
      <c r="Q210" s="51"/>
      <c r="R210" s="2"/>
      <c r="S210" s="51"/>
      <c r="T210" s="51"/>
      <c r="U210" s="51"/>
      <c r="V210" s="2"/>
      <c r="W210" s="51"/>
      <c r="X210" s="51"/>
      <c r="Y210" s="51"/>
      <c r="Z210" s="2"/>
      <c r="AA210" s="51"/>
      <c r="AB210" s="51"/>
      <c r="AC210" s="51"/>
      <c r="AD210" s="2"/>
      <c r="AE210" s="51"/>
      <c r="AF210" s="51"/>
      <c r="AG210" s="51"/>
      <c r="AH210" s="2"/>
      <c r="AI210" s="51"/>
      <c r="AJ210" s="51"/>
      <c r="AK210" s="51"/>
      <c r="AL210" s="2"/>
      <c r="AM210" s="51"/>
      <c r="AN210" s="51"/>
      <c r="AO210" s="51"/>
      <c r="AP210" s="2"/>
      <c r="AQ210" s="51"/>
      <c r="AR210" s="51"/>
      <c r="AS210" s="51"/>
      <c r="AT210" s="2"/>
      <c r="AU210" s="51"/>
      <c r="AV210" s="51"/>
      <c r="AW210" s="51"/>
      <c r="AX210" s="2"/>
      <c r="AY210" s="51"/>
      <c r="AZ210" s="51"/>
      <c r="BA210" s="51"/>
      <c r="BB210" s="2"/>
      <c r="BC210" s="51"/>
      <c r="BD210" s="51"/>
      <c r="BE210" s="51"/>
      <c r="BF210" s="2"/>
      <c r="BG210" s="51"/>
      <c r="BH210" s="51"/>
      <c r="BI210" s="51"/>
      <c r="BJ210" s="2"/>
      <c r="BK210" s="51"/>
      <c r="BL210" s="51"/>
      <c r="BM210" s="51"/>
      <c r="BN210" s="2"/>
      <c r="BO210" s="51"/>
      <c r="BP210" s="51"/>
      <c r="BQ210" s="51"/>
      <c r="BR210" s="2"/>
      <c r="BS210" s="51"/>
      <c r="BT210" s="51"/>
      <c r="BU210" s="51"/>
      <c r="BV210" s="2"/>
      <c r="BW210" s="51"/>
    </row>
    <row r="211" spans="1:75" x14ac:dyDescent="0.2">
      <c r="A211" s="51"/>
      <c r="B211" s="51"/>
      <c r="C211" s="51"/>
      <c r="D211" s="51"/>
      <c r="E211" s="51"/>
      <c r="F211" s="2"/>
      <c r="G211" s="51"/>
      <c r="H211" s="51"/>
      <c r="I211" s="51"/>
      <c r="J211" s="2"/>
      <c r="K211" s="51"/>
      <c r="L211" s="51"/>
      <c r="M211" s="51"/>
      <c r="N211" s="2"/>
      <c r="O211" s="51"/>
      <c r="P211" s="51"/>
      <c r="Q211" s="51"/>
      <c r="R211" s="2"/>
      <c r="S211" s="51"/>
      <c r="T211" s="51"/>
      <c r="U211" s="51"/>
      <c r="V211" s="2"/>
      <c r="W211" s="51"/>
      <c r="X211" s="51"/>
      <c r="Y211" s="51"/>
      <c r="Z211" s="2"/>
      <c r="AA211" s="51"/>
      <c r="AB211" s="51"/>
      <c r="AC211" s="51"/>
      <c r="AD211" s="2"/>
      <c r="AE211" s="51"/>
      <c r="AF211" s="51"/>
      <c r="AG211" s="51"/>
      <c r="AH211" s="2"/>
      <c r="AI211" s="51"/>
      <c r="AJ211" s="51"/>
      <c r="AK211" s="51"/>
      <c r="AL211" s="2"/>
      <c r="AM211" s="51"/>
      <c r="AN211" s="51"/>
      <c r="AO211" s="51"/>
      <c r="AP211" s="2"/>
      <c r="AQ211" s="51"/>
      <c r="AR211" s="51"/>
      <c r="AS211" s="51"/>
      <c r="AT211" s="2"/>
      <c r="AU211" s="51"/>
      <c r="AV211" s="51"/>
      <c r="AW211" s="51"/>
      <c r="AX211" s="2"/>
      <c r="AY211" s="51"/>
      <c r="AZ211" s="51"/>
      <c r="BA211" s="51"/>
      <c r="BB211" s="2"/>
      <c r="BC211" s="51"/>
      <c r="BD211" s="51"/>
      <c r="BE211" s="51"/>
      <c r="BF211" s="2"/>
      <c r="BG211" s="51"/>
      <c r="BH211" s="51"/>
      <c r="BI211" s="51"/>
      <c r="BJ211" s="2"/>
      <c r="BK211" s="51"/>
      <c r="BL211" s="51"/>
      <c r="BM211" s="51"/>
      <c r="BN211" s="2"/>
      <c r="BO211" s="51"/>
      <c r="BP211" s="51"/>
      <c r="BQ211" s="51"/>
      <c r="BR211" s="2"/>
      <c r="BS211" s="51"/>
      <c r="BT211" s="51"/>
      <c r="BU211" s="51"/>
      <c r="BV211" s="2"/>
      <c r="BW211" s="51"/>
    </row>
    <row r="212" spans="1:75" x14ac:dyDescent="0.2">
      <c r="A212" s="51"/>
      <c r="B212" s="51"/>
      <c r="C212" s="51"/>
      <c r="D212" s="51"/>
      <c r="E212" s="51"/>
      <c r="F212" s="2"/>
      <c r="G212" s="51"/>
      <c r="H212" s="51"/>
      <c r="I212" s="51"/>
      <c r="J212" s="2"/>
      <c r="K212" s="51"/>
      <c r="L212" s="51"/>
      <c r="M212" s="51"/>
      <c r="N212" s="2"/>
      <c r="O212" s="51"/>
      <c r="P212" s="51"/>
      <c r="Q212" s="51"/>
      <c r="R212" s="2"/>
      <c r="S212" s="51"/>
      <c r="T212" s="51"/>
      <c r="U212" s="51"/>
      <c r="V212" s="2"/>
      <c r="W212" s="51"/>
      <c r="X212" s="51"/>
      <c r="Y212" s="51"/>
      <c r="Z212" s="2"/>
      <c r="AA212" s="51"/>
      <c r="AB212" s="51"/>
      <c r="AC212" s="51"/>
      <c r="AD212" s="2"/>
      <c r="AE212" s="51"/>
      <c r="AF212" s="51"/>
      <c r="AG212" s="51"/>
      <c r="AH212" s="2"/>
      <c r="AI212" s="51"/>
      <c r="AJ212" s="51"/>
      <c r="AK212" s="51"/>
      <c r="AL212" s="2"/>
      <c r="AM212" s="51"/>
      <c r="AN212" s="51"/>
      <c r="AO212" s="51"/>
      <c r="AP212" s="2"/>
      <c r="AQ212" s="51"/>
      <c r="AR212" s="51"/>
      <c r="AS212" s="51"/>
      <c r="AT212" s="2"/>
      <c r="AU212" s="51"/>
      <c r="AV212" s="51"/>
      <c r="AW212" s="51"/>
      <c r="AX212" s="2"/>
      <c r="AY212" s="51"/>
      <c r="AZ212" s="51"/>
      <c r="BA212" s="51"/>
      <c r="BB212" s="2"/>
      <c r="BC212" s="51"/>
      <c r="BD212" s="51"/>
      <c r="BE212" s="51"/>
      <c r="BF212" s="2"/>
      <c r="BG212" s="51"/>
      <c r="BH212" s="51"/>
      <c r="BI212" s="51"/>
      <c r="BJ212" s="2"/>
      <c r="BK212" s="51"/>
      <c r="BL212" s="51"/>
      <c r="BM212" s="51"/>
      <c r="BN212" s="2"/>
      <c r="BO212" s="51"/>
      <c r="BP212" s="51"/>
      <c r="BQ212" s="51"/>
      <c r="BR212" s="2"/>
      <c r="BS212" s="51"/>
      <c r="BT212" s="51"/>
      <c r="BU212" s="51"/>
      <c r="BV212" s="2"/>
      <c r="BW212" s="51"/>
    </row>
  </sheetData>
  <sheetProtection algorithmName="SHA-512" hashValue="dX4Efy63T8ZMunVbSi7+XV3LTvJ44PllUPKP6XoN5JBre8jjDCC7y+y716ATklMBi8sxklWrFMnrDgBMAPoDFw==" saltValue="3jnHleg+WDn9+F7qFs0FPw==" spinCount="100000" sheet="1" objects="1" scenarios="1"/>
  <mergeCells count="1">
    <mergeCell ref="V66:W66"/>
  </mergeCells>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D6562-8875-418E-B56B-227B3149685F}">
  <sheetPr>
    <tabColor rgb="FFF86286"/>
  </sheetPr>
  <dimension ref="A1:BW206"/>
  <sheetViews>
    <sheetView topLeftCell="F3" zoomScale="89" zoomScaleNormal="80" workbookViewId="0">
      <selection activeCell="V32" sqref="V32"/>
    </sheetView>
  </sheetViews>
  <sheetFormatPr baseColWidth="10" defaultColWidth="8.83203125" defaultRowHeight="16" x14ac:dyDescent="0.2"/>
  <cols>
    <col min="3" max="3" width="58.5" customWidth="1"/>
    <col min="4" max="12" width="15.6640625" customWidth="1"/>
    <col min="13" max="16" width="15.6640625" hidden="1" customWidth="1"/>
    <col min="17" max="17" width="15.6640625" customWidth="1"/>
    <col min="18" max="19" width="15.6640625" hidden="1" customWidth="1"/>
    <col min="20" max="20" width="15.6640625" customWidth="1"/>
  </cols>
  <sheetData>
    <row r="1" spans="1:75" x14ac:dyDescent="0.2">
      <c r="A1" s="51"/>
      <c r="B1" s="51"/>
      <c r="C1" s="51"/>
      <c r="D1" s="51"/>
      <c r="E1" s="51"/>
      <c r="F1" s="2"/>
      <c r="G1" s="51"/>
      <c r="H1" s="51"/>
      <c r="I1" s="51"/>
      <c r="J1" s="2"/>
      <c r="K1" s="51"/>
      <c r="L1" s="51"/>
      <c r="M1" s="51"/>
      <c r="N1" s="2"/>
      <c r="O1" s="51"/>
      <c r="P1" s="51"/>
      <c r="Q1" s="51"/>
      <c r="R1" s="2"/>
      <c r="S1" s="51"/>
      <c r="T1" s="51"/>
      <c r="U1" s="51"/>
      <c r="V1" s="2"/>
      <c r="W1" s="51"/>
      <c r="X1" s="51"/>
      <c r="Y1" s="51"/>
      <c r="Z1" s="2"/>
      <c r="AA1" s="51"/>
      <c r="AB1" s="51"/>
      <c r="AC1" s="51"/>
      <c r="AD1" s="2"/>
      <c r="AE1" s="51"/>
      <c r="AF1" s="51"/>
      <c r="AG1" s="51"/>
      <c r="AH1" s="2"/>
      <c r="AI1" s="51"/>
      <c r="AJ1" s="51"/>
      <c r="AK1" s="51"/>
      <c r="AL1" s="2"/>
      <c r="AM1" s="51"/>
      <c r="AN1" s="51"/>
      <c r="AO1" s="51"/>
      <c r="AP1" s="2"/>
      <c r="AQ1" s="51"/>
      <c r="AR1" s="51"/>
      <c r="AS1" s="51"/>
      <c r="AT1" s="2"/>
      <c r="AU1" s="51"/>
      <c r="AV1" s="51"/>
      <c r="AW1" s="51"/>
      <c r="AX1" s="2"/>
      <c r="AY1" s="51"/>
      <c r="AZ1" s="51"/>
      <c r="BA1" s="51"/>
      <c r="BB1" s="2"/>
      <c r="BC1" s="51"/>
      <c r="BD1" s="51"/>
      <c r="BE1" s="51"/>
      <c r="BF1" s="2"/>
      <c r="BG1" s="51"/>
      <c r="BH1" s="51"/>
      <c r="BI1" s="51"/>
      <c r="BJ1" s="2"/>
      <c r="BK1" s="51"/>
      <c r="BL1" s="51"/>
      <c r="BM1" s="51"/>
      <c r="BN1" s="2"/>
      <c r="BO1" s="51"/>
      <c r="BP1" s="51"/>
      <c r="BQ1" s="51"/>
      <c r="BR1" s="2"/>
      <c r="BS1" s="51"/>
      <c r="BT1" s="51"/>
      <c r="BU1" s="51"/>
      <c r="BV1" s="2"/>
      <c r="BW1" s="51"/>
    </row>
    <row r="2" spans="1:75" x14ac:dyDescent="0.2">
      <c r="A2" s="51"/>
      <c r="B2" s="51"/>
      <c r="C2" s="51"/>
      <c r="D2" s="51"/>
      <c r="E2" s="51"/>
      <c r="F2" s="2"/>
      <c r="G2" s="51"/>
      <c r="H2" s="51"/>
      <c r="I2" s="51"/>
      <c r="J2" s="2"/>
      <c r="K2" s="51"/>
      <c r="L2" s="51"/>
      <c r="M2" s="51"/>
      <c r="N2" s="2"/>
      <c r="O2" s="51"/>
      <c r="P2" s="51"/>
      <c r="Q2" s="51"/>
      <c r="R2" s="2"/>
      <c r="S2" s="51"/>
      <c r="T2" s="51"/>
      <c r="U2" s="51"/>
      <c r="V2" s="2"/>
      <c r="W2" s="51"/>
      <c r="X2" s="51"/>
      <c r="Y2" s="51"/>
      <c r="Z2" s="2"/>
      <c r="AA2" s="51"/>
      <c r="AB2" s="51"/>
      <c r="AC2" s="51"/>
      <c r="AD2" s="2"/>
      <c r="AE2" s="51"/>
      <c r="AF2" s="51"/>
      <c r="AG2" s="51"/>
      <c r="AH2" s="2"/>
      <c r="AI2" s="51"/>
      <c r="AJ2" s="51"/>
      <c r="AK2" s="51"/>
      <c r="AL2" s="2"/>
      <c r="AM2" s="51"/>
      <c r="AN2" s="51"/>
      <c r="AO2" s="51"/>
      <c r="AP2" s="2"/>
      <c r="AQ2" s="51"/>
      <c r="AR2" s="51"/>
      <c r="AS2" s="51"/>
      <c r="AT2" s="2"/>
      <c r="AU2" s="51"/>
      <c r="AV2" s="51"/>
      <c r="AW2" s="51"/>
      <c r="AX2" s="2"/>
      <c r="AY2" s="51"/>
      <c r="AZ2" s="51"/>
      <c r="BA2" s="51"/>
      <c r="BB2" s="2"/>
      <c r="BC2" s="51"/>
      <c r="BD2" s="51"/>
      <c r="BE2" s="51"/>
      <c r="BF2" s="2"/>
      <c r="BG2" s="51"/>
      <c r="BH2" s="51"/>
      <c r="BI2" s="51"/>
      <c r="BJ2" s="2"/>
      <c r="BK2" s="51"/>
      <c r="BL2" s="51"/>
      <c r="BM2" s="51"/>
      <c r="BN2" s="2"/>
      <c r="BO2" s="51"/>
      <c r="BP2" s="51"/>
      <c r="BQ2" s="51"/>
      <c r="BR2" s="2"/>
      <c r="BS2" s="51"/>
      <c r="BT2" s="51"/>
      <c r="BU2" s="51"/>
      <c r="BV2" s="2"/>
      <c r="BW2" s="51"/>
    </row>
    <row r="3" spans="1:75" x14ac:dyDescent="0.2">
      <c r="A3" s="51"/>
      <c r="B3" s="51"/>
      <c r="C3" s="51"/>
      <c r="D3" s="51"/>
      <c r="E3" s="51"/>
      <c r="F3" s="2"/>
      <c r="G3" s="51"/>
      <c r="H3" s="51"/>
      <c r="I3" s="51"/>
      <c r="J3" s="2"/>
      <c r="K3" s="51"/>
      <c r="L3" s="51"/>
      <c r="M3" s="51"/>
      <c r="N3" s="2"/>
      <c r="O3" s="51"/>
      <c r="P3" s="51"/>
      <c r="Q3" s="51"/>
      <c r="R3" s="2"/>
      <c r="S3" s="51"/>
      <c r="T3" s="51"/>
      <c r="U3" s="51"/>
      <c r="V3" s="2"/>
      <c r="W3" s="51"/>
      <c r="X3" s="51"/>
      <c r="Y3" s="51"/>
      <c r="Z3" s="2"/>
      <c r="AA3" s="51"/>
      <c r="AB3" s="51"/>
      <c r="AC3" s="51"/>
      <c r="AD3" s="2"/>
      <c r="AE3" s="51"/>
      <c r="AF3" s="51"/>
      <c r="AG3" s="51"/>
      <c r="AH3" s="2"/>
      <c r="AI3" s="51"/>
      <c r="AJ3" s="51"/>
      <c r="AK3" s="51"/>
      <c r="AL3" s="2"/>
      <c r="AM3" s="51"/>
      <c r="AN3" s="51"/>
      <c r="AO3" s="51"/>
      <c r="AP3" s="2"/>
      <c r="AQ3" s="51"/>
      <c r="AR3" s="51"/>
      <c r="AS3" s="51"/>
      <c r="AT3" s="2"/>
      <c r="AU3" s="51"/>
      <c r="AV3" s="51"/>
      <c r="AW3" s="51"/>
      <c r="AX3" s="2"/>
      <c r="AY3" s="51"/>
      <c r="AZ3" s="51"/>
      <c r="BA3" s="51"/>
      <c r="BB3" s="2"/>
      <c r="BC3" s="51"/>
      <c r="BD3" s="51"/>
      <c r="BE3" s="51"/>
      <c r="BF3" s="2"/>
      <c r="BG3" s="51"/>
      <c r="BH3" s="51"/>
      <c r="BI3" s="51"/>
      <c r="BJ3" s="2"/>
      <c r="BK3" s="51"/>
      <c r="BL3" s="51"/>
      <c r="BM3" s="51"/>
      <c r="BN3" s="2"/>
      <c r="BO3" s="51"/>
      <c r="BP3" s="51"/>
      <c r="BQ3" s="51"/>
      <c r="BR3" s="2"/>
      <c r="BS3" s="51"/>
      <c r="BT3" s="51"/>
      <c r="BU3" s="51"/>
      <c r="BV3" s="2"/>
      <c r="BW3" s="51"/>
    </row>
    <row r="4" spans="1:75" ht="19" x14ac:dyDescent="0.2">
      <c r="A4" s="51"/>
      <c r="B4" s="51"/>
      <c r="C4" s="51"/>
      <c r="D4" s="51"/>
      <c r="E4" s="51"/>
      <c r="F4" s="2"/>
      <c r="G4" s="51"/>
      <c r="H4" s="51"/>
      <c r="I4" s="51"/>
      <c r="J4" s="53"/>
      <c r="K4" s="51"/>
      <c r="L4" s="51"/>
      <c r="M4" s="51"/>
      <c r="N4" s="2"/>
      <c r="O4" s="2"/>
      <c r="P4" s="2"/>
      <c r="Q4" s="2"/>
      <c r="R4" s="2"/>
      <c r="S4" s="2"/>
      <c r="T4" s="2"/>
      <c r="U4" s="51"/>
      <c r="V4" s="2"/>
      <c r="W4" s="51"/>
      <c r="X4" s="51"/>
      <c r="Y4" s="51"/>
      <c r="Z4" s="2"/>
      <c r="AA4" s="51"/>
      <c r="AB4" s="51"/>
      <c r="AC4" s="51"/>
      <c r="AD4" s="2"/>
      <c r="AE4" s="51"/>
      <c r="AF4" s="51"/>
      <c r="AG4" s="51"/>
      <c r="AH4" s="2"/>
      <c r="AI4" s="51"/>
      <c r="AJ4" s="51"/>
      <c r="AK4" s="51"/>
      <c r="AL4" s="2"/>
      <c r="AM4" s="51"/>
      <c r="AN4" s="51"/>
      <c r="AO4" s="51"/>
      <c r="AP4" s="2"/>
      <c r="AQ4" s="51"/>
      <c r="AR4" s="51"/>
      <c r="AS4" s="51"/>
      <c r="AT4" s="2"/>
      <c r="AU4" s="51"/>
      <c r="AV4" s="51"/>
      <c r="AW4" s="51"/>
      <c r="AX4" s="2"/>
      <c r="AY4" s="51"/>
      <c r="AZ4" s="51"/>
      <c r="BA4" s="51"/>
      <c r="BB4" s="2"/>
      <c r="BC4" s="51"/>
      <c r="BD4" s="51"/>
      <c r="BE4" s="51"/>
      <c r="BF4" s="2"/>
      <c r="BG4" s="51"/>
      <c r="BH4" s="51"/>
      <c r="BI4" s="51"/>
      <c r="BJ4" s="2"/>
      <c r="BK4" s="51"/>
      <c r="BL4" s="51"/>
      <c r="BM4" s="51"/>
      <c r="BN4" s="2"/>
      <c r="BO4" s="51"/>
      <c r="BP4" s="51"/>
      <c r="BQ4" s="51"/>
      <c r="BR4" s="2"/>
      <c r="BS4" s="51"/>
      <c r="BT4" s="51"/>
      <c r="BU4" s="51"/>
      <c r="BV4" s="2"/>
      <c r="BW4" s="51"/>
    </row>
    <row r="5" spans="1:75" ht="19" x14ac:dyDescent="0.2">
      <c r="A5" s="51"/>
      <c r="B5" s="51"/>
      <c r="C5" s="51"/>
      <c r="D5" s="51"/>
      <c r="E5" s="51"/>
      <c r="F5" s="2"/>
      <c r="G5" s="51"/>
      <c r="H5" s="51" t="s">
        <v>421</v>
      </c>
      <c r="I5" s="51"/>
      <c r="J5" s="52"/>
      <c r="K5" s="51"/>
      <c r="L5" s="51"/>
      <c r="M5" s="51"/>
      <c r="N5" s="2"/>
      <c r="O5" s="2"/>
      <c r="P5" s="2"/>
      <c r="Q5" s="2"/>
      <c r="R5" s="2"/>
      <c r="S5" s="2"/>
      <c r="T5" s="2"/>
      <c r="U5" s="51"/>
      <c r="V5" s="2"/>
      <c r="W5" s="51"/>
      <c r="X5" s="51"/>
      <c r="Y5" s="51"/>
      <c r="Z5" s="2"/>
      <c r="AA5" s="51"/>
      <c r="AB5" s="51"/>
      <c r="AC5" s="51"/>
      <c r="AD5" s="2"/>
      <c r="AE5" s="51"/>
      <c r="AF5" s="51"/>
      <c r="AG5" s="51"/>
      <c r="AH5" s="2"/>
      <c r="AI5" s="51"/>
      <c r="AJ5" s="51"/>
      <c r="AK5" s="51"/>
      <c r="AL5" s="2"/>
      <c r="AM5" s="51"/>
      <c r="AN5" s="51"/>
      <c r="AO5" s="51"/>
      <c r="AP5" s="2"/>
      <c r="AQ5" s="51"/>
      <c r="AR5" s="51"/>
      <c r="AS5" s="51"/>
      <c r="AT5" s="2"/>
      <c r="AU5" s="51"/>
      <c r="AV5" s="51"/>
      <c r="AW5" s="51"/>
      <c r="AX5" s="2"/>
      <c r="AY5" s="51"/>
      <c r="AZ5" s="51"/>
      <c r="BA5" s="51"/>
      <c r="BB5" s="2"/>
      <c r="BC5" s="51"/>
      <c r="BD5" s="51"/>
      <c r="BE5" s="51"/>
      <c r="BF5" s="2"/>
      <c r="BG5" s="51"/>
      <c r="BH5" s="51"/>
      <c r="BI5" s="51"/>
      <c r="BJ5" s="2"/>
      <c r="BK5" s="51"/>
      <c r="BL5" s="51"/>
      <c r="BM5" s="51"/>
      <c r="BN5" s="2"/>
      <c r="BO5" s="51"/>
      <c r="BP5" s="51"/>
      <c r="BQ5" s="51"/>
      <c r="BR5" s="2"/>
      <c r="BS5" s="51"/>
      <c r="BT5" s="51"/>
      <c r="BU5" s="51"/>
      <c r="BV5" s="2"/>
      <c r="BW5" s="51"/>
    </row>
    <row r="6" spans="1:75" ht="19" x14ac:dyDescent="0.2">
      <c r="A6" s="51"/>
      <c r="B6" s="51"/>
      <c r="C6" s="51"/>
      <c r="D6" s="51"/>
      <c r="E6" s="51"/>
      <c r="F6" s="2"/>
      <c r="G6" s="51"/>
      <c r="H6" s="51"/>
      <c r="I6" s="51"/>
      <c r="J6" s="52"/>
      <c r="K6" s="51"/>
      <c r="L6" s="51"/>
      <c r="M6" s="51"/>
      <c r="N6" s="2"/>
      <c r="O6" s="2"/>
      <c r="P6" s="2"/>
      <c r="Q6" s="2"/>
      <c r="R6" s="2"/>
      <c r="S6" s="2"/>
      <c r="T6" s="2"/>
      <c r="U6" s="51"/>
      <c r="V6" s="2"/>
      <c r="W6" s="51"/>
      <c r="X6" s="51"/>
      <c r="Y6" s="51"/>
      <c r="Z6" s="2"/>
      <c r="AA6" s="51"/>
      <c r="AB6" s="51"/>
      <c r="AC6" s="51"/>
      <c r="AD6" s="2"/>
      <c r="AE6" s="51"/>
      <c r="AF6" s="51"/>
      <c r="AG6" s="51"/>
      <c r="AH6" s="2"/>
      <c r="AI6" s="51"/>
      <c r="AJ6" s="51"/>
      <c r="AK6" s="51"/>
      <c r="AL6" s="2"/>
      <c r="AM6" s="51"/>
      <c r="AN6" s="51"/>
      <c r="AO6" s="51"/>
      <c r="AP6" s="2"/>
      <c r="AQ6" s="51"/>
      <c r="AR6" s="51"/>
      <c r="AS6" s="51"/>
      <c r="AT6" s="2"/>
      <c r="AU6" s="51"/>
      <c r="AV6" s="51"/>
      <c r="AW6" s="51"/>
      <c r="AX6" s="2"/>
      <c r="AY6" s="51"/>
      <c r="AZ6" s="51"/>
      <c r="BA6" s="51"/>
      <c r="BB6" s="2"/>
      <c r="BC6" s="51"/>
      <c r="BD6" s="51"/>
      <c r="BE6" s="51"/>
      <c r="BF6" s="2"/>
      <c r="BG6" s="51"/>
      <c r="BH6" s="51"/>
      <c r="BI6" s="51"/>
      <c r="BJ6" s="2"/>
      <c r="BK6" s="51"/>
      <c r="BL6" s="51"/>
      <c r="BM6" s="51"/>
      <c r="BN6" s="2"/>
      <c r="BO6" s="51"/>
      <c r="BP6" s="51"/>
      <c r="BQ6" s="51"/>
      <c r="BR6" s="2"/>
      <c r="BS6" s="51"/>
      <c r="BT6" s="51"/>
      <c r="BU6" s="51"/>
      <c r="BV6" s="2"/>
      <c r="BW6" s="51"/>
    </row>
    <row r="7" spans="1:75" ht="19" x14ac:dyDescent="0.2">
      <c r="A7" s="51"/>
      <c r="B7" s="51"/>
      <c r="C7" s="51"/>
      <c r="D7" s="51"/>
      <c r="E7" s="51"/>
      <c r="F7" s="2"/>
      <c r="G7" s="51"/>
      <c r="H7" s="51" t="s">
        <v>422</v>
      </c>
      <c r="I7" s="51"/>
      <c r="J7" s="52"/>
      <c r="K7" s="51"/>
      <c r="L7" s="51"/>
      <c r="M7" s="51"/>
      <c r="N7" s="2"/>
      <c r="O7" s="2"/>
      <c r="P7" s="2"/>
      <c r="Q7" s="2"/>
      <c r="R7" s="2"/>
      <c r="S7" s="2"/>
      <c r="T7" s="2"/>
      <c r="U7" s="51"/>
      <c r="V7" s="2"/>
      <c r="W7" s="51"/>
      <c r="X7" s="51"/>
      <c r="Y7" s="51"/>
      <c r="Z7" s="2"/>
      <c r="AA7" s="51"/>
      <c r="AB7" s="51"/>
      <c r="AC7" s="51"/>
      <c r="AD7" s="2"/>
      <c r="AE7" s="51"/>
      <c r="AF7" s="51"/>
      <c r="AG7" s="51"/>
      <c r="AH7" s="2"/>
      <c r="AI7" s="51"/>
      <c r="AJ7" s="51"/>
      <c r="AK7" s="51"/>
      <c r="AL7" s="2"/>
      <c r="AM7" s="51"/>
      <c r="AN7" s="51"/>
      <c r="AO7" s="51"/>
      <c r="AP7" s="2"/>
      <c r="AQ7" s="51"/>
      <c r="AR7" s="51"/>
      <c r="AS7" s="51"/>
      <c r="AT7" s="2"/>
      <c r="AU7" s="51"/>
      <c r="AV7" s="51"/>
      <c r="AW7" s="51"/>
      <c r="AX7" s="2"/>
      <c r="AY7" s="51"/>
      <c r="AZ7" s="51"/>
      <c r="BA7" s="51"/>
      <c r="BB7" s="2"/>
      <c r="BC7" s="51"/>
      <c r="BD7" s="51"/>
      <c r="BE7" s="51"/>
      <c r="BF7" s="2"/>
      <c r="BG7" s="51"/>
      <c r="BH7" s="51"/>
      <c r="BI7" s="51"/>
      <c r="BJ7" s="2"/>
      <c r="BK7" s="51"/>
      <c r="BL7" s="51"/>
      <c r="BM7" s="51"/>
      <c r="BN7" s="2"/>
      <c r="BO7" s="51"/>
      <c r="BP7" s="51"/>
      <c r="BQ7" s="51"/>
      <c r="BR7" s="2"/>
      <c r="BS7" s="51"/>
      <c r="BT7" s="51"/>
      <c r="BU7" s="51"/>
      <c r="BV7" s="2"/>
      <c r="BW7" s="51"/>
    </row>
    <row r="8" spans="1:75" ht="19" x14ac:dyDescent="0.2">
      <c r="A8" s="51"/>
      <c r="B8" s="51"/>
      <c r="C8" s="51"/>
      <c r="D8" s="51"/>
      <c r="E8" s="51"/>
      <c r="F8" s="2"/>
      <c r="G8" s="51"/>
      <c r="H8" s="51" t="s">
        <v>423</v>
      </c>
      <c r="I8" s="51"/>
      <c r="J8" s="54"/>
      <c r="K8" s="51"/>
      <c r="L8" s="51"/>
      <c r="M8" s="51"/>
      <c r="N8" s="2"/>
      <c r="O8" s="2"/>
      <c r="P8" s="2"/>
      <c r="Q8" s="2"/>
      <c r="R8" s="2"/>
      <c r="S8" s="2"/>
      <c r="T8" s="2"/>
      <c r="U8" s="51"/>
      <c r="V8" s="2"/>
      <c r="W8" s="51"/>
      <c r="X8" s="51"/>
      <c r="Y8" s="51"/>
      <c r="Z8" s="2"/>
      <c r="AA8" s="51"/>
      <c r="AB8" s="51"/>
      <c r="AC8" s="51"/>
      <c r="AD8" s="2"/>
      <c r="AE8" s="51"/>
      <c r="AF8" s="51"/>
      <c r="AG8" s="51"/>
      <c r="AH8" s="2"/>
      <c r="AI8" s="51"/>
      <c r="AJ8" s="51"/>
      <c r="AK8" s="51"/>
      <c r="AL8" s="2"/>
      <c r="AM8" s="51"/>
      <c r="AN8" s="51"/>
      <c r="AO8" s="51"/>
      <c r="AP8" s="2"/>
      <c r="AQ8" s="51"/>
      <c r="AR8" s="51"/>
      <c r="AS8" s="51"/>
      <c r="AT8" s="2"/>
      <c r="AU8" s="51"/>
      <c r="AV8" s="51"/>
      <c r="AW8" s="51"/>
      <c r="AX8" s="2"/>
      <c r="AY8" s="51"/>
      <c r="AZ8" s="51"/>
      <c r="BA8" s="51"/>
      <c r="BB8" s="2"/>
      <c r="BC8" s="51"/>
      <c r="BD8" s="51"/>
      <c r="BE8" s="51"/>
      <c r="BF8" s="2"/>
      <c r="BG8" s="51"/>
      <c r="BH8" s="51"/>
      <c r="BI8" s="51"/>
      <c r="BJ8" s="2"/>
      <c r="BK8" s="51"/>
      <c r="BL8" s="51"/>
      <c r="BM8" s="51"/>
      <c r="BN8" s="2"/>
      <c r="BO8" s="51"/>
      <c r="BP8" s="51"/>
      <c r="BQ8" s="51"/>
      <c r="BR8" s="2"/>
      <c r="BS8" s="51"/>
      <c r="BT8" s="51"/>
      <c r="BU8" s="51"/>
      <c r="BV8" s="2"/>
      <c r="BW8" s="51"/>
    </row>
    <row r="9" spans="1:75" ht="19" x14ac:dyDescent="0.2">
      <c r="A9" s="51"/>
      <c r="B9" s="51"/>
      <c r="C9" s="51"/>
      <c r="D9" s="51"/>
      <c r="E9" s="51"/>
      <c r="F9" s="2"/>
      <c r="G9" s="51"/>
      <c r="H9" s="51" t="s">
        <v>424</v>
      </c>
      <c r="I9" s="51"/>
      <c r="J9" s="55"/>
      <c r="K9" s="51"/>
      <c r="L9" s="51"/>
      <c r="M9" s="51"/>
      <c r="N9" s="2"/>
      <c r="O9" s="2"/>
      <c r="P9" s="2"/>
      <c r="Q9" s="2"/>
      <c r="R9" s="2"/>
      <c r="S9" s="2"/>
      <c r="T9" s="2"/>
      <c r="U9" s="51"/>
      <c r="V9" s="2"/>
      <c r="W9" s="51"/>
      <c r="X9" s="51"/>
      <c r="Y9" s="51"/>
      <c r="Z9" s="2"/>
      <c r="AA9" s="51"/>
      <c r="AB9" s="51"/>
      <c r="AC9" s="51"/>
      <c r="AD9" s="2"/>
      <c r="AE9" s="51"/>
      <c r="AF9" s="51"/>
      <c r="AG9" s="51"/>
      <c r="AH9" s="2"/>
      <c r="AI9" s="51"/>
      <c r="AJ9" s="51"/>
      <c r="AK9" s="51"/>
      <c r="AL9" s="2"/>
      <c r="AM9" s="51"/>
      <c r="AN9" s="51"/>
      <c r="AO9" s="51"/>
      <c r="AP9" s="2"/>
      <c r="AQ9" s="51"/>
      <c r="AR9" s="51"/>
      <c r="AS9" s="51"/>
      <c r="AT9" s="2"/>
      <c r="AU9" s="51"/>
      <c r="AV9" s="51"/>
      <c r="AW9" s="51"/>
      <c r="AX9" s="2"/>
      <c r="AY9" s="51"/>
      <c r="AZ9" s="51"/>
      <c r="BA9" s="51"/>
      <c r="BB9" s="2"/>
      <c r="BC9" s="51"/>
      <c r="BD9" s="51"/>
      <c r="BE9" s="51"/>
      <c r="BF9" s="2"/>
      <c r="BG9" s="51"/>
      <c r="BH9" s="51"/>
      <c r="BI9" s="51"/>
      <c r="BJ9" s="2"/>
      <c r="BK9" s="51"/>
      <c r="BL9" s="51"/>
      <c r="BM9" s="51"/>
      <c r="BN9" s="2"/>
      <c r="BO9" s="51"/>
      <c r="BP9" s="51"/>
      <c r="BQ9" s="51"/>
      <c r="BR9" s="2"/>
      <c r="BS9" s="51"/>
      <c r="BT9" s="51"/>
      <c r="BU9" s="51"/>
      <c r="BV9" s="2"/>
      <c r="BW9" s="51"/>
    </row>
    <row r="10" spans="1:75" ht="19" x14ac:dyDescent="0.2">
      <c r="A10" s="51"/>
      <c r="B10" s="51"/>
      <c r="C10" s="51"/>
      <c r="D10" s="51"/>
      <c r="E10" s="51"/>
      <c r="F10" s="2"/>
      <c r="G10" s="51"/>
      <c r="H10" s="51"/>
      <c r="I10" s="51"/>
      <c r="J10" s="52"/>
      <c r="K10" s="51"/>
      <c r="L10" s="51"/>
      <c r="M10" s="51"/>
      <c r="N10" s="2"/>
      <c r="O10" s="2"/>
      <c r="P10" s="2"/>
      <c r="Q10" s="2"/>
      <c r="R10" s="2"/>
      <c r="S10" s="2"/>
      <c r="T10" s="2"/>
      <c r="U10" s="51"/>
      <c r="V10" s="2"/>
      <c r="W10" s="51"/>
      <c r="X10" s="51"/>
      <c r="Y10" s="51"/>
      <c r="Z10" s="2"/>
      <c r="AA10" s="51"/>
      <c r="AB10" s="51"/>
      <c r="AC10" s="51"/>
      <c r="AD10" s="2"/>
      <c r="AE10" s="51"/>
      <c r="AF10" s="51"/>
      <c r="AG10" s="51"/>
      <c r="AH10" s="2"/>
      <c r="AI10" s="51"/>
      <c r="AJ10" s="51"/>
      <c r="AK10" s="51"/>
      <c r="AL10" s="2"/>
      <c r="AM10" s="51"/>
      <c r="AN10" s="51"/>
      <c r="AO10" s="51"/>
      <c r="AP10" s="2"/>
      <c r="AQ10" s="51"/>
      <c r="AR10" s="51"/>
      <c r="AS10" s="51"/>
      <c r="AT10" s="2"/>
      <c r="AU10" s="51"/>
      <c r="AV10" s="51"/>
      <c r="AW10" s="51"/>
      <c r="AX10" s="2"/>
      <c r="AY10" s="51"/>
      <c r="AZ10" s="51"/>
      <c r="BA10" s="51"/>
      <c r="BB10" s="2"/>
      <c r="BC10" s="51"/>
      <c r="BD10" s="51"/>
      <c r="BE10" s="51"/>
      <c r="BF10" s="2"/>
      <c r="BG10" s="51"/>
      <c r="BH10" s="51"/>
      <c r="BI10" s="51"/>
      <c r="BJ10" s="2"/>
      <c r="BK10" s="51"/>
      <c r="BL10" s="51"/>
      <c r="BM10" s="51"/>
      <c r="BN10" s="2"/>
      <c r="BO10" s="51"/>
      <c r="BP10" s="51"/>
      <c r="BQ10" s="51"/>
      <c r="BR10" s="2"/>
      <c r="BS10" s="51"/>
      <c r="BT10" s="51"/>
      <c r="BU10" s="51"/>
      <c r="BV10" s="2"/>
      <c r="BW10" s="51"/>
    </row>
    <row r="11" spans="1:75" ht="19" x14ac:dyDescent="0.2">
      <c r="A11" s="51"/>
      <c r="B11" s="51"/>
      <c r="C11" s="51"/>
      <c r="D11" s="51"/>
      <c r="E11" s="51"/>
      <c r="F11" s="2"/>
      <c r="G11" s="51"/>
      <c r="H11" s="51"/>
      <c r="I11" s="51"/>
      <c r="J11" s="54"/>
      <c r="K11" s="51"/>
      <c r="L11" s="51"/>
      <c r="M11" s="51"/>
      <c r="N11" s="2"/>
      <c r="O11" s="2"/>
      <c r="P11" s="2"/>
      <c r="Q11" s="2"/>
      <c r="R11" s="2"/>
      <c r="S11" s="2"/>
      <c r="T11" s="2"/>
      <c r="U11" s="51"/>
      <c r="V11" s="2"/>
      <c r="W11" s="51"/>
      <c r="X11" s="51"/>
      <c r="Y11" s="51"/>
      <c r="Z11" s="2"/>
      <c r="AA11" s="51"/>
      <c r="AB11" s="51"/>
      <c r="AC11" s="51"/>
      <c r="AD11" s="2"/>
      <c r="AE11" s="51"/>
      <c r="AF11" s="51"/>
      <c r="AG11" s="51"/>
      <c r="AH11" s="2"/>
      <c r="AI11" s="51"/>
      <c r="AJ11" s="51"/>
      <c r="AK11" s="51"/>
      <c r="AL11" s="2"/>
      <c r="AM11" s="51"/>
      <c r="AN11" s="51"/>
      <c r="AO11" s="51"/>
      <c r="AP11" s="2"/>
      <c r="AQ11" s="51"/>
      <c r="AR11" s="51"/>
      <c r="AS11" s="51"/>
      <c r="AT11" s="2"/>
      <c r="AU11" s="51"/>
      <c r="AV11" s="51"/>
      <c r="AW11" s="51"/>
      <c r="AX11" s="2"/>
      <c r="AY11" s="51"/>
      <c r="AZ11" s="51"/>
      <c r="BA11" s="51"/>
      <c r="BB11" s="2"/>
      <c r="BC11" s="51"/>
      <c r="BD11" s="51"/>
      <c r="BE11" s="51"/>
      <c r="BF11" s="2"/>
      <c r="BG11" s="51"/>
      <c r="BH11" s="51"/>
      <c r="BI11" s="51"/>
      <c r="BJ11" s="2"/>
      <c r="BK11" s="51"/>
      <c r="BL11" s="51"/>
      <c r="BM11" s="51"/>
      <c r="BN11" s="2"/>
      <c r="BO11" s="51"/>
      <c r="BP11" s="51"/>
      <c r="BQ11" s="51"/>
      <c r="BR11" s="2"/>
      <c r="BS11" s="51"/>
      <c r="BT11" s="51"/>
      <c r="BU11" s="51"/>
      <c r="BV11" s="2"/>
      <c r="BW11" s="51"/>
    </row>
    <row r="12" spans="1:75" ht="19" x14ac:dyDescent="0.2">
      <c r="A12" s="51"/>
      <c r="B12" s="51"/>
      <c r="C12" s="51"/>
      <c r="D12" s="51"/>
      <c r="E12" s="51"/>
      <c r="F12" s="2"/>
      <c r="G12" s="51"/>
      <c r="H12" s="51"/>
      <c r="I12" s="51"/>
      <c r="J12" s="54"/>
      <c r="K12" s="51"/>
      <c r="L12" s="51"/>
      <c r="M12" s="51"/>
      <c r="N12" s="2"/>
      <c r="O12" s="2"/>
      <c r="P12" s="2"/>
      <c r="Q12" s="2"/>
      <c r="R12" s="2"/>
      <c r="S12" s="2"/>
      <c r="T12" s="2"/>
      <c r="U12" s="51"/>
      <c r="V12" s="2"/>
      <c r="W12" s="51"/>
      <c r="X12" s="51"/>
      <c r="Y12" s="51"/>
      <c r="Z12" s="2"/>
      <c r="AA12" s="51"/>
      <c r="AB12" s="51"/>
      <c r="AC12" s="51"/>
      <c r="AD12" s="2"/>
      <c r="AE12" s="51"/>
      <c r="AF12" s="51"/>
      <c r="AG12" s="51"/>
      <c r="AH12" s="2"/>
      <c r="AI12" s="51"/>
      <c r="AJ12" s="51"/>
      <c r="AK12" s="51"/>
      <c r="AL12" s="2"/>
      <c r="AM12" s="51"/>
      <c r="AN12" s="51"/>
      <c r="AO12" s="51"/>
      <c r="AP12" s="2"/>
      <c r="AQ12" s="51"/>
      <c r="AR12" s="51"/>
      <c r="AS12" s="51"/>
      <c r="AT12" s="2"/>
      <c r="AU12" s="51"/>
      <c r="AV12" s="51"/>
      <c r="AW12" s="51"/>
      <c r="AX12" s="2"/>
      <c r="AY12" s="51"/>
      <c r="AZ12" s="51"/>
      <c r="BA12" s="51"/>
      <c r="BB12" s="2"/>
      <c r="BC12" s="51"/>
      <c r="BD12" s="51"/>
      <c r="BE12" s="51"/>
      <c r="BF12" s="2"/>
      <c r="BG12" s="51"/>
      <c r="BH12" s="51"/>
      <c r="BI12" s="51"/>
      <c r="BJ12" s="2"/>
      <c r="BK12" s="51"/>
      <c r="BL12" s="51"/>
      <c r="BM12" s="51"/>
      <c r="BN12" s="2"/>
      <c r="BO12" s="51"/>
      <c r="BP12" s="51"/>
      <c r="BQ12" s="51"/>
      <c r="BR12" s="2"/>
      <c r="BS12" s="51"/>
      <c r="BT12" s="51"/>
      <c r="BU12" s="51"/>
      <c r="BV12" s="2"/>
      <c r="BW12" s="51"/>
    </row>
    <row r="13" spans="1:75" ht="19" x14ac:dyDescent="0.2">
      <c r="A13" s="51"/>
      <c r="B13" s="51"/>
      <c r="C13" s="51"/>
      <c r="D13" s="51"/>
      <c r="E13" s="51"/>
      <c r="F13" s="2"/>
      <c r="G13" s="51"/>
      <c r="H13" s="51"/>
      <c r="I13" s="51"/>
      <c r="J13" s="54"/>
      <c r="K13" s="51"/>
      <c r="L13" s="51"/>
      <c r="M13" s="51"/>
      <c r="N13" s="2"/>
      <c r="O13" s="2"/>
      <c r="P13" s="2"/>
      <c r="Q13" s="2"/>
      <c r="R13" s="2"/>
      <c r="S13" s="2"/>
      <c r="T13" s="2"/>
      <c r="U13" s="51"/>
      <c r="V13" s="2"/>
      <c r="W13" s="51"/>
      <c r="X13" s="51"/>
      <c r="Y13" s="51"/>
      <c r="Z13" s="2"/>
      <c r="AA13" s="51"/>
      <c r="AB13" s="51"/>
      <c r="AC13" s="51"/>
      <c r="AD13" s="2"/>
      <c r="AE13" s="51"/>
      <c r="AF13" s="51"/>
      <c r="AG13" s="51"/>
      <c r="AH13" s="2"/>
      <c r="AI13" s="51"/>
      <c r="AJ13" s="51"/>
      <c r="AK13" s="51"/>
      <c r="AL13" s="2"/>
      <c r="AM13" s="51"/>
      <c r="AN13" s="51"/>
      <c r="AO13" s="51"/>
      <c r="AP13" s="2"/>
      <c r="AQ13" s="51"/>
      <c r="AR13" s="51"/>
      <c r="AS13" s="51"/>
      <c r="AT13" s="2"/>
      <c r="AU13" s="51"/>
      <c r="AV13" s="51"/>
      <c r="AW13" s="51"/>
      <c r="AX13" s="2"/>
      <c r="AY13" s="51"/>
      <c r="AZ13" s="51"/>
      <c r="BA13" s="51"/>
      <c r="BB13" s="2"/>
      <c r="BC13" s="51"/>
      <c r="BD13" s="51"/>
      <c r="BE13" s="51"/>
      <c r="BF13" s="2"/>
      <c r="BG13" s="51"/>
      <c r="BH13" s="51"/>
      <c r="BI13" s="51"/>
      <c r="BJ13" s="2"/>
      <c r="BK13" s="51"/>
      <c r="BL13" s="51"/>
      <c r="BM13" s="51"/>
      <c r="BN13" s="2"/>
      <c r="BO13" s="51"/>
      <c r="BP13" s="51"/>
      <c r="BQ13" s="51"/>
      <c r="BR13" s="2"/>
      <c r="BS13" s="51"/>
      <c r="BT13" s="51"/>
      <c r="BU13" s="51"/>
      <c r="BV13" s="2"/>
      <c r="BW13" s="51"/>
    </row>
    <row r="14" spans="1:75" ht="19" x14ac:dyDescent="0.2">
      <c r="A14" s="51"/>
      <c r="B14" s="51"/>
      <c r="C14" s="51"/>
      <c r="D14" s="51"/>
      <c r="E14" s="51"/>
      <c r="F14" s="2"/>
      <c r="G14" s="51"/>
      <c r="H14" s="51"/>
      <c r="I14" s="51"/>
      <c r="J14" s="54"/>
      <c r="K14" s="51"/>
      <c r="L14" s="51"/>
      <c r="M14" s="51"/>
      <c r="N14" s="2"/>
      <c r="O14" s="2"/>
      <c r="P14" s="2"/>
      <c r="Q14" s="2"/>
      <c r="R14" s="2"/>
      <c r="S14" s="2"/>
      <c r="T14" s="2"/>
      <c r="U14" s="51"/>
      <c r="V14" s="2"/>
      <c r="W14" s="51"/>
      <c r="X14" s="51"/>
      <c r="Y14" s="51"/>
      <c r="Z14" s="2"/>
      <c r="AA14" s="51"/>
      <c r="AB14" s="51"/>
      <c r="AC14" s="51"/>
      <c r="AD14" s="2"/>
      <c r="AE14" s="51"/>
      <c r="AF14" s="51"/>
      <c r="AG14" s="51"/>
      <c r="AH14" s="2"/>
      <c r="AI14" s="51"/>
      <c r="AJ14" s="51"/>
      <c r="AK14" s="51"/>
      <c r="AL14" s="2"/>
      <c r="AM14" s="51"/>
      <c r="AN14" s="51"/>
      <c r="AO14" s="51"/>
      <c r="AP14" s="2"/>
      <c r="AQ14" s="51"/>
      <c r="AR14" s="51"/>
      <c r="AS14" s="51"/>
      <c r="AT14" s="2"/>
      <c r="AU14" s="51"/>
      <c r="AV14" s="51"/>
      <c r="AW14" s="51"/>
      <c r="AX14" s="2"/>
      <c r="AY14" s="51"/>
      <c r="AZ14" s="51"/>
      <c r="BA14" s="51"/>
      <c r="BB14" s="2"/>
      <c r="BC14" s="51"/>
      <c r="BD14" s="51"/>
      <c r="BE14" s="51"/>
      <c r="BF14" s="2"/>
      <c r="BG14" s="51"/>
      <c r="BH14" s="51"/>
      <c r="BI14" s="51"/>
      <c r="BJ14" s="2"/>
      <c r="BK14" s="51"/>
      <c r="BL14" s="51"/>
      <c r="BM14" s="51"/>
      <c r="BN14" s="2"/>
      <c r="BO14" s="51"/>
      <c r="BP14" s="51"/>
      <c r="BQ14" s="51"/>
      <c r="BR14" s="2"/>
      <c r="BS14" s="51"/>
      <c r="BT14" s="51"/>
      <c r="BU14" s="51"/>
      <c r="BV14" s="2"/>
      <c r="BW14" s="51"/>
    </row>
    <row r="15" spans="1:75" ht="19" x14ac:dyDescent="0.2">
      <c r="A15" s="51"/>
      <c r="B15" s="51"/>
      <c r="C15" s="51"/>
      <c r="D15" s="51"/>
      <c r="E15" s="51"/>
      <c r="F15" s="2"/>
      <c r="G15" s="51"/>
      <c r="H15" s="51"/>
      <c r="I15" s="51"/>
      <c r="J15" s="54"/>
      <c r="K15" s="51"/>
      <c r="L15" s="51"/>
      <c r="M15" s="51"/>
      <c r="N15" s="2"/>
      <c r="O15" s="2"/>
      <c r="P15" s="2"/>
      <c r="Q15" s="2"/>
      <c r="R15" s="2"/>
      <c r="S15" s="2"/>
      <c r="T15" s="2"/>
      <c r="U15" s="51"/>
      <c r="V15" s="2"/>
      <c r="W15" s="51"/>
      <c r="X15" s="51"/>
      <c r="Y15" s="51"/>
      <c r="Z15" s="2"/>
      <c r="AA15" s="51"/>
      <c r="AB15" s="51"/>
      <c r="AC15" s="51"/>
      <c r="AD15" s="2"/>
      <c r="AE15" s="51"/>
      <c r="AF15" s="51"/>
      <c r="AG15" s="51"/>
      <c r="AH15" s="2"/>
      <c r="AI15" s="51"/>
      <c r="AJ15" s="51"/>
      <c r="AK15" s="51"/>
      <c r="AL15" s="2"/>
      <c r="AM15" s="51"/>
      <c r="AN15" s="51"/>
      <c r="AO15" s="51"/>
      <c r="AP15" s="2"/>
      <c r="AQ15" s="51"/>
      <c r="AR15" s="51"/>
      <c r="AS15" s="51"/>
      <c r="AT15" s="2"/>
      <c r="AU15" s="51"/>
      <c r="AV15" s="51"/>
      <c r="AW15" s="51"/>
      <c r="AX15" s="2"/>
      <c r="AY15" s="51"/>
      <c r="AZ15" s="51"/>
      <c r="BA15" s="51"/>
      <c r="BB15" s="2"/>
      <c r="BC15" s="51"/>
      <c r="BD15" s="51"/>
      <c r="BE15" s="51"/>
      <c r="BF15" s="2"/>
      <c r="BG15" s="51"/>
      <c r="BH15" s="51"/>
      <c r="BI15" s="51"/>
      <c r="BJ15" s="2"/>
      <c r="BK15" s="51"/>
      <c r="BL15" s="51"/>
      <c r="BM15" s="51"/>
      <c r="BN15" s="2"/>
      <c r="BO15" s="51"/>
      <c r="BP15" s="51"/>
      <c r="BQ15" s="51"/>
      <c r="BR15" s="2"/>
      <c r="BS15" s="51"/>
      <c r="BT15" s="51"/>
      <c r="BU15" s="51"/>
      <c r="BV15" s="2"/>
      <c r="BW15" s="51"/>
    </row>
    <row r="16" spans="1:75" ht="19" x14ac:dyDescent="0.2">
      <c r="A16" s="51"/>
      <c r="B16" s="51"/>
      <c r="C16" s="51"/>
      <c r="D16" s="51"/>
      <c r="E16" s="51"/>
      <c r="F16" s="2"/>
      <c r="G16" s="51"/>
      <c r="H16" s="51"/>
      <c r="I16" s="51"/>
      <c r="J16" s="54"/>
      <c r="K16" s="51"/>
      <c r="L16" s="51"/>
      <c r="M16" s="51"/>
      <c r="N16" s="2"/>
      <c r="O16" s="2"/>
      <c r="P16" s="2"/>
      <c r="Q16" s="2"/>
      <c r="R16" s="2"/>
      <c r="S16" s="2"/>
      <c r="T16" s="2"/>
      <c r="U16" s="51"/>
      <c r="V16" s="2"/>
      <c r="W16" s="51"/>
      <c r="X16" s="51"/>
      <c r="Y16" s="51"/>
      <c r="Z16" s="2"/>
      <c r="AA16" s="51"/>
      <c r="AB16" s="51"/>
      <c r="AC16" s="51"/>
      <c r="AD16" s="2"/>
      <c r="AE16" s="51"/>
      <c r="AF16" s="51"/>
      <c r="AG16" s="51"/>
      <c r="AH16" s="2"/>
      <c r="AI16" s="51"/>
      <c r="AJ16" s="51"/>
      <c r="AK16" s="51"/>
      <c r="AL16" s="2"/>
      <c r="AM16" s="51"/>
      <c r="AN16" s="51"/>
      <c r="AO16" s="51"/>
      <c r="AP16" s="2"/>
      <c r="AQ16" s="51"/>
      <c r="AR16" s="51"/>
      <c r="AS16" s="51"/>
      <c r="AT16" s="2"/>
      <c r="AU16" s="51"/>
      <c r="AV16" s="51"/>
      <c r="AW16" s="51"/>
      <c r="AX16" s="2"/>
      <c r="AY16" s="51"/>
      <c r="AZ16" s="51"/>
      <c r="BA16" s="51"/>
      <c r="BB16" s="2"/>
      <c r="BC16" s="51"/>
      <c r="BD16" s="51"/>
      <c r="BE16" s="51"/>
      <c r="BF16" s="2"/>
      <c r="BG16" s="51"/>
      <c r="BH16" s="51"/>
      <c r="BI16" s="51"/>
      <c r="BJ16" s="2"/>
      <c r="BK16" s="51"/>
      <c r="BL16" s="51"/>
      <c r="BM16" s="51"/>
      <c r="BN16" s="2"/>
      <c r="BO16" s="51"/>
      <c r="BP16" s="51"/>
      <c r="BQ16" s="51"/>
      <c r="BR16" s="2"/>
      <c r="BS16" s="51"/>
      <c r="BT16" s="51"/>
      <c r="BU16" s="51"/>
      <c r="BV16" s="2"/>
      <c r="BW16" s="51"/>
    </row>
    <row r="17" spans="1:75" ht="19" x14ac:dyDescent="0.2">
      <c r="A17" s="51"/>
      <c r="B17" s="51"/>
      <c r="C17" s="51"/>
      <c r="D17" s="51"/>
      <c r="E17" s="51"/>
      <c r="F17" s="2"/>
      <c r="G17" s="51"/>
      <c r="H17" s="51"/>
      <c r="I17" s="51"/>
      <c r="J17" s="54"/>
      <c r="K17" s="51"/>
      <c r="L17" s="51"/>
      <c r="M17" s="51"/>
      <c r="N17" s="2"/>
      <c r="O17" s="2"/>
      <c r="P17" s="2"/>
      <c r="Q17" s="2"/>
      <c r="R17" s="2"/>
      <c r="S17" s="2"/>
      <c r="T17" s="2"/>
      <c r="U17" s="51"/>
      <c r="V17" s="2"/>
      <c r="W17" s="51"/>
      <c r="X17" s="51"/>
      <c r="Y17" s="51"/>
      <c r="Z17" s="2"/>
      <c r="AA17" s="51"/>
      <c r="AB17" s="51"/>
      <c r="AC17" s="51"/>
      <c r="AD17" s="2"/>
      <c r="AE17" s="51"/>
      <c r="AF17" s="51"/>
      <c r="AG17" s="51"/>
      <c r="AH17" s="2"/>
      <c r="AI17" s="51"/>
      <c r="AJ17" s="51"/>
      <c r="AK17" s="51"/>
      <c r="AL17" s="2"/>
      <c r="AM17" s="51"/>
      <c r="AN17" s="51"/>
      <c r="AO17" s="51"/>
      <c r="AP17" s="2"/>
      <c r="AQ17" s="51"/>
      <c r="AR17" s="51"/>
      <c r="AS17" s="51"/>
      <c r="AT17" s="2"/>
      <c r="AU17" s="51"/>
      <c r="AV17" s="51"/>
      <c r="AW17" s="51"/>
      <c r="AX17" s="2"/>
      <c r="AY17" s="51"/>
      <c r="AZ17" s="51"/>
      <c r="BA17" s="51"/>
      <c r="BB17" s="2"/>
      <c r="BC17" s="51"/>
      <c r="BD17" s="51"/>
      <c r="BE17" s="51"/>
      <c r="BF17" s="2"/>
      <c r="BG17" s="51"/>
      <c r="BH17" s="51"/>
      <c r="BI17" s="51"/>
      <c r="BJ17" s="2"/>
      <c r="BK17" s="51"/>
      <c r="BL17" s="51"/>
      <c r="BM17" s="51"/>
      <c r="BN17" s="2"/>
      <c r="BO17" s="51"/>
      <c r="BP17" s="51"/>
      <c r="BQ17" s="51"/>
      <c r="BR17" s="2"/>
      <c r="BS17" s="51"/>
      <c r="BT17" s="51"/>
      <c r="BU17" s="51"/>
      <c r="BV17" s="2"/>
      <c r="BW17" s="51"/>
    </row>
    <row r="18" spans="1:75" x14ac:dyDescent="0.2">
      <c r="A18" s="51"/>
      <c r="B18" s="51"/>
      <c r="C18" s="51"/>
      <c r="D18" s="51"/>
      <c r="E18" s="51"/>
      <c r="F18" s="2"/>
      <c r="G18" s="51"/>
      <c r="H18" s="51"/>
      <c r="I18" s="51"/>
      <c r="J18" s="2"/>
      <c r="K18" s="51"/>
      <c r="L18" s="51"/>
      <c r="M18" s="51"/>
      <c r="N18" s="2"/>
      <c r="O18" s="51"/>
      <c r="P18" s="51"/>
      <c r="Q18" s="51"/>
      <c r="R18" s="2"/>
      <c r="S18" s="51"/>
      <c r="T18" s="51"/>
      <c r="U18" s="51"/>
      <c r="V18" s="2"/>
      <c r="W18" s="51"/>
      <c r="X18" s="51"/>
      <c r="Y18" s="51"/>
      <c r="Z18" s="2"/>
      <c r="AA18" s="51"/>
      <c r="AB18" s="51"/>
      <c r="AC18" s="51"/>
      <c r="AD18" s="2"/>
      <c r="AE18" s="51"/>
      <c r="AF18" s="51"/>
      <c r="AG18" s="51"/>
      <c r="AH18" s="2"/>
      <c r="AI18" s="51"/>
      <c r="AJ18" s="51"/>
      <c r="AK18" s="51"/>
      <c r="AL18" s="2"/>
      <c r="AM18" s="51"/>
      <c r="AN18" s="51"/>
      <c r="AO18" s="51"/>
      <c r="AP18" s="2"/>
      <c r="AQ18" s="51"/>
      <c r="AR18" s="51"/>
      <c r="AS18" s="51"/>
      <c r="AT18" s="2"/>
      <c r="AU18" s="51"/>
      <c r="AV18" s="51"/>
      <c r="AW18" s="51"/>
      <c r="AX18" s="2"/>
      <c r="AY18" s="51"/>
      <c r="AZ18" s="51"/>
      <c r="BA18" s="51"/>
      <c r="BB18" s="2"/>
      <c r="BC18" s="51"/>
      <c r="BD18" s="51"/>
      <c r="BE18" s="51"/>
      <c r="BF18" s="2"/>
      <c r="BG18" s="51"/>
      <c r="BH18" s="51"/>
      <c r="BI18" s="51"/>
      <c r="BJ18" s="2"/>
      <c r="BK18" s="51"/>
      <c r="BL18" s="51"/>
      <c r="BM18" s="51"/>
      <c r="BN18" s="2"/>
      <c r="BO18" s="51"/>
      <c r="BP18" s="51"/>
      <c r="BQ18" s="51"/>
      <c r="BR18" s="2"/>
      <c r="BS18" s="51"/>
      <c r="BT18" s="51"/>
      <c r="BU18" s="51"/>
      <c r="BV18" s="2"/>
      <c r="BW18" s="51"/>
    </row>
    <row r="19" spans="1:75" x14ac:dyDescent="0.2">
      <c r="A19" s="51"/>
      <c r="B19" s="51"/>
      <c r="C19" s="51"/>
      <c r="D19" s="51"/>
      <c r="E19" s="51"/>
      <c r="F19" s="2"/>
      <c r="G19" s="51"/>
      <c r="H19" s="51"/>
      <c r="I19" s="51"/>
      <c r="J19" s="2"/>
      <c r="K19" s="51"/>
      <c r="L19" s="51"/>
      <c r="M19" s="51"/>
      <c r="N19" s="2"/>
      <c r="O19" s="51"/>
      <c r="P19" s="51"/>
      <c r="Q19" s="51"/>
      <c r="R19" s="2"/>
      <c r="S19" s="51"/>
      <c r="T19" s="51"/>
      <c r="U19" s="51"/>
      <c r="V19" s="2"/>
      <c r="W19" s="51"/>
      <c r="X19" s="51"/>
      <c r="Y19" s="51"/>
      <c r="Z19" s="2"/>
      <c r="AA19" s="51"/>
      <c r="AB19" s="51"/>
      <c r="AC19" s="51"/>
      <c r="AD19" s="2"/>
      <c r="AE19" s="51"/>
      <c r="AF19" s="51"/>
      <c r="AG19" s="51"/>
      <c r="AH19" s="2"/>
      <c r="AI19" s="51"/>
      <c r="AJ19" s="51"/>
      <c r="AK19" s="51"/>
      <c r="AL19" s="2"/>
      <c r="AM19" s="51"/>
      <c r="AN19" s="51"/>
      <c r="AO19" s="51"/>
      <c r="AP19" s="2"/>
      <c r="AQ19" s="51"/>
      <c r="AR19" s="51"/>
      <c r="AS19" s="51"/>
      <c r="AT19" s="2"/>
      <c r="AU19" s="51"/>
      <c r="AV19" s="51"/>
      <c r="AW19" s="51"/>
      <c r="AX19" s="2"/>
      <c r="AY19" s="51"/>
      <c r="AZ19" s="51"/>
      <c r="BA19" s="51"/>
      <c r="BB19" s="2"/>
      <c r="BC19" s="51"/>
      <c r="BD19" s="51"/>
      <c r="BE19" s="51"/>
      <c r="BF19" s="2"/>
      <c r="BG19" s="51"/>
      <c r="BH19" s="51"/>
      <c r="BI19" s="51"/>
      <c r="BJ19" s="2"/>
      <c r="BK19" s="51"/>
      <c r="BL19" s="51"/>
      <c r="BM19" s="51"/>
      <c r="BN19" s="2"/>
      <c r="BO19" s="51"/>
      <c r="BP19" s="51"/>
      <c r="BQ19" s="51"/>
      <c r="BR19" s="2"/>
      <c r="BS19" s="51"/>
      <c r="BT19" s="51"/>
      <c r="BU19" s="51"/>
      <c r="BV19" s="2"/>
      <c r="BW19" s="51"/>
    </row>
    <row r="20" spans="1:75" x14ac:dyDescent="0.2">
      <c r="A20" s="51"/>
      <c r="B20" s="51"/>
      <c r="C20" s="51"/>
      <c r="D20" s="51"/>
      <c r="E20" s="51"/>
      <c r="F20" s="2"/>
      <c r="G20" s="51"/>
      <c r="H20" s="51"/>
      <c r="I20" s="51"/>
      <c r="J20" s="2"/>
      <c r="K20" s="51"/>
      <c r="L20" s="51"/>
      <c r="M20" s="51"/>
      <c r="N20" s="2"/>
      <c r="O20" s="51"/>
      <c r="P20" s="51"/>
      <c r="Q20" s="51"/>
      <c r="R20" s="2"/>
      <c r="S20" s="51"/>
      <c r="T20" s="51"/>
      <c r="U20" s="51"/>
      <c r="V20" s="2"/>
      <c r="W20" s="51"/>
      <c r="X20" s="51"/>
      <c r="Y20" s="51"/>
      <c r="Z20" s="2"/>
      <c r="AA20" s="51"/>
      <c r="AB20" s="51"/>
      <c r="AC20" s="51"/>
      <c r="AD20" s="2"/>
      <c r="AE20" s="51"/>
      <c r="AF20" s="51"/>
      <c r="AG20" s="51"/>
      <c r="AH20" s="2"/>
      <c r="AI20" s="51"/>
      <c r="AJ20" s="51"/>
      <c r="AK20" s="51"/>
      <c r="AL20" s="2"/>
      <c r="AM20" s="51"/>
      <c r="AN20" s="51"/>
      <c r="AO20" s="51"/>
      <c r="AP20" s="2"/>
      <c r="AQ20" s="51"/>
      <c r="AR20" s="51"/>
      <c r="AS20" s="51"/>
      <c r="AT20" s="2"/>
      <c r="AU20" s="51"/>
      <c r="AV20" s="51"/>
      <c r="AW20" s="51"/>
      <c r="AX20" s="2"/>
      <c r="AY20" s="51"/>
      <c r="AZ20" s="51"/>
      <c r="BA20" s="51"/>
      <c r="BB20" s="2"/>
      <c r="BC20" s="51"/>
      <c r="BD20" s="51"/>
      <c r="BE20" s="51"/>
      <c r="BF20" s="2"/>
      <c r="BG20" s="51"/>
      <c r="BH20" s="51"/>
      <c r="BI20" s="51"/>
      <c r="BJ20" s="2"/>
      <c r="BK20" s="51"/>
      <c r="BL20" s="51"/>
      <c r="BM20" s="51"/>
      <c r="BN20" s="2"/>
      <c r="BO20" s="51"/>
      <c r="BP20" s="51"/>
      <c r="BQ20" s="51"/>
      <c r="BR20" s="2"/>
      <c r="BS20" s="51"/>
      <c r="BT20" s="51"/>
      <c r="BU20" s="51"/>
      <c r="BV20" s="2"/>
      <c r="BW20" s="51"/>
    </row>
    <row r="21" spans="1:75" x14ac:dyDescent="0.2">
      <c r="A21" s="51"/>
      <c r="B21" s="51"/>
      <c r="C21" s="51"/>
      <c r="D21" s="51"/>
      <c r="E21" s="51"/>
      <c r="F21" s="2"/>
      <c r="G21" s="51"/>
      <c r="H21" s="51"/>
      <c r="I21" s="51"/>
      <c r="J21" s="2"/>
      <c r="K21" s="51"/>
      <c r="L21" s="51"/>
      <c r="M21" s="51"/>
      <c r="N21" s="2"/>
      <c r="O21" s="51"/>
      <c r="P21" s="51"/>
      <c r="Q21" s="51"/>
      <c r="R21" s="2"/>
      <c r="S21" s="51"/>
      <c r="T21" s="51"/>
      <c r="U21" s="51"/>
      <c r="V21" s="2"/>
      <c r="W21" s="51"/>
      <c r="X21" s="51"/>
      <c r="Y21" s="51"/>
      <c r="Z21" s="2"/>
      <c r="AA21" s="51"/>
      <c r="AB21" s="51"/>
      <c r="AC21" s="51"/>
      <c r="AD21" s="2"/>
      <c r="AE21" s="51"/>
      <c r="AF21" s="51"/>
      <c r="AG21" s="51"/>
      <c r="AH21" s="2"/>
      <c r="AI21" s="51"/>
      <c r="AJ21" s="51"/>
      <c r="AK21" s="51"/>
      <c r="AL21" s="2"/>
      <c r="AM21" s="51"/>
      <c r="AN21" s="51"/>
      <c r="AO21" s="51"/>
      <c r="AP21" s="2"/>
      <c r="AQ21" s="51"/>
      <c r="AR21" s="51"/>
      <c r="AS21" s="51"/>
      <c r="AT21" s="2"/>
      <c r="AU21" s="51"/>
      <c r="AV21" s="51"/>
      <c r="AW21" s="51"/>
      <c r="AX21" s="2"/>
      <c r="AY21" s="51"/>
      <c r="AZ21" s="51"/>
      <c r="BA21" s="51"/>
      <c r="BB21" s="2"/>
      <c r="BC21" s="51"/>
      <c r="BD21" s="51"/>
      <c r="BE21" s="51"/>
      <c r="BF21" s="2"/>
      <c r="BG21" s="51"/>
      <c r="BH21" s="51"/>
      <c r="BI21" s="51"/>
      <c r="BJ21" s="2"/>
      <c r="BK21" s="51"/>
      <c r="BL21" s="51"/>
      <c r="BM21" s="51"/>
      <c r="BN21" s="2"/>
      <c r="BO21" s="51"/>
      <c r="BP21" s="51"/>
      <c r="BQ21" s="51"/>
      <c r="BR21" s="2"/>
      <c r="BS21" s="51"/>
      <c r="BT21" s="51"/>
      <c r="BU21" s="51"/>
      <c r="BV21" s="2"/>
      <c r="BW21" s="51"/>
    </row>
    <row r="22" spans="1:75" x14ac:dyDescent="0.2">
      <c r="A22" s="51"/>
      <c r="B22" s="51"/>
      <c r="C22" s="51"/>
      <c r="D22" s="51"/>
      <c r="E22" s="51"/>
      <c r="F22" s="2"/>
      <c r="G22" s="51"/>
      <c r="H22" s="51"/>
      <c r="I22" s="51"/>
      <c r="J22" s="2"/>
      <c r="K22" s="51"/>
      <c r="L22" s="51"/>
      <c r="M22" s="51"/>
      <c r="N22" s="2"/>
      <c r="O22" s="51"/>
      <c r="P22" s="51"/>
      <c r="Q22" s="51"/>
      <c r="R22" s="2"/>
      <c r="S22" s="51"/>
      <c r="T22" s="51"/>
      <c r="U22" s="51"/>
      <c r="V22" s="2"/>
      <c r="W22" s="51"/>
      <c r="X22" s="51"/>
      <c r="Y22" s="51"/>
      <c r="Z22" s="2"/>
      <c r="AA22" s="51"/>
      <c r="AB22" s="51"/>
      <c r="AC22" s="51"/>
      <c r="AD22" s="2"/>
      <c r="AE22" s="51"/>
      <c r="AF22" s="51"/>
      <c r="AG22" s="51"/>
      <c r="AH22" s="2"/>
      <c r="AI22" s="51"/>
      <c r="AJ22" s="51"/>
      <c r="AK22" s="51"/>
      <c r="AL22" s="2"/>
      <c r="AM22" s="51"/>
      <c r="AN22" s="51"/>
      <c r="AO22" s="51"/>
      <c r="AP22" s="2"/>
      <c r="AQ22" s="51"/>
      <c r="AR22" s="51"/>
      <c r="AS22" s="51"/>
      <c r="AT22" s="2"/>
      <c r="AU22" s="51"/>
      <c r="AV22" s="51"/>
      <c r="AW22" s="51"/>
      <c r="AX22" s="2"/>
      <c r="AY22" s="51"/>
      <c r="AZ22" s="51"/>
      <c r="BA22" s="51"/>
      <c r="BB22" s="2"/>
      <c r="BC22" s="51"/>
      <c r="BD22" s="51"/>
      <c r="BE22" s="51"/>
      <c r="BF22" s="2"/>
      <c r="BG22" s="51"/>
      <c r="BH22" s="51"/>
      <c r="BI22" s="51"/>
      <c r="BJ22" s="2"/>
      <c r="BK22" s="51"/>
      <c r="BL22" s="51"/>
      <c r="BM22" s="51"/>
      <c r="BN22" s="2"/>
      <c r="BO22" s="51"/>
      <c r="BP22" s="51"/>
      <c r="BQ22" s="51"/>
      <c r="BR22" s="2"/>
      <c r="BS22" s="51"/>
      <c r="BT22" s="51"/>
      <c r="BU22" s="51"/>
      <c r="BV22" s="2"/>
      <c r="BW22" s="51"/>
    </row>
    <row r="23" spans="1:75" x14ac:dyDescent="0.2">
      <c r="A23" s="51"/>
      <c r="B23" s="51"/>
      <c r="C23" s="51"/>
      <c r="D23" s="51"/>
      <c r="E23" s="51"/>
      <c r="F23" s="2"/>
      <c r="G23" s="51"/>
      <c r="H23" s="51"/>
      <c r="I23" s="51"/>
      <c r="J23" s="2"/>
      <c r="K23" s="51"/>
      <c r="L23" s="51"/>
      <c r="M23" s="51"/>
      <c r="N23" s="2"/>
      <c r="O23" s="51"/>
      <c r="P23" s="51"/>
      <c r="Q23" s="51"/>
      <c r="R23" s="2"/>
      <c r="S23" s="51"/>
      <c r="T23" s="51"/>
      <c r="U23" s="51"/>
      <c r="V23" s="2"/>
      <c r="W23" s="51"/>
      <c r="X23" s="51"/>
      <c r="Y23" s="51"/>
      <c r="Z23" s="2"/>
      <c r="AA23" s="51"/>
      <c r="AB23" s="51"/>
      <c r="AC23" s="51"/>
      <c r="AD23" s="2"/>
      <c r="AE23" s="51"/>
      <c r="AF23" s="51"/>
      <c r="AG23" s="51"/>
      <c r="AH23" s="2"/>
      <c r="AI23" s="51"/>
      <c r="AJ23" s="51"/>
      <c r="AK23" s="51"/>
      <c r="AL23" s="2"/>
      <c r="AM23" s="51"/>
      <c r="AN23" s="51"/>
      <c r="AO23" s="51"/>
      <c r="AP23" s="2"/>
      <c r="AQ23" s="51"/>
      <c r="AR23" s="51"/>
      <c r="AS23" s="51"/>
      <c r="AT23" s="2"/>
      <c r="AU23" s="51"/>
      <c r="AV23" s="51"/>
      <c r="AW23" s="51"/>
      <c r="AX23" s="2"/>
      <c r="AY23" s="51"/>
      <c r="AZ23" s="51"/>
      <c r="BA23" s="51"/>
      <c r="BB23" s="2"/>
      <c r="BC23" s="51"/>
      <c r="BD23" s="51"/>
      <c r="BE23" s="51"/>
      <c r="BF23" s="2"/>
      <c r="BG23" s="51"/>
      <c r="BH23" s="51"/>
      <c r="BI23" s="51"/>
      <c r="BJ23" s="2"/>
      <c r="BK23" s="51"/>
      <c r="BL23" s="51"/>
      <c r="BM23" s="51"/>
      <c r="BN23" s="2"/>
      <c r="BO23" s="51"/>
      <c r="BP23" s="51"/>
      <c r="BQ23" s="51"/>
      <c r="BR23" s="2"/>
      <c r="BS23" s="51"/>
      <c r="BT23" s="51"/>
      <c r="BU23" s="51"/>
      <c r="BV23" s="2"/>
      <c r="BW23" s="51"/>
    </row>
    <row r="24" spans="1:75" x14ac:dyDescent="0.2">
      <c r="A24" s="51"/>
      <c r="B24" s="51"/>
      <c r="C24" s="51"/>
      <c r="D24" s="51"/>
      <c r="E24" s="51"/>
      <c r="F24" s="2"/>
      <c r="G24" s="51"/>
      <c r="H24" s="51"/>
      <c r="I24" s="51"/>
      <c r="J24" s="2"/>
      <c r="K24" s="51"/>
      <c r="L24" s="51"/>
      <c r="M24" s="51"/>
      <c r="N24" s="2"/>
      <c r="O24" s="51"/>
      <c r="P24" s="51"/>
      <c r="Q24" s="51"/>
      <c r="R24" s="2"/>
      <c r="S24" s="51"/>
      <c r="T24" s="51"/>
      <c r="U24" s="51"/>
      <c r="V24" s="2"/>
      <c r="W24" s="51"/>
      <c r="X24" s="51"/>
      <c r="Y24" s="51"/>
      <c r="Z24" s="2"/>
      <c r="AA24" s="51"/>
      <c r="AB24" s="51"/>
      <c r="AC24" s="51"/>
      <c r="AD24" s="2"/>
      <c r="AE24" s="51"/>
      <c r="AF24" s="51"/>
      <c r="AG24" s="51"/>
      <c r="AH24" s="2"/>
      <c r="AI24" s="51"/>
      <c r="AJ24" s="51"/>
      <c r="AK24" s="51"/>
      <c r="AL24" s="2"/>
      <c r="AM24" s="51"/>
      <c r="AN24" s="51"/>
      <c r="AO24" s="51"/>
      <c r="AP24" s="2"/>
      <c r="AQ24" s="51"/>
      <c r="AR24" s="51"/>
      <c r="AS24" s="51"/>
      <c r="AT24" s="2"/>
      <c r="AU24" s="51"/>
      <c r="AV24" s="51"/>
      <c r="AW24" s="51"/>
      <c r="AX24" s="2"/>
      <c r="AY24" s="51"/>
      <c r="AZ24" s="51"/>
      <c r="BA24" s="51"/>
      <c r="BB24" s="2"/>
      <c r="BC24" s="51"/>
      <c r="BD24" s="51"/>
      <c r="BE24" s="51"/>
      <c r="BF24" s="2"/>
      <c r="BG24" s="51"/>
      <c r="BH24" s="51"/>
      <c r="BI24" s="51"/>
      <c r="BJ24" s="2"/>
      <c r="BK24" s="51"/>
      <c r="BL24" s="51"/>
      <c r="BM24" s="51"/>
      <c r="BN24" s="2"/>
      <c r="BO24" s="51"/>
      <c r="BP24" s="51"/>
      <c r="BQ24" s="51"/>
      <c r="BR24" s="2"/>
      <c r="BS24" s="51"/>
      <c r="BT24" s="51"/>
      <c r="BU24" s="51"/>
      <c r="BV24" s="2"/>
      <c r="BW24" s="51"/>
    </row>
    <row r="25" spans="1:75" x14ac:dyDescent="0.2">
      <c r="A25" s="51"/>
      <c r="B25" s="51"/>
      <c r="C25" s="51"/>
      <c r="D25" s="51"/>
      <c r="E25" s="51"/>
      <c r="F25" s="2"/>
      <c r="G25" s="51"/>
      <c r="H25" s="51"/>
      <c r="I25" s="51"/>
      <c r="J25" s="2"/>
      <c r="K25" s="51"/>
      <c r="L25" s="51"/>
      <c r="M25" s="51"/>
      <c r="N25" s="2"/>
      <c r="O25" s="51"/>
      <c r="P25" s="51"/>
      <c r="Q25" s="51"/>
      <c r="R25" s="2"/>
      <c r="S25" s="51"/>
      <c r="T25" s="51"/>
      <c r="U25" s="51"/>
      <c r="V25" s="2"/>
      <c r="W25" s="51"/>
      <c r="X25" s="51"/>
      <c r="Y25" s="51"/>
      <c r="Z25" s="2"/>
      <c r="AA25" s="51"/>
      <c r="AB25" s="51"/>
      <c r="AC25" s="51"/>
      <c r="AD25" s="2"/>
      <c r="AE25" s="51"/>
      <c r="AF25" s="51"/>
      <c r="AG25" s="51"/>
      <c r="AH25" s="2"/>
      <c r="AI25" s="51"/>
      <c r="AJ25" s="51"/>
      <c r="AK25" s="51"/>
      <c r="AL25" s="2"/>
      <c r="AM25" s="51"/>
      <c r="AN25" s="51"/>
      <c r="AO25" s="51"/>
      <c r="AP25" s="2"/>
      <c r="AQ25" s="51"/>
      <c r="AR25" s="51"/>
      <c r="AS25" s="51"/>
      <c r="AT25" s="2"/>
      <c r="AU25" s="51"/>
      <c r="AV25" s="51"/>
      <c r="AW25" s="51"/>
      <c r="AX25" s="2"/>
      <c r="AY25" s="51"/>
      <c r="AZ25" s="51"/>
      <c r="BA25" s="51"/>
      <c r="BB25" s="2"/>
      <c r="BC25" s="51"/>
      <c r="BD25" s="51"/>
      <c r="BE25" s="51"/>
      <c r="BF25" s="2"/>
      <c r="BG25" s="51"/>
      <c r="BH25" s="51"/>
      <c r="BI25" s="51"/>
      <c r="BJ25" s="2"/>
      <c r="BK25" s="51"/>
      <c r="BL25" s="51"/>
      <c r="BM25" s="51"/>
      <c r="BN25" s="2"/>
      <c r="BO25" s="51"/>
      <c r="BP25" s="51"/>
      <c r="BQ25" s="51"/>
      <c r="BR25" s="2"/>
      <c r="BS25" s="51"/>
      <c r="BT25" s="51"/>
      <c r="BU25" s="51"/>
      <c r="BV25" s="2"/>
      <c r="BW25" s="51"/>
    </row>
    <row r="26" spans="1:75" x14ac:dyDescent="0.2">
      <c r="A26" s="51"/>
      <c r="B26" s="51"/>
      <c r="C26" s="51"/>
      <c r="D26" s="51"/>
      <c r="E26" s="51"/>
      <c r="F26" s="2"/>
      <c r="G26" s="51"/>
      <c r="H26" s="51"/>
      <c r="I26" s="51"/>
      <c r="J26" s="2"/>
      <c r="K26" s="51"/>
      <c r="L26" s="51"/>
      <c r="M26" s="51"/>
      <c r="N26" s="2"/>
      <c r="O26" s="51"/>
      <c r="P26" s="51"/>
      <c r="Q26" s="51"/>
      <c r="R26" s="2"/>
      <c r="S26" s="51"/>
      <c r="T26" s="51"/>
      <c r="U26" s="51"/>
      <c r="V26" s="2"/>
      <c r="W26" s="51"/>
      <c r="X26" s="51"/>
      <c r="Y26" s="51"/>
      <c r="Z26" s="2"/>
      <c r="AA26" s="51"/>
      <c r="AB26" s="51"/>
      <c r="AC26" s="51"/>
      <c r="AD26" s="2"/>
      <c r="AE26" s="51"/>
      <c r="AF26" s="51"/>
      <c r="AG26" s="51"/>
      <c r="AH26" s="2"/>
      <c r="AI26" s="51"/>
      <c r="AJ26" s="51"/>
      <c r="AK26" s="51"/>
      <c r="AL26" s="2"/>
      <c r="AM26" s="51"/>
      <c r="AN26" s="51"/>
      <c r="AO26" s="51"/>
      <c r="AP26" s="2"/>
      <c r="AQ26" s="51"/>
      <c r="AR26" s="51"/>
      <c r="AS26" s="51"/>
      <c r="AT26" s="2"/>
      <c r="AU26" s="51"/>
      <c r="AV26" s="51"/>
      <c r="AW26" s="51"/>
      <c r="AX26" s="2"/>
      <c r="AY26" s="51"/>
      <c r="AZ26" s="51"/>
      <c r="BA26" s="51"/>
      <c r="BB26" s="2"/>
      <c r="BC26" s="51"/>
      <c r="BD26" s="51"/>
      <c r="BE26" s="51"/>
      <c r="BF26" s="2"/>
      <c r="BG26" s="51"/>
      <c r="BH26" s="51"/>
      <c r="BI26" s="51"/>
      <c r="BJ26" s="2"/>
      <c r="BK26" s="51"/>
      <c r="BL26" s="51"/>
      <c r="BM26" s="51"/>
      <c r="BN26" s="2"/>
      <c r="BO26" s="51"/>
      <c r="BP26" s="51"/>
      <c r="BQ26" s="51"/>
      <c r="BR26" s="2"/>
      <c r="BS26" s="51"/>
      <c r="BT26" s="51"/>
      <c r="BU26" s="51"/>
      <c r="BV26" s="2"/>
      <c r="BW26" s="51"/>
    </row>
    <row r="27" spans="1:75" x14ac:dyDescent="0.2">
      <c r="A27" s="51"/>
      <c r="B27" s="51"/>
      <c r="C27" s="51"/>
      <c r="D27" s="51"/>
      <c r="E27" s="51"/>
      <c r="F27" s="2"/>
      <c r="G27" s="51"/>
      <c r="H27" s="51"/>
      <c r="I27" s="51"/>
      <c r="J27" s="2"/>
      <c r="K27" s="51"/>
      <c r="L27" s="51"/>
      <c r="M27" s="51"/>
      <c r="N27" s="2"/>
      <c r="O27" s="51"/>
      <c r="P27" s="51"/>
      <c r="Q27" s="51"/>
      <c r="R27" s="2"/>
      <c r="S27" s="51"/>
      <c r="T27" s="51"/>
      <c r="U27" s="51"/>
      <c r="V27" s="2"/>
      <c r="W27" s="51"/>
      <c r="X27" s="51"/>
      <c r="Y27" s="51"/>
      <c r="Z27" s="2"/>
      <c r="AA27" s="51"/>
      <c r="AB27" s="51"/>
      <c r="AC27" s="51"/>
      <c r="AD27" s="2"/>
      <c r="AE27" s="51"/>
      <c r="AF27" s="51"/>
      <c r="AG27" s="51"/>
      <c r="AH27" s="2"/>
      <c r="AI27" s="51"/>
      <c r="AJ27" s="51"/>
      <c r="AK27" s="51"/>
      <c r="AL27" s="2"/>
      <c r="AM27" s="51"/>
      <c r="AN27" s="51"/>
      <c r="AO27" s="51"/>
      <c r="AP27" s="2"/>
      <c r="AQ27" s="51"/>
      <c r="AR27" s="51"/>
      <c r="AS27" s="51"/>
      <c r="AT27" s="2"/>
      <c r="AU27" s="51"/>
      <c r="AV27" s="51"/>
      <c r="AW27" s="51"/>
      <c r="AX27" s="2"/>
      <c r="AY27" s="51"/>
      <c r="AZ27" s="51"/>
      <c r="BA27" s="51"/>
      <c r="BB27" s="2"/>
      <c r="BC27" s="51"/>
      <c r="BD27" s="51"/>
      <c r="BE27" s="51"/>
      <c r="BF27" s="2"/>
      <c r="BG27" s="51"/>
      <c r="BH27" s="51"/>
      <c r="BI27" s="51"/>
      <c r="BJ27" s="2"/>
      <c r="BK27" s="51"/>
      <c r="BL27" s="51"/>
      <c r="BM27" s="51"/>
      <c r="BN27" s="2"/>
      <c r="BO27" s="51"/>
      <c r="BP27" s="51"/>
      <c r="BQ27" s="51"/>
      <c r="BR27" s="2"/>
      <c r="BS27" s="51"/>
      <c r="BT27" s="51"/>
      <c r="BU27" s="51"/>
      <c r="BV27" s="2"/>
      <c r="BW27" s="51"/>
    </row>
    <row r="28" spans="1:75" ht="17" thickBot="1" x14ac:dyDescent="0.25">
      <c r="A28" s="51"/>
      <c r="B28" s="51"/>
      <c r="C28" s="43" t="s">
        <v>425</v>
      </c>
      <c r="D28" s="43">
        <v>2014</v>
      </c>
      <c r="E28" s="43">
        <v>2015</v>
      </c>
      <c r="F28" s="43">
        <v>2016</v>
      </c>
      <c r="G28" s="43">
        <v>2017</v>
      </c>
      <c r="H28" s="43">
        <v>2018</v>
      </c>
      <c r="I28" s="43">
        <v>2019</v>
      </c>
      <c r="J28" s="43">
        <v>2020</v>
      </c>
      <c r="K28" s="43">
        <v>2021</v>
      </c>
      <c r="L28" s="43">
        <v>2022</v>
      </c>
      <c r="M28" s="43">
        <v>2023</v>
      </c>
      <c r="N28" s="43">
        <v>2024</v>
      </c>
      <c r="O28" s="43">
        <v>2025</v>
      </c>
      <c r="P28" s="43">
        <v>2026</v>
      </c>
      <c r="Q28" s="43">
        <v>2027</v>
      </c>
      <c r="R28" s="43">
        <v>2028</v>
      </c>
      <c r="S28" s="43">
        <v>2029</v>
      </c>
      <c r="T28" s="43">
        <v>2030</v>
      </c>
      <c r="U28" s="51"/>
      <c r="V28" s="2"/>
      <c r="W28" s="51"/>
      <c r="X28" s="51"/>
      <c r="Y28" s="51"/>
      <c r="Z28" s="2"/>
      <c r="AA28" s="51"/>
      <c r="AB28" s="51"/>
      <c r="AC28" s="51"/>
      <c r="AD28" s="2"/>
      <c r="AE28" s="51"/>
      <c r="AF28" s="51"/>
      <c r="AG28" s="51"/>
      <c r="AH28" s="2"/>
      <c r="AI28" s="51"/>
      <c r="AJ28" s="51"/>
      <c r="AK28" s="51"/>
      <c r="AL28" s="2"/>
      <c r="AM28" s="51"/>
      <c r="AN28" s="51"/>
      <c r="AO28" s="51"/>
      <c r="AP28" s="2"/>
      <c r="AQ28" s="51"/>
      <c r="AR28" s="51"/>
      <c r="AS28" s="51"/>
      <c r="AT28" s="2"/>
      <c r="AU28" s="51"/>
      <c r="AV28" s="51"/>
      <c r="AW28" s="51"/>
      <c r="AX28" s="2"/>
      <c r="AY28" s="51"/>
      <c r="AZ28" s="51"/>
      <c r="BA28" s="51"/>
      <c r="BB28" s="2"/>
      <c r="BC28" s="51"/>
      <c r="BD28" s="51"/>
      <c r="BE28" s="51"/>
      <c r="BF28" s="2"/>
      <c r="BG28" s="51"/>
      <c r="BH28" s="51"/>
      <c r="BI28" s="51"/>
      <c r="BJ28" s="2"/>
      <c r="BK28" s="51"/>
      <c r="BL28" s="51"/>
      <c r="BM28" s="51"/>
      <c r="BN28" s="2"/>
      <c r="BO28" s="51"/>
      <c r="BP28" s="51"/>
      <c r="BQ28" s="51"/>
      <c r="BR28" s="2"/>
      <c r="BS28" s="51"/>
      <c r="BT28" s="51"/>
      <c r="BU28" s="51"/>
      <c r="BV28" s="2"/>
      <c r="BW28" s="51"/>
    </row>
    <row r="29" spans="1:75" ht="17" thickTop="1" x14ac:dyDescent="0.2">
      <c r="A29" s="51"/>
      <c r="B29" s="51"/>
      <c r="C29" s="92" t="s">
        <v>426</v>
      </c>
      <c r="D29" s="330">
        <f>D39</f>
        <v>0</v>
      </c>
      <c r="E29" s="330">
        <f t="shared" ref="E29:T29" si="0">E39</f>
        <v>0</v>
      </c>
      <c r="F29" s="330">
        <f t="shared" si="0"/>
        <v>0</v>
      </c>
      <c r="G29" s="330">
        <f t="shared" si="0"/>
        <v>0</v>
      </c>
      <c r="H29" s="330">
        <f t="shared" si="0"/>
        <v>0</v>
      </c>
      <c r="I29" s="330">
        <f t="shared" si="0"/>
        <v>0</v>
      </c>
      <c r="J29" s="330">
        <f t="shared" si="0"/>
        <v>0</v>
      </c>
      <c r="K29" s="330">
        <f t="shared" si="0"/>
        <v>15629.119411708811</v>
      </c>
      <c r="L29" s="330">
        <f t="shared" si="0"/>
        <v>24388.037502825533</v>
      </c>
      <c r="M29" s="330">
        <f t="shared" si="0"/>
        <v>37595.643750000003</v>
      </c>
      <c r="N29" s="330">
        <f t="shared" si="0"/>
        <v>56950.143869662599</v>
      </c>
      <c r="O29" s="330">
        <f t="shared" si="0"/>
        <v>84195.894023343906</v>
      </c>
      <c r="P29" s="330">
        <f t="shared" si="0"/>
        <v>120537.16759176298</v>
      </c>
      <c r="Q29" s="330">
        <f t="shared" si="0"/>
        <v>165818.13841235961</v>
      </c>
      <c r="R29" s="330">
        <f t="shared" si="0"/>
        <v>217918.27552996916</v>
      </c>
      <c r="S29" s="330">
        <f t="shared" si="0"/>
        <v>272995.18455006415</v>
      </c>
      <c r="T29" s="330">
        <f t="shared" si="0"/>
        <v>326713.35296251281</v>
      </c>
      <c r="U29" s="51"/>
      <c r="V29" s="2"/>
      <c r="W29" s="51"/>
      <c r="X29" s="51"/>
      <c r="Y29" s="51"/>
      <c r="Z29" s="2"/>
      <c r="AA29" s="51"/>
      <c r="AB29" s="51"/>
      <c r="AC29" s="51"/>
      <c r="AD29" s="2"/>
      <c r="AE29" s="51"/>
      <c r="AF29" s="51"/>
      <c r="AG29" s="51"/>
      <c r="AH29" s="2"/>
      <c r="AI29" s="51"/>
      <c r="AJ29" s="51"/>
      <c r="AK29" s="51"/>
      <c r="AL29" s="2"/>
      <c r="AM29" s="51"/>
      <c r="AN29" s="51"/>
      <c r="AO29" s="51"/>
      <c r="AP29" s="2"/>
      <c r="AQ29" s="51"/>
      <c r="AR29" s="51"/>
      <c r="AS29" s="51"/>
      <c r="AT29" s="2"/>
      <c r="AU29" s="51"/>
      <c r="AV29" s="51"/>
      <c r="AW29" s="51"/>
      <c r="AX29" s="2"/>
      <c r="AY29" s="51"/>
      <c r="AZ29" s="51"/>
      <c r="BA29" s="51"/>
      <c r="BB29" s="2"/>
      <c r="BC29" s="51"/>
      <c r="BD29" s="51"/>
      <c r="BE29" s="51"/>
      <c r="BF29" s="2"/>
      <c r="BG29" s="51"/>
      <c r="BH29" s="51"/>
      <c r="BI29" s="51"/>
      <c r="BJ29" s="2"/>
      <c r="BK29" s="51"/>
      <c r="BL29" s="51"/>
      <c r="BM29" s="51"/>
      <c r="BN29" s="2"/>
      <c r="BO29" s="51"/>
      <c r="BP29" s="51"/>
      <c r="BQ29" s="51"/>
      <c r="BR29" s="2"/>
      <c r="BS29" s="51"/>
      <c r="BT29" s="51"/>
      <c r="BU29" s="51"/>
      <c r="BV29" s="2"/>
      <c r="BW29" s="51"/>
    </row>
    <row r="30" spans="1:75" x14ac:dyDescent="0.2">
      <c r="A30" s="51"/>
      <c r="B30" s="51"/>
      <c r="C30" s="47" t="s">
        <v>427</v>
      </c>
      <c r="D30" s="70">
        <f>D47</f>
        <v>0</v>
      </c>
      <c r="E30" s="70">
        <f t="shared" ref="E30:T30" si="1">E47</f>
        <v>0</v>
      </c>
      <c r="F30" s="70">
        <f t="shared" si="1"/>
        <v>0</v>
      </c>
      <c r="G30" s="70">
        <f t="shared" si="1"/>
        <v>0</v>
      </c>
      <c r="H30" s="70">
        <f t="shared" si="1"/>
        <v>0</v>
      </c>
      <c r="I30" s="70">
        <f t="shared" si="1"/>
        <v>0</v>
      </c>
      <c r="J30" s="70">
        <f t="shared" si="1"/>
        <v>0</v>
      </c>
      <c r="K30" s="70">
        <f t="shared" si="1"/>
        <v>0</v>
      </c>
      <c r="L30" s="70">
        <f t="shared" si="1"/>
        <v>5696.7322803195439</v>
      </c>
      <c r="M30" s="70">
        <f t="shared" si="1"/>
        <v>9450</v>
      </c>
      <c r="N30" s="70">
        <f t="shared" si="1"/>
        <v>15251.400151760643</v>
      </c>
      <c r="O30" s="70">
        <f t="shared" si="1"/>
        <v>23625</v>
      </c>
      <c r="P30" s="70">
        <f t="shared" si="1"/>
        <v>34589.400657629456</v>
      </c>
      <c r="Q30" s="70">
        <f t="shared" si="1"/>
        <v>47250</v>
      </c>
      <c r="R30" s="70">
        <f t="shared" si="1"/>
        <v>59910.599342370566</v>
      </c>
      <c r="S30" s="70">
        <f t="shared" si="1"/>
        <v>70875.000000000015</v>
      </c>
      <c r="T30" s="70">
        <f t="shared" si="1"/>
        <v>79248.599848239362</v>
      </c>
      <c r="U30" s="51"/>
      <c r="V30" s="2"/>
      <c r="W30" s="51"/>
      <c r="X30" s="51"/>
      <c r="Y30" s="51"/>
      <c r="Z30" s="2"/>
      <c r="AA30" s="51"/>
      <c r="AB30" s="51"/>
      <c r="AC30" s="51"/>
      <c r="AD30" s="2"/>
      <c r="AE30" s="51"/>
      <c r="AF30" s="51"/>
      <c r="AG30" s="51"/>
      <c r="AH30" s="2"/>
      <c r="AI30" s="51"/>
      <c r="AJ30" s="51"/>
      <c r="AK30" s="51"/>
      <c r="AL30" s="2"/>
      <c r="AM30" s="51"/>
      <c r="AN30" s="51"/>
      <c r="AO30" s="51"/>
      <c r="AP30" s="2"/>
      <c r="AQ30" s="51"/>
      <c r="AR30" s="51"/>
      <c r="AS30" s="51"/>
      <c r="AT30" s="2"/>
      <c r="AU30" s="51"/>
      <c r="AV30" s="51"/>
      <c r="AW30" s="51"/>
      <c r="AX30" s="2"/>
      <c r="AY30" s="51"/>
      <c r="AZ30" s="51"/>
      <c r="BA30" s="51"/>
      <c r="BB30" s="2"/>
      <c r="BC30" s="51"/>
      <c r="BD30" s="51"/>
      <c r="BE30" s="51"/>
      <c r="BF30" s="2"/>
      <c r="BG30" s="51"/>
      <c r="BH30" s="51"/>
      <c r="BI30" s="51"/>
      <c r="BJ30" s="2"/>
      <c r="BK30" s="51"/>
      <c r="BL30" s="51"/>
      <c r="BM30" s="51"/>
      <c r="BN30" s="2"/>
      <c r="BO30" s="51"/>
      <c r="BP30" s="51"/>
      <c r="BQ30" s="51"/>
      <c r="BR30" s="2"/>
      <c r="BS30" s="51"/>
      <c r="BT30" s="51"/>
      <c r="BU30" s="51"/>
      <c r="BV30" s="2"/>
      <c r="BW30" s="51"/>
    </row>
    <row r="31" spans="1:75" ht="17" thickBot="1" x14ac:dyDescent="0.25">
      <c r="A31" s="51"/>
      <c r="B31" s="51"/>
      <c r="C31" s="43" t="s">
        <v>317</v>
      </c>
      <c r="D31" s="96">
        <f>D29+D30</f>
        <v>0</v>
      </c>
      <c r="E31" s="96">
        <f t="shared" ref="E31:T31" si="2">E29+E30</f>
        <v>0</v>
      </c>
      <c r="F31" s="96">
        <f t="shared" si="2"/>
        <v>0</v>
      </c>
      <c r="G31" s="96">
        <f t="shared" si="2"/>
        <v>0</v>
      </c>
      <c r="H31" s="96">
        <f t="shared" si="2"/>
        <v>0</v>
      </c>
      <c r="I31" s="96">
        <f t="shared" si="2"/>
        <v>0</v>
      </c>
      <c r="J31" s="96">
        <f t="shared" si="2"/>
        <v>0</v>
      </c>
      <c r="K31" s="96">
        <f t="shared" si="2"/>
        <v>15629.119411708811</v>
      </c>
      <c r="L31" s="96">
        <f t="shared" si="2"/>
        <v>30084.769783145079</v>
      </c>
      <c r="M31" s="96">
        <f t="shared" si="2"/>
        <v>47045.643750000003</v>
      </c>
      <c r="N31" s="96">
        <f t="shared" si="2"/>
        <v>72201.544021423237</v>
      </c>
      <c r="O31" s="96">
        <f t="shared" si="2"/>
        <v>107820.89402334391</v>
      </c>
      <c r="P31" s="96">
        <f t="shared" si="2"/>
        <v>155126.56824939244</v>
      </c>
      <c r="Q31" s="96">
        <f t="shared" si="2"/>
        <v>213068.13841235961</v>
      </c>
      <c r="R31" s="96">
        <f t="shared" si="2"/>
        <v>277828.87487233971</v>
      </c>
      <c r="S31" s="96">
        <f t="shared" si="2"/>
        <v>343870.18455006415</v>
      </c>
      <c r="T31" s="96">
        <f t="shared" si="2"/>
        <v>405961.95281075221</v>
      </c>
      <c r="U31" s="51"/>
      <c r="V31" s="51"/>
      <c r="W31" s="51"/>
      <c r="X31" s="51"/>
      <c r="Y31" s="51"/>
      <c r="Z31" s="2"/>
      <c r="AA31" s="51"/>
      <c r="AB31" s="51"/>
      <c r="AC31" s="51"/>
      <c r="AD31" s="2"/>
      <c r="AE31" s="51"/>
      <c r="AF31" s="51"/>
      <c r="AG31" s="51"/>
      <c r="AH31" s="2"/>
      <c r="AI31" s="51"/>
      <c r="AJ31" s="51"/>
      <c r="AK31" s="51"/>
      <c r="AL31" s="2"/>
      <c r="AM31" s="51"/>
      <c r="AN31" s="51"/>
      <c r="AO31" s="51"/>
      <c r="AP31" s="2"/>
      <c r="AQ31" s="51"/>
      <c r="AR31" s="51"/>
      <c r="AS31" s="51"/>
      <c r="AT31" s="2"/>
      <c r="AU31" s="51"/>
      <c r="AV31" s="51"/>
      <c r="AW31" s="51"/>
      <c r="AX31" s="2"/>
      <c r="AY31" s="51"/>
      <c r="AZ31" s="51"/>
      <c r="BA31" s="51"/>
      <c r="BB31" s="2"/>
      <c r="BC31" s="51"/>
      <c r="BD31" s="51"/>
      <c r="BE31" s="51"/>
      <c r="BF31" s="2"/>
      <c r="BG31" s="51"/>
      <c r="BH31" s="51"/>
      <c r="BI31" s="51"/>
      <c r="BJ31" s="2"/>
      <c r="BK31" s="51"/>
      <c r="BL31" s="51"/>
      <c r="BM31" s="51"/>
      <c r="BN31" s="2"/>
      <c r="BO31" s="51"/>
      <c r="BP31" s="51"/>
      <c r="BQ31" s="51"/>
      <c r="BR31" s="2"/>
      <c r="BS31" s="51"/>
      <c r="BT31" s="51"/>
      <c r="BU31" s="51"/>
      <c r="BV31" s="2"/>
      <c r="BW31" s="51"/>
    </row>
    <row r="32" spans="1:75" ht="17" thickTop="1" x14ac:dyDescent="0.2">
      <c r="A32" s="51"/>
      <c r="B32" s="51"/>
      <c r="C32" s="51"/>
      <c r="D32" s="51"/>
      <c r="E32" s="51"/>
      <c r="F32" s="51"/>
      <c r="G32" s="51"/>
      <c r="H32" s="51"/>
      <c r="I32" s="51"/>
      <c r="J32" s="51"/>
      <c r="K32" s="51"/>
      <c r="L32" s="51"/>
      <c r="M32" s="51"/>
      <c r="N32" s="51"/>
      <c r="O32" s="51"/>
      <c r="P32" s="51"/>
      <c r="Q32" s="51"/>
      <c r="R32" s="51"/>
      <c r="S32" s="51"/>
      <c r="T32" s="51"/>
      <c r="U32" s="51"/>
      <c r="V32" s="2"/>
      <c r="W32" s="51"/>
      <c r="X32" s="51"/>
      <c r="Y32" s="51"/>
      <c r="Z32" s="2"/>
      <c r="AA32" s="51"/>
      <c r="AB32" s="51"/>
      <c r="AC32" s="51"/>
      <c r="AD32" s="2"/>
      <c r="AE32" s="51"/>
      <c r="AF32" s="51"/>
      <c r="AG32" s="51"/>
      <c r="AH32" s="2"/>
      <c r="AI32" s="51"/>
      <c r="AJ32" s="51"/>
      <c r="AK32" s="51"/>
      <c r="AL32" s="2"/>
      <c r="AM32" s="51"/>
      <c r="AN32" s="51"/>
      <c r="AO32" s="51"/>
      <c r="AP32" s="2"/>
      <c r="AQ32" s="51"/>
      <c r="AR32" s="51"/>
      <c r="AS32" s="51"/>
      <c r="AT32" s="2"/>
      <c r="AU32" s="51"/>
      <c r="AV32" s="51"/>
      <c r="AW32" s="51"/>
      <c r="AX32" s="2"/>
      <c r="AY32" s="51"/>
      <c r="AZ32" s="51"/>
      <c r="BA32" s="51"/>
      <c r="BB32" s="2"/>
      <c r="BC32" s="51"/>
      <c r="BD32" s="51"/>
      <c r="BE32" s="51"/>
      <c r="BF32" s="2"/>
      <c r="BG32" s="51"/>
      <c r="BH32" s="51"/>
      <c r="BI32" s="51"/>
      <c r="BJ32" s="2"/>
      <c r="BK32" s="51"/>
      <c r="BL32" s="51"/>
      <c r="BM32" s="51"/>
      <c r="BN32" s="2"/>
      <c r="BO32" s="51"/>
      <c r="BP32" s="51"/>
      <c r="BQ32" s="51"/>
      <c r="BR32" s="2"/>
      <c r="BS32" s="51"/>
      <c r="BT32" s="51"/>
      <c r="BU32" s="51"/>
      <c r="BV32" s="2"/>
      <c r="BW32" s="51"/>
    </row>
    <row r="33" spans="1:75" ht="17" thickBot="1" x14ac:dyDescent="0.25">
      <c r="A33" s="51"/>
      <c r="B33" s="51"/>
      <c r="C33" s="97" t="s">
        <v>428</v>
      </c>
      <c r="D33" s="97">
        <v>2014</v>
      </c>
      <c r="E33" s="97">
        <v>2015</v>
      </c>
      <c r="F33" s="97">
        <v>2016</v>
      </c>
      <c r="G33" s="97">
        <v>2017</v>
      </c>
      <c r="H33" s="97">
        <v>2018</v>
      </c>
      <c r="I33" s="97">
        <v>2019</v>
      </c>
      <c r="J33" s="97">
        <v>2020</v>
      </c>
      <c r="K33" s="97">
        <v>2021</v>
      </c>
      <c r="L33" s="97">
        <v>2022</v>
      </c>
      <c r="M33" s="97">
        <v>2023</v>
      </c>
      <c r="N33" s="97">
        <v>2024</v>
      </c>
      <c r="O33" s="97">
        <v>2025</v>
      </c>
      <c r="P33" s="97">
        <v>2026</v>
      </c>
      <c r="Q33" s="97">
        <v>2027</v>
      </c>
      <c r="R33" s="97">
        <v>2028</v>
      </c>
      <c r="S33" s="97">
        <v>2029</v>
      </c>
      <c r="T33" s="97">
        <v>2030</v>
      </c>
      <c r="U33" s="51"/>
      <c r="V33" s="2"/>
      <c r="W33" s="51"/>
      <c r="X33" s="51"/>
      <c r="Y33" s="51"/>
      <c r="Z33" s="2"/>
      <c r="AA33" s="51"/>
      <c r="AB33" s="51"/>
      <c r="AC33" s="51"/>
      <c r="AD33" s="2"/>
      <c r="AE33" s="51"/>
      <c r="AF33" s="51"/>
      <c r="AG33" s="51"/>
      <c r="AH33" s="2"/>
      <c r="AI33" s="51"/>
      <c r="AJ33" s="51"/>
      <c r="AK33" s="51"/>
      <c r="AL33" s="2"/>
      <c r="AM33" s="51"/>
      <c r="AN33" s="51"/>
      <c r="AO33" s="51"/>
      <c r="AP33" s="2"/>
      <c r="AQ33" s="51"/>
      <c r="AR33" s="51"/>
      <c r="AS33" s="51"/>
      <c r="AT33" s="2"/>
      <c r="AU33" s="51"/>
      <c r="AV33" s="51"/>
      <c r="AW33" s="51"/>
      <c r="AX33" s="2"/>
      <c r="AY33" s="51"/>
      <c r="AZ33" s="51"/>
      <c r="BA33" s="51"/>
      <c r="BB33" s="2"/>
      <c r="BC33" s="51"/>
      <c r="BD33" s="51"/>
      <c r="BE33" s="51"/>
      <c r="BF33" s="2"/>
      <c r="BG33" s="51"/>
      <c r="BH33" s="51"/>
      <c r="BI33" s="51"/>
      <c r="BJ33" s="2"/>
      <c r="BK33" s="51"/>
      <c r="BL33" s="51"/>
      <c r="BM33" s="51"/>
      <c r="BN33" s="2"/>
      <c r="BO33" s="51"/>
      <c r="BP33" s="51"/>
      <c r="BQ33" s="51"/>
      <c r="BR33" s="2"/>
      <c r="BS33" s="51"/>
      <c r="BT33" s="51"/>
      <c r="BU33" s="51"/>
      <c r="BV33" s="2"/>
      <c r="BW33" s="51"/>
    </row>
    <row r="34" spans="1:75" ht="17" thickTop="1" x14ac:dyDescent="0.2">
      <c r="A34" s="51"/>
      <c r="B34" s="51"/>
      <c r="C34" s="325" t="s">
        <v>429</v>
      </c>
      <c r="D34" s="325"/>
      <c r="E34" s="325"/>
      <c r="F34" s="325"/>
      <c r="G34" s="325"/>
      <c r="H34" s="325"/>
      <c r="I34" s="325"/>
      <c r="J34" s="325"/>
      <c r="K34" s="326">
        <f>'MODEL INPUT'!$G$137/(1+POWER(81, ('MODEL INPUT'!$G$138+('MODEL INPUT'!$G$133/2)-K33)/'MODEL INPUT'!$G$133))</f>
        <v>6.6155002800883855E-3</v>
      </c>
      <c r="L34" s="326">
        <f>'MODEL INPUT'!$G$137/(1+POWER(81, ('MODEL INPUT'!$G$138+('MODEL INPUT'!$G$133/2)-L33)/'MODEL INPUT'!$G$133))</f>
        <v>1.0022309550655173E-2</v>
      </c>
      <c r="M34" s="326">
        <f>'MODEL INPUT'!$G$137/(1+POWER(81, ('MODEL INPUT'!$G$138+('MODEL INPUT'!$G$133/2)-M33)/'MODEL INPUT'!$G$133))</f>
        <v>1.4999999999999999E-2</v>
      </c>
      <c r="N34" s="326">
        <f>'MODEL INPUT'!$G$137/(1+POWER(81, ('MODEL INPUT'!$G$138+('MODEL INPUT'!$G$133/2)-N33)/'MODEL INPUT'!$G$133))</f>
        <v>2.2060295941284315E-2</v>
      </c>
      <c r="O34" s="326">
        <f>'MODEL INPUT'!$G$137/(1+POWER(81, ('MODEL INPUT'!$G$138+('MODEL INPUT'!$G$133/2)-O33)/'MODEL INPUT'!$G$133))</f>
        <v>3.1664322254993868E-2</v>
      </c>
      <c r="P34" s="326">
        <f>'MODEL INPUT'!$G$137/(1+POWER(81, ('MODEL INPUT'!$G$138+('MODEL INPUT'!$G$133/2)-P33)/'MODEL INPUT'!$G$133))</f>
        <v>4.4011182903467054E-2</v>
      </c>
      <c r="Q34" s="326">
        <f>'MODEL INPUT'!$G$137/(1+POWER(81, ('MODEL INPUT'!$G$138+('MODEL INPUT'!$G$133/2)-Q33)/'MODEL INPUT'!$G$133))</f>
        <v>5.8780986409711022E-2</v>
      </c>
      <c r="R34" s="326">
        <f>'MODEL INPUT'!$G$137/(1+POWER(81, ('MODEL INPUT'!$G$138+('MODEL INPUT'!$G$133/2)-R33)/'MODEL INPUT'!$G$133))</f>
        <v>7.4999999999999997E-2</v>
      </c>
      <c r="S34" s="326">
        <f>'MODEL INPUT'!$G$137/(1+POWER(81, ('MODEL INPUT'!$G$138+('MODEL INPUT'!$G$133/2)-S33)/'MODEL INPUT'!$G$133))</f>
        <v>9.1219013590288972E-2</v>
      </c>
      <c r="T34" s="326">
        <f>'MODEL INPUT'!$G$137/(1+POWER(81, ('MODEL INPUT'!$G$138+('MODEL INPUT'!$G$133/2)-T33)/'MODEL INPUT'!$G$133))</f>
        <v>0.10598881709653295</v>
      </c>
      <c r="U34" s="51"/>
      <c r="V34" s="2"/>
      <c r="W34" s="51"/>
      <c r="X34" s="51"/>
      <c r="Y34" s="51"/>
      <c r="Z34" s="2"/>
      <c r="AA34" s="51"/>
      <c r="AB34" s="51"/>
      <c r="AC34" s="51"/>
      <c r="AD34" s="2"/>
      <c r="AE34" s="51"/>
      <c r="AF34" s="51"/>
      <c r="AG34" s="51"/>
      <c r="AH34" s="2"/>
      <c r="AI34" s="51"/>
      <c r="AJ34" s="51"/>
      <c r="AK34" s="51"/>
      <c r="AL34" s="2"/>
      <c r="AM34" s="51"/>
      <c r="AN34" s="51"/>
      <c r="AO34" s="51"/>
      <c r="AP34" s="2"/>
      <c r="AQ34" s="51"/>
      <c r="AR34" s="51"/>
      <c r="AS34" s="51"/>
      <c r="AT34" s="2"/>
      <c r="AU34" s="51"/>
      <c r="AV34" s="51"/>
      <c r="AW34" s="51"/>
      <c r="AX34" s="2"/>
      <c r="AY34" s="51"/>
      <c r="AZ34" s="51"/>
      <c r="BA34" s="51"/>
      <c r="BB34" s="2"/>
      <c r="BC34" s="51"/>
      <c r="BD34" s="51"/>
      <c r="BE34" s="51"/>
      <c r="BF34" s="2"/>
      <c r="BG34" s="51"/>
      <c r="BH34" s="51"/>
      <c r="BI34" s="51"/>
      <c r="BJ34" s="2"/>
      <c r="BK34" s="51"/>
      <c r="BL34" s="51"/>
      <c r="BM34" s="51"/>
      <c r="BN34" s="2"/>
      <c r="BO34" s="51"/>
      <c r="BP34" s="51"/>
      <c r="BQ34" s="51"/>
      <c r="BR34" s="2"/>
      <c r="BS34" s="51"/>
      <c r="BT34" s="51"/>
      <c r="BU34" s="51"/>
      <c r="BV34" s="2"/>
      <c r="BW34" s="51"/>
    </row>
    <row r="35" spans="1:75" x14ac:dyDescent="0.2">
      <c r="A35" s="51"/>
      <c r="B35" s="51"/>
      <c r="C35" s="323" t="s">
        <v>377</v>
      </c>
      <c r="D35" s="323"/>
      <c r="E35" s="323"/>
      <c r="F35" s="323"/>
      <c r="G35" s="323"/>
      <c r="H35" s="323"/>
      <c r="I35" s="323"/>
      <c r="J35" s="323"/>
      <c r="K35" s="324">
        <f>'MODEL INPUT'!G136</f>
        <v>5000</v>
      </c>
      <c r="L35" s="324">
        <f>K35*(1+'MODEL INPUT'!$G$132)</f>
        <v>5150</v>
      </c>
      <c r="M35" s="324">
        <f>L35*(1+'MODEL INPUT'!$G$132)</f>
        <v>5304.5</v>
      </c>
      <c r="N35" s="324">
        <f>M35*(1+'MODEL INPUT'!$G$132)</f>
        <v>5463.6350000000002</v>
      </c>
      <c r="O35" s="324">
        <f>N35*(1+'MODEL INPUT'!$G$132)</f>
        <v>5627.5440500000004</v>
      </c>
      <c r="P35" s="324">
        <f>O35*(1+'MODEL INPUT'!$G$132)</f>
        <v>5796.3703715000001</v>
      </c>
      <c r="Q35" s="324">
        <f>P35*(1+'MODEL INPUT'!$G$132)</f>
        <v>5970.2614826449999</v>
      </c>
      <c r="R35" s="324">
        <f>Q35*(1+'MODEL INPUT'!$G$132)</f>
        <v>6149.3693271243501</v>
      </c>
      <c r="S35" s="324">
        <f>R35*(1+'MODEL INPUT'!$G$132)</f>
        <v>6333.8504069380806</v>
      </c>
      <c r="T35" s="324">
        <f>S35*(1+'MODEL INPUT'!$G$132)</f>
        <v>6523.865919146223</v>
      </c>
      <c r="U35" s="51"/>
      <c r="V35" s="2"/>
      <c r="W35" s="51"/>
      <c r="X35" s="51"/>
      <c r="Y35" s="51"/>
      <c r="Z35" s="2"/>
      <c r="AA35" s="51"/>
      <c r="AB35" s="51"/>
      <c r="AC35" s="51"/>
      <c r="AD35" s="2"/>
      <c r="AE35" s="51"/>
      <c r="AF35" s="51"/>
      <c r="AG35" s="51"/>
      <c r="AH35" s="2"/>
      <c r="AI35" s="51"/>
      <c r="AJ35" s="51"/>
      <c r="AK35" s="51"/>
      <c r="AL35" s="2"/>
      <c r="AM35" s="51"/>
      <c r="AN35" s="51"/>
      <c r="AO35" s="51"/>
      <c r="AP35" s="2"/>
      <c r="AQ35" s="51"/>
      <c r="AR35" s="51"/>
      <c r="AS35" s="51"/>
      <c r="AT35" s="2"/>
      <c r="AU35" s="51"/>
      <c r="AV35" s="51"/>
      <c r="AW35" s="51"/>
      <c r="AX35" s="2"/>
      <c r="AY35" s="51"/>
      <c r="AZ35" s="51"/>
      <c r="BA35" s="51"/>
      <c r="BB35" s="2"/>
      <c r="BC35" s="51"/>
      <c r="BD35" s="51"/>
      <c r="BE35" s="51"/>
      <c r="BF35" s="2"/>
      <c r="BG35" s="51"/>
      <c r="BH35" s="51"/>
      <c r="BI35" s="51"/>
      <c r="BJ35" s="2"/>
      <c r="BK35" s="51"/>
      <c r="BL35" s="51"/>
      <c r="BM35" s="51"/>
      <c r="BN35" s="2"/>
      <c r="BO35" s="51"/>
      <c r="BP35" s="51"/>
      <c r="BQ35" s="51"/>
      <c r="BR35" s="2"/>
      <c r="BS35" s="51"/>
      <c r="BT35" s="51"/>
      <c r="BU35" s="51"/>
      <c r="BV35" s="2"/>
      <c r="BW35" s="51"/>
    </row>
    <row r="36" spans="1:75" x14ac:dyDescent="0.2">
      <c r="A36" s="51"/>
      <c r="B36" s="51"/>
      <c r="C36" s="327" t="s">
        <v>379</v>
      </c>
      <c r="D36" s="327"/>
      <c r="E36" s="327"/>
      <c r="F36" s="327"/>
      <c r="G36" s="327"/>
      <c r="H36" s="327"/>
      <c r="I36" s="327"/>
      <c r="J36" s="327"/>
      <c r="K36" s="328">
        <f>K34*('MODEL INPUT'!$G$130*'MODEL INPUT'!$G$131*'MODEL INPUT'!$G$135)</f>
        <v>3125.8238823417623</v>
      </c>
      <c r="L36" s="328">
        <f>L34*('MODEL INPUT'!$G$130*'MODEL INPUT'!$G$131*'MODEL INPUT'!$G$135)</f>
        <v>4735.5412626845691</v>
      </c>
      <c r="M36" s="328">
        <f>M34*('MODEL INPUT'!$G$130*'MODEL INPUT'!$G$131*'MODEL INPUT'!$G$135)</f>
        <v>7087.5</v>
      </c>
      <c r="N36" s="328">
        <f>N34*('MODEL INPUT'!$G$130*'MODEL INPUT'!$G$131*'MODEL INPUT'!$G$135)</f>
        <v>10423.489832256839</v>
      </c>
      <c r="O36" s="328">
        <f>O34*('MODEL INPUT'!$G$130*'MODEL INPUT'!$G$131*'MODEL INPUT'!$G$135)</f>
        <v>14961.392265484603</v>
      </c>
      <c r="P36" s="328">
        <f>P34*('MODEL INPUT'!$G$130*'MODEL INPUT'!$G$131*'MODEL INPUT'!$G$135)</f>
        <v>20795.283921888182</v>
      </c>
      <c r="Q36" s="328">
        <f>Q34*('MODEL INPUT'!$G$130*'MODEL INPUT'!$G$131*'MODEL INPUT'!$G$135)</f>
        <v>27774.016078588458</v>
      </c>
      <c r="R36" s="328">
        <f>R34*('MODEL INPUT'!$G$130*'MODEL INPUT'!$G$131*'MODEL INPUT'!$G$135)</f>
        <v>35437.5</v>
      </c>
      <c r="S36" s="328">
        <f>S34*('MODEL INPUT'!$G$130*'MODEL INPUT'!$G$131*'MODEL INPUT'!$G$135)</f>
        <v>43100.983921411542</v>
      </c>
      <c r="T36" s="328">
        <f>T34*('MODEL INPUT'!$G$130*'MODEL INPUT'!$G$131*'MODEL INPUT'!$G$135)</f>
        <v>50079.716078111815</v>
      </c>
      <c r="U36" s="51"/>
      <c r="V36" s="2"/>
      <c r="W36" s="51"/>
      <c r="X36" s="51"/>
      <c r="Y36" s="51"/>
      <c r="Z36" s="2"/>
      <c r="AA36" s="51"/>
      <c r="AB36" s="51"/>
      <c r="AC36" s="51"/>
      <c r="AD36" s="2"/>
      <c r="AE36" s="51"/>
      <c r="AF36" s="51"/>
      <c r="AG36" s="51"/>
      <c r="AH36" s="2"/>
      <c r="AI36" s="51"/>
      <c r="AJ36" s="51"/>
      <c r="AK36" s="51"/>
      <c r="AL36" s="2"/>
      <c r="AM36" s="51"/>
      <c r="AN36" s="51"/>
      <c r="AO36" s="51"/>
      <c r="AP36" s="2"/>
      <c r="AQ36" s="51"/>
      <c r="AR36" s="51"/>
      <c r="AS36" s="51"/>
      <c r="AT36" s="2"/>
      <c r="AU36" s="51"/>
      <c r="AV36" s="51"/>
      <c r="AW36" s="51"/>
      <c r="AX36" s="2"/>
      <c r="AY36" s="51"/>
      <c r="AZ36" s="51"/>
      <c r="BA36" s="51"/>
      <c r="BB36" s="2"/>
      <c r="BC36" s="51"/>
      <c r="BD36" s="51"/>
      <c r="BE36" s="51"/>
      <c r="BF36" s="2"/>
      <c r="BG36" s="51"/>
      <c r="BH36" s="51"/>
      <c r="BI36" s="51"/>
      <c r="BJ36" s="2"/>
      <c r="BK36" s="51"/>
      <c r="BL36" s="51"/>
      <c r="BM36" s="51"/>
      <c r="BN36" s="2"/>
      <c r="BO36" s="51"/>
      <c r="BP36" s="51"/>
      <c r="BQ36" s="51"/>
      <c r="BR36" s="2"/>
      <c r="BS36" s="51"/>
      <c r="BT36" s="51"/>
      <c r="BU36" s="51"/>
      <c r="BV36" s="2"/>
      <c r="BW36" s="51"/>
    </row>
    <row r="37" spans="1:75" x14ac:dyDescent="0.2">
      <c r="A37" s="51"/>
      <c r="B37" s="51"/>
      <c r="C37" s="323" t="s">
        <v>430</v>
      </c>
      <c r="D37" s="323"/>
      <c r="E37" s="323"/>
      <c r="F37" s="323"/>
      <c r="G37" s="323"/>
      <c r="H37" s="323"/>
      <c r="I37" s="323"/>
      <c r="J37" s="323"/>
      <c r="K37" s="324">
        <f>K36*K35/1000</f>
        <v>15629.119411708811</v>
      </c>
      <c r="L37" s="324">
        <f t="shared" ref="L37:T37" si="3">L36*L35/1000</f>
        <v>24388.037502825533</v>
      </c>
      <c r="M37" s="324">
        <f t="shared" si="3"/>
        <v>37595.643750000003</v>
      </c>
      <c r="N37" s="324">
        <f t="shared" si="3"/>
        <v>56950.143869662599</v>
      </c>
      <c r="O37" s="324">
        <f t="shared" si="3"/>
        <v>84195.894023343906</v>
      </c>
      <c r="P37" s="324">
        <f t="shared" si="3"/>
        <v>120537.16759176298</v>
      </c>
      <c r="Q37" s="324">
        <f t="shared" si="3"/>
        <v>165818.13841235961</v>
      </c>
      <c r="R37" s="324">
        <f>R36*R35/1000</f>
        <v>217918.27552996916</v>
      </c>
      <c r="S37" s="324">
        <f t="shared" si="3"/>
        <v>272995.18455006415</v>
      </c>
      <c r="T37" s="324">
        <f t="shared" si="3"/>
        <v>326713.35296251281</v>
      </c>
      <c r="U37" s="51"/>
      <c r="V37" s="2"/>
      <c r="W37" s="51"/>
      <c r="X37" s="51"/>
      <c r="Y37" s="51"/>
      <c r="Z37" s="2"/>
      <c r="AA37" s="51"/>
      <c r="AB37" s="51"/>
      <c r="AC37" s="51"/>
      <c r="AD37" s="2"/>
      <c r="AE37" s="51"/>
      <c r="AF37" s="51"/>
      <c r="AG37" s="51"/>
      <c r="AH37" s="2"/>
      <c r="AI37" s="51"/>
      <c r="AJ37" s="51"/>
      <c r="AK37" s="51"/>
      <c r="AL37" s="2"/>
      <c r="AM37" s="51"/>
      <c r="AN37" s="51"/>
      <c r="AO37" s="51"/>
      <c r="AP37" s="2"/>
      <c r="AQ37" s="51"/>
      <c r="AR37" s="51"/>
      <c r="AS37" s="51"/>
      <c r="AT37" s="2"/>
      <c r="AU37" s="51"/>
      <c r="AV37" s="51"/>
      <c r="AW37" s="51"/>
      <c r="AX37" s="2"/>
      <c r="AY37" s="51"/>
      <c r="AZ37" s="51"/>
      <c r="BA37" s="51"/>
      <c r="BB37" s="2"/>
      <c r="BC37" s="51"/>
      <c r="BD37" s="51"/>
      <c r="BE37" s="51"/>
      <c r="BF37" s="2"/>
      <c r="BG37" s="51"/>
      <c r="BH37" s="51"/>
      <c r="BI37" s="51"/>
      <c r="BJ37" s="2"/>
      <c r="BK37" s="51"/>
      <c r="BL37" s="51"/>
      <c r="BM37" s="51"/>
      <c r="BN37" s="2"/>
      <c r="BO37" s="51"/>
      <c r="BP37" s="51"/>
      <c r="BQ37" s="51"/>
      <c r="BR37" s="2"/>
      <c r="BS37" s="51"/>
      <c r="BT37" s="51"/>
      <c r="BU37" s="51"/>
      <c r="BV37" s="2"/>
      <c r="BW37" s="51"/>
    </row>
    <row r="38" spans="1:75" x14ac:dyDescent="0.2">
      <c r="A38" s="51"/>
      <c r="B38" s="51"/>
      <c r="C38" s="329" t="s">
        <v>383</v>
      </c>
      <c r="D38" s="329"/>
      <c r="E38" s="329"/>
      <c r="F38" s="329"/>
      <c r="G38" s="329"/>
      <c r="H38" s="329"/>
      <c r="I38" s="329"/>
      <c r="J38" s="329"/>
      <c r="K38" s="329"/>
      <c r="L38" s="310">
        <f t="shared" ref="L38:T38" si="4">(L37/K37)-1</f>
        <v>0.56042300659337441</v>
      </c>
      <c r="M38" s="310">
        <f t="shared" si="4"/>
        <v>0.54156084701953855</v>
      </c>
      <c r="N38" s="310">
        <f t="shared" si="4"/>
        <v>0.51480698796818958</v>
      </c>
      <c r="O38" s="310">
        <f t="shared" si="4"/>
        <v>0.47841407066567831</v>
      </c>
      <c r="P38" s="310">
        <f t="shared" si="4"/>
        <v>0.43162762258149079</v>
      </c>
      <c r="Q38" s="310">
        <f t="shared" si="4"/>
        <v>0.37565982115951879</v>
      </c>
      <c r="R38" s="310">
        <f t="shared" si="4"/>
        <v>0.31420047056641032</v>
      </c>
      <c r="S38" s="310">
        <f t="shared" si="4"/>
        <v>0.25274111997330184</v>
      </c>
      <c r="T38" s="310">
        <f t="shared" si="4"/>
        <v>0.19677331855132918</v>
      </c>
      <c r="U38" s="51"/>
      <c r="V38" s="51"/>
      <c r="W38" s="51"/>
      <c r="X38" s="51"/>
      <c r="Y38" s="51"/>
      <c r="Z38" s="2"/>
      <c r="AA38" s="51"/>
      <c r="AB38" s="51"/>
      <c r="AC38" s="51"/>
      <c r="AD38" s="2"/>
      <c r="AE38" s="51"/>
      <c r="AF38" s="51"/>
      <c r="AG38" s="51"/>
      <c r="AH38" s="2"/>
      <c r="AI38" s="51"/>
      <c r="AJ38" s="51"/>
      <c r="AK38" s="51"/>
      <c r="AL38" s="2"/>
      <c r="AM38" s="51"/>
      <c r="AN38" s="51"/>
      <c r="AO38" s="51"/>
      <c r="AP38" s="2"/>
      <c r="AQ38" s="51"/>
      <c r="AR38" s="51"/>
      <c r="AS38" s="51"/>
      <c r="AT38" s="2"/>
      <c r="AU38" s="51"/>
      <c r="AV38" s="51"/>
      <c r="AW38" s="51"/>
      <c r="AX38" s="2"/>
      <c r="AY38" s="51"/>
      <c r="AZ38" s="51"/>
      <c r="BA38" s="51"/>
      <c r="BB38" s="2"/>
      <c r="BC38" s="51"/>
      <c r="BD38" s="51"/>
      <c r="BE38" s="51"/>
      <c r="BF38" s="2"/>
      <c r="BG38" s="51"/>
      <c r="BH38" s="51"/>
      <c r="BI38" s="51"/>
      <c r="BJ38" s="2"/>
      <c r="BK38" s="51"/>
      <c r="BL38" s="51"/>
      <c r="BM38" s="51"/>
      <c r="BN38" s="2"/>
      <c r="BO38" s="51"/>
      <c r="BP38" s="51"/>
      <c r="BQ38" s="51"/>
      <c r="BR38" s="2"/>
      <c r="BS38" s="51"/>
      <c r="BT38" s="51"/>
      <c r="BU38" s="51"/>
      <c r="BV38" s="2"/>
      <c r="BW38" s="51"/>
    </row>
    <row r="39" spans="1:75" ht="17" thickBot="1" x14ac:dyDescent="0.25">
      <c r="A39" s="51"/>
      <c r="B39" s="51"/>
      <c r="C39" s="98" t="s">
        <v>426</v>
      </c>
      <c r="D39" s="99"/>
      <c r="E39" s="99"/>
      <c r="F39" s="99"/>
      <c r="G39" s="99"/>
      <c r="H39" s="99"/>
      <c r="I39" s="99"/>
      <c r="J39" s="99"/>
      <c r="K39" s="99">
        <f>K37</f>
        <v>15629.119411708811</v>
      </c>
      <c r="L39" s="99">
        <f t="shared" ref="L39:S39" si="5">L37</f>
        <v>24388.037502825533</v>
      </c>
      <c r="M39" s="99">
        <f t="shared" si="5"/>
        <v>37595.643750000003</v>
      </c>
      <c r="N39" s="99">
        <f t="shared" si="5"/>
        <v>56950.143869662599</v>
      </c>
      <c r="O39" s="99">
        <f t="shared" si="5"/>
        <v>84195.894023343906</v>
      </c>
      <c r="P39" s="99">
        <f t="shared" si="5"/>
        <v>120537.16759176298</v>
      </c>
      <c r="Q39" s="99">
        <f t="shared" si="5"/>
        <v>165818.13841235961</v>
      </c>
      <c r="R39" s="99">
        <f t="shared" si="5"/>
        <v>217918.27552996916</v>
      </c>
      <c r="S39" s="99">
        <f t="shared" si="5"/>
        <v>272995.18455006415</v>
      </c>
      <c r="T39" s="99">
        <f>T37</f>
        <v>326713.35296251281</v>
      </c>
      <c r="U39" s="51"/>
      <c r="V39" s="2"/>
      <c r="W39" s="51"/>
      <c r="X39" s="51"/>
      <c r="Y39" s="51"/>
      <c r="Z39" s="2"/>
      <c r="AA39" s="51"/>
      <c r="AB39" s="51"/>
      <c r="AC39" s="51"/>
      <c r="AD39" s="2"/>
      <c r="AE39" s="51"/>
      <c r="AF39" s="51"/>
      <c r="AG39" s="51"/>
      <c r="AH39" s="2"/>
      <c r="AI39" s="51"/>
      <c r="AJ39" s="51"/>
      <c r="AK39" s="51"/>
      <c r="AL39" s="2"/>
      <c r="AM39" s="51"/>
      <c r="AN39" s="51"/>
      <c r="AO39" s="51"/>
      <c r="AP39" s="2"/>
      <c r="AQ39" s="51"/>
      <c r="AR39" s="51"/>
      <c r="AS39" s="51"/>
      <c r="AT39" s="2"/>
      <c r="AU39" s="51"/>
      <c r="AV39" s="51"/>
      <c r="AW39" s="51"/>
      <c r="AX39" s="2"/>
      <c r="AY39" s="51"/>
      <c r="AZ39" s="51"/>
      <c r="BA39" s="51"/>
      <c r="BB39" s="2"/>
      <c r="BC39" s="51"/>
      <c r="BD39" s="51"/>
      <c r="BE39" s="51"/>
      <c r="BF39" s="2"/>
      <c r="BG39" s="51"/>
      <c r="BH39" s="51"/>
      <c r="BI39" s="51"/>
      <c r="BJ39" s="2"/>
      <c r="BK39" s="51"/>
      <c r="BL39" s="51"/>
      <c r="BM39" s="51"/>
      <c r="BN39" s="2"/>
      <c r="BO39" s="51"/>
      <c r="BP39" s="51"/>
      <c r="BQ39" s="51"/>
      <c r="BR39" s="2"/>
      <c r="BS39" s="51"/>
      <c r="BT39" s="51"/>
      <c r="BU39" s="51"/>
      <c r="BV39" s="2"/>
      <c r="BW39" s="51"/>
    </row>
    <row r="40" spans="1:75" ht="17" thickTop="1" x14ac:dyDescent="0.2">
      <c r="A40" s="51"/>
      <c r="B40" s="51"/>
      <c r="C40" s="69"/>
      <c r="D40" s="69"/>
      <c r="E40" s="69"/>
      <c r="F40" s="69"/>
      <c r="G40" s="69"/>
      <c r="H40" s="69"/>
      <c r="I40" s="69"/>
      <c r="J40" s="69"/>
      <c r="K40" s="69"/>
      <c r="L40" s="69"/>
      <c r="M40" s="69"/>
      <c r="N40" s="69"/>
      <c r="O40" s="69"/>
      <c r="P40" s="69"/>
      <c r="Q40" s="69"/>
      <c r="R40" s="69"/>
      <c r="S40" s="69"/>
      <c r="T40" s="69"/>
      <c r="U40" s="51"/>
      <c r="V40" s="2"/>
      <c r="W40" s="51"/>
      <c r="X40" s="51"/>
      <c r="Y40" s="51"/>
      <c r="Z40" s="2"/>
      <c r="AA40" s="51"/>
      <c r="AB40" s="51"/>
      <c r="AC40" s="51"/>
      <c r="AD40" s="2"/>
      <c r="AE40" s="51"/>
      <c r="AF40" s="51"/>
      <c r="AG40" s="51"/>
      <c r="AH40" s="2"/>
      <c r="AI40" s="51"/>
      <c r="AJ40" s="51"/>
      <c r="AK40" s="51"/>
      <c r="AL40" s="2"/>
      <c r="AM40" s="51"/>
      <c r="AN40" s="51"/>
      <c r="AO40" s="51"/>
      <c r="AP40" s="2"/>
      <c r="AQ40" s="51"/>
      <c r="AR40" s="51"/>
      <c r="AS40" s="51"/>
      <c r="AT40" s="2"/>
      <c r="AU40" s="51"/>
      <c r="AV40" s="51"/>
      <c r="AW40" s="51"/>
      <c r="AX40" s="2"/>
      <c r="AY40" s="51"/>
      <c r="AZ40" s="51"/>
      <c r="BA40" s="51"/>
      <c r="BB40" s="2"/>
      <c r="BC40" s="51"/>
      <c r="BD40" s="51"/>
      <c r="BE40" s="51"/>
      <c r="BF40" s="2"/>
      <c r="BG40" s="51"/>
      <c r="BH40" s="51"/>
      <c r="BI40" s="51"/>
      <c r="BJ40" s="2"/>
      <c r="BK40" s="51"/>
      <c r="BL40" s="51"/>
      <c r="BM40" s="51"/>
      <c r="BN40" s="2"/>
      <c r="BO40" s="51"/>
      <c r="BP40" s="51"/>
      <c r="BQ40" s="51"/>
      <c r="BR40" s="2"/>
      <c r="BS40" s="51"/>
      <c r="BT40" s="51"/>
      <c r="BU40" s="51"/>
      <c r="BV40" s="2"/>
      <c r="BW40" s="51"/>
    </row>
    <row r="41" spans="1:75" ht="17" thickBot="1" x14ac:dyDescent="0.25">
      <c r="A41" s="51"/>
      <c r="B41" s="51"/>
      <c r="C41" s="93" t="s">
        <v>431</v>
      </c>
      <c r="D41" s="93">
        <v>2014</v>
      </c>
      <c r="E41" s="93">
        <v>2015</v>
      </c>
      <c r="F41" s="93">
        <v>2016</v>
      </c>
      <c r="G41" s="93">
        <v>2017</v>
      </c>
      <c r="H41" s="93">
        <v>2018</v>
      </c>
      <c r="I41" s="93">
        <v>2019</v>
      </c>
      <c r="J41" s="93">
        <v>2020</v>
      </c>
      <c r="K41" s="93">
        <v>2021</v>
      </c>
      <c r="L41" s="93">
        <v>2022</v>
      </c>
      <c r="M41" s="93">
        <v>2023</v>
      </c>
      <c r="N41" s="93">
        <v>2024</v>
      </c>
      <c r="O41" s="93">
        <v>2025</v>
      </c>
      <c r="P41" s="93">
        <v>2026</v>
      </c>
      <c r="Q41" s="93">
        <v>2027</v>
      </c>
      <c r="R41" s="93">
        <v>2028</v>
      </c>
      <c r="S41" s="93">
        <v>2029</v>
      </c>
      <c r="T41" s="93">
        <v>2030</v>
      </c>
      <c r="U41" s="51"/>
      <c r="V41" s="2"/>
      <c r="W41" s="51"/>
      <c r="X41" s="51"/>
      <c r="Y41" s="51"/>
      <c r="Z41" s="2"/>
      <c r="AA41" s="51"/>
      <c r="AB41" s="51"/>
      <c r="AC41" s="51"/>
      <c r="AD41" s="2"/>
      <c r="AE41" s="51"/>
      <c r="AF41" s="51"/>
      <c r="AG41" s="51"/>
      <c r="AH41" s="2"/>
      <c r="AI41" s="51"/>
      <c r="AJ41" s="51"/>
      <c r="AK41" s="51"/>
      <c r="AL41" s="2"/>
      <c r="AM41" s="51"/>
      <c r="AN41" s="51"/>
      <c r="AO41" s="51"/>
      <c r="AP41" s="2"/>
      <c r="AQ41" s="51"/>
      <c r="AR41" s="51"/>
      <c r="AS41" s="51"/>
      <c r="AT41" s="2"/>
      <c r="AU41" s="51"/>
      <c r="AV41" s="51"/>
      <c r="AW41" s="51"/>
      <c r="AX41" s="2"/>
      <c r="AY41" s="51"/>
      <c r="AZ41" s="51"/>
      <c r="BA41" s="51"/>
      <c r="BB41" s="2"/>
      <c r="BC41" s="51"/>
      <c r="BD41" s="51"/>
      <c r="BE41" s="51"/>
      <c r="BF41" s="2"/>
      <c r="BG41" s="51"/>
      <c r="BH41" s="51"/>
      <c r="BI41" s="51"/>
      <c r="BJ41" s="2"/>
      <c r="BK41" s="51"/>
      <c r="BL41" s="51"/>
      <c r="BM41" s="51"/>
      <c r="BN41" s="2"/>
      <c r="BO41" s="51"/>
      <c r="BP41" s="51"/>
      <c r="BQ41" s="51"/>
      <c r="BR41" s="2"/>
      <c r="BS41" s="51"/>
      <c r="BT41" s="51"/>
      <c r="BU41" s="51"/>
      <c r="BV41" s="2"/>
      <c r="BW41" s="51"/>
    </row>
    <row r="42" spans="1:75" ht="17" thickTop="1" x14ac:dyDescent="0.2">
      <c r="A42" s="51"/>
      <c r="B42" s="51"/>
      <c r="C42" s="327" t="s">
        <v>429</v>
      </c>
      <c r="D42" s="327"/>
      <c r="E42" s="327"/>
      <c r="F42" s="327"/>
      <c r="G42" s="327"/>
      <c r="H42" s="327"/>
      <c r="I42" s="327"/>
      <c r="J42" s="327"/>
      <c r="K42" s="331"/>
      <c r="L42" s="331">
        <f>'MODEL INPUT'!$G$146/(1+POWER(81, ('MODEL INPUT'!$G$143+('MODEL INPUT'!$G$144/2)-L41)/'MODEL INPUT'!$G$144))</f>
        <v>6.0282881273222687E-3</v>
      </c>
      <c r="M42" s="331">
        <f>'MODEL INPUT'!$G$146/(1+POWER(81, ('MODEL INPUT'!$G$143+('MODEL INPUT'!$G$144/2)-M41)/'MODEL INPUT'!$G$144))</f>
        <v>0.01</v>
      </c>
      <c r="N42" s="331">
        <f>'MODEL INPUT'!$G$146/(1+POWER(81, ('MODEL INPUT'!$G$143+('MODEL INPUT'!$G$144/2)-N41)/'MODEL INPUT'!$G$144))</f>
        <v>1.6139047779640894E-2</v>
      </c>
      <c r="O42" s="331">
        <f>'MODEL INPUT'!$G$146/(1+POWER(81, ('MODEL INPUT'!$G$143+('MODEL INPUT'!$G$144/2)-O41)/'MODEL INPUT'!$G$144))</f>
        <v>2.5000000000000001E-2</v>
      </c>
      <c r="P42" s="331">
        <f>'MODEL INPUT'!$G$146/(1+POWER(81, ('MODEL INPUT'!$G$143+('MODEL INPUT'!$G$144/2)-P41)/'MODEL INPUT'!$G$144))</f>
        <v>3.6602540378443862E-2</v>
      </c>
      <c r="Q42" s="331">
        <f>'MODEL INPUT'!$G$146/(1+POWER(81, ('MODEL INPUT'!$G$143+('MODEL INPUT'!$G$144/2)-Q41)/'MODEL INPUT'!$G$144))</f>
        <v>0.05</v>
      </c>
      <c r="R42" s="331">
        <f>'MODEL INPUT'!$G$146/(1+POWER(81, ('MODEL INPUT'!$G$143+('MODEL INPUT'!$G$144/2)-R41)/'MODEL INPUT'!$G$144))</f>
        <v>6.3397459621556143E-2</v>
      </c>
      <c r="S42" s="331">
        <f>'MODEL INPUT'!$G$146/(1+POWER(81, ('MODEL INPUT'!$G$143+('MODEL INPUT'!$G$144/2)-S41)/'MODEL INPUT'!$G$144))</f>
        <v>7.5000000000000011E-2</v>
      </c>
      <c r="T42" s="331">
        <f>'MODEL INPUT'!$G$146/(1+POWER(81, ('MODEL INPUT'!$G$143+('MODEL INPUT'!$G$144/2)-T41)/'MODEL INPUT'!$G$144))</f>
        <v>8.3860952220359108E-2</v>
      </c>
      <c r="U42" s="51"/>
      <c r="V42" s="2"/>
      <c r="W42" s="51"/>
      <c r="X42" s="51"/>
      <c r="Y42" s="51"/>
      <c r="Z42" s="2"/>
      <c r="AA42" s="51"/>
      <c r="AB42" s="51"/>
      <c r="AC42" s="51"/>
      <c r="AD42" s="2"/>
      <c r="AE42" s="51"/>
      <c r="AF42" s="51"/>
      <c r="AG42" s="51"/>
      <c r="AH42" s="2"/>
      <c r="AI42" s="51"/>
      <c r="AJ42" s="51"/>
      <c r="AK42" s="51"/>
      <c r="AL42" s="2"/>
      <c r="AM42" s="51"/>
      <c r="AN42" s="51"/>
      <c r="AO42" s="51"/>
      <c r="AP42" s="2"/>
      <c r="AQ42" s="51"/>
      <c r="AR42" s="51"/>
      <c r="AS42" s="51"/>
      <c r="AT42" s="2"/>
      <c r="AU42" s="51"/>
      <c r="AV42" s="51"/>
      <c r="AW42" s="51"/>
      <c r="AX42" s="2"/>
      <c r="AY42" s="51"/>
      <c r="AZ42" s="51"/>
      <c r="BA42" s="51"/>
      <c r="BB42" s="2"/>
      <c r="BC42" s="51"/>
      <c r="BD42" s="51"/>
      <c r="BE42" s="51"/>
      <c r="BF42" s="2"/>
      <c r="BG42" s="51"/>
      <c r="BH42" s="51"/>
      <c r="BI42" s="51"/>
      <c r="BJ42" s="2"/>
      <c r="BK42" s="51"/>
      <c r="BL42" s="51"/>
      <c r="BM42" s="51"/>
      <c r="BN42" s="2"/>
      <c r="BO42" s="51"/>
      <c r="BP42" s="51"/>
      <c r="BQ42" s="51"/>
      <c r="BR42" s="2"/>
      <c r="BS42" s="51"/>
      <c r="BT42" s="51"/>
      <c r="BU42" s="51"/>
      <c r="BV42" s="2"/>
      <c r="BW42" s="51"/>
    </row>
    <row r="43" spans="1:75" x14ac:dyDescent="0.2">
      <c r="A43" s="51"/>
      <c r="B43" s="51"/>
      <c r="C43" s="91" t="s">
        <v>377</v>
      </c>
      <c r="D43" s="61"/>
      <c r="E43" s="61"/>
      <c r="F43" s="61"/>
      <c r="G43" s="61"/>
      <c r="H43" s="61"/>
      <c r="I43" s="61"/>
      <c r="J43" s="61"/>
      <c r="K43" s="61"/>
      <c r="L43" s="89">
        <f>'MODEL INPUT'!G141</f>
        <v>6000</v>
      </c>
      <c r="M43" s="89">
        <f>L43*(1+'MODEL INPUT'!$G$142)</f>
        <v>6000</v>
      </c>
      <c r="N43" s="89">
        <f>M43*(1+'MODEL INPUT'!$G$142)</f>
        <v>6000</v>
      </c>
      <c r="O43" s="89">
        <f>N43*(1+'MODEL INPUT'!$G$142)</f>
        <v>6000</v>
      </c>
      <c r="P43" s="89">
        <f>O43*(1+'MODEL INPUT'!$G$142)</f>
        <v>6000</v>
      </c>
      <c r="Q43" s="89">
        <f>P43*(1+'MODEL INPUT'!$G$142)</f>
        <v>6000</v>
      </c>
      <c r="R43" s="89">
        <f>Q43*(1+'MODEL INPUT'!$G$142)</f>
        <v>6000</v>
      </c>
      <c r="S43" s="89">
        <f>R43*(1+'MODEL INPUT'!$G$142)</f>
        <v>6000</v>
      </c>
      <c r="T43" s="89">
        <f>S43*(1+'MODEL INPUT'!$G$142)</f>
        <v>6000</v>
      </c>
      <c r="U43" s="51"/>
      <c r="V43" s="2"/>
      <c r="W43" s="51"/>
      <c r="X43" s="51"/>
      <c r="Y43" s="51"/>
      <c r="Z43" s="2"/>
      <c r="AA43" s="51"/>
      <c r="AB43" s="51"/>
      <c r="AC43" s="51"/>
      <c r="AD43" s="2"/>
      <c r="AE43" s="51"/>
      <c r="AF43" s="51"/>
      <c r="AG43" s="51"/>
      <c r="AH43" s="2"/>
      <c r="AI43" s="51"/>
      <c r="AJ43" s="51"/>
      <c r="AK43" s="51"/>
      <c r="AL43" s="2"/>
      <c r="AM43" s="51"/>
      <c r="AN43" s="51"/>
      <c r="AO43" s="51"/>
      <c r="AP43" s="2"/>
      <c r="AQ43" s="51"/>
      <c r="AR43" s="51"/>
      <c r="AS43" s="51"/>
      <c r="AT43" s="2"/>
      <c r="AU43" s="51"/>
      <c r="AV43" s="51"/>
      <c r="AW43" s="51"/>
      <c r="AX43" s="2"/>
      <c r="AY43" s="51"/>
      <c r="AZ43" s="51"/>
      <c r="BA43" s="51"/>
      <c r="BB43" s="2"/>
      <c r="BC43" s="51"/>
      <c r="BD43" s="51"/>
      <c r="BE43" s="51"/>
      <c r="BF43" s="2"/>
      <c r="BG43" s="51"/>
      <c r="BH43" s="51"/>
      <c r="BI43" s="51"/>
      <c r="BJ43" s="2"/>
      <c r="BK43" s="51"/>
      <c r="BL43" s="51"/>
      <c r="BM43" s="51"/>
      <c r="BN43" s="2"/>
      <c r="BO43" s="51"/>
      <c r="BP43" s="51"/>
      <c r="BQ43" s="51"/>
      <c r="BR43" s="2"/>
      <c r="BS43" s="51"/>
      <c r="BT43" s="51"/>
      <c r="BU43" s="51"/>
      <c r="BV43" s="2"/>
      <c r="BW43" s="51"/>
    </row>
    <row r="44" spans="1:75" x14ac:dyDescent="0.2">
      <c r="A44" s="51"/>
      <c r="B44" s="51"/>
      <c r="C44" s="327" t="s">
        <v>379</v>
      </c>
      <c r="D44" s="327"/>
      <c r="E44" s="327"/>
      <c r="F44" s="327"/>
      <c r="G44" s="327"/>
      <c r="H44" s="327"/>
      <c r="I44" s="327"/>
      <c r="J44" s="327"/>
      <c r="K44" s="332"/>
      <c r="L44" s="394">
        <f>L42*('MODEL INPUT'!$G$130*'MODEL INPUT'!$G$131*(1-'MODEL INPUT'!$G$135))</f>
        <v>949.45538005325727</v>
      </c>
      <c r="M44" s="394">
        <f>M42*('MODEL INPUT'!$G$130*'MODEL INPUT'!$G$131*(1-'MODEL INPUT'!$G$135))</f>
        <v>1575</v>
      </c>
      <c r="N44" s="394">
        <f>N42*('MODEL INPUT'!$G$130*'MODEL INPUT'!$G$131*(1-'MODEL INPUT'!$G$135))</f>
        <v>2541.9000252934406</v>
      </c>
      <c r="O44" s="394">
        <f>O42*('MODEL INPUT'!$G$130*'MODEL INPUT'!$G$131*(1-'MODEL INPUT'!$G$135))</f>
        <v>3937.5</v>
      </c>
      <c r="P44" s="394">
        <f>P42*('MODEL INPUT'!$G$130*'MODEL INPUT'!$G$131*(1-'MODEL INPUT'!$G$135))</f>
        <v>5764.9001096049087</v>
      </c>
      <c r="Q44" s="394">
        <f>Q42*('MODEL INPUT'!$G$130*'MODEL INPUT'!$G$131*(1-'MODEL INPUT'!$G$135))</f>
        <v>7875</v>
      </c>
      <c r="R44" s="394">
        <f>R42*('MODEL INPUT'!$G$130*'MODEL INPUT'!$G$131*(1-'MODEL INPUT'!$G$135))</f>
        <v>9985.0998903950931</v>
      </c>
      <c r="S44" s="394">
        <f>S42*('MODEL INPUT'!$G$130*'MODEL INPUT'!$G$131*(1-'MODEL INPUT'!$G$135))</f>
        <v>11812.500000000002</v>
      </c>
      <c r="T44" s="394">
        <f>T42*('MODEL INPUT'!$G$130*'MODEL INPUT'!$G$131*(1-'MODEL INPUT'!$G$135))</f>
        <v>13208.09997470656</v>
      </c>
      <c r="U44" s="51"/>
      <c r="V44" s="2"/>
      <c r="W44" s="51"/>
      <c r="X44" s="51"/>
      <c r="Y44" s="51"/>
      <c r="Z44" s="2"/>
      <c r="AA44" s="51"/>
      <c r="AB44" s="51"/>
      <c r="AC44" s="51"/>
      <c r="AD44" s="2"/>
      <c r="AE44" s="51"/>
      <c r="AF44" s="51"/>
      <c r="AG44" s="51"/>
      <c r="AH44" s="2"/>
      <c r="AI44" s="51"/>
      <c r="AJ44" s="51"/>
      <c r="AK44" s="51"/>
      <c r="AL44" s="2"/>
      <c r="AM44" s="51"/>
      <c r="AN44" s="51"/>
      <c r="AO44" s="51"/>
      <c r="AP44" s="2"/>
      <c r="AQ44" s="51"/>
      <c r="AR44" s="51"/>
      <c r="AS44" s="51"/>
      <c r="AT44" s="2"/>
      <c r="AU44" s="51"/>
      <c r="AV44" s="51"/>
      <c r="AW44" s="51"/>
      <c r="AX44" s="2"/>
      <c r="AY44" s="51"/>
      <c r="AZ44" s="51"/>
      <c r="BA44" s="51"/>
      <c r="BB44" s="2"/>
      <c r="BC44" s="51"/>
      <c r="BD44" s="51"/>
      <c r="BE44" s="51"/>
      <c r="BF44" s="2"/>
      <c r="BG44" s="51"/>
      <c r="BH44" s="51"/>
      <c r="BI44" s="51"/>
      <c r="BJ44" s="2"/>
      <c r="BK44" s="51"/>
      <c r="BL44" s="51"/>
      <c r="BM44" s="51"/>
      <c r="BN44" s="2"/>
      <c r="BO44" s="51"/>
      <c r="BP44" s="51"/>
      <c r="BQ44" s="51"/>
      <c r="BR44" s="2"/>
      <c r="BS44" s="51"/>
      <c r="BT44" s="51"/>
      <c r="BU44" s="51"/>
      <c r="BV44" s="2"/>
      <c r="BW44" s="51"/>
    </row>
    <row r="45" spans="1:75" x14ac:dyDescent="0.2">
      <c r="A45" s="51"/>
      <c r="B45" s="51"/>
      <c r="C45" s="91" t="s">
        <v>430</v>
      </c>
      <c r="D45" s="61"/>
      <c r="E45" s="61"/>
      <c r="F45" s="61"/>
      <c r="G45" s="61"/>
      <c r="H45" s="61"/>
      <c r="I45" s="61"/>
      <c r="J45" s="61"/>
      <c r="K45" s="61"/>
      <c r="L45" s="90">
        <f>L43*L44/1000</f>
        <v>5696.7322803195439</v>
      </c>
      <c r="M45" s="90">
        <f t="shared" ref="M45:T45" si="6">M43*M44/1000</f>
        <v>9450</v>
      </c>
      <c r="N45" s="90">
        <f t="shared" si="6"/>
        <v>15251.400151760643</v>
      </c>
      <c r="O45" s="90">
        <f t="shared" si="6"/>
        <v>23625</v>
      </c>
      <c r="P45" s="90">
        <f t="shared" si="6"/>
        <v>34589.400657629456</v>
      </c>
      <c r="Q45" s="90">
        <f t="shared" si="6"/>
        <v>47250</v>
      </c>
      <c r="R45" s="90">
        <f t="shared" si="6"/>
        <v>59910.599342370566</v>
      </c>
      <c r="S45" s="90">
        <f t="shared" si="6"/>
        <v>70875.000000000015</v>
      </c>
      <c r="T45" s="90">
        <f t="shared" si="6"/>
        <v>79248.599848239362</v>
      </c>
      <c r="U45" s="51"/>
      <c r="V45" s="51"/>
      <c r="W45" s="51"/>
      <c r="X45" s="51"/>
      <c r="Y45" s="51"/>
      <c r="Z45" s="2"/>
      <c r="AA45" s="51"/>
      <c r="AB45" s="51"/>
      <c r="AC45" s="51"/>
      <c r="AD45" s="2"/>
      <c r="AE45" s="51"/>
      <c r="AF45" s="51"/>
      <c r="AG45" s="51"/>
      <c r="AH45" s="2"/>
      <c r="AI45" s="51"/>
      <c r="AJ45" s="51"/>
      <c r="AK45" s="51"/>
      <c r="AL45" s="2"/>
      <c r="AM45" s="51"/>
      <c r="AN45" s="51"/>
      <c r="AO45" s="51"/>
      <c r="AP45" s="2"/>
      <c r="AQ45" s="51"/>
      <c r="AR45" s="51"/>
      <c r="AS45" s="51"/>
      <c r="AT45" s="2"/>
      <c r="AU45" s="51"/>
      <c r="AV45" s="51"/>
      <c r="AW45" s="51"/>
      <c r="AX45" s="2"/>
      <c r="AY45" s="51"/>
      <c r="AZ45" s="51"/>
      <c r="BA45" s="51"/>
      <c r="BB45" s="2"/>
      <c r="BC45" s="51"/>
      <c r="BD45" s="51"/>
      <c r="BE45" s="51"/>
      <c r="BF45" s="2"/>
      <c r="BG45" s="51"/>
      <c r="BH45" s="51"/>
      <c r="BI45" s="51"/>
      <c r="BJ45" s="2"/>
      <c r="BK45" s="51"/>
      <c r="BL45" s="51"/>
      <c r="BM45" s="51"/>
      <c r="BN45" s="2"/>
      <c r="BO45" s="51"/>
      <c r="BP45" s="51"/>
      <c r="BQ45" s="51"/>
      <c r="BR45" s="2"/>
      <c r="BS45" s="51"/>
      <c r="BT45" s="51"/>
      <c r="BU45" s="51"/>
      <c r="BV45" s="2"/>
      <c r="BW45" s="51"/>
    </row>
    <row r="46" spans="1:75" x14ac:dyDescent="0.2">
      <c r="A46" s="51"/>
      <c r="B46" s="51"/>
      <c r="C46" s="333" t="s">
        <v>383</v>
      </c>
      <c r="D46" s="333"/>
      <c r="E46" s="333"/>
      <c r="F46" s="333"/>
      <c r="G46" s="333"/>
      <c r="H46" s="333"/>
      <c r="I46" s="333"/>
      <c r="J46" s="333"/>
      <c r="K46" s="333"/>
      <c r="L46" s="333"/>
      <c r="M46" s="334">
        <f>(M45/L45)-1</f>
        <v>0.65884572681199027</v>
      </c>
      <c r="N46" s="334">
        <f t="shared" ref="N46:T46" si="7">(N45/M45)-1</f>
        <v>0.61390477796408915</v>
      </c>
      <c r="O46" s="334">
        <f t="shared" si="7"/>
        <v>0.54903810567665801</v>
      </c>
      <c r="P46" s="334">
        <f t="shared" si="7"/>
        <v>0.46410161513775483</v>
      </c>
      <c r="Q46" s="334">
        <f t="shared" si="7"/>
        <v>0.3660254037844386</v>
      </c>
      <c r="R46" s="334">
        <f t="shared" si="7"/>
        <v>0.26794919243112303</v>
      </c>
      <c r="S46" s="334">
        <f t="shared" si="7"/>
        <v>0.18301270189221919</v>
      </c>
      <c r="T46" s="334">
        <f t="shared" si="7"/>
        <v>0.11814602960478804</v>
      </c>
      <c r="U46" s="51"/>
      <c r="V46" s="2"/>
      <c r="W46" s="51"/>
      <c r="X46" s="51"/>
      <c r="Y46" s="51"/>
      <c r="Z46" s="2"/>
      <c r="AA46" s="51"/>
      <c r="AB46" s="51"/>
      <c r="AC46" s="51"/>
      <c r="AD46" s="2"/>
      <c r="AE46" s="51"/>
      <c r="AF46" s="51"/>
      <c r="AG46" s="51"/>
      <c r="AH46" s="2"/>
      <c r="AI46" s="51"/>
      <c r="AJ46" s="51"/>
      <c r="AK46" s="51"/>
      <c r="AL46" s="2"/>
      <c r="AM46" s="51"/>
      <c r="AN46" s="51"/>
      <c r="AO46" s="51"/>
      <c r="AP46" s="2"/>
      <c r="AQ46" s="51"/>
      <c r="AR46" s="51"/>
      <c r="AS46" s="51"/>
      <c r="AT46" s="2"/>
      <c r="AU46" s="51"/>
      <c r="AV46" s="51"/>
      <c r="AW46" s="51"/>
      <c r="AX46" s="2"/>
      <c r="AY46" s="51"/>
      <c r="AZ46" s="51"/>
      <c r="BA46" s="51"/>
      <c r="BB46" s="2"/>
      <c r="BC46" s="51"/>
      <c r="BD46" s="51"/>
      <c r="BE46" s="51"/>
      <c r="BF46" s="2"/>
      <c r="BG46" s="51"/>
      <c r="BH46" s="51"/>
      <c r="BI46" s="51"/>
      <c r="BJ46" s="2"/>
      <c r="BK46" s="51"/>
      <c r="BL46" s="51"/>
      <c r="BM46" s="51"/>
      <c r="BN46" s="2"/>
      <c r="BO46" s="51"/>
      <c r="BP46" s="51"/>
      <c r="BQ46" s="51"/>
      <c r="BR46" s="2"/>
      <c r="BS46" s="51"/>
      <c r="BT46" s="51"/>
      <c r="BU46" s="51"/>
      <c r="BV46" s="2"/>
      <c r="BW46" s="51"/>
    </row>
    <row r="47" spans="1:75" ht="17" thickBot="1" x14ac:dyDescent="0.25">
      <c r="A47" s="51"/>
      <c r="B47" s="51"/>
      <c r="C47" s="94" t="s">
        <v>427</v>
      </c>
      <c r="D47" s="95"/>
      <c r="E47" s="95"/>
      <c r="F47" s="95"/>
      <c r="G47" s="95"/>
      <c r="H47" s="95"/>
      <c r="I47" s="95"/>
      <c r="J47" s="95"/>
      <c r="K47" s="95">
        <f>K45</f>
        <v>0</v>
      </c>
      <c r="L47" s="95">
        <f t="shared" ref="L47:T47" si="8">L45</f>
        <v>5696.7322803195439</v>
      </c>
      <c r="M47" s="95">
        <f t="shared" si="8"/>
        <v>9450</v>
      </c>
      <c r="N47" s="95">
        <f t="shared" si="8"/>
        <v>15251.400151760643</v>
      </c>
      <c r="O47" s="95">
        <f t="shared" si="8"/>
        <v>23625</v>
      </c>
      <c r="P47" s="95">
        <f t="shared" si="8"/>
        <v>34589.400657629456</v>
      </c>
      <c r="Q47" s="95">
        <f t="shared" si="8"/>
        <v>47250</v>
      </c>
      <c r="R47" s="95">
        <f t="shared" si="8"/>
        <v>59910.599342370566</v>
      </c>
      <c r="S47" s="95">
        <f t="shared" si="8"/>
        <v>70875.000000000015</v>
      </c>
      <c r="T47" s="95">
        <f t="shared" si="8"/>
        <v>79248.599848239362</v>
      </c>
      <c r="U47" s="51"/>
      <c r="V47" s="2"/>
      <c r="W47" s="51"/>
      <c r="X47" s="51"/>
      <c r="Y47" s="51"/>
      <c r="Z47" s="2"/>
      <c r="AA47" s="51"/>
      <c r="AB47" s="51"/>
      <c r="AC47" s="51"/>
      <c r="AD47" s="2"/>
      <c r="AE47" s="51"/>
      <c r="AF47" s="51"/>
      <c r="AG47" s="51"/>
      <c r="AH47" s="2"/>
      <c r="AI47" s="51"/>
      <c r="AJ47" s="51"/>
      <c r="AK47" s="51"/>
      <c r="AL47" s="2"/>
      <c r="AM47" s="51"/>
      <c r="AN47" s="51"/>
      <c r="AO47" s="51"/>
      <c r="AP47" s="2"/>
      <c r="AQ47" s="51"/>
      <c r="AR47" s="51"/>
      <c r="AS47" s="51"/>
      <c r="AT47" s="2"/>
      <c r="AU47" s="51"/>
      <c r="AV47" s="51"/>
      <c r="AW47" s="51"/>
      <c r="AX47" s="2"/>
      <c r="AY47" s="51"/>
      <c r="AZ47" s="51"/>
      <c r="BA47" s="51"/>
      <c r="BB47" s="2"/>
      <c r="BC47" s="51"/>
      <c r="BD47" s="51"/>
      <c r="BE47" s="51"/>
      <c r="BF47" s="2"/>
      <c r="BG47" s="51"/>
      <c r="BH47" s="51"/>
      <c r="BI47" s="51"/>
      <c r="BJ47" s="2"/>
      <c r="BK47" s="51"/>
      <c r="BL47" s="51"/>
      <c r="BM47" s="51"/>
      <c r="BN47" s="2"/>
      <c r="BO47" s="51"/>
      <c r="BP47" s="51"/>
      <c r="BQ47" s="51"/>
      <c r="BR47" s="2"/>
      <c r="BS47" s="51"/>
      <c r="BT47" s="51"/>
      <c r="BU47" s="51"/>
      <c r="BV47" s="2"/>
      <c r="BW47" s="51"/>
    </row>
    <row r="48" spans="1:75" ht="17" thickTop="1" x14ac:dyDescent="0.2">
      <c r="A48" s="51"/>
      <c r="B48" s="51"/>
      <c r="C48" s="51"/>
      <c r="D48" s="51"/>
      <c r="E48" s="51"/>
      <c r="F48" s="2"/>
      <c r="G48" s="51"/>
      <c r="H48" s="51"/>
      <c r="I48" s="51"/>
      <c r="J48" s="2"/>
      <c r="K48" s="51"/>
      <c r="L48" s="51"/>
      <c r="M48" s="51"/>
      <c r="N48" s="2"/>
      <c r="O48" s="51"/>
      <c r="P48" s="51"/>
      <c r="Q48" s="51"/>
      <c r="R48" s="2"/>
      <c r="S48" s="51"/>
      <c r="T48" s="51"/>
      <c r="U48" s="51"/>
      <c r="V48" s="2"/>
      <c r="W48" s="51"/>
      <c r="X48" s="51"/>
      <c r="Y48" s="51"/>
      <c r="Z48" s="2"/>
      <c r="AA48" s="51"/>
      <c r="AB48" s="51"/>
      <c r="AC48" s="51"/>
      <c r="AD48" s="2"/>
      <c r="AE48" s="51"/>
      <c r="AF48" s="51"/>
      <c r="AG48" s="51"/>
      <c r="AH48" s="2"/>
      <c r="AI48" s="51"/>
      <c r="AJ48" s="51"/>
      <c r="AK48" s="51"/>
      <c r="AL48" s="2"/>
      <c r="AM48" s="51"/>
      <c r="AN48" s="51"/>
      <c r="AO48" s="51"/>
      <c r="AP48" s="2"/>
      <c r="AQ48" s="51"/>
      <c r="AR48" s="51"/>
      <c r="AS48" s="51"/>
      <c r="AT48" s="2"/>
      <c r="AU48" s="51"/>
      <c r="AV48" s="51"/>
      <c r="AW48" s="51"/>
      <c r="AX48" s="2"/>
      <c r="AY48" s="51"/>
      <c r="AZ48" s="51"/>
      <c r="BA48" s="51"/>
      <c r="BB48" s="2"/>
      <c r="BC48" s="51"/>
      <c r="BD48" s="51"/>
      <c r="BE48" s="51"/>
      <c r="BF48" s="2"/>
      <c r="BG48" s="51"/>
      <c r="BH48" s="51"/>
      <c r="BI48" s="51"/>
      <c r="BJ48" s="2"/>
      <c r="BK48" s="51"/>
      <c r="BL48" s="51"/>
      <c r="BM48" s="51"/>
      <c r="BN48" s="2"/>
      <c r="BO48" s="51"/>
      <c r="BP48" s="51"/>
      <c r="BQ48" s="51"/>
      <c r="BR48" s="2"/>
      <c r="BS48" s="51"/>
      <c r="BT48" s="51"/>
      <c r="BU48" s="51"/>
      <c r="BV48" s="2"/>
      <c r="BW48" s="51"/>
    </row>
    <row r="49" spans="1:75" x14ac:dyDescent="0.2">
      <c r="A49" s="51"/>
      <c r="B49" s="51"/>
      <c r="C49" s="51"/>
      <c r="D49" s="51"/>
      <c r="E49" s="51"/>
      <c r="F49" s="2"/>
      <c r="G49" s="51"/>
      <c r="H49" s="51"/>
      <c r="I49" s="51"/>
      <c r="J49" s="2"/>
      <c r="K49" s="51"/>
      <c r="L49" s="51"/>
      <c r="M49" s="51"/>
      <c r="N49" s="2"/>
      <c r="O49" s="51"/>
      <c r="P49" s="51"/>
      <c r="Q49" s="51"/>
      <c r="R49" s="2"/>
      <c r="S49" s="51"/>
      <c r="T49" s="51"/>
      <c r="U49" s="51"/>
      <c r="V49" s="2"/>
      <c r="W49" s="51"/>
      <c r="X49" s="51"/>
      <c r="Y49" s="51"/>
      <c r="Z49" s="2"/>
      <c r="AA49" s="51"/>
      <c r="AB49" s="51"/>
      <c r="AC49" s="51"/>
      <c r="AD49" s="2"/>
      <c r="AE49" s="51"/>
      <c r="AF49" s="51"/>
      <c r="AG49" s="51"/>
      <c r="AH49" s="2"/>
      <c r="AI49" s="51"/>
      <c r="AJ49" s="51"/>
      <c r="AK49" s="51"/>
      <c r="AL49" s="2"/>
      <c r="AM49" s="51"/>
      <c r="AN49" s="51"/>
      <c r="AO49" s="51"/>
      <c r="AP49" s="2"/>
      <c r="AQ49" s="51"/>
      <c r="AR49" s="51"/>
      <c r="AS49" s="51"/>
      <c r="AT49" s="2"/>
      <c r="AU49" s="51"/>
      <c r="AV49" s="51"/>
      <c r="AW49" s="51"/>
      <c r="AX49" s="2"/>
      <c r="AY49" s="51"/>
      <c r="AZ49" s="51"/>
      <c r="BA49" s="51"/>
      <c r="BB49" s="2"/>
      <c r="BC49" s="51"/>
      <c r="BD49" s="51"/>
      <c r="BE49" s="51"/>
      <c r="BF49" s="2"/>
      <c r="BG49" s="51"/>
      <c r="BH49" s="51"/>
      <c r="BI49" s="51"/>
      <c r="BJ49" s="2"/>
      <c r="BK49" s="51"/>
      <c r="BL49" s="51"/>
      <c r="BM49" s="51"/>
      <c r="BN49" s="2"/>
      <c r="BO49" s="51"/>
      <c r="BP49" s="51"/>
      <c r="BQ49" s="51"/>
      <c r="BR49" s="2"/>
      <c r="BS49" s="51"/>
      <c r="BT49" s="51"/>
      <c r="BU49" s="51"/>
      <c r="BV49" s="2"/>
      <c r="BW49" s="51"/>
    </row>
    <row r="50" spans="1:75" x14ac:dyDescent="0.2">
      <c r="A50" s="51"/>
      <c r="B50" s="51"/>
      <c r="C50" s="51"/>
      <c r="D50" s="51"/>
      <c r="E50" s="51"/>
      <c r="F50" s="2"/>
      <c r="G50" s="51"/>
      <c r="H50" s="51"/>
      <c r="I50" s="51"/>
      <c r="J50" s="2"/>
      <c r="K50" s="51"/>
      <c r="L50" s="51"/>
      <c r="M50" s="51"/>
      <c r="N50" s="2"/>
      <c r="O50" s="51"/>
      <c r="P50" s="51"/>
      <c r="Q50" s="51"/>
      <c r="R50" s="2"/>
      <c r="S50" s="51"/>
      <c r="T50" s="51"/>
      <c r="U50" s="51"/>
      <c r="V50" s="2"/>
      <c r="W50" s="51"/>
      <c r="X50" s="51"/>
      <c r="Y50" s="51"/>
      <c r="Z50" s="2"/>
      <c r="AA50" s="51"/>
      <c r="AB50" s="51"/>
      <c r="AC50" s="51"/>
      <c r="AD50" s="2"/>
      <c r="AE50" s="51"/>
      <c r="AF50" s="51"/>
      <c r="AG50" s="51"/>
      <c r="AH50" s="2"/>
      <c r="AI50" s="51"/>
      <c r="AJ50" s="51"/>
      <c r="AK50" s="51"/>
      <c r="AL50" s="2"/>
      <c r="AM50" s="51"/>
      <c r="AN50" s="51"/>
      <c r="AO50" s="51"/>
      <c r="AP50" s="2"/>
      <c r="AQ50" s="51"/>
      <c r="AR50" s="51"/>
      <c r="AS50" s="51"/>
      <c r="AT50" s="2"/>
      <c r="AU50" s="51"/>
      <c r="AV50" s="51"/>
      <c r="AW50" s="51"/>
      <c r="AX50" s="2"/>
      <c r="AY50" s="51"/>
      <c r="AZ50" s="51"/>
      <c r="BA50" s="51"/>
      <c r="BB50" s="2"/>
      <c r="BC50" s="51"/>
      <c r="BD50" s="51"/>
      <c r="BE50" s="51"/>
      <c r="BF50" s="2"/>
      <c r="BG50" s="51"/>
      <c r="BH50" s="51"/>
      <c r="BI50" s="51"/>
      <c r="BJ50" s="2"/>
      <c r="BK50" s="51"/>
      <c r="BL50" s="51"/>
      <c r="BM50" s="51"/>
      <c r="BN50" s="2"/>
      <c r="BO50" s="51"/>
      <c r="BP50" s="51"/>
      <c r="BQ50" s="51"/>
      <c r="BR50" s="2"/>
      <c r="BS50" s="51"/>
      <c r="BT50" s="51"/>
      <c r="BU50" s="51"/>
      <c r="BV50" s="2"/>
      <c r="BW50" s="51"/>
    </row>
    <row r="51" spans="1:75" x14ac:dyDescent="0.2">
      <c r="A51" s="51"/>
      <c r="B51" s="51"/>
      <c r="C51" s="51"/>
      <c r="D51" s="51"/>
      <c r="E51" s="51"/>
      <c r="F51" s="2"/>
      <c r="G51" s="51"/>
      <c r="H51" s="51"/>
      <c r="I51" s="51"/>
      <c r="J51" s="2"/>
      <c r="K51" s="51"/>
      <c r="L51" s="51"/>
      <c r="M51" s="51"/>
      <c r="N51" s="2"/>
      <c r="O51" s="51"/>
      <c r="P51" s="51"/>
      <c r="Q51" s="51"/>
      <c r="R51" s="2"/>
      <c r="S51" s="51"/>
      <c r="T51" s="51"/>
      <c r="U51" s="51"/>
      <c r="V51" s="2"/>
      <c r="W51" s="51"/>
      <c r="X51" s="51"/>
      <c r="Y51" s="51"/>
      <c r="Z51" s="2"/>
      <c r="AA51" s="51"/>
      <c r="AB51" s="51"/>
      <c r="AC51" s="51"/>
      <c r="AD51" s="2"/>
      <c r="AE51" s="51"/>
      <c r="AF51" s="51"/>
      <c r="AG51" s="51"/>
      <c r="AH51" s="2"/>
      <c r="AI51" s="51"/>
      <c r="AJ51" s="51"/>
      <c r="AK51" s="51"/>
      <c r="AL51" s="2"/>
      <c r="AM51" s="51"/>
      <c r="AN51" s="51"/>
      <c r="AO51" s="51"/>
      <c r="AP51" s="2"/>
      <c r="AQ51" s="51"/>
      <c r="AR51" s="51"/>
      <c r="AS51" s="51"/>
      <c r="AT51" s="2"/>
      <c r="AU51" s="51"/>
      <c r="AV51" s="51"/>
      <c r="AW51" s="51"/>
      <c r="AX51" s="2"/>
      <c r="AY51" s="51"/>
      <c r="AZ51" s="51"/>
      <c r="BA51" s="51"/>
      <c r="BB51" s="2"/>
      <c r="BC51" s="51"/>
      <c r="BD51" s="51"/>
      <c r="BE51" s="51"/>
      <c r="BF51" s="2"/>
      <c r="BG51" s="51"/>
      <c r="BH51" s="51"/>
      <c r="BI51" s="51"/>
      <c r="BJ51" s="2"/>
      <c r="BK51" s="51"/>
      <c r="BL51" s="51"/>
      <c r="BM51" s="51"/>
      <c r="BN51" s="2"/>
      <c r="BO51" s="51"/>
      <c r="BP51" s="51"/>
      <c r="BQ51" s="51"/>
      <c r="BR51" s="2"/>
      <c r="BS51" s="51"/>
      <c r="BT51" s="51"/>
      <c r="BU51" s="51"/>
      <c r="BV51" s="2"/>
      <c r="BW51" s="51"/>
    </row>
    <row r="52" spans="1:75" x14ac:dyDescent="0.2">
      <c r="A52" s="51"/>
      <c r="B52" s="51"/>
      <c r="C52" s="51"/>
      <c r="D52" s="51"/>
      <c r="E52" s="51"/>
      <c r="F52" s="2"/>
      <c r="G52" s="51"/>
      <c r="H52" s="51"/>
      <c r="I52" s="51"/>
      <c r="J52" s="2"/>
      <c r="K52" s="51"/>
      <c r="L52" s="51"/>
      <c r="M52" s="51"/>
      <c r="N52" s="2"/>
      <c r="O52" s="51"/>
      <c r="P52" s="51"/>
      <c r="Q52" s="51"/>
      <c r="R52" s="2"/>
      <c r="S52" s="51"/>
      <c r="T52" s="51"/>
      <c r="U52" s="51"/>
      <c r="V52" s="2"/>
      <c r="W52" s="51"/>
      <c r="X52" s="51"/>
      <c r="Y52" s="51"/>
      <c r="Z52" s="2"/>
      <c r="AA52" s="51"/>
      <c r="AB52" s="51"/>
      <c r="AC52" s="51"/>
      <c r="AD52" s="2"/>
      <c r="AE52" s="51"/>
      <c r="AF52" s="51"/>
      <c r="AG52" s="51"/>
      <c r="AH52" s="2"/>
      <c r="AI52" s="51"/>
      <c r="AJ52" s="51"/>
      <c r="AK52" s="51"/>
      <c r="AL52" s="2"/>
      <c r="AM52" s="51"/>
      <c r="AN52" s="51"/>
      <c r="AO52" s="51"/>
      <c r="AP52" s="2"/>
      <c r="AQ52" s="51"/>
      <c r="AR52" s="51"/>
      <c r="AS52" s="51"/>
      <c r="AT52" s="2"/>
      <c r="AU52" s="51"/>
      <c r="AV52" s="51"/>
      <c r="AW52" s="51"/>
      <c r="AX52" s="2"/>
      <c r="AY52" s="51"/>
      <c r="AZ52" s="51"/>
      <c r="BA52" s="51"/>
      <c r="BB52" s="2"/>
      <c r="BC52" s="51"/>
      <c r="BD52" s="51"/>
      <c r="BE52" s="51"/>
      <c r="BF52" s="2"/>
      <c r="BG52" s="51"/>
      <c r="BH52" s="51"/>
      <c r="BI52" s="51"/>
      <c r="BJ52" s="2"/>
      <c r="BK52" s="51"/>
      <c r="BL52" s="51"/>
      <c r="BM52" s="51"/>
      <c r="BN52" s="2"/>
      <c r="BO52" s="51"/>
      <c r="BP52" s="51"/>
      <c r="BQ52" s="51"/>
      <c r="BR52" s="2"/>
      <c r="BS52" s="51"/>
      <c r="BT52" s="51"/>
      <c r="BU52" s="51"/>
      <c r="BV52" s="2"/>
      <c r="BW52" s="51"/>
    </row>
    <row r="53" spans="1:75" x14ac:dyDescent="0.2">
      <c r="A53" s="51"/>
      <c r="B53" s="51"/>
      <c r="C53" s="51"/>
      <c r="D53" s="51"/>
      <c r="E53" s="51"/>
      <c r="F53" s="2"/>
      <c r="G53" s="51"/>
      <c r="H53" s="51"/>
      <c r="I53" s="51"/>
      <c r="J53" s="2"/>
      <c r="K53" s="51"/>
      <c r="L53" s="51"/>
      <c r="M53" s="51"/>
      <c r="N53" s="2"/>
      <c r="O53" s="51"/>
      <c r="P53" s="51"/>
      <c r="Q53" s="51"/>
      <c r="R53" s="2"/>
      <c r="S53" s="51"/>
      <c r="T53" s="51"/>
      <c r="U53" s="51"/>
      <c r="V53" s="2"/>
      <c r="W53" s="51"/>
      <c r="X53" s="51"/>
      <c r="Y53" s="51"/>
      <c r="Z53" s="2"/>
      <c r="AA53" s="51"/>
      <c r="AB53" s="51"/>
      <c r="AC53" s="51"/>
      <c r="AD53" s="2"/>
      <c r="AE53" s="51"/>
      <c r="AF53" s="51"/>
      <c r="AG53" s="51"/>
      <c r="AH53" s="2"/>
      <c r="AI53" s="51"/>
      <c r="AJ53" s="51"/>
      <c r="AK53" s="51"/>
      <c r="AL53" s="2"/>
      <c r="AM53" s="51"/>
      <c r="AN53" s="51"/>
      <c r="AO53" s="51"/>
      <c r="AP53" s="2"/>
      <c r="AQ53" s="51"/>
      <c r="AR53" s="51"/>
      <c r="AS53" s="51"/>
      <c r="AT53" s="2"/>
      <c r="AU53" s="51"/>
      <c r="AV53" s="51"/>
      <c r="AW53" s="51"/>
      <c r="AX53" s="2"/>
      <c r="AY53" s="51"/>
      <c r="AZ53" s="51"/>
      <c r="BA53" s="51"/>
      <c r="BB53" s="2"/>
      <c r="BC53" s="51"/>
      <c r="BD53" s="51"/>
      <c r="BE53" s="51"/>
      <c r="BF53" s="2"/>
      <c r="BG53" s="51"/>
      <c r="BH53" s="51"/>
      <c r="BI53" s="51"/>
      <c r="BJ53" s="2"/>
      <c r="BK53" s="51"/>
      <c r="BL53" s="51"/>
      <c r="BM53" s="51"/>
      <c r="BN53" s="2"/>
      <c r="BO53" s="51"/>
      <c r="BP53" s="51"/>
      <c r="BQ53" s="51"/>
      <c r="BR53" s="2"/>
      <c r="BS53" s="51"/>
      <c r="BT53" s="51"/>
      <c r="BU53" s="51"/>
      <c r="BV53" s="2"/>
      <c r="BW53" s="51"/>
    </row>
    <row r="54" spans="1:75" x14ac:dyDescent="0.2">
      <c r="A54" s="51"/>
      <c r="B54" s="51"/>
      <c r="C54" s="51"/>
      <c r="D54" s="51"/>
      <c r="E54" s="51"/>
      <c r="F54" s="2"/>
      <c r="G54" s="51"/>
      <c r="H54" s="51"/>
      <c r="I54" s="51"/>
      <c r="J54" s="2"/>
      <c r="K54" s="51"/>
      <c r="L54" s="51"/>
      <c r="M54" s="51"/>
      <c r="N54" s="2"/>
      <c r="O54" s="51"/>
      <c r="P54" s="51"/>
      <c r="Q54" s="51"/>
      <c r="R54" s="2"/>
      <c r="S54" s="51"/>
      <c r="T54" s="51"/>
      <c r="U54" s="51"/>
      <c r="V54" s="2"/>
      <c r="W54" s="51"/>
      <c r="X54" s="51"/>
      <c r="Y54" s="51"/>
      <c r="Z54" s="2"/>
      <c r="AA54" s="51"/>
      <c r="AB54" s="51"/>
      <c r="AC54" s="51"/>
      <c r="AD54" s="2"/>
      <c r="AE54" s="51"/>
      <c r="AF54" s="51"/>
      <c r="AG54" s="51"/>
      <c r="AH54" s="2"/>
      <c r="AI54" s="51"/>
      <c r="AJ54" s="51"/>
      <c r="AK54" s="51"/>
      <c r="AL54" s="2"/>
      <c r="AM54" s="51"/>
      <c r="AN54" s="51"/>
      <c r="AO54" s="51"/>
      <c r="AP54" s="2"/>
      <c r="AQ54" s="51"/>
      <c r="AR54" s="51"/>
      <c r="AS54" s="51"/>
      <c r="AT54" s="2"/>
      <c r="AU54" s="51"/>
      <c r="AV54" s="51"/>
      <c r="AW54" s="51"/>
      <c r="AX54" s="2"/>
      <c r="AY54" s="51"/>
      <c r="AZ54" s="51"/>
      <c r="BA54" s="51"/>
      <c r="BB54" s="2"/>
      <c r="BC54" s="51"/>
      <c r="BD54" s="51"/>
      <c r="BE54" s="51"/>
      <c r="BF54" s="2"/>
      <c r="BG54" s="51"/>
      <c r="BH54" s="51"/>
      <c r="BI54" s="51"/>
      <c r="BJ54" s="2"/>
      <c r="BK54" s="51"/>
      <c r="BL54" s="51"/>
      <c r="BM54" s="51"/>
      <c r="BN54" s="2"/>
      <c r="BO54" s="51"/>
      <c r="BP54" s="51"/>
      <c r="BQ54" s="51"/>
      <c r="BR54" s="2"/>
      <c r="BS54" s="51"/>
      <c r="BT54" s="51"/>
      <c r="BU54" s="51"/>
      <c r="BV54" s="2"/>
      <c r="BW54" s="51"/>
    </row>
    <row r="55" spans="1:75" x14ac:dyDescent="0.2">
      <c r="A55" s="51"/>
      <c r="B55" s="51"/>
      <c r="C55" s="51"/>
      <c r="D55" s="51"/>
      <c r="E55" s="51"/>
      <c r="F55" s="2"/>
      <c r="G55" s="51"/>
      <c r="H55" s="51"/>
      <c r="I55" s="51"/>
      <c r="J55" s="2"/>
      <c r="K55" s="51"/>
      <c r="L55" s="51"/>
      <c r="M55" s="51"/>
      <c r="N55" s="2"/>
      <c r="O55" s="51"/>
      <c r="P55" s="51"/>
      <c r="Q55" s="51"/>
      <c r="R55" s="2"/>
      <c r="S55" s="51"/>
      <c r="T55" s="51"/>
      <c r="U55" s="51"/>
      <c r="V55" s="2"/>
      <c r="W55" s="51"/>
      <c r="X55" s="51"/>
      <c r="Y55" s="51"/>
      <c r="Z55" s="2"/>
      <c r="AA55" s="51"/>
      <c r="AB55" s="51"/>
      <c r="AC55" s="51"/>
      <c r="AD55" s="2"/>
      <c r="AE55" s="51"/>
      <c r="AF55" s="51"/>
      <c r="AG55" s="51"/>
      <c r="AH55" s="2"/>
      <c r="AI55" s="51"/>
      <c r="AJ55" s="51"/>
      <c r="AK55" s="51"/>
      <c r="AL55" s="2"/>
      <c r="AM55" s="51"/>
      <c r="AN55" s="51"/>
      <c r="AO55" s="51"/>
      <c r="AP55" s="2"/>
      <c r="AQ55" s="51"/>
      <c r="AR55" s="51"/>
      <c r="AS55" s="51"/>
      <c r="AT55" s="2"/>
      <c r="AU55" s="51"/>
      <c r="AV55" s="51"/>
      <c r="AW55" s="51"/>
      <c r="AX55" s="2"/>
      <c r="AY55" s="51"/>
      <c r="AZ55" s="51"/>
      <c r="BA55" s="51"/>
      <c r="BB55" s="2"/>
      <c r="BC55" s="51"/>
      <c r="BD55" s="51"/>
      <c r="BE55" s="51"/>
      <c r="BF55" s="2"/>
      <c r="BG55" s="51"/>
      <c r="BH55" s="51"/>
      <c r="BI55" s="51"/>
      <c r="BJ55" s="2"/>
      <c r="BK55" s="51"/>
      <c r="BL55" s="51"/>
      <c r="BM55" s="51"/>
      <c r="BN55" s="2"/>
      <c r="BO55" s="51"/>
      <c r="BP55" s="51"/>
      <c r="BQ55" s="51"/>
      <c r="BR55" s="2"/>
      <c r="BS55" s="51"/>
      <c r="BT55" s="51"/>
      <c r="BU55" s="51"/>
      <c r="BV55" s="2"/>
      <c r="BW55" s="51"/>
    </row>
    <row r="56" spans="1:75" x14ac:dyDescent="0.2">
      <c r="A56" s="51"/>
      <c r="B56" s="51"/>
      <c r="C56" s="51"/>
      <c r="D56" s="51"/>
      <c r="E56" s="51"/>
      <c r="F56" s="2"/>
      <c r="G56" s="51"/>
      <c r="H56" s="51"/>
      <c r="I56" s="51"/>
      <c r="J56" s="2"/>
      <c r="K56" s="51"/>
      <c r="L56" s="51"/>
      <c r="M56" s="51"/>
      <c r="N56" s="2"/>
      <c r="O56" s="51"/>
      <c r="P56" s="51"/>
      <c r="Q56" s="51"/>
      <c r="R56" s="2"/>
      <c r="S56" s="51"/>
      <c r="T56" s="51"/>
      <c r="U56" s="51"/>
      <c r="V56" s="2"/>
      <c r="W56" s="51"/>
      <c r="X56" s="51"/>
      <c r="Y56" s="51"/>
      <c r="Z56" s="2"/>
      <c r="AA56" s="51"/>
      <c r="AB56" s="51"/>
      <c r="AC56" s="51"/>
      <c r="AD56" s="2"/>
      <c r="AE56" s="51"/>
      <c r="AF56" s="51"/>
      <c r="AG56" s="51"/>
      <c r="AH56" s="2"/>
      <c r="AI56" s="51"/>
      <c r="AJ56" s="51"/>
      <c r="AK56" s="51"/>
      <c r="AL56" s="2"/>
      <c r="AM56" s="51"/>
      <c r="AN56" s="51"/>
      <c r="AO56" s="51"/>
      <c r="AP56" s="2"/>
      <c r="AQ56" s="51"/>
      <c r="AR56" s="51"/>
      <c r="AS56" s="51"/>
      <c r="AT56" s="2"/>
      <c r="AU56" s="51"/>
      <c r="AV56" s="51"/>
      <c r="AW56" s="51"/>
      <c r="AX56" s="2"/>
      <c r="AY56" s="51"/>
      <c r="AZ56" s="51"/>
      <c r="BA56" s="51"/>
      <c r="BB56" s="2"/>
      <c r="BC56" s="51"/>
      <c r="BD56" s="51"/>
      <c r="BE56" s="51"/>
      <c r="BF56" s="2"/>
      <c r="BG56" s="51"/>
      <c r="BH56" s="51"/>
      <c r="BI56" s="51"/>
      <c r="BJ56" s="2"/>
      <c r="BK56" s="51"/>
      <c r="BL56" s="51"/>
      <c r="BM56" s="51"/>
      <c r="BN56" s="2"/>
      <c r="BO56" s="51"/>
      <c r="BP56" s="51"/>
      <c r="BQ56" s="51"/>
      <c r="BR56" s="2"/>
      <c r="BS56" s="51"/>
      <c r="BT56" s="51"/>
      <c r="BU56" s="51"/>
      <c r="BV56" s="2"/>
      <c r="BW56" s="51"/>
    </row>
    <row r="57" spans="1:75" x14ac:dyDescent="0.2">
      <c r="A57" s="51"/>
      <c r="B57" s="51"/>
      <c r="C57" s="51"/>
      <c r="D57" s="51"/>
      <c r="E57" s="51"/>
      <c r="F57" s="2"/>
      <c r="G57" s="51"/>
      <c r="H57" s="51"/>
      <c r="I57" s="51"/>
      <c r="J57" s="2"/>
      <c r="K57" s="51"/>
      <c r="L57" s="51"/>
      <c r="M57" s="51"/>
      <c r="N57" s="2"/>
      <c r="O57" s="51"/>
      <c r="P57" s="51"/>
      <c r="Q57" s="51"/>
      <c r="R57" s="2"/>
      <c r="S57" s="51"/>
      <c r="T57" s="51"/>
      <c r="U57" s="51"/>
      <c r="V57" s="2"/>
      <c r="W57" s="51"/>
      <c r="X57" s="51"/>
      <c r="Y57" s="51"/>
      <c r="Z57" s="2"/>
      <c r="AA57" s="51"/>
      <c r="AB57" s="51"/>
      <c r="AC57" s="51"/>
      <c r="AD57" s="2"/>
      <c r="AE57" s="51"/>
      <c r="AF57" s="51"/>
      <c r="AG57" s="51"/>
      <c r="AH57" s="2"/>
      <c r="AI57" s="51"/>
      <c r="AJ57" s="51"/>
      <c r="AK57" s="51"/>
      <c r="AL57" s="2"/>
      <c r="AM57" s="51"/>
      <c r="AN57" s="51"/>
      <c r="AO57" s="51"/>
      <c r="AP57" s="2"/>
      <c r="AQ57" s="51"/>
      <c r="AR57" s="51"/>
      <c r="AS57" s="51"/>
      <c r="AT57" s="2"/>
      <c r="AU57" s="51"/>
      <c r="AV57" s="51"/>
      <c r="AW57" s="51"/>
      <c r="AX57" s="2"/>
      <c r="AY57" s="51"/>
      <c r="AZ57" s="51"/>
      <c r="BA57" s="51"/>
      <c r="BB57" s="2"/>
      <c r="BC57" s="51"/>
      <c r="BD57" s="51"/>
      <c r="BE57" s="51"/>
      <c r="BF57" s="2"/>
      <c r="BG57" s="51"/>
      <c r="BH57" s="51"/>
      <c r="BI57" s="51"/>
      <c r="BJ57" s="2"/>
      <c r="BK57" s="51"/>
      <c r="BL57" s="51"/>
      <c r="BM57" s="51"/>
      <c r="BN57" s="2"/>
      <c r="BO57" s="51"/>
      <c r="BP57" s="51"/>
      <c r="BQ57" s="51"/>
      <c r="BR57" s="2"/>
      <c r="BS57" s="51"/>
      <c r="BT57" s="51"/>
      <c r="BU57" s="51"/>
      <c r="BV57" s="2"/>
      <c r="BW57" s="51"/>
    </row>
    <row r="58" spans="1:75" x14ac:dyDescent="0.2">
      <c r="A58" s="51"/>
      <c r="B58" s="51"/>
      <c r="C58" s="51"/>
      <c r="D58" s="51"/>
      <c r="E58" s="51"/>
      <c r="F58" s="2"/>
      <c r="G58" s="51"/>
      <c r="H58" s="51"/>
      <c r="I58" s="51"/>
      <c r="J58" s="2"/>
      <c r="K58" s="51"/>
      <c r="L58" s="51"/>
      <c r="M58" s="51"/>
      <c r="N58" s="2"/>
      <c r="O58" s="51"/>
      <c r="P58" s="51"/>
      <c r="Q58" s="51"/>
      <c r="R58" s="2"/>
      <c r="S58" s="51"/>
      <c r="T58" s="51"/>
      <c r="U58" s="51"/>
      <c r="V58" s="2"/>
      <c r="W58" s="51"/>
      <c r="X58" s="51"/>
      <c r="Y58" s="51"/>
      <c r="Z58" s="2"/>
      <c r="AA58" s="51"/>
      <c r="AB58" s="51"/>
      <c r="AC58" s="51"/>
      <c r="AD58" s="2"/>
      <c r="AE58" s="51"/>
      <c r="AF58" s="51"/>
      <c r="AG58" s="51"/>
      <c r="AH58" s="2"/>
      <c r="AI58" s="51"/>
      <c r="AJ58" s="51"/>
      <c r="AK58" s="51"/>
      <c r="AL58" s="2"/>
      <c r="AM58" s="51"/>
      <c r="AN58" s="51"/>
      <c r="AO58" s="51"/>
      <c r="AP58" s="2"/>
      <c r="AQ58" s="51"/>
      <c r="AR58" s="51"/>
      <c r="AS58" s="51"/>
      <c r="AT58" s="2"/>
      <c r="AU58" s="51"/>
      <c r="AV58" s="51"/>
      <c r="AW58" s="51"/>
      <c r="AX58" s="2"/>
      <c r="AY58" s="51"/>
      <c r="AZ58" s="51"/>
      <c r="BA58" s="51"/>
      <c r="BB58" s="2"/>
      <c r="BC58" s="51"/>
      <c r="BD58" s="51"/>
      <c r="BE58" s="51"/>
      <c r="BF58" s="2"/>
      <c r="BG58" s="51"/>
      <c r="BH58" s="51"/>
      <c r="BI58" s="51"/>
      <c r="BJ58" s="2"/>
      <c r="BK58" s="51"/>
      <c r="BL58" s="51"/>
      <c r="BM58" s="51"/>
      <c r="BN58" s="2"/>
      <c r="BO58" s="51"/>
      <c r="BP58" s="51"/>
      <c r="BQ58" s="51"/>
      <c r="BR58" s="2"/>
      <c r="BS58" s="51"/>
      <c r="BT58" s="51"/>
      <c r="BU58" s="51"/>
      <c r="BV58" s="2"/>
      <c r="BW58" s="51"/>
    </row>
    <row r="59" spans="1:75" x14ac:dyDescent="0.2">
      <c r="A59" s="51"/>
      <c r="B59" s="51"/>
      <c r="C59" s="51"/>
      <c r="D59" s="51"/>
      <c r="E59" s="51"/>
      <c r="F59" s="2"/>
      <c r="G59" s="51"/>
      <c r="H59" s="51"/>
      <c r="I59" s="51"/>
      <c r="J59" s="2"/>
      <c r="K59" s="51"/>
      <c r="L59" s="51"/>
      <c r="M59" s="51"/>
      <c r="N59" s="2"/>
      <c r="O59" s="51"/>
      <c r="P59" s="51"/>
      <c r="Q59" s="51"/>
      <c r="R59" s="2"/>
      <c r="S59" s="51"/>
      <c r="T59" s="51"/>
      <c r="U59" s="51"/>
      <c r="V59" s="2"/>
      <c r="W59" s="51"/>
      <c r="X59" s="51"/>
      <c r="Y59" s="51"/>
      <c r="Z59" s="2"/>
      <c r="AA59" s="51"/>
      <c r="AB59" s="51"/>
      <c r="AC59" s="51"/>
      <c r="AD59" s="2"/>
      <c r="AE59" s="51"/>
      <c r="AF59" s="51"/>
      <c r="AG59" s="51"/>
      <c r="AH59" s="2"/>
      <c r="AI59" s="51"/>
      <c r="AJ59" s="51"/>
      <c r="AK59" s="51"/>
      <c r="AL59" s="2"/>
      <c r="AM59" s="51"/>
      <c r="AN59" s="51"/>
      <c r="AO59" s="51"/>
      <c r="AP59" s="2"/>
      <c r="AQ59" s="51"/>
      <c r="AR59" s="51"/>
      <c r="AS59" s="51"/>
      <c r="AT59" s="2"/>
      <c r="AU59" s="51"/>
      <c r="AV59" s="51"/>
      <c r="AW59" s="51"/>
      <c r="AX59" s="2"/>
      <c r="AY59" s="51"/>
      <c r="AZ59" s="51"/>
      <c r="BA59" s="51"/>
      <c r="BB59" s="2"/>
      <c r="BC59" s="51"/>
      <c r="BD59" s="51"/>
      <c r="BE59" s="51"/>
      <c r="BF59" s="2"/>
      <c r="BG59" s="51"/>
      <c r="BH59" s="51"/>
      <c r="BI59" s="51"/>
      <c r="BJ59" s="2"/>
      <c r="BK59" s="51"/>
      <c r="BL59" s="51"/>
      <c r="BM59" s="51"/>
      <c r="BN59" s="2"/>
      <c r="BO59" s="51"/>
      <c r="BP59" s="51"/>
      <c r="BQ59" s="51"/>
      <c r="BR59" s="2"/>
      <c r="BS59" s="51"/>
      <c r="BT59" s="51"/>
      <c r="BU59" s="51"/>
      <c r="BV59" s="2"/>
      <c r="BW59" s="51"/>
    </row>
    <row r="60" spans="1:75" x14ac:dyDescent="0.2">
      <c r="A60" s="51"/>
      <c r="B60" s="51"/>
      <c r="C60" s="51"/>
      <c r="D60" s="51"/>
      <c r="E60" s="51"/>
      <c r="F60" s="2"/>
      <c r="G60" s="51"/>
      <c r="H60" s="51"/>
      <c r="I60" s="51"/>
      <c r="J60" s="2"/>
      <c r="K60" s="51"/>
      <c r="L60" s="51"/>
      <c r="M60" s="51"/>
      <c r="N60" s="2"/>
      <c r="O60" s="51"/>
      <c r="P60" s="51"/>
      <c r="Q60" s="51"/>
      <c r="R60" s="2"/>
      <c r="S60" s="51"/>
      <c r="T60" s="51"/>
      <c r="U60" s="51"/>
      <c r="V60" s="2"/>
      <c r="W60" s="51"/>
      <c r="X60" s="51"/>
      <c r="Y60" s="51"/>
      <c r="Z60" s="2"/>
      <c r="AA60" s="51"/>
      <c r="AB60" s="51"/>
      <c r="AC60" s="51"/>
      <c r="AD60" s="2"/>
      <c r="AE60" s="51"/>
      <c r="AF60" s="51"/>
      <c r="AG60" s="51"/>
      <c r="AH60" s="2"/>
      <c r="AI60" s="51"/>
      <c r="AJ60" s="51"/>
      <c r="AK60" s="51"/>
      <c r="AL60" s="2"/>
      <c r="AM60" s="51"/>
      <c r="AN60" s="51"/>
      <c r="AO60" s="51"/>
      <c r="AP60" s="2"/>
      <c r="AQ60" s="51"/>
      <c r="AR60" s="51"/>
      <c r="AS60" s="51"/>
      <c r="AT60" s="2"/>
      <c r="AU60" s="51"/>
      <c r="AV60" s="51"/>
      <c r="AW60" s="51"/>
      <c r="AX60" s="2"/>
      <c r="AY60" s="51"/>
      <c r="AZ60" s="51"/>
      <c r="BA60" s="51"/>
      <c r="BB60" s="2"/>
      <c r="BC60" s="51"/>
      <c r="BD60" s="51"/>
      <c r="BE60" s="51"/>
      <c r="BF60" s="2"/>
      <c r="BG60" s="51"/>
      <c r="BH60" s="51"/>
      <c r="BI60" s="51"/>
      <c r="BJ60" s="2"/>
      <c r="BK60" s="51"/>
      <c r="BL60" s="51"/>
      <c r="BM60" s="51"/>
      <c r="BN60" s="2"/>
      <c r="BO60" s="51"/>
      <c r="BP60" s="51"/>
      <c r="BQ60" s="51"/>
      <c r="BR60" s="2"/>
      <c r="BS60" s="51"/>
      <c r="BT60" s="51"/>
      <c r="BU60" s="51"/>
      <c r="BV60" s="2"/>
      <c r="BW60" s="51"/>
    </row>
    <row r="61" spans="1:75" x14ac:dyDescent="0.2">
      <c r="A61" s="51"/>
      <c r="B61" s="51"/>
      <c r="C61" s="51"/>
      <c r="D61" s="51"/>
      <c r="E61" s="51"/>
      <c r="F61" s="2"/>
      <c r="G61" s="51"/>
      <c r="H61" s="51"/>
      <c r="I61" s="51"/>
      <c r="J61" s="2"/>
      <c r="K61" s="51"/>
      <c r="L61" s="51"/>
      <c r="M61" s="51"/>
      <c r="N61" s="2"/>
      <c r="O61" s="51"/>
      <c r="P61" s="51"/>
      <c r="Q61" s="51"/>
      <c r="R61" s="2"/>
      <c r="S61" s="51"/>
      <c r="T61" s="51"/>
      <c r="U61" s="51"/>
      <c r="V61" s="2"/>
      <c r="W61" s="51"/>
      <c r="X61" s="51"/>
      <c r="Y61" s="51"/>
      <c r="Z61" s="2"/>
      <c r="AA61" s="51"/>
      <c r="AB61" s="51"/>
      <c r="AC61" s="51"/>
      <c r="AD61" s="2"/>
      <c r="AE61" s="51"/>
      <c r="AF61" s="51"/>
      <c r="AG61" s="51"/>
      <c r="AH61" s="2"/>
      <c r="AI61" s="51"/>
      <c r="AJ61" s="51"/>
      <c r="AK61" s="51"/>
      <c r="AL61" s="2"/>
      <c r="AM61" s="51"/>
      <c r="AN61" s="51"/>
      <c r="AO61" s="51"/>
      <c r="AP61" s="2"/>
      <c r="AQ61" s="51"/>
      <c r="AR61" s="51"/>
      <c r="AS61" s="51"/>
      <c r="AT61" s="2"/>
      <c r="AU61" s="51"/>
      <c r="AV61" s="51"/>
      <c r="AW61" s="51"/>
      <c r="AX61" s="2"/>
      <c r="AY61" s="51"/>
      <c r="AZ61" s="51"/>
      <c r="BA61" s="51"/>
      <c r="BB61" s="2"/>
      <c r="BC61" s="51"/>
      <c r="BD61" s="51"/>
      <c r="BE61" s="51"/>
      <c r="BF61" s="2"/>
      <c r="BG61" s="51"/>
      <c r="BH61" s="51"/>
      <c r="BI61" s="51"/>
      <c r="BJ61" s="2"/>
      <c r="BK61" s="51"/>
      <c r="BL61" s="51"/>
      <c r="BM61" s="51"/>
      <c r="BN61" s="2"/>
      <c r="BO61" s="51"/>
      <c r="BP61" s="51"/>
      <c r="BQ61" s="51"/>
      <c r="BR61" s="2"/>
      <c r="BS61" s="51"/>
      <c r="BT61" s="51"/>
      <c r="BU61" s="51"/>
      <c r="BV61" s="2"/>
      <c r="BW61" s="51"/>
    </row>
    <row r="62" spans="1:75" x14ac:dyDescent="0.2">
      <c r="A62" s="51"/>
      <c r="B62" s="51"/>
      <c r="C62" s="51"/>
      <c r="D62" s="51"/>
      <c r="E62" s="51"/>
      <c r="F62" s="2"/>
      <c r="G62" s="51"/>
      <c r="H62" s="51"/>
      <c r="I62" s="51"/>
      <c r="J62" s="2"/>
      <c r="K62" s="51"/>
      <c r="L62" s="51"/>
      <c r="M62" s="51"/>
      <c r="N62" s="2"/>
      <c r="O62" s="51"/>
      <c r="P62" s="51"/>
      <c r="Q62" s="51"/>
      <c r="R62" s="2"/>
      <c r="S62" s="51"/>
      <c r="T62" s="51"/>
      <c r="U62" s="51"/>
      <c r="V62" s="2"/>
      <c r="W62" s="51"/>
      <c r="X62" s="51"/>
      <c r="Y62" s="51"/>
      <c r="Z62" s="2"/>
      <c r="AA62" s="51"/>
      <c r="AB62" s="51"/>
      <c r="AC62" s="51"/>
      <c r="AD62" s="2"/>
      <c r="AE62" s="51"/>
      <c r="AF62" s="51"/>
      <c r="AG62" s="51"/>
      <c r="AH62" s="2"/>
      <c r="AI62" s="51"/>
      <c r="AJ62" s="51"/>
      <c r="AK62" s="51"/>
      <c r="AL62" s="2"/>
      <c r="AM62" s="51"/>
      <c r="AN62" s="51"/>
      <c r="AO62" s="51"/>
      <c r="AP62" s="2"/>
      <c r="AQ62" s="51"/>
      <c r="AR62" s="51"/>
      <c r="AS62" s="51"/>
      <c r="AT62" s="2"/>
      <c r="AU62" s="51"/>
      <c r="AV62" s="51"/>
      <c r="AW62" s="51"/>
      <c r="AX62" s="2"/>
      <c r="AY62" s="51"/>
      <c r="AZ62" s="51"/>
      <c r="BA62" s="51"/>
      <c r="BB62" s="2"/>
      <c r="BC62" s="51"/>
      <c r="BD62" s="51"/>
      <c r="BE62" s="51"/>
      <c r="BF62" s="2"/>
      <c r="BG62" s="51"/>
      <c r="BH62" s="51"/>
      <c r="BI62" s="51"/>
      <c r="BJ62" s="2"/>
      <c r="BK62" s="51"/>
      <c r="BL62" s="51"/>
      <c r="BM62" s="51"/>
      <c r="BN62" s="2"/>
      <c r="BO62" s="51"/>
      <c r="BP62" s="51"/>
      <c r="BQ62" s="51"/>
      <c r="BR62" s="2"/>
      <c r="BS62" s="51"/>
      <c r="BT62" s="51"/>
      <c r="BU62" s="51"/>
      <c r="BV62" s="2"/>
      <c r="BW62" s="51"/>
    </row>
    <row r="63" spans="1:75" x14ac:dyDescent="0.2">
      <c r="A63" s="51"/>
      <c r="B63" s="51"/>
      <c r="C63" s="51"/>
      <c r="D63" s="51"/>
      <c r="E63" s="51"/>
      <c r="F63" s="2"/>
      <c r="G63" s="51"/>
      <c r="H63" s="51"/>
      <c r="I63" s="51"/>
      <c r="J63" s="2"/>
      <c r="K63" s="51"/>
      <c r="L63" s="51"/>
      <c r="M63" s="51"/>
      <c r="N63" s="2"/>
      <c r="O63" s="51"/>
      <c r="P63" s="51"/>
      <c r="Q63" s="51"/>
      <c r="R63" s="2"/>
      <c r="S63" s="51"/>
      <c r="T63" s="51"/>
      <c r="U63" s="51"/>
      <c r="V63" s="2"/>
      <c r="W63" s="51"/>
      <c r="X63" s="51"/>
      <c r="Y63" s="51"/>
      <c r="Z63" s="2"/>
      <c r="AA63" s="51"/>
      <c r="AB63" s="51"/>
      <c r="AC63" s="51"/>
      <c r="AD63" s="2"/>
      <c r="AE63" s="51"/>
      <c r="AF63" s="51"/>
      <c r="AG63" s="51"/>
      <c r="AH63" s="2"/>
      <c r="AI63" s="51"/>
      <c r="AJ63" s="51"/>
      <c r="AK63" s="51"/>
      <c r="AL63" s="2"/>
      <c r="AM63" s="51"/>
      <c r="AN63" s="51"/>
      <c r="AO63" s="51"/>
      <c r="AP63" s="2"/>
      <c r="AQ63" s="51"/>
      <c r="AR63" s="51"/>
      <c r="AS63" s="51"/>
      <c r="AT63" s="2"/>
      <c r="AU63" s="51"/>
      <c r="AV63" s="51"/>
      <c r="AW63" s="51"/>
      <c r="AX63" s="2"/>
      <c r="AY63" s="51"/>
      <c r="AZ63" s="51"/>
      <c r="BA63" s="51"/>
      <c r="BB63" s="2"/>
      <c r="BC63" s="51"/>
      <c r="BD63" s="51"/>
      <c r="BE63" s="51"/>
      <c r="BF63" s="2"/>
      <c r="BG63" s="51"/>
      <c r="BH63" s="51"/>
      <c r="BI63" s="51"/>
      <c r="BJ63" s="2"/>
      <c r="BK63" s="51"/>
      <c r="BL63" s="51"/>
      <c r="BM63" s="51"/>
      <c r="BN63" s="2"/>
      <c r="BO63" s="51"/>
      <c r="BP63" s="51"/>
      <c r="BQ63" s="51"/>
      <c r="BR63" s="2"/>
      <c r="BS63" s="51"/>
      <c r="BT63" s="51"/>
      <c r="BU63" s="51"/>
      <c r="BV63" s="2"/>
      <c r="BW63" s="51"/>
    </row>
    <row r="64" spans="1:75" x14ac:dyDescent="0.2">
      <c r="A64" s="51"/>
      <c r="B64" s="51"/>
      <c r="C64" s="51"/>
      <c r="D64" s="51"/>
      <c r="E64" s="51"/>
      <c r="F64" s="2"/>
      <c r="G64" s="51"/>
      <c r="H64" s="51"/>
      <c r="I64" s="51"/>
      <c r="J64" s="2"/>
      <c r="K64" s="51"/>
      <c r="L64" s="51"/>
      <c r="M64" s="51"/>
      <c r="N64" s="2"/>
      <c r="O64" s="51"/>
      <c r="P64" s="51"/>
      <c r="Q64" s="51"/>
      <c r="R64" s="2"/>
      <c r="S64" s="51"/>
      <c r="T64" s="51"/>
      <c r="U64" s="51"/>
      <c r="V64" s="2"/>
      <c r="W64" s="51"/>
      <c r="X64" s="51"/>
      <c r="Y64" s="51"/>
      <c r="Z64" s="2"/>
      <c r="AA64" s="51"/>
      <c r="AB64" s="51"/>
      <c r="AC64" s="51"/>
      <c r="AD64" s="2"/>
      <c r="AE64" s="51"/>
      <c r="AF64" s="51"/>
      <c r="AG64" s="51"/>
      <c r="AH64" s="2"/>
      <c r="AI64" s="51"/>
      <c r="AJ64" s="51"/>
      <c r="AK64" s="51"/>
      <c r="AL64" s="2"/>
      <c r="AM64" s="51"/>
      <c r="AN64" s="51"/>
      <c r="AO64" s="51"/>
      <c r="AP64" s="2"/>
      <c r="AQ64" s="51"/>
      <c r="AR64" s="51"/>
      <c r="AS64" s="51"/>
      <c r="AT64" s="2"/>
      <c r="AU64" s="51"/>
      <c r="AV64" s="51"/>
      <c r="AW64" s="51"/>
      <c r="AX64" s="2"/>
      <c r="AY64" s="51"/>
      <c r="AZ64" s="51"/>
      <c r="BA64" s="51"/>
      <c r="BB64" s="2"/>
      <c r="BC64" s="51"/>
      <c r="BD64" s="51"/>
      <c r="BE64" s="51"/>
      <c r="BF64" s="2"/>
      <c r="BG64" s="51"/>
      <c r="BH64" s="51"/>
      <c r="BI64" s="51"/>
      <c r="BJ64" s="2"/>
      <c r="BK64" s="51"/>
      <c r="BL64" s="51"/>
      <c r="BM64" s="51"/>
      <c r="BN64" s="2"/>
      <c r="BO64" s="51"/>
      <c r="BP64" s="51"/>
      <c r="BQ64" s="51"/>
      <c r="BR64" s="2"/>
      <c r="BS64" s="51"/>
      <c r="BT64" s="51"/>
      <c r="BU64" s="51"/>
      <c r="BV64" s="2"/>
      <c r="BW64" s="51"/>
    </row>
    <row r="65" spans="1:75" x14ac:dyDescent="0.2">
      <c r="A65" s="51"/>
      <c r="B65" s="51"/>
      <c r="C65" s="51"/>
      <c r="D65" s="51"/>
      <c r="E65" s="51"/>
      <c r="F65" s="2"/>
      <c r="G65" s="51"/>
      <c r="H65" s="51"/>
      <c r="I65" s="51"/>
      <c r="J65" s="2"/>
      <c r="K65" s="51"/>
      <c r="L65" s="51"/>
      <c r="M65" s="51"/>
      <c r="N65" s="2"/>
      <c r="O65" s="51"/>
      <c r="P65" s="51"/>
      <c r="Q65" s="51"/>
      <c r="R65" s="2"/>
      <c r="S65" s="51"/>
      <c r="T65" s="51"/>
      <c r="U65" s="51"/>
      <c r="V65" s="2"/>
      <c r="W65" s="51"/>
      <c r="X65" s="51"/>
      <c r="Y65" s="51"/>
      <c r="Z65" s="2"/>
      <c r="AA65" s="51"/>
      <c r="AB65" s="51"/>
      <c r="AC65" s="51"/>
      <c r="AD65" s="2"/>
      <c r="AE65" s="51"/>
      <c r="AF65" s="51"/>
      <c r="AG65" s="51"/>
      <c r="AH65" s="2"/>
      <c r="AI65" s="51"/>
      <c r="AJ65" s="51"/>
      <c r="AK65" s="51"/>
      <c r="AL65" s="2"/>
      <c r="AM65" s="51"/>
      <c r="AN65" s="51"/>
      <c r="AO65" s="51"/>
      <c r="AP65" s="2"/>
      <c r="AQ65" s="51"/>
      <c r="AR65" s="51"/>
      <c r="AS65" s="51"/>
      <c r="AT65" s="2"/>
      <c r="AU65" s="51"/>
      <c r="AV65" s="51"/>
      <c r="AW65" s="51"/>
      <c r="AX65" s="2"/>
      <c r="AY65" s="51"/>
      <c r="AZ65" s="51"/>
      <c r="BA65" s="51"/>
      <c r="BB65" s="2"/>
      <c r="BC65" s="51"/>
      <c r="BD65" s="51"/>
      <c r="BE65" s="51"/>
      <c r="BF65" s="2"/>
      <c r="BG65" s="51"/>
      <c r="BH65" s="51"/>
      <c r="BI65" s="51"/>
      <c r="BJ65" s="2"/>
      <c r="BK65" s="51"/>
      <c r="BL65" s="51"/>
      <c r="BM65" s="51"/>
      <c r="BN65" s="2"/>
      <c r="BO65" s="51"/>
      <c r="BP65" s="51"/>
      <c r="BQ65" s="51"/>
      <c r="BR65" s="2"/>
      <c r="BS65" s="51"/>
      <c r="BT65" s="51"/>
      <c r="BU65" s="51"/>
      <c r="BV65" s="2"/>
      <c r="BW65" s="51"/>
    </row>
    <row r="66" spans="1:75" x14ac:dyDescent="0.2">
      <c r="A66" s="51"/>
      <c r="B66" s="51"/>
      <c r="C66" s="51"/>
      <c r="D66" s="51"/>
      <c r="E66" s="51"/>
      <c r="F66" s="2"/>
      <c r="G66" s="51"/>
      <c r="H66" s="51"/>
      <c r="I66" s="51"/>
      <c r="J66" s="2"/>
      <c r="K66" s="51"/>
      <c r="L66" s="51"/>
      <c r="M66" s="51"/>
      <c r="N66" s="2"/>
      <c r="O66" s="51"/>
      <c r="P66" s="51"/>
      <c r="Q66" s="51"/>
      <c r="R66" s="2"/>
      <c r="S66" s="51"/>
      <c r="T66" s="51"/>
      <c r="U66" s="51"/>
      <c r="V66" s="2"/>
      <c r="W66" s="51"/>
      <c r="X66" s="51"/>
      <c r="Y66" s="51"/>
      <c r="Z66" s="2"/>
      <c r="AA66" s="51"/>
      <c r="AB66" s="51"/>
      <c r="AC66" s="51"/>
      <c r="AD66" s="2"/>
      <c r="AE66" s="51"/>
      <c r="AF66" s="51"/>
      <c r="AG66" s="51"/>
      <c r="AH66" s="2"/>
      <c r="AI66" s="51"/>
      <c r="AJ66" s="51"/>
      <c r="AK66" s="51"/>
      <c r="AL66" s="2"/>
      <c r="AM66" s="51"/>
      <c r="AN66" s="51"/>
      <c r="AO66" s="51"/>
      <c r="AP66" s="2"/>
      <c r="AQ66" s="51"/>
      <c r="AR66" s="51"/>
      <c r="AS66" s="51"/>
      <c r="AT66" s="2"/>
      <c r="AU66" s="51"/>
      <c r="AV66" s="51"/>
      <c r="AW66" s="51"/>
      <c r="AX66" s="2"/>
      <c r="AY66" s="51"/>
      <c r="AZ66" s="51"/>
      <c r="BA66" s="51"/>
      <c r="BB66" s="2"/>
      <c r="BC66" s="51"/>
      <c r="BD66" s="51"/>
      <c r="BE66" s="51"/>
      <c r="BF66" s="2"/>
      <c r="BG66" s="51"/>
      <c r="BH66" s="51"/>
      <c r="BI66" s="51"/>
      <c r="BJ66" s="2"/>
      <c r="BK66" s="51"/>
      <c r="BL66" s="51"/>
      <c r="BM66" s="51"/>
      <c r="BN66" s="2"/>
      <c r="BO66" s="51"/>
      <c r="BP66" s="51"/>
      <c r="BQ66" s="51"/>
      <c r="BR66" s="2"/>
      <c r="BS66" s="51"/>
      <c r="BT66" s="51"/>
      <c r="BU66" s="51"/>
      <c r="BV66" s="2"/>
      <c r="BW66" s="51"/>
    </row>
    <row r="67" spans="1:75" x14ac:dyDescent="0.2">
      <c r="A67" s="51"/>
      <c r="B67" s="51"/>
      <c r="C67" s="51"/>
      <c r="D67" s="51"/>
      <c r="E67" s="51"/>
      <c r="F67" s="2"/>
      <c r="G67" s="51"/>
      <c r="H67" s="51"/>
      <c r="I67" s="51"/>
      <c r="J67" s="2"/>
      <c r="K67" s="51"/>
      <c r="L67" s="51"/>
      <c r="M67" s="51"/>
      <c r="N67" s="2"/>
      <c r="O67" s="51"/>
      <c r="P67" s="51"/>
      <c r="Q67" s="51"/>
      <c r="R67" s="2"/>
      <c r="S67" s="51"/>
      <c r="T67" s="51"/>
      <c r="U67" s="51"/>
      <c r="V67" s="2"/>
      <c r="W67" s="51"/>
      <c r="X67" s="51"/>
      <c r="Y67" s="51"/>
      <c r="Z67" s="2"/>
      <c r="AA67" s="51"/>
      <c r="AB67" s="51"/>
      <c r="AC67" s="51"/>
      <c r="AD67" s="2"/>
      <c r="AE67" s="51"/>
      <c r="AF67" s="51"/>
      <c r="AG67" s="51"/>
      <c r="AH67" s="2"/>
      <c r="AI67" s="51"/>
      <c r="AJ67" s="51"/>
      <c r="AK67" s="51"/>
      <c r="AL67" s="2"/>
      <c r="AM67" s="51"/>
      <c r="AN67" s="51"/>
      <c r="AO67" s="51"/>
      <c r="AP67" s="2"/>
      <c r="AQ67" s="51"/>
      <c r="AR67" s="51"/>
      <c r="AS67" s="51"/>
      <c r="AT67" s="2"/>
      <c r="AU67" s="51"/>
      <c r="AV67" s="51"/>
      <c r="AW67" s="51"/>
      <c r="AX67" s="2"/>
      <c r="AY67" s="51"/>
      <c r="AZ67" s="51"/>
      <c r="BA67" s="51"/>
      <c r="BB67" s="2"/>
      <c r="BC67" s="51"/>
      <c r="BD67" s="51"/>
      <c r="BE67" s="51"/>
      <c r="BF67" s="2"/>
      <c r="BG67" s="51"/>
      <c r="BH67" s="51"/>
      <c r="BI67" s="51"/>
      <c r="BJ67" s="2"/>
      <c r="BK67" s="51"/>
      <c r="BL67" s="51"/>
      <c r="BM67" s="51"/>
      <c r="BN67" s="2"/>
      <c r="BO67" s="51"/>
      <c r="BP67" s="51"/>
      <c r="BQ67" s="51"/>
      <c r="BR67" s="2"/>
      <c r="BS67" s="51"/>
      <c r="BT67" s="51"/>
      <c r="BU67" s="51"/>
      <c r="BV67" s="2"/>
      <c r="BW67" s="51"/>
    </row>
    <row r="68" spans="1:75" x14ac:dyDescent="0.2">
      <c r="A68" s="51"/>
      <c r="B68" s="51"/>
      <c r="C68" s="51"/>
      <c r="D68" s="51"/>
      <c r="E68" s="51"/>
      <c r="F68" s="2"/>
      <c r="G68" s="51"/>
      <c r="H68" s="51"/>
      <c r="I68" s="51"/>
      <c r="J68" s="2"/>
      <c r="K68" s="51"/>
      <c r="L68" s="51"/>
      <c r="M68" s="51"/>
      <c r="N68" s="2"/>
      <c r="O68" s="51"/>
      <c r="P68" s="51"/>
      <c r="Q68" s="51"/>
      <c r="R68" s="2"/>
      <c r="S68" s="51"/>
      <c r="T68" s="51"/>
      <c r="U68" s="51"/>
      <c r="V68" s="2"/>
      <c r="W68" s="51"/>
      <c r="X68" s="51"/>
      <c r="Y68" s="51"/>
      <c r="Z68" s="2"/>
      <c r="AA68" s="51"/>
      <c r="AB68" s="51"/>
      <c r="AC68" s="51"/>
      <c r="AD68" s="2"/>
      <c r="AE68" s="51"/>
      <c r="AF68" s="51"/>
      <c r="AG68" s="51"/>
      <c r="AH68" s="2"/>
      <c r="AI68" s="51"/>
      <c r="AJ68" s="51"/>
      <c r="AK68" s="51"/>
      <c r="AL68" s="2"/>
      <c r="AM68" s="51"/>
      <c r="AN68" s="51"/>
      <c r="AO68" s="51"/>
      <c r="AP68" s="2"/>
      <c r="AQ68" s="51"/>
      <c r="AR68" s="51"/>
      <c r="AS68" s="51"/>
      <c r="AT68" s="2"/>
      <c r="AU68" s="51"/>
      <c r="AV68" s="51"/>
      <c r="AW68" s="51"/>
      <c r="AX68" s="2"/>
      <c r="AY68" s="51"/>
      <c r="AZ68" s="51"/>
      <c r="BA68" s="51"/>
      <c r="BB68" s="2"/>
      <c r="BC68" s="51"/>
      <c r="BD68" s="51"/>
      <c r="BE68" s="51"/>
      <c r="BF68" s="2"/>
      <c r="BG68" s="51"/>
      <c r="BH68" s="51"/>
      <c r="BI68" s="51"/>
      <c r="BJ68" s="2"/>
      <c r="BK68" s="51"/>
      <c r="BL68" s="51"/>
      <c r="BM68" s="51"/>
      <c r="BN68" s="2"/>
      <c r="BO68" s="51"/>
      <c r="BP68" s="51"/>
      <c r="BQ68" s="51"/>
      <c r="BR68" s="2"/>
      <c r="BS68" s="51"/>
      <c r="BT68" s="51"/>
      <c r="BU68" s="51"/>
      <c r="BV68" s="2"/>
      <c r="BW68" s="51"/>
    </row>
    <row r="69" spans="1:75" x14ac:dyDescent="0.2">
      <c r="A69" s="51"/>
      <c r="B69" s="51"/>
      <c r="C69" s="51"/>
      <c r="D69" s="51"/>
      <c r="E69" s="51"/>
      <c r="F69" s="2"/>
      <c r="G69" s="51"/>
      <c r="H69" s="51"/>
      <c r="I69" s="51"/>
      <c r="J69" s="2"/>
      <c r="K69" s="51"/>
      <c r="L69" s="51"/>
      <c r="M69" s="51"/>
      <c r="N69" s="2"/>
      <c r="O69" s="51"/>
      <c r="P69" s="51"/>
      <c r="Q69" s="51"/>
      <c r="R69" s="2"/>
      <c r="S69" s="51"/>
      <c r="T69" s="51"/>
      <c r="U69" s="51"/>
      <c r="V69" s="2"/>
      <c r="W69" s="51"/>
      <c r="X69" s="51"/>
      <c r="Y69" s="51"/>
      <c r="Z69" s="2"/>
      <c r="AA69" s="51"/>
      <c r="AB69" s="51"/>
      <c r="AC69" s="51"/>
      <c r="AD69" s="2"/>
      <c r="AE69" s="51"/>
      <c r="AF69" s="51"/>
      <c r="AG69" s="51"/>
      <c r="AH69" s="2"/>
      <c r="AI69" s="51"/>
      <c r="AJ69" s="51"/>
      <c r="AK69" s="51"/>
      <c r="AL69" s="2"/>
      <c r="AM69" s="51"/>
      <c r="AN69" s="51"/>
      <c r="AO69" s="51"/>
      <c r="AP69" s="2"/>
      <c r="AQ69" s="51"/>
      <c r="AR69" s="51"/>
      <c r="AS69" s="51"/>
      <c r="AT69" s="2"/>
      <c r="AU69" s="51"/>
      <c r="AV69" s="51"/>
      <c r="AW69" s="51"/>
      <c r="AX69" s="2"/>
      <c r="AY69" s="51"/>
      <c r="AZ69" s="51"/>
      <c r="BA69" s="51"/>
      <c r="BB69" s="2"/>
      <c r="BC69" s="51"/>
      <c r="BD69" s="51"/>
      <c r="BE69" s="51"/>
      <c r="BF69" s="2"/>
      <c r="BG69" s="51"/>
      <c r="BH69" s="51"/>
      <c r="BI69" s="51"/>
      <c r="BJ69" s="2"/>
      <c r="BK69" s="51"/>
      <c r="BL69" s="51"/>
      <c r="BM69" s="51"/>
      <c r="BN69" s="2"/>
      <c r="BO69" s="51"/>
      <c r="BP69" s="51"/>
      <c r="BQ69" s="51"/>
      <c r="BR69" s="2"/>
      <c r="BS69" s="51"/>
      <c r="BT69" s="51"/>
      <c r="BU69" s="51"/>
      <c r="BV69" s="2"/>
      <c r="BW69" s="51"/>
    </row>
    <row r="70" spans="1:75" x14ac:dyDescent="0.2">
      <c r="A70" s="51"/>
      <c r="B70" s="51"/>
      <c r="C70" s="51"/>
      <c r="D70" s="51"/>
      <c r="E70" s="51"/>
      <c r="F70" s="2"/>
      <c r="G70" s="51"/>
      <c r="H70" s="51"/>
      <c r="I70" s="51"/>
      <c r="J70" s="2"/>
      <c r="K70" s="51"/>
      <c r="L70" s="51"/>
      <c r="M70" s="51"/>
      <c r="N70" s="2"/>
      <c r="O70" s="51"/>
      <c r="P70" s="51"/>
      <c r="Q70" s="51"/>
      <c r="R70" s="2"/>
      <c r="S70" s="51"/>
      <c r="T70" s="51"/>
      <c r="U70" s="51"/>
      <c r="V70" s="2"/>
      <c r="W70" s="51"/>
      <c r="X70" s="51"/>
      <c r="Y70" s="51"/>
      <c r="Z70" s="2"/>
      <c r="AA70" s="51"/>
      <c r="AB70" s="51"/>
      <c r="AC70" s="51"/>
      <c r="AD70" s="2"/>
      <c r="AE70" s="51"/>
      <c r="AF70" s="51"/>
      <c r="AG70" s="51"/>
      <c r="AH70" s="2"/>
      <c r="AI70" s="51"/>
      <c r="AJ70" s="51"/>
      <c r="AK70" s="51"/>
      <c r="AL70" s="2"/>
      <c r="AM70" s="51"/>
      <c r="AN70" s="51"/>
      <c r="AO70" s="51"/>
      <c r="AP70" s="2"/>
      <c r="AQ70" s="51"/>
      <c r="AR70" s="51"/>
      <c r="AS70" s="51"/>
      <c r="AT70" s="2"/>
      <c r="AU70" s="51"/>
      <c r="AV70" s="51"/>
      <c r="AW70" s="51"/>
      <c r="AX70" s="2"/>
      <c r="AY70" s="51"/>
      <c r="AZ70" s="51"/>
      <c r="BA70" s="51"/>
      <c r="BB70" s="2"/>
      <c r="BC70" s="51"/>
      <c r="BD70" s="51"/>
      <c r="BE70" s="51"/>
      <c r="BF70" s="2"/>
      <c r="BG70" s="51"/>
      <c r="BH70" s="51"/>
      <c r="BI70" s="51"/>
      <c r="BJ70" s="2"/>
      <c r="BK70" s="51"/>
      <c r="BL70" s="51"/>
      <c r="BM70" s="51"/>
      <c r="BN70" s="2"/>
      <c r="BO70" s="51"/>
      <c r="BP70" s="51"/>
      <c r="BQ70" s="51"/>
      <c r="BR70" s="2"/>
      <c r="BS70" s="51"/>
      <c r="BT70" s="51"/>
      <c r="BU70" s="51"/>
      <c r="BV70" s="2"/>
      <c r="BW70" s="51"/>
    </row>
    <row r="71" spans="1:75" x14ac:dyDescent="0.2">
      <c r="A71" s="51"/>
      <c r="B71" s="51"/>
      <c r="C71" s="51"/>
      <c r="D71" s="51"/>
      <c r="E71" s="51"/>
      <c r="F71" s="2"/>
      <c r="G71" s="51"/>
      <c r="H71" s="51"/>
      <c r="I71" s="51"/>
      <c r="J71" s="2"/>
      <c r="K71" s="51"/>
      <c r="L71" s="51"/>
      <c r="M71" s="51"/>
      <c r="N71" s="2"/>
      <c r="O71" s="51"/>
      <c r="P71" s="51"/>
      <c r="Q71" s="51"/>
      <c r="R71" s="2"/>
      <c r="S71" s="51"/>
      <c r="T71" s="51"/>
      <c r="U71" s="51"/>
      <c r="V71" s="2"/>
      <c r="W71" s="51"/>
      <c r="X71" s="51"/>
      <c r="Y71" s="51"/>
      <c r="Z71" s="2"/>
      <c r="AA71" s="51"/>
      <c r="AB71" s="51"/>
      <c r="AC71" s="51"/>
      <c r="AD71" s="2"/>
      <c r="AE71" s="51"/>
      <c r="AF71" s="51"/>
      <c r="AG71" s="51"/>
      <c r="AH71" s="2"/>
      <c r="AI71" s="51"/>
      <c r="AJ71" s="51"/>
      <c r="AK71" s="51"/>
      <c r="AL71" s="2"/>
      <c r="AM71" s="51"/>
      <c r="AN71" s="51"/>
      <c r="AO71" s="51"/>
      <c r="AP71" s="2"/>
      <c r="AQ71" s="51"/>
      <c r="AR71" s="51"/>
      <c r="AS71" s="51"/>
      <c r="AT71" s="2"/>
      <c r="AU71" s="51"/>
      <c r="AV71" s="51"/>
      <c r="AW71" s="51"/>
      <c r="AX71" s="2"/>
      <c r="AY71" s="51"/>
      <c r="AZ71" s="51"/>
      <c r="BA71" s="51"/>
      <c r="BB71" s="2"/>
      <c r="BC71" s="51"/>
      <c r="BD71" s="51"/>
      <c r="BE71" s="51"/>
      <c r="BF71" s="2"/>
      <c r="BG71" s="51"/>
      <c r="BH71" s="51"/>
      <c r="BI71" s="51"/>
      <c r="BJ71" s="2"/>
      <c r="BK71" s="51"/>
      <c r="BL71" s="51"/>
      <c r="BM71" s="51"/>
      <c r="BN71" s="2"/>
      <c r="BO71" s="51"/>
      <c r="BP71" s="51"/>
      <c r="BQ71" s="51"/>
      <c r="BR71" s="2"/>
      <c r="BS71" s="51"/>
      <c r="BT71" s="51"/>
      <c r="BU71" s="51"/>
      <c r="BV71" s="2"/>
      <c r="BW71" s="51"/>
    </row>
    <row r="72" spans="1:75" x14ac:dyDescent="0.2">
      <c r="A72" s="51"/>
      <c r="B72" s="51"/>
      <c r="C72" s="51"/>
      <c r="D72" s="51"/>
      <c r="E72" s="51"/>
      <c r="F72" s="2"/>
      <c r="G72" s="51"/>
      <c r="H72" s="51"/>
      <c r="I72" s="51"/>
      <c r="J72" s="2"/>
      <c r="K72" s="51"/>
      <c r="L72" s="51"/>
      <c r="M72" s="51"/>
      <c r="N72" s="2"/>
      <c r="O72" s="51"/>
      <c r="P72" s="51"/>
      <c r="Q72" s="51"/>
      <c r="R72" s="2"/>
      <c r="S72" s="51"/>
      <c r="T72" s="51"/>
      <c r="U72" s="51"/>
      <c r="V72" s="2"/>
      <c r="W72" s="51"/>
      <c r="X72" s="51"/>
      <c r="Y72" s="51"/>
      <c r="Z72" s="2"/>
      <c r="AA72" s="51"/>
      <c r="AB72" s="51"/>
      <c r="AC72" s="51"/>
      <c r="AD72" s="2"/>
      <c r="AE72" s="51"/>
      <c r="AF72" s="51"/>
      <c r="AG72" s="51"/>
      <c r="AH72" s="2"/>
      <c r="AI72" s="51"/>
      <c r="AJ72" s="51"/>
      <c r="AK72" s="51"/>
      <c r="AL72" s="2"/>
      <c r="AM72" s="51"/>
      <c r="AN72" s="51"/>
      <c r="AO72" s="51"/>
      <c r="AP72" s="2"/>
      <c r="AQ72" s="51"/>
      <c r="AR72" s="51"/>
      <c r="AS72" s="51"/>
      <c r="AT72" s="2"/>
      <c r="AU72" s="51"/>
      <c r="AV72" s="51"/>
      <c r="AW72" s="51"/>
      <c r="AX72" s="2"/>
      <c r="AY72" s="51"/>
      <c r="AZ72" s="51"/>
      <c r="BA72" s="51"/>
      <c r="BB72" s="2"/>
      <c r="BC72" s="51"/>
      <c r="BD72" s="51"/>
      <c r="BE72" s="51"/>
      <c r="BF72" s="2"/>
      <c r="BG72" s="51"/>
      <c r="BH72" s="51"/>
      <c r="BI72" s="51"/>
      <c r="BJ72" s="2"/>
      <c r="BK72" s="51"/>
      <c r="BL72" s="51"/>
      <c r="BM72" s="51"/>
      <c r="BN72" s="2"/>
      <c r="BO72" s="51"/>
      <c r="BP72" s="51"/>
      <c r="BQ72" s="51"/>
      <c r="BR72" s="2"/>
      <c r="BS72" s="51"/>
      <c r="BT72" s="51"/>
      <c r="BU72" s="51"/>
      <c r="BV72" s="2"/>
      <c r="BW72" s="51"/>
    </row>
    <row r="73" spans="1:75" x14ac:dyDescent="0.2">
      <c r="A73" s="51"/>
      <c r="B73" s="51"/>
      <c r="C73" s="51"/>
      <c r="D73" s="51"/>
      <c r="E73" s="51"/>
      <c r="F73" s="2"/>
      <c r="G73" s="51"/>
      <c r="H73" s="51"/>
      <c r="I73" s="51"/>
      <c r="J73" s="2"/>
      <c r="K73" s="51"/>
      <c r="L73" s="51"/>
      <c r="M73" s="51"/>
      <c r="N73" s="2"/>
      <c r="O73" s="51"/>
      <c r="P73" s="51"/>
      <c r="Q73" s="51"/>
      <c r="R73" s="2"/>
      <c r="S73" s="51"/>
      <c r="T73" s="51"/>
      <c r="U73" s="51"/>
      <c r="V73" s="2"/>
      <c r="W73" s="51"/>
      <c r="X73" s="51"/>
      <c r="Y73" s="51"/>
      <c r="Z73" s="2"/>
      <c r="AA73" s="51"/>
      <c r="AB73" s="51"/>
      <c r="AC73" s="51"/>
      <c r="AD73" s="2"/>
      <c r="AE73" s="51"/>
      <c r="AF73" s="51"/>
      <c r="AG73" s="51"/>
      <c r="AH73" s="2"/>
      <c r="AI73" s="51"/>
      <c r="AJ73" s="51"/>
      <c r="AK73" s="51"/>
      <c r="AL73" s="2"/>
      <c r="AM73" s="51"/>
      <c r="AN73" s="51"/>
      <c r="AO73" s="51"/>
      <c r="AP73" s="2"/>
      <c r="AQ73" s="51"/>
      <c r="AR73" s="51"/>
      <c r="AS73" s="51"/>
      <c r="AT73" s="2"/>
      <c r="AU73" s="51"/>
      <c r="AV73" s="51"/>
      <c r="AW73" s="51"/>
      <c r="AX73" s="2"/>
      <c r="AY73" s="51"/>
      <c r="AZ73" s="51"/>
      <c r="BA73" s="51"/>
      <c r="BB73" s="2"/>
      <c r="BC73" s="51"/>
      <c r="BD73" s="51"/>
      <c r="BE73" s="51"/>
      <c r="BF73" s="2"/>
      <c r="BG73" s="51"/>
      <c r="BH73" s="51"/>
      <c r="BI73" s="51"/>
      <c r="BJ73" s="2"/>
      <c r="BK73" s="51"/>
      <c r="BL73" s="51"/>
      <c r="BM73" s="51"/>
      <c r="BN73" s="2"/>
      <c r="BO73" s="51"/>
      <c r="BP73" s="51"/>
      <c r="BQ73" s="51"/>
      <c r="BR73" s="2"/>
      <c r="BS73" s="51"/>
      <c r="BT73" s="51"/>
      <c r="BU73" s="51"/>
      <c r="BV73" s="2"/>
      <c r="BW73" s="51"/>
    </row>
    <row r="74" spans="1:75" x14ac:dyDescent="0.2">
      <c r="A74" s="51"/>
      <c r="B74" s="51"/>
      <c r="C74" s="51"/>
      <c r="D74" s="51"/>
      <c r="E74" s="51"/>
      <c r="F74" s="2"/>
      <c r="G74" s="51"/>
      <c r="H74" s="51"/>
      <c r="I74" s="51"/>
      <c r="J74" s="2"/>
      <c r="K74" s="51"/>
      <c r="L74" s="51"/>
      <c r="M74" s="51"/>
      <c r="N74" s="2"/>
      <c r="O74" s="51"/>
      <c r="P74" s="51"/>
      <c r="Q74" s="51"/>
      <c r="R74" s="2"/>
      <c r="S74" s="51"/>
      <c r="T74" s="51"/>
      <c r="U74" s="51"/>
      <c r="V74" s="2"/>
      <c r="W74" s="51"/>
      <c r="X74" s="51"/>
      <c r="Y74" s="51"/>
      <c r="Z74" s="2"/>
      <c r="AA74" s="51"/>
      <c r="AB74" s="51"/>
      <c r="AC74" s="51"/>
      <c r="AD74" s="2"/>
      <c r="AE74" s="51"/>
      <c r="AF74" s="51"/>
      <c r="AG74" s="51"/>
      <c r="AH74" s="2"/>
      <c r="AI74" s="51"/>
      <c r="AJ74" s="51"/>
      <c r="AK74" s="51"/>
      <c r="AL74" s="2"/>
      <c r="AM74" s="51"/>
      <c r="AN74" s="51"/>
      <c r="AO74" s="51"/>
      <c r="AP74" s="2"/>
      <c r="AQ74" s="51"/>
      <c r="AR74" s="51"/>
      <c r="AS74" s="51"/>
      <c r="AT74" s="2"/>
      <c r="AU74" s="51"/>
      <c r="AV74" s="51"/>
      <c r="AW74" s="51"/>
      <c r="AX74" s="2"/>
      <c r="AY74" s="51"/>
      <c r="AZ74" s="51"/>
      <c r="BA74" s="51"/>
      <c r="BB74" s="2"/>
      <c r="BC74" s="51"/>
      <c r="BD74" s="51"/>
      <c r="BE74" s="51"/>
      <c r="BF74" s="2"/>
      <c r="BG74" s="51"/>
      <c r="BH74" s="51"/>
      <c r="BI74" s="51"/>
      <c r="BJ74" s="2"/>
      <c r="BK74" s="51"/>
      <c r="BL74" s="51"/>
      <c r="BM74" s="51"/>
      <c r="BN74" s="2"/>
      <c r="BO74" s="51"/>
      <c r="BP74" s="51"/>
      <c r="BQ74" s="51"/>
      <c r="BR74" s="2"/>
      <c r="BS74" s="51"/>
      <c r="BT74" s="51"/>
      <c r="BU74" s="51"/>
      <c r="BV74" s="2"/>
      <c r="BW74" s="51"/>
    </row>
    <row r="75" spans="1:75" x14ac:dyDescent="0.2">
      <c r="A75" s="51"/>
      <c r="B75" s="51"/>
      <c r="C75" s="51"/>
      <c r="D75" s="51"/>
      <c r="E75" s="51"/>
      <c r="F75" s="2"/>
      <c r="G75" s="51"/>
      <c r="H75" s="51"/>
      <c r="I75" s="51"/>
      <c r="J75" s="2"/>
      <c r="K75" s="51"/>
      <c r="L75" s="51"/>
      <c r="M75" s="51"/>
      <c r="N75" s="2"/>
      <c r="O75" s="51"/>
      <c r="P75" s="51"/>
      <c r="Q75" s="51"/>
      <c r="R75" s="2"/>
      <c r="S75" s="51"/>
      <c r="T75" s="51"/>
      <c r="U75" s="51"/>
      <c r="V75" s="2"/>
      <c r="W75" s="51"/>
      <c r="X75" s="51"/>
      <c r="Y75" s="51"/>
      <c r="Z75" s="2"/>
      <c r="AA75" s="51"/>
      <c r="AB75" s="51"/>
      <c r="AC75" s="51"/>
      <c r="AD75" s="2"/>
      <c r="AE75" s="51"/>
      <c r="AF75" s="51"/>
      <c r="AG75" s="51"/>
      <c r="AH75" s="2"/>
      <c r="AI75" s="51"/>
      <c r="AJ75" s="51"/>
      <c r="AK75" s="51"/>
      <c r="AL75" s="2"/>
      <c r="AM75" s="51"/>
      <c r="AN75" s="51"/>
      <c r="AO75" s="51"/>
      <c r="AP75" s="2"/>
      <c r="AQ75" s="51"/>
      <c r="AR75" s="51"/>
      <c r="AS75" s="51"/>
      <c r="AT75" s="2"/>
      <c r="AU75" s="51"/>
      <c r="AV75" s="51"/>
      <c r="AW75" s="51"/>
      <c r="AX75" s="2"/>
      <c r="AY75" s="51"/>
      <c r="AZ75" s="51"/>
      <c r="BA75" s="51"/>
      <c r="BB75" s="2"/>
      <c r="BC75" s="51"/>
      <c r="BD75" s="51"/>
      <c r="BE75" s="51"/>
      <c r="BF75" s="2"/>
      <c r="BG75" s="51"/>
      <c r="BH75" s="51"/>
      <c r="BI75" s="51"/>
      <c r="BJ75" s="2"/>
      <c r="BK75" s="51"/>
      <c r="BL75" s="51"/>
      <c r="BM75" s="51"/>
      <c r="BN75" s="2"/>
      <c r="BO75" s="51"/>
      <c r="BP75" s="51"/>
      <c r="BQ75" s="51"/>
      <c r="BR75" s="2"/>
      <c r="BS75" s="51"/>
      <c r="BT75" s="51"/>
      <c r="BU75" s="51"/>
      <c r="BV75" s="2"/>
      <c r="BW75" s="51"/>
    </row>
    <row r="76" spans="1:75" x14ac:dyDescent="0.2">
      <c r="A76" s="51"/>
      <c r="B76" s="51"/>
      <c r="C76" s="51"/>
      <c r="D76" s="51"/>
      <c r="E76" s="51"/>
      <c r="F76" s="2"/>
      <c r="G76" s="51"/>
      <c r="H76" s="51"/>
      <c r="I76" s="51"/>
      <c r="J76" s="2"/>
      <c r="K76" s="51"/>
      <c r="L76" s="51"/>
      <c r="M76" s="51"/>
      <c r="N76" s="2"/>
      <c r="O76" s="51"/>
      <c r="P76" s="51"/>
      <c r="Q76" s="51"/>
      <c r="R76" s="2"/>
      <c r="S76" s="51"/>
      <c r="T76" s="51"/>
      <c r="U76" s="51"/>
      <c r="V76" s="2"/>
      <c r="W76" s="51"/>
      <c r="X76" s="51"/>
      <c r="Y76" s="51"/>
      <c r="Z76" s="2"/>
      <c r="AA76" s="51"/>
      <c r="AB76" s="51"/>
      <c r="AC76" s="51"/>
      <c r="AD76" s="2"/>
      <c r="AE76" s="51"/>
      <c r="AF76" s="51"/>
      <c r="AG76" s="51"/>
      <c r="AH76" s="2"/>
      <c r="AI76" s="51"/>
      <c r="AJ76" s="51"/>
      <c r="AK76" s="51"/>
      <c r="AL76" s="2"/>
      <c r="AM76" s="51"/>
      <c r="AN76" s="51"/>
      <c r="AO76" s="51"/>
      <c r="AP76" s="2"/>
      <c r="AQ76" s="51"/>
      <c r="AR76" s="51"/>
      <c r="AS76" s="51"/>
      <c r="AT76" s="2"/>
      <c r="AU76" s="51"/>
      <c r="AV76" s="51"/>
      <c r="AW76" s="51"/>
      <c r="AX76" s="2"/>
      <c r="AY76" s="51"/>
      <c r="AZ76" s="51"/>
      <c r="BA76" s="51"/>
      <c r="BB76" s="2"/>
      <c r="BC76" s="51"/>
      <c r="BD76" s="51"/>
      <c r="BE76" s="51"/>
      <c r="BF76" s="2"/>
      <c r="BG76" s="51"/>
      <c r="BH76" s="51"/>
      <c r="BI76" s="51"/>
      <c r="BJ76" s="2"/>
      <c r="BK76" s="51"/>
      <c r="BL76" s="51"/>
      <c r="BM76" s="51"/>
      <c r="BN76" s="2"/>
      <c r="BO76" s="51"/>
      <c r="BP76" s="51"/>
      <c r="BQ76" s="51"/>
      <c r="BR76" s="2"/>
      <c r="BS76" s="51"/>
      <c r="BT76" s="51"/>
      <c r="BU76" s="51"/>
      <c r="BV76" s="2"/>
      <c r="BW76" s="51"/>
    </row>
    <row r="77" spans="1:75" x14ac:dyDescent="0.2">
      <c r="A77" s="51"/>
      <c r="B77" s="51"/>
      <c r="C77" s="51"/>
      <c r="D77" s="51"/>
      <c r="E77" s="51"/>
      <c r="F77" s="2"/>
      <c r="G77" s="51"/>
      <c r="H77" s="51"/>
      <c r="I77" s="51"/>
      <c r="J77" s="2"/>
      <c r="K77" s="51"/>
      <c r="L77" s="51"/>
      <c r="M77" s="51"/>
      <c r="N77" s="2"/>
      <c r="O77" s="51"/>
      <c r="P77" s="51"/>
      <c r="Q77" s="51"/>
      <c r="R77" s="2"/>
      <c r="S77" s="51"/>
      <c r="T77" s="51"/>
      <c r="U77" s="51"/>
      <c r="V77" s="2"/>
      <c r="W77" s="51"/>
      <c r="X77" s="51"/>
      <c r="Y77" s="51"/>
      <c r="Z77" s="2"/>
      <c r="AA77" s="51"/>
      <c r="AB77" s="51"/>
      <c r="AC77" s="51"/>
      <c r="AD77" s="2"/>
      <c r="AE77" s="51"/>
      <c r="AF77" s="51"/>
      <c r="AG77" s="51"/>
      <c r="AH77" s="2"/>
      <c r="AI77" s="51"/>
      <c r="AJ77" s="51"/>
      <c r="AK77" s="51"/>
      <c r="AL77" s="2"/>
      <c r="AM77" s="51"/>
      <c r="AN77" s="51"/>
      <c r="AO77" s="51"/>
      <c r="AP77" s="2"/>
      <c r="AQ77" s="51"/>
      <c r="AR77" s="51"/>
      <c r="AS77" s="51"/>
      <c r="AT77" s="2"/>
      <c r="AU77" s="51"/>
      <c r="AV77" s="51"/>
      <c r="AW77" s="51"/>
      <c r="AX77" s="2"/>
      <c r="AY77" s="51"/>
      <c r="AZ77" s="51"/>
      <c r="BA77" s="51"/>
      <c r="BB77" s="2"/>
      <c r="BC77" s="51"/>
      <c r="BD77" s="51"/>
      <c r="BE77" s="51"/>
      <c r="BF77" s="2"/>
      <c r="BG77" s="51"/>
      <c r="BH77" s="51"/>
      <c r="BI77" s="51"/>
      <c r="BJ77" s="2"/>
      <c r="BK77" s="51"/>
      <c r="BL77" s="51"/>
      <c r="BM77" s="51"/>
      <c r="BN77" s="2"/>
      <c r="BO77" s="51"/>
      <c r="BP77" s="51"/>
      <c r="BQ77" s="51"/>
      <c r="BR77" s="2"/>
      <c r="BS77" s="51"/>
      <c r="BT77" s="51"/>
      <c r="BU77" s="51"/>
      <c r="BV77" s="2"/>
      <c r="BW77" s="51"/>
    </row>
    <row r="78" spans="1:75" x14ac:dyDescent="0.2">
      <c r="A78" s="51"/>
      <c r="B78" s="51"/>
      <c r="C78" s="51"/>
      <c r="D78" s="51"/>
      <c r="E78" s="51"/>
      <c r="F78" s="2"/>
      <c r="G78" s="51"/>
      <c r="H78" s="51"/>
      <c r="I78" s="51"/>
      <c r="J78" s="2"/>
      <c r="K78" s="51"/>
      <c r="L78" s="51"/>
      <c r="M78" s="51"/>
      <c r="N78" s="2"/>
      <c r="O78" s="51"/>
      <c r="P78" s="51"/>
      <c r="Q78" s="51"/>
      <c r="R78" s="2"/>
      <c r="S78" s="51"/>
      <c r="T78" s="51"/>
      <c r="U78" s="51"/>
      <c r="V78" s="2"/>
      <c r="W78" s="51"/>
      <c r="X78" s="51"/>
      <c r="Y78" s="51"/>
      <c r="Z78" s="2"/>
      <c r="AA78" s="51"/>
      <c r="AB78" s="51"/>
      <c r="AC78" s="51"/>
      <c r="AD78" s="2"/>
      <c r="AE78" s="51"/>
      <c r="AF78" s="51"/>
      <c r="AG78" s="51"/>
      <c r="AH78" s="2"/>
      <c r="AI78" s="51"/>
      <c r="AJ78" s="51"/>
      <c r="AK78" s="51"/>
      <c r="AL78" s="2"/>
      <c r="AM78" s="51"/>
      <c r="AN78" s="51"/>
      <c r="AO78" s="51"/>
      <c r="AP78" s="2"/>
      <c r="AQ78" s="51"/>
      <c r="AR78" s="51"/>
      <c r="AS78" s="51"/>
      <c r="AT78" s="2"/>
      <c r="AU78" s="51"/>
      <c r="AV78" s="51"/>
      <c r="AW78" s="51"/>
      <c r="AX78" s="2"/>
      <c r="AY78" s="51"/>
      <c r="AZ78" s="51"/>
      <c r="BA78" s="51"/>
      <c r="BB78" s="2"/>
      <c r="BC78" s="51"/>
      <c r="BD78" s="51"/>
      <c r="BE78" s="51"/>
      <c r="BF78" s="2"/>
      <c r="BG78" s="51"/>
      <c r="BH78" s="51"/>
      <c r="BI78" s="51"/>
      <c r="BJ78" s="2"/>
      <c r="BK78" s="51"/>
      <c r="BL78" s="51"/>
      <c r="BM78" s="51"/>
      <c r="BN78" s="2"/>
      <c r="BO78" s="51"/>
      <c r="BP78" s="51"/>
      <c r="BQ78" s="51"/>
      <c r="BR78" s="2"/>
      <c r="BS78" s="51"/>
      <c r="BT78" s="51"/>
      <c r="BU78" s="51"/>
      <c r="BV78" s="2"/>
      <c r="BW78" s="51"/>
    </row>
    <row r="79" spans="1:75" x14ac:dyDescent="0.2">
      <c r="A79" s="51"/>
      <c r="B79" s="51"/>
      <c r="C79" s="51"/>
      <c r="D79" s="51"/>
      <c r="E79" s="51"/>
      <c r="F79" s="2"/>
      <c r="G79" s="51"/>
      <c r="H79" s="51"/>
      <c r="I79" s="51"/>
      <c r="J79" s="2"/>
      <c r="K79" s="51"/>
      <c r="L79" s="51"/>
      <c r="M79" s="51"/>
      <c r="N79" s="2"/>
      <c r="O79" s="51"/>
      <c r="P79" s="51"/>
      <c r="Q79" s="51"/>
      <c r="R79" s="2"/>
      <c r="S79" s="51"/>
      <c r="T79" s="51"/>
      <c r="U79" s="51"/>
      <c r="V79" s="2"/>
      <c r="W79" s="51"/>
      <c r="X79" s="51"/>
      <c r="Y79" s="51"/>
      <c r="Z79" s="2"/>
      <c r="AA79" s="51"/>
      <c r="AB79" s="51"/>
      <c r="AC79" s="51"/>
      <c r="AD79" s="2"/>
      <c r="AE79" s="51"/>
      <c r="AF79" s="51"/>
      <c r="AG79" s="51"/>
      <c r="AH79" s="2"/>
      <c r="AI79" s="51"/>
      <c r="AJ79" s="51"/>
      <c r="AK79" s="51"/>
      <c r="AL79" s="2"/>
      <c r="AM79" s="51"/>
      <c r="AN79" s="51"/>
      <c r="AO79" s="51"/>
      <c r="AP79" s="2"/>
      <c r="AQ79" s="51"/>
      <c r="AR79" s="51"/>
      <c r="AS79" s="51"/>
      <c r="AT79" s="2"/>
      <c r="AU79" s="51"/>
      <c r="AV79" s="51"/>
      <c r="AW79" s="51"/>
      <c r="AX79" s="2"/>
      <c r="AY79" s="51"/>
      <c r="AZ79" s="51"/>
      <c r="BA79" s="51"/>
      <c r="BB79" s="2"/>
      <c r="BC79" s="51"/>
      <c r="BD79" s="51"/>
      <c r="BE79" s="51"/>
      <c r="BF79" s="2"/>
      <c r="BG79" s="51"/>
      <c r="BH79" s="51"/>
      <c r="BI79" s="51"/>
      <c r="BJ79" s="2"/>
      <c r="BK79" s="51"/>
      <c r="BL79" s="51"/>
      <c r="BM79" s="51"/>
      <c r="BN79" s="2"/>
      <c r="BO79" s="51"/>
      <c r="BP79" s="51"/>
      <c r="BQ79" s="51"/>
      <c r="BR79" s="2"/>
      <c r="BS79" s="51"/>
      <c r="BT79" s="51"/>
      <c r="BU79" s="51"/>
      <c r="BV79" s="2"/>
      <c r="BW79" s="51"/>
    </row>
    <row r="80" spans="1:75" x14ac:dyDescent="0.2">
      <c r="A80" s="51"/>
      <c r="B80" s="51"/>
      <c r="C80" s="51"/>
      <c r="D80" s="51"/>
      <c r="E80" s="51"/>
      <c r="F80" s="2"/>
      <c r="G80" s="51"/>
      <c r="H80" s="51"/>
      <c r="I80" s="51"/>
      <c r="J80" s="2"/>
      <c r="K80" s="51"/>
      <c r="L80" s="51"/>
      <c r="M80" s="51"/>
      <c r="N80" s="2"/>
      <c r="O80" s="51"/>
      <c r="P80" s="51"/>
      <c r="Q80" s="51"/>
      <c r="R80" s="2"/>
      <c r="S80" s="51"/>
      <c r="T80" s="51"/>
      <c r="U80" s="51"/>
      <c r="V80" s="2"/>
      <c r="W80" s="51"/>
      <c r="X80" s="51"/>
      <c r="Y80" s="51"/>
      <c r="Z80" s="2"/>
      <c r="AA80" s="51"/>
      <c r="AB80" s="51"/>
      <c r="AC80" s="51"/>
      <c r="AD80" s="2"/>
      <c r="AE80" s="51"/>
      <c r="AF80" s="51"/>
      <c r="AG80" s="51"/>
      <c r="AH80" s="2"/>
      <c r="AI80" s="51"/>
      <c r="AJ80" s="51"/>
      <c r="AK80" s="51"/>
      <c r="AL80" s="2"/>
      <c r="AM80" s="51"/>
      <c r="AN80" s="51"/>
      <c r="AO80" s="51"/>
      <c r="AP80" s="2"/>
      <c r="AQ80" s="51"/>
      <c r="AR80" s="51"/>
      <c r="AS80" s="51"/>
      <c r="AT80" s="2"/>
      <c r="AU80" s="51"/>
      <c r="AV80" s="51"/>
      <c r="AW80" s="51"/>
      <c r="AX80" s="2"/>
      <c r="AY80" s="51"/>
      <c r="AZ80" s="51"/>
      <c r="BA80" s="51"/>
      <c r="BB80" s="2"/>
      <c r="BC80" s="51"/>
      <c r="BD80" s="51"/>
      <c r="BE80" s="51"/>
      <c r="BF80" s="2"/>
      <c r="BG80" s="51"/>
      <c r="BH80" s="51"/>
      <c r="BI80" s="51"/>
      <c r="BJ80" s="2"/>
      <c r="BK80" s="51"/>
      <c r="BL80" s="51"/>
      <c r="BM80" s="51"/>
      <c r="BN80" s="2"/>
      <c r="BO80" s="51"/>
      <c r="BP80" s="51"/>
      <c r="BQ80" s="51"/>
      <c r="BR80" s="2"/>
      <c r="BS80" s="51"/>
      <c r="BT80" s="51"/>
      <c r="BU80" s="51"/>
      <c r="BV80" s="2"/>
      <c r="BW80" s="51"/>
    </row>
    <row r="81" spans="1:75" x14ac:dyDescent="0.2">
      <c r="A81" s="51"/>
      <c r="B81" s="51"/>
      <c r="C81" s="51"/>
      <c r="D81" s="51"/>
      <c r="E81" s="51"/>
      <c r="F81" s="2"/>
      <c r="G81" s="51"/>
      <c r="H81" s="51"/>
      <c r="I81" s="51"/>
      <c r="J81" s="2"/>
      <c r="K81" s="51"/>
      <c r="L81" s="51"/>
      <c r="M81" s="51"/>
      <c r="N81" s="2"/>
      <c r="O81" s="51"/>
      <c r="P81" s="51"/>
      <c r="Q81" s="51"/>
      <c r="R81" s="2"/>
      <c r="S81" s="51"/>
      <c r="T81" s="51"/>
      <c r="U81" s="51"/>
      <c r="V81" s="2"/>
      <c r="W81" s="51"/>
      <c r="X81" s="51"/>
      <c r="Y81" s="51"/>
      <c r="Z81" s="2"/>
      <c r="AA81" s="51"/>
      <c r="AB81" s="51"/>
      <c r="AC81" s="51"/>
      <c r="AD81" s="2"/>
      <c r="AE81" s="51"/>
      <c r="AF81" s="51"/>
      <c r="AG81" s="51"/>
      <c r="AH81" s="2"/>
      <c r="AI81" s="51"/>
      <c r="AJ81" s="51"/>
      <c r="AK81" s="51"/>
      <c r="AL81" s="2"/>
      <c r="AM81" s="51"/>
      <c r="AN81" s="51"/>
      <c r="AO81" s="51"/>
      <c r="AP81" s="2"/>
      <c r="AQ81" s="51"/>
      <c r="AR81" s="51"/>
      <c r="AS81" s="51"/>
      <c r="AT81" s="2"/>
      <c r="AU81" s="51"/>
      <c r="AV81" s="51"/>
      <c r="AW81" s="51"/>
      <c r="AX81" s="2"/>
      <c r="AY81" s="51"/>
      <c r="AZ81" s="51"/>
      <c r="BA81" s="51"/>
      <c r="BB81" s="2"/>
      <c r="BC81" s="51"/>
      <c r="BD81" s="51"/>
      <c r="BE81" s="51"/>
      <c r="BF81" s="2"/>
      <c r="BG81" s="51"/>
      <c r="BH81" s="51"/>
      <c r="BI81" s="51"/>
      <c r="BJ81" s="2"/>
      <c r="BK81" s="51"/>
      <c r="BL81" s="51"/>
      <c r="BM81" s="51"/>
      <c r="BN81" s="2"/>
      <c r="BO81" s="51"/>
      <c r="BP81" s="51"/>
      <c r="BQ81" s="51"/>
      <c r="BR81" s="2"/>
      <c r="BS81" s="51"/>
      <c r="BT81" s="51"/>
      <c r="BU81" s="51"/>
      <c r="BV81" s="2"/>
      <c r="BW81" s="51"/>
    </row>
    <row r="82" spans="1:75" x14ac:dyDescent="0.2">
      <c r="A82" s="51"/>
      <c r="B82" s="51"/>
      <c r="C82" s="51"/>
      <c r="D82" s="51"/>
      <c r="E82" s="51"/>
      <c r="F82" s="2"/>
      <c r="G82" s="51"/>
      <c r="H82" s="51"/>
      <c r="I82" s="51"/>
      <c r="J82" s="2"/>
      <c r="K82" s="51"/>
      <c r="L82" s="51"/>
      <c r="M82" s="51"/>
      <c r="N82" s="2"/>
      <c r="O82" s="51"/>
      <c r="P82" s="51"/>
      <c r="Q82" s="51"/>
      <c r="R82" s="2"/>
      <c r="S82" s="51"/>
      <c r="T82" s="51"/>
      <c r="U82" s="51"/>
      <c r="V82" s="2"/>
      <c r="W82" s="51"/>
      <c r="X82" s="51"/>
      <c r="Y82" s="51"/>
      <c r="Z82" s="2"/>
      <c r="AA82" s="51"/>
      <c r="AB82" s="51"/>
      <c r="AC82" s="51"/>
      <c r="AD82" s="2"/>
      <c r="AE82" s="51"/>
      <c r="AF82" s="51"/>
      <c r="AG82" s="51"/>
      <c r="AH82" s="2"/>
      <c r="AI82" s="51"/>
      <c r="AJ82" s="51"/>
      <c r="AK82" s="51"/>
      <c r="AL82" s="2"/>
      <c r="AM82" s="51"/>
      <c r="AN82" s="51"/>
      <c r="AO82" s="51"/>
      <c r="AP82" s="2"/>
      <c r="AQ82" s="51"/>
      <c r="AR82" s="51"/>
      <c r="AS82" s="51"/>
      <c r="AT82" s="2"/>
      <c r="AU82" s="51"/>
      <c r="AV82" s="51"/>
      <c r="AW82" s="51"/>
      <c r="AX82" s="2"/>
      <c r="AY82" s="51"/>
      <c r="AZ82" s="51"/>
      <c r="BA82" s="51"/>
      <c r="BB82" s="2"/>
      <c r="BC82" s="51"/>
      <c r="BD82" s="51"/>
      <c r="BE82" s="51"/>
      <c r="BF82" s="2"/>
      <c r="BG82" s="51"/>
      <c r="BH82" s="51"/>
      <c r="BI82" s="51"/>
      <c r="BJ82" s="2"/>
      <c r="BK82" s="51"/>
      <c r="BL82" s="51"/>
      <c r="BM82" s="51"/>
      <c r="BN82" s="2"/>
      <c r="BO82" s="51"/>
      <c r="BP82" s="51"/>
      <c r="BQ82" s="51"/>
      <c r="BR82" s="2"/>
      <c r="BS82" s="51"/>
      <c r="BT82" s="51"/>
      <c r="BU82" s="51"/>
      <c r="BV82" s="2"/>
      <c r="BW82" s="51"/>
    </row>
    <row r="83" spans="1:75" x14ac:dyDescent="0.2">
      <c r="A83" s="51"/>
      <c r="B83" s="51"/>
      <c r="C83" s="51"/>
      <c r="D83" s="51"/>
      <c r="E83" s="51"/>
      <c r="F83" s="2"/>
      <c r="G83" s="51"/>
      <c r="H83" s="51"/>
      <c r="I83" s="51"/>
      <c r="J83" s="2"/>
      <c r="K83" s="51"/>
      <c r="L83" s="51"/>
      <c r="M83" s="51"/>
      <c r="N83" s="2"/>
      <c r="O83" s="51"/>
      <c r="P83" s="51"/>
      <c r="Q83" s="51"/>
      <c r="R83" s="2"/>
      <c r="S83" s="51"/>
      <c r="T83" s="51"/>
      <c r="U83" s="51"/>
      <c r="V83" s="2"/>
      <c r="W83" s="51"/>
      <c r="X83" s="51"/>
      <c r="Y83" s="51"/>
      <c r="Z83" s="2"/>
      <c r="AA83" s="51"/>
      <c r="AB83" s="51"/>
      <c r="AC83" s="51"/>
      <c r="AD83" s="2"/>
      <c r="AE83" s="51"/>
      <c r="AF83" s="51"/>
      <c r="AG83" s="51"/>
      <c r="AH83" s="2"/>
      <c r="AI83" s="51"/>
      <c r="AJ83" s="51"/>
      <c r="AK83" s="51"/>
      <c r="AL83" s="2"/>
      <c r="AM83" s="51"/>
      <c r="AN83" s="51"/>
      <c r="AO83" s="51"/>
      <c r="AP83" s="2"/>
      <c r="AQ83" s="51"/>
      <c r="AR83" s="51"/>
      <c r="AS83" s="51"/>
      <c r="AT83" s="2"/>
      <c r="AU83" s="51"/>
      <c r="AV83" s="51"/>
      <c r="AW83" s="51"/>
      <c r="AX83" s="2"/>
      <c r="AY83" s="51"/>
      <c r="AZ83" s="51"/>
      <c r="BA83" s="51"/>
      <c r="BB83" s="2"/>
      <c r="BC83" s="51"/>
      <c r="BD83" s="51"/>
      <c r="BE83" s="51"/>
      <c r="BF83" s="2"/>
      <c r="BG83" s="51"/>
      <c r="BH83" s="51"/>
      <c r="BI83" s="51"/>
      <c r="BJ83" s="2"/>
      <c r="BK83" s="51"/>
      <c r="BL83" s="51"/>
      <c r="BM83" s="51"/>
      <c r="BN83" s="2"/>
      <c r="BO83" s="51"/>
      <c r="BP83" s="51"/>
      <c r="BQ83" s="51"/>
      <c r="BR83" s="2"/>
      <c r="BS83" s="51"/>
      <c r="BT83" s="51"/>
      <c r="BU83" s="51"/>
      <c r="BV83" s="2"/>
      <c r="BW83" s="51"/>
    </row>
    <row r="84" spans="1:75" x14ac:dyDescent="0.2">
      <c r="A84" s="51"/>
      <c r="B84" s="51"/>
      <c r="C84" s="51"/>
      <c r="D84" s="51"/>
      <c r="E84" s="51"/>
      <c r="F84" s="2"/>
      <c r="G84" s="51"/>
      <c r="H84" s="51"/>
      <c r="I84" s="51"/>
      <c r="J84" s="2"/>
      <c r="K84" s="51"/>
      <c r="L84" s="51"/>
      <c r="M84" s="51"/>
      <c r="N84" s="2"/>
      <c r="O84" s="51"/>
      <c r="P84" s="51"/>
      <c r="Q84" s="51"/>
      <c r="R84" s="2"/>
      <c r="S84" s="51"/>
      <c r="T84" s="51"/>
      <c r="U84" s="51"/>
      <c r="V84" s="2"/>
      <c r="W84" s="51"/>
      <c r="X84" s="51"/>
      <c r="Y84" s="51"/>
      <c r="Z84" s="2"/>
      <c r="AA84" s="51"/>
      <c r="AB84" s="51"/>
      <c r="AC84" s="51"/>
      <c r="AD84" s="2"/>
      <c r="AE84" s="51"/>
      <c r="AF84" s="51"/>
      <c r="AG84" s="51"/>
      <c r="AH84" s="2"/>
      <c r="AI84" s="51"/>
      <c r="AJ84" s="51"/>
      <c r="AK84" s="51"/>
      <c r="AL84" s="2"/>
      <c r="AM84" s="51"/>
      <c r="AN84" s="51"/>
      <c r="AO84" s="51"/>
      <c r="AP84" s="2"/>
      <c r="AQ84" s="51"/>
      <c r="AR84" s="51"/>
      <c r="AS84" s="51"/>
      <c r="AT84" s="2"/>
      <c r="AU84" s="51"/>
      <c r="AV84" s="51"/>
      <c r="AW84" s="51"/>
      <c r="AX84" s="2"/>
      <c r="AY84" s="51"/>
      <c r="AZ84" s="51"/>
      <c r="BA84" s="51"/>
      <c r="BB84" s="2"/>
      <c r="BC84" s="51"/>
      <c r="BD84" s="51"/>
      <c r="BE84" s="51"/>
      <c r="BF84" s="2"/>
      <c r="BG84" s="51"/>
      <c r="BH84" s="51"/>
      <c r="BI84" s="51"/>
      <c r="BJ84" s="2"/>
      <c r="BK84" s="51"/>
      <c r="BL84" s="51"/>
      <c r="BM84" s="51"/>
      <c r="BN84" s="2"/>
      <c r="BO84" s="51"/>
      <c r="BP84" s="51"/>
      <c r="BQ84" s="51"/>
      <c r="BR84" s="2"/>
      <c r="BS84" s="51"/>
      <c r="BT84" s="51"/>
      <c r="BU84" s="51"/>
      <c r="BV84" s="2"/>
      <c r="BW84" s="51"/>
    </row>
    <row r="85" spans="1:75" x14ac:dyDescent="0.2">
      <c r="A85" s="51"/>
      <c r="B85" s="51"/>
      <c r="C85" s="51"/>
      <c r="D85" s="51"/>
      <c r="E85" s="51"/>
      <c r="F85" s="2"/>
      <c r="G85" s="51"/>
      <c r="H85" s="51"/>
      <c r="I85" s="51"/>
      <c r="J85" s="2"/>
      <c r="K85" s="51"/>
      <c r="L85" s="51"/>
      <c r="M85" s="51"/>
      <c r="N85" s="2"/>
      <c r="O85" s="51"/>
      <c r="P85" s="51"/>
      <c r="Q85" s="51"/>
      <c r="R85" s="2"/>
      <c r="S85" s="51"/>
      <c r="T85" s="51"/>
      <c r="U85" s="51"/>
      <c r="V85" s="2"/>
      <c r="W85" s="51"/>
      <c r="X85" s="51"/>
      <c r="Y85" s="51"/>
      <c r="Z85" s="2"/>
      <c r="AA85" s="51"/>
      <c r="AB85" s="51"/>
      <c r="AC85" s="51"/>
      <c r="AD85" s="2"/>
      <c r="AE85" s="51"/>
      <c r="AF85" s="51"/>
      <c r="AG85" s="51"/>
      <c r="AH85" s="2"/>
      <c r="AI85" s="51"/>
      <c r="AJ85" s="51"/>
      <c r="AK85" s="51"/>
      <c r="AL85" s="2"/>
      <c r="AM85" s="51"/>
      <c r="AN85" s="51"/>
      <c r="AO85" s="51"/>
      <c r="AP85" s="2"/>
      <c r="AQ85" s="51"/>
      <c r="AR85" s="51"/>
      <c r="AS85" s="51"/>
      <c r="AT85" s="2"/>
      <c r="AU85" s="51"/>
      <c r="AV85" s="51"/>
      <c r="AW85" s="51"/>
      <c r="AX85" s="2"/>
      <c r="AY85" s="51"/>
      <c r="AZ85" s="51"/>
      <c r="BA85" s="51"/>
      <c r="BB85" s="2"/>
      <c r="BC85" s="51"/>
      <c r="BD85" s="51"/>
      <c r="BE85" s="51"/>
      <c r="BF85" s="2"/>
      <c r="BG85" s="51"/>
      <c r="BH85" s="51"/>
      <c r="BI85" s="51"/>
      <c r="BJ85" s="2"/>
      <c r="BK85" s="51"/>
      <c r="BL85" s="51"/>
      <c r="BM85" s="51"/>
      <c r="BN85" s="2"/>
      <c r="BO85" s="51"/>
      <c r="BP85" s="51"/>
      <c r="BQ85" s="51"/>
      <c r="BR85" s="2"/>
      <c r="BS85" s="51"/>
      <c r="BT85" s="51"/>
      <c r="BU85" s="51"/>
      <c r="BV85" s="2"/>
      <c r="BW85" s="51"/>
    </row>
    <row r="86" spans="1:75" x14ac:dyDescent="0.2">
      <c r="A86" s="51"/>
      <c r="B86" s="51"/>
      <c r="C86" s="51"/>
      <c r="D86" s="51"/>
      <c r="E86" s="51"/>
      <c r="F86" s="2"/>
      <c r="G86" s="51"/>
      <c r="H86" s="51"/>
      <c r="I86" s="51"/>
      <c r="J86" s="2"/>
      <c r="K86" s="51"/>
      <c r="L86" s="51"/>
      <c r="M86" s="51"/>
      <c r="N86" s="2"/>
      <c r="O86" s="51"/>
      <c r="P86" s="51"/>
      <c r="Q86" s="51"/>
      <c r="R86" s="2"/>
      <c r="S86" s="51"/>
      <c r="T86" s="51"/>
      <c r="U86" s="51"/>
      <c r="V86" s="2"/>
      <c r="W86" s="51"/>
      <c r="X86" s="51"/>
      <c r="Y86" s="51"/>
      <c r="Z86" s="2"/>
      <c r="AA86" s="51"/>
      <c r="AB86" s="51"/>
      <c r="AC86" s="51"/>
      <c r="AD86" s="2"/>
      <c r="AE86" s="51"/>
      <c r="AF86" s="51"/>
      <c r="AG86" s="51"/>
      <c r="AH86" s="2"/>
      <c r="AI86" s="51"/>
      <c r="AJ86" s="51"/>
      <c r="AK86" s="51"/>
      <c r="AL86" s="2"/>
      <c r="AM86" s="51"/>
      <c r="AN86" s="51"/>
      <c r="AO86" s="51"/>
      <c r="AP86" s="2"/>
      <c r="AQ86" s="51"/>
      <c r="AR86" s="51"/>
      <c r="AS86" s="51"/>
      <c r="AT86" s="2"/>
      <c r="AU86" s="51"/>
      <c r="AV86" s="51"/>
      <c r="AW86" s="51"/>
      <c r="AX86" s="2"/>
      <c r="AY86" s="51"/>
      <c r="AZ86" s="51"/>
      <c r="BA86" s="51"/>
      <c r="BB86" s="2"/>
      <c r="BC86" s="51"/>
      <c r="BD86" s="51"/>
      <c r="BE86" s="51"/>
      <c r="BF86" s="2"/>
      <c r="BG86" s="51"/>
      <c r="BH86" s="51"/>
      <c r="BI86" s="51"/>
      <c r="BJ86" s="2"/>
      <c r="BK86" s="51"/>
      <c r="BL86" s="51"/>
      <c r="BM86" s="51"/>
      <c r="BN86" s="2"/>
      <c r="BO86" s="51"/>
      <c r="BP86" s="51"/>
      <c r="BQ86" s="51"/>
      <c r="BR86" s="2"/>
      <c r="BS86" s="51"/>
      <c r="BT86" s="51"/>
      <c r="BU86" s="51"/>
      <c r="BV86" s="2"/>
      <c r="BW86" s="51"/>
    </row>
    <row r="87" spans="1:75" x14ac:dyDescent="0.2">
      <c r="A87" s="51"/>
      <c r="B87" s="51"/>
      <c r="C87" s="51"/>
      <c r="D87" s="51"/>
      <c r="E87" s="51"/>
      <c r="F87" s="2"/>
      <c r="G87" s="51"/>
      <c r="H87" s="51"/>
      <c r="I87" s="51"/>
      <c r="J87" s="2"/>
      <c r="K87" s="51"/>
      <c r="L87" s="51"/>
      <c r="M87" s="51"/>
      <c r="N87" s="2"/>
      <c r="O87" s="51"/>
      <c r="P87" s="51"/>
      <c r="Q87" s="51"/>
      <c r="R87" s="2"/>
      <c r="S87" s="51"/>
      <c r="T87" s="51"/>
      <c r="U87" s="51"/>
      <c r="V87" s="2"/>
      <c r="W87" s="51"/>
      <c r="X87" s="51"/>
      <c r="Y87" s="51"/>
      <c r="Z87" s="2"/>
      <c r="AA87" s="51"/>
      <c r="AB87" s="51"/>
      <c r="AC87" s="51"/>
      <c r="AD87" s="2"/>
      <c r="AE87" s="51"/>
      <c r="AF87" s="51"/>
      <c r="AG87" s="51"/>
      <c r="AH87" s="2"/>
      <c r="AI87" s="51"/>
      <c r="AJ87" s="51"/>
      <c r="AK87" s="51"/>
      <c r="AL87" s="2"/>
      <c r="AM87" s="51"/>
      <c r="AN87" s="51"/>
      <c r="AO87" s="51"/>
      <c r="AP87" s="2"/>
      <c r="AQ87" s="51"/>
      <c r="AR87" s="51"/>
      <c r="AS87" s="51"/>
      <c r="AT87" s="2"/>
      <c r="AU87" s="51"/>
      <c r="AV87" s="51"/>
      <c r="AW87" s="51"/>
      <c r="AX87" s="2"/>
      <c r="AY87" s="51"/>
      <c r="AZ87" s="51"/>
      <c r="BA87" s="51"/>
      <c r="BB87" s="2"/>
      <c r="BC87" s="51"/>
      <c r="BD87" s="51"/>
      <c r="BE87" s="51"/>
      <c r="BF87" s="2"/>
      <c r="BG87" s="51"/>
      <c r="BH87" s="51"/>
      <c r="BI87" s="51"/>
      <c r="BJ87" s="2"/>
      <c r="BK87" s="51"/>
      <c r="BL87" s="51"/>
      <c r="BM87" s="51"/>
      <c r="BN87" s="2"/>
      <c r="BO87" s="51"/>
      <c r="BP87" s="51"/>
      <c r="BQ87" s="51"/>
      <c r="BR87" s="2"/>
      <c r="BS87" s="51"/>
      <c r="BT87" s="51"/>
      <c r="BU87" s="51"/>
      <c r="BV87" s="2"/>
      <c r="BW87" s="51"/>
    </row>
    <row r="88" spans="1:75" x14ac:dyDescent="0.2">
      <c r="A88" s="51"/>
      <c r="B88" s="51"/>
      <c r="C88" s="51"/>
      <c r="D88" s="51"/>
      <c r="E88" s="51"/>
      <c r="F88" s="2"/>
      <c r="G88" s="51"/>
      <c r="H88" s="51"/>
      <c r="I88" s="51"/>
      <c r="J88" s="2"/>
      <c r="K88" s="51"/>
      <c r="L88" s="51"/>
      <c r="M88" s="51"/>
      <c r="N88" s="2"/>
      <c r="O88" s="51"/>
      <c r="P88" s="51"/>
      <c r="Q88" s="51"/>
      <c r="R88" s="2"/>
      <c r="S88" s="51"/>
      <c r="T88" s="51"/>
      <c r="U88" s="51"/>
      <c r="V88" s="2"/>
      <c r="W88" s="51"/>
      <c r="X88" s="51"/>
      <c r="Y88" s="51"/>
      <c r="Z88" s="2"/>
      <c r="AA88" s="51"/>
      <c r="AB88" s="51"/>
      <c r="AC88" s="51"/>
      <c r="AD88" s="2"/>
      <c r="AE88" s="51"/>
      <c r="AF88" s="51"/>
      <c r="AG88" s="51"/>
      <c r="AH88" s="2"/>
      <c r="AI88" s="51"/>
      <c r="AJ88" s="51"/>
      <c r="AK88" s="51"/>
      <c r="AL88" s="2"/>
      <c r="AM88" s="51"/>
      <c r="AN88" s="51"/>
      <c r="AO88" s="51"/>
      <c r="AP88" s="2"/>
      <c r="AQ88" s="51"/>
      <c r="AR88" s="51"/>
      <c r="AS88" s="51"/>
      <c r="AT88" s="2"/>
      <c r="AU88" s="51"/>
      <c r="AV88" s="51"/>
      <c r="AW88" s="51"/>
      <c r="AX88" s="2"/>
      <c r="AY88" s="51"/>
      <c r="AZ88" s="51"/>
      <c r="BA88" s="51"/>
      <c r="BB88" s="2"/>
      <c r="BC88" s="51"/>
      <c r="BD88" s="51"/>
      <c r="BE88" s="51"/>
      <c r="BF88" s="2"/>
      <c r="BG88" s="51"/>
      <c r="BH88" s="51"/>
      <c r="BI88" s="51"/>
      <c r="BJ88" s="2"/>
      <c r="BK88" s="51"/>
      <c r="BL88" s="51"/>
      <c r="BM88" s="51"/>
      <c r="BN88" s="2"/>
      <c r="BO88" s="51"/>
      <c r="BP88" s="51"/>
      <c r="BQ88" s="51"/>
      <c r="BR88" s="2"/>
      <c r="BS88" s="51"/>
      <c r="BT88" s="51"/>
      <c r="BU88" s="51"/>
      <c r="BV88" s="2"/>
      <c r="BW88" s="51"/>
    </row>
    <row r="89" spans="1:75" x14ac:dyDescent="0.2">
      <c r="A89" s="51"/>
      <c r="B89" s="51"/>
      <c r="C89" s="51"/>
      <c r="D89" s="51"/>
      <c r="E89" s="51"/>
      <c r="F89" s="2"/>
      <c r="G89" s="51"/>
      <c r="H89" s="51"/>
      <c r="I89" s="51"/>
      <c r="J89" s="2"/>
      <c r="K89" s="51"/>
      <c r="L89" s="51"/>
      <c r="M89" s="51"/>
      <c r="N89" s="2"/>
      <c r="O89" s="51"/>
      <c r="P89" s="51"/>
      <c r="Q89" s="51"/>
      <c r="R89" s="2"/>
      <c r="S89" s="51"/>
      <c r="T89" s="51"/>
      <c r="U89" s="51"/>
      <c r="V89" s="2"/>
      <c r="W89" s="51"/>
      <c r="X89" s="51"/>
      <c r="Y89" s="51"/>
      <c r="Z89" s="2"/>
      <c r="AA89" s="51"/>
      <c r="AB89" s="51"/>
      <c r="AC89" s="51"/>
      <c r="AD89" s="2"/>
      <c r="AE89" s="51"/>
      <c r="AF89" s="51"/>
      <c r="AG89" s="51"/>
      <c r="AH89" s="2"/>
      <c r="AI89" s="51"/>
      <c r="AJ89" s="51"/>
      <c r="AK89" s="51"/>
      <c r="AL89" s="2"/>
      <c r="AM89" s="51"/>
      <c r="AN89" s="51"/>
      <c r="AO89" s="51"/>
      <c r="AP89" s="2"/>
      <c r="AQ89" s="51"/>
      <c r="AR89" s="51"/>
      <c r="AS89" s="51"/>
      <c r="AT89" s="2"/>
      <c r="AU89" s="51"/>
      <c r="AV89" s="51"/>
      <c r="AW89" s="51"/>
      <c r="AX89" s="2"/>
      <c r="AY89" s="51"/>
      <c r="AZ89" s="51"/>
      <c r="BA89" s="51"/>
      <c r="BB89" s="2"/>
      <c r="BC89" s="51"/>
      <c r="BD89" s="51"/>
      <c r="BE89" s="51"/>
      <c r="BF89" s="2"/>
      <c r="BG89" s="51"/>
      <c r="BH89" s="51"/>
      <c r="BI89" s="51"/>
      <c r="BJ89" s="2"/>
      <c r="BK89" s="51"/>
      <c r="BL89" s="51"/>
      <c r="BM89" s="51"/>
      <c r="BN89" s="2"/>
      <c r="BO89" s="51"/>
      <c r="BP89" s="51"/>
      <c r="BQ89" s="51"/>
      <c r="BR89" s="2"/>
      <c r="BS89" s="51"/>
      <c r="BT89" s="51"/>
      <c r="BU89" s="51"/>
      <c r="BV89" s="2"/>
      <c r="BW89" s="51"/>
    </row>
    <row r="90" spans="1:75" x14ac:dyDescent="0.2">
      <c r="A90" s="51"/>
      <c r="B90" s="51"/>
      <c r="C90" s="51"/>
      <c r="D90" s="51"/>
      <c r="E90" s="51"/>
      <c r="F90" s="2"/>
      <c r="G90" s="51"/>
      <c r="H90" s="51"/>
      <c r="I90" s="51"/>
      <c r="J90" s="2"/>
      <c r="K90" s="51"/>
      <c r="L90" s="51"/>
      <c r="M90" s="51"/>
      <c r="N90" s="2"/>
      <c r="O90" s="51"/>
      <c r="P90" s="51"/>
      <c r="Q90" s="51"/>
      <c r="R90" s="2"/>
      <c r="S90" s="51"/>
      <c r="T90" s="51"/>
      <c r="U90" s="51"/>
      <c r="V90" s="2"/>
      <c r="W90" s="51"/>
      <c r="X90" s="51"/>
      <c r="Y90" s="51"/>
      <c r="Z90" s="2"/>
      <c r="AA90" s="51"/>
      <c r="AB90" s="51"/>
      <c r="AC90" s="51"/>
      <c r="AD90" s="2"/>
      <c r="AE90" s="51"/>
      <c r="AF90" s="51"/>
      <c r="AG90" s="51"/>
      <c r="AH90" s="2"/>
      <c r="AI90" s="51"/>
      <c r="AJ90" s="51"/>
      <c r="AK90" s="51"/>
      <c r="AL90" s="2"/>
      <c r="AM90" s="51"/>
      <c r="AN90" s="51"/>
      <c r="AO90" s="51"/>
      <c r="AP90" s="2"/>
      <c r="AQ90" s="51"/>
      <c r="AR90" s="51"/>
      <c r="AS90" s="51"/>
      <c r="AT90" s="2"/>
      <c r="AU90" s="51"/>
      <c r="AV90" s="51"/>
      <c r="AW90" s="51"/>
      <c r="AX90" s="2"/>
      <c r="AY90" s="51"/>
      <c r="AZ90" s="51"/>
      <c r="BA90" s="51"/>
      <c r="BB90" s="2"/>
      <c r="BC90" s="51"/>
      <c r="BD90" s="51"/>
      <c r="BE90" s="51"/>
      <c r="BF90" s="2"/>
      <c r="BG90" s="51"/>
      <c r="BH90" s="51"/>
      <c r="BI90" s="51"/>
      <c r="BJ90" s="2"/>
      <c r="BK90" s="51"/>
      <c r="BL90" s="51"/>
      <c r="BM90" s="51"/>
      <c r="BN90" s="2"/>
      <c r="BO90" s="51"/>
      <c r="BP90" s="51"/>
      <c r="BQ90" s="51"/>
      <c r="BR90" s="2"/>
      <c r="BS90" s="51"/>
      <c r="BT90" s="51"/>
      <c r="BU90" s="51"/>
      <c r="BV90" s="2"/>
      <c r="BW90" s="51"/>
    </row>
    <row r="91" spans="1:75" x14ac:dyDescent="0.2">
      <c r="A91" s="51"/>
      <c r="B91" s="51"/>
      <c r="C91" s="51"/>
      <c r="D91" s="51"/>
      <c r="E91" s="51"/>
      <c r="F91" s="2"/>
      <c r="G91" s="51"/>
      <c r="H91" s="51"/>
      <c r="I91" s="51"/>
      <c r="J91" s="2"/>
      <c r="K91" s="51"/>
      <c r="L91" s="51"/>
      <c r="M91" s="51"/>
      <c r="N91" s="2"/>
      <c r="O91" s="51"/>
      <c r="P91" s="51"/>
      <c r="Q91" s="51"/>
      <c r="R91" s="2"/>
      <c r="S91" s="51"/>
      <c r="T91" s="51"/>
      <c r="U91" s="51"/>
      <c r="V91" s="2"/>
      <c r="W91" s="51"/>
      <c r="X91" s="51"/>
      <c r="Y91" s="51"/>
      <c r="Z91" s="2"/>
      <c r="AA91" s="51"/>
      <c r="AB91" s="51"/>
      <c r="AC91" s="51"/>
      <c r="AD91" s="2"/>
      <c r="AE91" s="51"/>
      <c r="AF91" s="51"/>
      <c r="AG91" s="51"/>
      <c r="AH91" s="2"/>
      <c r="AI91" s="51"/>
      <c r="AJ91" s="51"/>
      <c r="AK91" s="51"/>
      <c r="AL91" s="2"/>
      <c r="AM91" s="51"/>
      <c r="AN91" s="51"/>
      <c r="AO91" s="51"/>
      <c r="AP91" s="2"/>
      <c r="AQ91" s="51"/>
      <c r="AR91" s="51"/>
      <c r="AS91" s="51"/>
      <c r="AT91" s="2"/>
      <c r="AU91" s="51"/>
      <c r="AV91" s="51"/>
      <c r="AW91" s="51"/>
      <c r="AX91" s="2"/>
      <c r="AY91" s="51"/>
      <c r="AZ91" s="51"/>
      <c r="BA91" s="51"/>
      <c r="BB91" s="2"/>
      <c r="BC91" s="51"/>
      <c r="BD91" s="51"/>
      <c r="BE91" s="51"/>
      <c r="BF91" s="2"/>
      <c r="BG91" s="51"/>
      <c r="BH91" s="51"/>
      <c r="BI91" s="51"/>
      <c r="BJ91" s="2"/>
      <c r="BK91" s="51"/>
      <c r="BL91" s="51"/>
      <c r="BM91" s="51"/>
      <c r="BN91" s="2"/>
      <c r="BO91" s="51"/>
      <c r="BP91" s="51"/>
      <c r="BQ91" s="51"/>
      <c r="BR91" s="2"/>
      <c r="BS91" s="51"/>
      <c r="BT91" s="51"/>
      <c r="BU91" s="51"/>
      <c r="BV91" s="2"/>
      <c r="BW91" s="51"/>
    </row>
    <row r="92" spans="1:75" x14ac:dyDescent="0.2">
      <c r="A92" s="51"/>
      <c r="B92" s="51"/>
      <c r="C92" s="51"/>
      <c r="D92" s="51"/>
      <c r="E92" s="51"/>
      <c r="F92" s="2"/>
      <c r="G92" s="51"/>
      <c r="H92" s="51"/>
      <c r="I92" s="51"/>
      <c r="J92" s="2"/>
      <c r="K92" s="51"/>
      <c r="L92" s="51"/>
      <c r="M92" s="51"/>
      <c r="N92" s="2"/>
      <c r="O92" s="51"/>
      <c r="P92" s="51"/>
      <c r="Q92" s="51"/>
      <c r="R92" s="2"/>
      <c r="S92" s="51"/>
      <c r="T92" s="51"/>
      <c r="U92" s="51"/>
      <c r="V92" s="2"/>
      <c r="W92" s="51"/>
      <c r="X92" s="51"/>
      <c r="Y92" s="51"/>
      <c r="Z92" s="2"/>
      <c r="AA92" s="51"/>
      <c r="AB92" s="51"/>
      <c r="AC92" s="51"/>
      <c r="AD92" s="2"/>
      <c r="AE92" s="51"/>
      <c r="AF92" s="51"/>
      <c r="AG92" s="51"/>
      <c r="AH92" s="2"/>
      <c r="AI92" s="51"/>
      <c r="AJ92" s="51"/>
      <c r="AK92" s="51"/>
      <c r="AL92" s="2"/>
      <c r="AM92" s="51"/>
      <c r="AN92" s="51"/>
      <c r="AO92" s="51"/>
      <c r="AP92" s="2"/>
      <c r="AQ92" s="51"/>
      <c r="AR92" s="51"/>
      <c r="AS92" s="51"/>
      <c r="AT92" s="2"/>
      <c r="AU92" s="51"/>
      <c r="AV92" s="51"/>
      <c r="AW92" s="51"/>
      <c r="AX92" s="2"/>
      <c r="AY92" s="51"/>
      <c r="AZ92" s="51"/>
      <c r="BA92" s="51"/>
      <c r="BB92" s="2"/>
      <c r="BC92" s="51"/>
      <c r="BD92" s="51"/>
      <c r="BE92" s="51"/>
      <c r="BF92" s="2"/>
      <c r="BG92" s="51"/>
      <c r="BH92" s="51"/>
      <c r="BI92" s="51"/>
      <c r="BJ92" s="2"/>
      <c r="BK92" s="51"/>
      <c r="BL92" s="51"/>
      <c r="BM92" s="51"/>
      <c r="BN92" s="2"/>
      <c r="BO92" s="51"/>
      <c r="BP92" s="51"/>
      <c r="BQ92" s="51"/>
      <c r="BR92" s="2"/>
      <c r="BS92" s="51"/>
      <c r="BT92" s="51"/>
      <c r="BU92" s="51"/>
      <c r="BV92" s="2"/>
      <c r="BW92" s="51"/>
    </row>
    <row r="93" spans="1:75" x14ac:dyDescent="0.2">
      <c r="A93" s="51"/>
      <c r="B93" s="51"/>
      <c r="C93" s="51"/>
      <c r="D93" s="51"/>
      <c r="E93" s="51"/>
      <c r="F93" s="2"/>
      <c r="G93" s="51"/>
      <c r="H93" s="51"/>
      <c r="I93" s="51"/>
      <c r="J93" s="2"/>
      <c r="K93" s="51"/>
      <c r="L93" s="51"/>
      <c r="M93" s="51"/>
      <c r="N93" s="2"/>
      <c r="O93" s="51"/>
      <c r="P93" s="51"/>
      <c r="Q93" s="51"/>
      <c r="R93" s="2"/>
      <c r="S93" s="51"/>
      <c r="T93" s="51"/>
      <c r="U93" s="51"/>
      <c r="V93" s="2"/>
      <c r="W93" s="51"/>
      <c r="X93" s="51"/>
      <c r="Y93" s="51"/>
      <c r="Z93" s="2"/>
      <c r="AA93" s="51"/>
      <c r="AB93" s="51"/>
      <c r="AC93" s="51"/>
      <c r="AD93" s="2"/>
      <c r="AE93" s="51"/>
      <c r="AF93" s="51"/>
      <c r="AG93" s="51"/>
      <c r="AH93" s="2"/>
      <c r="AI93" s="51"/>
      <c r="AJ93" s="51"/>
      <c r="AK93" s="51"/>
      <c r="AL93" s="2"/>
      <c r="AM93" s="51"/>
      <c r="AN93" s="51"/>
      <c r="AO93" s="51"/>
      <c r="AP93" s="2"/>
      <c r="AQ93" s="51"/>
      <c r="AR93" s="51"/>
      <c r="AS93" s="51"/>
      <c r="AT93" s="2"/>
      <c r="AU93" s="51"/>
      <c r="AV93" s="51"/>
      <c r="AW93" s="51"/>
      <c r="AX93" s="2"/>
      <c r="AY93" s="51"/>
      <c r="AZ93" s="51"/>
      <c r="BA93" s="51"/>
      <c r="BB93" s="2"/>
      <c r="BC93" s="51"/>
      <c r="BD93" s="51"/>
      <c r="BE93" s="51"/>
      <c r="BF93" s="2"/>
      <c r="BG93" s="51"/>
      <c r="BH93" s="51"/>
      <c r="BI93" s="51"/>
      <c r="BJ93" s="2"/>
      <c r="BK93" s="51"/>
      <c r="BL93" s="51"/>
      <c r="BM93" s="51"/>
      <c r="BN93" s="2"/>
      <c r="BO93" s="51"/>
      <c r="BP93" s="51"/>
      <c r="BQ93" s="51"/>
      <c r="BR93" s="2"/>
      <c r="BS93" s="51"/>
      <c r="BT93" s="51"/>
      <c r="BU93" s="51"/>
      <c r="BV93" s="2"/>
      <c r="BW93" s="51"/>
    </row>
    <row r="94" spans="1:75" x14ac:dyDescent="0.2">
      <c r="A94" s="51"/>
      <c r="B94" s="51"/>
      <c r="C94" s="51"/>
      <c r="D94" s="51"/>
      <c r="E94" s="51"/>
      <c r="F94" s="2"/>
      <c r="G94" s="51"/>
      <c r="H94" s="51"/>
      <c r="I94" s="51"/>
      <c r="J94" s="2"/>
      <c r="K94" s="51"/>
      <c r="L94" s="51"/>
      <c r="M94" s="51"/>
      <c r="N94" s="2"/>
      <c r="O94" s="51"/>
      <c r="P94" s="51"/>
      <c r="Q94" s="51"/>
      <c r="R94" s="2"/>
      <c r="S94" s="51"/>
      <c r="T94" s="51"/>
      <c r="U94" s="51"/>
      <c r="V94" s="2"/>
      <c r="W94" s="51"/>
      <c r="X94" s="51"/>
      <c r="Y94" s="51"/>
      <c r="Z94" s="2"/>
      <c r="AA94" s="51"/>
      <c r="AB94" s="51"/>
      <c r="AC94" s="51"/>
      <c r="AD94" s="2"/>
      <c r="AE94" s="51"/>
      <c r="AF94" s="51"/>
      <c r="AG94" s="51"/>
      <c r="AH94" s="2"/>
      <c r="AI94" s="51"/>
      <c r="AJ94" s="51"/>
      <c r="AK94" s="51"/>
      <c r="AL94" s="2"/>
      <c r="AM94" s="51"/>
      <c r="AN94" s="51"/>
      <c r="AO94" s="51"/>
      <c r="AP94" s="2"/>
      <c r="AQ94" s="51"/>
      <c r="AR94" s="51"/>
      <c r="AS94" s="51"/>
      <c r="AT94" s="2"/>
      <c r="AU94" s="51"/>
      <c r="AV94" s="51"/>
      <c r="AW94" s="51"/>
      <c r="AX94" s="2"/>
      <c r="AY94" s="51"/>
      <c r="AZ94" s="51"/>
      <c r="BA94" s="51"/>
      <c r="BB94" s="2"/>
      <c r="BC94" s="51"/>
      <c r="BD94" s="51"/>
      <c r="BE94" s="51"/>
      <c r="BF94" s="2"/>
      <c r="BG94" s="51"/>
      <c r="BH94" s="51"/>
      <c r="BI94" s="51"/>
      <c r="BJ94" s="2"/>
      <c r="BK94" s="51"/>
      <c r="BL94" s="51"/>
      <c r="BM94" s="51"/>
      <c r="BN94" s="2"/>
      <c r="BO94" s="51"/>
      <c r="BP94" s="51"/>
      <c r="BQ94" s="51"/>
      <c r="BR94" s="2"/>
      <c r="BS94" s="51"/>
      <c r="BT94" s="51"/>
      <c r="BU94" s="51"/>
      <c r="BV94" s="2"/>
      <c r="BW94" s="51"/>
    </row>
    <row r="95" spans="1:75" x14ac:dyDescent="0.2">
      <c r="A95" s="51"/>
      <c r="B95" s="51"/>
      <c r="C95" s="51"/>
      <c r="D95" s="51"/>
      <c r="E95" s="51"/>
      <c r="F95" s="2"/>
      <c r="G95" s="51"/>
      <c r="H95" s="51"/>
      <c r="I95" s="51"/>
      <c r="J95" s="2"/>
      <c r="K95" s="51"/>
      <c r="L95" s="51"/>
      <c r="M95" s="51"/>
      <c r="N95" s="2"/>
      <c r="O95" s="51"/>
      <c r="P95" s="51"/>
      <c r="Q95" s="51"/>
      <c r="R95" s="2"/>
      <c r="S95" s="51"/>
      <c r="T95" s="51"/>
      <c r="U95" s="51"/>
      <c r="V95" s="2"/>
      <c r="W95" s="51"/>
      <c r="X95" s="51"/>
      <c r="Y95" s="51"/>
      <c r="Z95" s="2"/>
      <c r="AA95" s="51"/>
      <c r="AB95" s="51"/>
      <c r="AC95" s="51"/>
      <c r="AD95" s="2"/>
      <c r="AE95" s="51"/>
      <c r="AF95" s="51"/>
      <c r="AG95" s="51"/>
      <c r="AH95" s="2"/>
      <c r="AI95" s="51"/>
      <c r="AJ95" s="51"/>
      <c r="AK95" s="51"/>
      <c r="AL95" s="2"/>
      <c r="AM95" s="51"/>
      <c r="AN95" s="51"/>
      <c r="AO95" s="51"/>
      <c r="AP95" s="2"/>
      <c r="AQ95" s="51"/>
      <c r="AR95" s="51"/>
      <c r="AS95" s="51"/>
      <c r="AT95" s="2"/>
      <c r="AU95" s="51"/>
      <c r="AV95" s="51"/>
      <c r="AW95" s="51"/>
      <c r="AX95" s="2"/>
      <c r="AY95" s="51"/>
      <c r="AZ95" s="51"/>
      <c r="BA95" s="51"/>
      <c r="BB95" s="2"/>
      <c r="BC95" s="51"/>
      <c r="BD95" s="51"/>
      <c r="BE95" s="51"/>
      <c r="BF95" s="2"/>
      <c r="BG95" s="51"/>
      <c r="BH95" s="51"/>
      <c r="BI95" s="51"/>
      <c r="BJ95" s="2"/>
      <c r="BK95" s="51"/>
      <c r="BL95" s="51"/>
      <c r="BM95" s="51"/>
      <c r="BN95" s="2"/>
      <c r="BO95" s="51"/>
      <c r="BP95" s="51"/>
      <c r="BQ95" s="51"/>
      <c r="BR95" s="2"/>
      <c r="BS95" s="51"/>
      <c r="BT95" s="51"/>
      <c r="BU95" s="51"/>
      <c r="BV95" s="2"/>
      <c r="BW95" s="51"/>
    </row>
    <row r="96" spans="1:75" x14ac:dyDescent="0.2">
      <c r="A96" s="51"/>
      <c r="B96" s="51"/>
      <c r="C96" s="51"/>
      <c r="D96" s="51"/>
      <c r="E96" s="51"/>
      <c r="F96" s="2"/>
      <c r="G96" s="51"/>
      <c r="H96" s="51"/>
      <c r="I96" s="51"/>
      <c r="J96" s="2"/>
      <c r="K96" s="51"/>
      <c r="L96" s="51"/>
      <c r="M96" s="51"/>
      <c r="N96" s="2"/>
      <c r="O96" s="51"/>
      <c r="P96" s="51"/>
      <c r="Q96" s="51"/>
      <c r="R96" s="2"/>
      <c r="S96" s="51"/>
      <c r="T96" s="51"/>
      <c r="U96" s="51"/>
      <c r="V96" s="2"/>
      <c r="W96" s="51"/>
      <c r="X96" s="51"/>
      <c r="Y96" s="51"/>
      <c r="Z96" s="2"/>
      <c r="AA96" s="51"/>
      <c r="AB96" s="51"/>
      <c r="AC96" s="51"/>
      <c r="AD96" s="2"/>
      <c r="AE96" s="51"/>
      <c r="AF96" s="51"/>
      <c r="AG96" s="51"/>
      <c r="AH96" s="2"/>
      <c r="AI96" s="51"/>
      <c r="AJ96" s="51"/>
      <c r="AK96" s="51"/>
      <c r="AL96" s="2"/>
      <c r="AM96" s="51"/>
      <c r="AN96" s="51"/>
      <c r="AO96" s="51"/>
      <c r="AP96" s="2"/>
      <c r="AQ96" s="51"/>
      <c r="AR96" s="51"/>
      <c r="AS96" s="51"/>
      <c r="AT96" s="2"/>
      <c r="AU96" s="51"/>
      <c r="AV96" s="51"/>
      <c r="AW96" s="51"/>
      <c r="AX96" s="2"/>
      <c r="AY96" s="51"/>
      <c r="AZ96" s="51"/>
      <c r="BA96" s="51"/>
      <c r="BB96" s="2"/>
      <c r="BC96" s="51"/>
      <c r="BD96" s="51"/>
      <c r="BE96" s="51"/>
      <c r="BF96" s="2"/>
      <c r="BG96" s="51"/>
      <c r="BH96" s="51"/>
      <c r="BI96" s="51"/>
      <c r="BJ96" s="2"/>
      <c r="BK96" s="51"/>
      <c r="BL96" s="51"/>
      <c r="BM96" s="51"/>
      <c r="BN96" s="2"/>
      <c r="BO96" s="51"/>
      <c r="BP96" s="51"/>
      <c r="BQ96" s="51"/>
      <c r="BR96" s="2"/>
      <c r="BS96" s="51"/>
      <c r="BT96" s="51"/>
      <c r="BU96" s="51"/>
      <c r="BV96" s="2"/>
      <c r="BW96" s="51"/>
    </row>
    <row r="97" spans="1:75" x14ac:dyDescent="0.2">
      <c r="A97" s="51"/>
      <c r="B97" s="51"/>
      <c r="C97" s="51"/>
      <c r="D97" s="51"/>
      <c r="E97" s="51"/>
      <c r="F97" s="2"/>
      <c r="G97" s="51"/>
      <c r="H97" s="51"/>
      <c r="I97" s="51"/>
      <c r="J97" s="2"/>
      <c r="K97" s="51"/>
      <c r="L97" s="51"/>
      <c r="M97" s="51"/>
      <c r="N97" s="2"/>
      <c r="O97" s="51"/>
      <c r="P97" s="51"/>
      <c r="Q97" s="51"/>
      <c r="R97" s="2"/>
      <c r="S97" s="51"/>
      <c r="T97" s="51"/>
      <c r="U97" s="51"/>
      <c r="V97" s="2"/>
      <c r="W97" s="51"/>
      <c r="X97" s="51"/>
      <c r="Y97" s="51"/>
      <c r="Z97" s="2"/>
      <c r="AA97" s="51"/>
      <c r="AB97" s="51"/>
      <c r="AC97" s="51"/>
      <c r="AD97" s="2"/>
      <c r="AE97" s="51"/>
      <c r="AF97" s="51"/>
      <c r="AG97" s="51"/>
      <c r="AH97" s="2"/>
      <c r="AI97" s="51"/>
      <c r="AJ97" s="51"/>
      <c r="AK97" s="51"/>
      <c r="AL97" s="2"/>
      <c r="AM97" s="51"/>
      <c r="AN97" s="51"/>
      <c r="AO97" s="51"/>
      <c r="AP97" s="2"/>
      <c r="AQ97" s="51"/>
      <c r="AR97" s="51"/>
      <c r="AS97" s="51"/>
      <c r="AT97" s="2"/>
      <c r="AU97" s="51"/>
      <c r="AV97" s="51"/>
      <c r="AW97" s="51"/>
      <c r="AX97" s="2"/>
      <c r="AY97" s="51"/>
      <c r="AZ97" s="51"/>
      <c r="BA97" s="51"/>
      <c r="BB97" s="2"/>
      <c r="BC97" s="51"/>
      <c r="BD97" s="51"/>
      <c r="BE97" s="51"/>
      <c r="BF97" s="2"/>
      <c r="BG97" s="51"/>
      <c r="BH97" s="51"/>
      <c r="BI97" s="51"/>
      <c r="BJ97" s="2"/>
      <c r="BK97" s="51"/>
      <c r="BL97" s="51"/>
      <c r="BM97" s="51"/>
      <c r="BN97" s="2"/>
      <c r="BO97" s="51"/>
      <c r="BP97" s="51"/>
      <c r="BQ97" s="51"/>
      <c r="BR97" s="2"/>
      <c r="BS97" s="51"/>
      <c r="BT97" s="51"/>
      <c r="BU97" s="51"/>
      <c r="BV97" s="2"/>
      <c r="BW97" s="51"/>
    </row>
    <row r="98" spans="1:75" x14ac:dyDescent="0.2">
      <c r="A98" s="51"/>
      <c r="B98" s="51"/>
      <c r="C98" s="51"/>
      <c r="D98" s="51"/>
      <c r="E98" s="51"/>
      <c r="F98" s="2"/>
      <c r="G98" s="51"/>
      <c r="H98" s="51"/>
      <c r="I98" s="51"/>
      <c r="J98" s="2"/>
      <c r="K98" s="51"/>
      <c r="L98" s="51"/>
      <c r="M98" s="51"/>
      <c r="N98" s="2"/>
      <c r="O98" s="51"/>
      <c r="P98" s="51"/>
      <c r="Q98" s="51"/>
      <c r="R98" s="2"/>
      <c r="S98" s="51"/>
      <c r="T98" s="51"/>
      <c r="U98" s="51"/>
      <c r="V98" s="2"/>
      <c r="W98" s="51"/>
      <c r="X98" s="51"/>
      <c r="Y98" s="51"/>
      <c r="Z98" s="2"/>
      <c r="AA98" s="51"/>
      <c r="AB98" s="51"/>
      <c r="AC98" s="51"/>
      <c r="AD98" s="2"/>
      <c r="AE98" s="51"/>
      <c r="AF98" s="51"/>
      <c r="AG98" s="51"/>
      <c r="AH98" s="2"/>
      <c r="AI98" s="51"/>
      <c r="AJ98" s="51"/>
      <c r="AK98" s="51"/>
      <c r="AL98" s="2"/>
      <c r="AM98" s="51"/>
      <c r="AN98" s="51"/>
      <c r="AO98" s="51"/>
      <c r="AP98" s="2"/>
      <c r="AQ98" s="51"/>
      <c r="AR98" s="51"/>
      <c r="AS98" s="51"/>
      <c r="AT98" s="2"/>
      <c r="AU98" s="51"/>
      <c r="AV98" s="51"/>
      <c r="AW98" s="51"/>
      <c r="AX98" s="2"/>
      <c r="AY98" s="51"/>
      <c r="AZ98" s="51"/>
      <c r="BA98" s="51"/>
      <c r="BB98" s="2"/>
      <c r="BC98" s="51"/>
      <c r="BD98" s="51"/>
      <c r="BE98" s="51"/>
      <c r="BF98" s="2"/>
      <c r="BG98" s="51"/>
      <c r="BH98" s="51"/>
      <c r="BI98" s="51"/>
      <c r="BJ98" s="2"/>
      <c r="BK98" s="51"/>
      <c r="BL98" s="51"/>
      <c r="BM98" s="51"/>
      <c r="BN98" s="2"/>
      <c r="BO98" s="51"/>
      <c r="BP98" s="51"/>
      <c r="BQ98" s="51"/>
      <c r="BR98" s="2"/>
      <c r="BS98" s="51"/>
      <c r="BT98" s="51"/>
      <c r="BU98" s="51"/>
      <c r="BV98" s="2"/>
      <c r="BW98" s="51"/>
    </row>
    <row r="99" spans="1:75" x14ac:dyDescent="0.2">
      <c r="A99" s="51"/>
      <c r="B99" s="51"/>
      <c r="C99" s="51"/>
      <c r="D99" s="51"/>
      <c r="E99" s="51"/>
      <c r="F99" s="2"/>
      <c r="G99" s="51"/>
      <c r="H99" s="51"/>
      <c r="I99" s="51"/>
      <c r="J99" s="2"/>
      <c r="K99" s="51"/>
      <c r="L99" s="51"/>
      <c r="M99" s="51"/>
      <c r="N99" s="2"/>
      <c r="O99" s="51"/>
      <c r="P99" s="51"/>
      <c r="Q99" s="51"/>
      <c r="R99" s="2"/>
      <c r="S99" s="51"/>
      <c r="T99" s="51"/>
      <c r="U99" s="51"/>
      <c r="V99" s="2"/>
      <c r="W99" s="51"/>
      <c r="X99" s="51"/>
      <c r="Y99" s="51"/>
      <c r="Z99" s="2"/>
      <c r="AA99" s="51"/>
      <c r="AB99" s="51"/>
      <c r="AC99" s="51"/>
      <c r="AD99" s="2"/>
      <c r="AE99" s="51"/>
      <c r="AF99" s="51"/>
      <c r="AG99" s="51"/>
      <c r="AH99" s="2"/>
      <c r="AI99" s="51"/>
      <c r="AJ99" s="51"/>
      <c r="AK99" s="51"/>
      <c r="AL99" s="2"/>
      <c r="AM99" s="51"/>
      <c r="AN99" s="51"/>
      <c r="AO99" s="51"/>
      <c r="AP99" s="2"/>
      <c r="AQ99" s="51"/>
      <c r="AR99" s="51"/>
      <c r="AS99" s="51"/>
      <c r="AT99" s="2"/>
      <c r="AU99" s="51"/>
      <c r="AV99" s="51"/>
      <c r="AW99" s="51"/>
      <c r="AX99" s="2"/>
      <c r="AY99" s="51"/>
      <c r="AZ99" s="51"/>
      <c r="BA99" s="51"/>
      <c r="BB99" s="2"/>
      <c r="BC99" s="51"/>
      <c r="BD99" s="51"/>
      <c r="BE99" s="51"/>
      <c r="BF99" s="2"/>
      <c r="BG99" s="51"/>
      <c r="BH99" s="51"/>
      <c r="BI99" s="51"/>
      <c r="BJ99" s="2"/>
      <c r="BK99" s="51"/>
      <c r="BL99" s="51"/>
      <c r="BM99" s="51"/>
      <c r="BN99" s="2"/>
      <c r="BO99" s="51"/>
      <c r="BP99" s="51"/>
      <c r="BQ99" s="51"/>
      <c r="BR99" s="2"/>
      <c r="BS99" s="51"/>
      <c r="BT99" s="51"/>
      <c r="BU99" s="51"/>
      <c r="BV99" s="2"/>
      <c r="BW99" s="51"/>
    </row>
    <row r="100" spans="1:75" x14ac:dyDescent="0.2">
      <c r="A100" s="51"/>
      <c r="B100" s="51"/>
      <c r="C100" s="51"/>
      <c r="D100" s="51"/>
      <c r="E100" s="51"/>
      <c r="F100" s="2"/>
      <c r="G100" s="51"/>
      <c r="H100" s="51"/>
      <c r="I100" s="51"/>
      <c r="J100" s="2"/>
      <c r="K100" s="51"/>
      <c r="L100" s="51"/>
      <c r="M100" s="51"/>
      <c r="N100" s="2"/>
      <c r="O100" s="51"/>
      <c r="P100" s="51"/>
      <c r="Q100" s="51"/>
      <c r="R100" s="2"/>
      <c r="S100" s="51"/>
      <c r="T100" s="51"/>
      <c r="U100" s="51"/>
      <c r="V100" s="2"/>
      <c r="W100" s="51"/>
      <c r="X100" s="51"/>
      <c r="Y100" s="51"/>
      <c r="Z100" s="2"/>
      <c r="AA100" s="51"/>
      <c r="AB100" s="51"/>
      <c r="AC100" s="51"/>
      <c r="AD100" s="2"/>
      <c r="AE100" s="51"/>
      <c r="AF100" s="51"/>
      <c r="AG100" s="51"/>
      <c r="AH100" s="2"/>
      <c r="AI100" s="51"/>
      <c r="AJ100" s="51"/>
      <c r="AK100" s="51"/>
      <c r="AL100" s="2"/>
      <c r="AM100" s="51"/>
      <c r="AN100" s="51"/>
      <c r="AO100" s="51"/>
      <c r="AP100" s="2"/>
      <c r="AQ100" s="51"/>
      <c r="AR100" s="51"/>
      <c r="AS100" s="51"/>
      <c r="AT100" s="2"/>
      <c r="AU100" s="51"/>
      <c r="AV100" s="51"/>
      <c r="AW100" s="51"/>
      <c r="AX100" s="2"/>
      <c r="AY100" s="51"/>
      <c r="AZ100" s="51"/>
      <c r="BA100" s="51"/>
      <c r="BB100" s="2"/>
      <c r="BC100" s="51"/>
      <c r="BD100" s="51"/>
      <c r="BE100" s="51"/>
      <c r="BF100" s="2"/>
      <c r="BG100" s="51"/>
      <c r="BH100" s="51"/>
      <c r="BI100" s="51"/>
      <c r="BJ100" s="2"/>
      <c r="BK100" s="51"/>
      <c r="BL100" s="51"/>
      <c r="BM100" s="51"/>
      <c r="BN100" s="2"/>
      <c r="BO100" s="51"/>
      <c r="BP100" s="51"/>
      <c r="BQ100" s="51"/>
      <c r="BR100" s="2"/>
      <c r="BS100" s="51"/>
      <c r="BT100" s="51"/>
      <c r="BU100" s="51"/>
      <c r="BV100" s="2"/>
      <c r="BW100" s="51"/>
    </row>
    <row r="101" spans="1:75" x14ac:dyDescent="0.2">
      <c r="A101" s="51"/>
      <c r="B101" s="51"/>
      <c r="C101" s="51"/>
      <c r="D101" s="51"/>
      <c r="E101" s="51"/>
      <c r="F101" s="2"/>
      <c r="G101" s="51"/>
      <c r="H101" s="51"/>
      <c r="I101" s="51"/>
      <c r="J101" s="2"/>
      <c r="K101" s="51"/>
      <c r="L101" s="51"/>
      <c r="M101" s="51"/>
      <c r="N101" s="2"/>
      <c r="O101" s="51"/>
      <c r="P101" s="51"/>
      <c r="Q101" s="51"/>
      <c r="R101" s="2"/>
      <c r="S101" s="51"/>
      <c r="T101" s="51"/>
      <c r="U101" s="51"/>
      <c r="V101" s="2"/>
      <c r="W101" s="51"/>
      <c r="X101" s="51"/>
      <c r="Y101" s="51"/>
      <c r="Z101" s="2"/>
      <c r="AA101" s="51"/>
      <c r="AB101" s="51"/>
      <c r="AC101" s="51"/>
      <c r="AD101" s="2"/>
      <c r="AE101" s="51"/>
      <c r="AF101" s="51"/>
      <c r="AG101" s="51"/>
      <c r="AH101" s="2"/>
      <c r="AI101" s="51"/>
      <c r="AJ101" s="51"/>
      <c r="AK101" s="51"/>
      <c r="AL101" s="2"/>
      <c r="AM101" s="51"/>
      <c r="AN101" s="51"/>
      <c r="AO101" s="51"/>
      <c r="AP101" s="2"/>
      <c r="AQ101" s="51"/>
      <c r="AR101" s="51"/>
      <c r="AS101" s="51"/>
      <c r="AT101" s="2"/>
      <c r="AU101" s="51"/>
      <c r="AV101" s="51"/>
      <c r="AW101" s="51"/>
      <c r="AX101" s="2"/>
      <c r="AY101" s="51"/>
      <c r="AZ101" s="51"/>
      <c r="BA101" s="51"/>
      <c r="BB101" s="2"/>
      <c r="BC101" s="51"/>
      <c r="BD101" s="51"/>
      <c r="BE101" s="51"/>
      <c r="BF101" s="2"/>
      <c r="BG101" s="51"/>
      <c r="BH101" s="51"/>
      <c r="BI101" s="51"/>
      <c r="BJ101" s="2"/>
      <c r="BK101" s="51"/>
      <c r="BL101" s="51"/>
      <c r="BM101" s="51"/>
      <c r="BN101" s="2"/>
      <c r="BO101" s="51"/>
      <c r="BP101" s="51"/>
      <c r="BQ101" s="51"/>
      <c r="BR101" s="2"/>
      <c r="BS101" s="51"/>
      <c r="BT101" s="51"/>
      <c r="BU101" s="51"/>
      <c r="BV101" s="2"/>
      <c r="BW101" s="51"/>
    </row>
    <row r="102" spans="1:75" x14ac:dyDescent="0.2">
      <c r="A102" s="51"/>
      <c r="B102" s="51"/>
      <c r="C102" s="51"/>
      <c r="D102" s="51"/>
      <c r="E102" s="51"/>
      <c r="F102" s="2"/>
      <c r="G102" s="51"/>
      <c r="H102" s="51"/>
      <c r="I102" s="51"/>
      <c r="J102" s="2"/>
      <c r="K102" s="51"/>
      <c r="L102" s="51"/>
      <c r="M102" s="51"/>
      <c r="N102" s="2"/>
      <c r="O102" s="51"/>
      <c r="P102" s="51"/>
      <c r="Q102" s="51"/>
      <c r="R102" s="2"/>
      <c r="S102" s="51"/>
      <c r="T102" s="51"/>
      <c r="U102" s="51"/>
      <c r="V102" s="2"/>
      <c r="W102" s="51"/>
      <c r="X102" s="51"/>
      <c r="Y102" s="51"/>
      <c r="Z102" s="2"/>
      <c r="AA102" s="51"/>
      <c r="AB102" s="51"/>
      <c r="AC102" s="51"/>
      <c r="AD102" s="2"/>
      <c r="AE102" s="51"/>
      <c r="AF102" s="51"/>
      <c r="AG102" s="51"/>
      <c r="AH102" s="2"/>
      <c r="AI102" s="51"/>
      <c r="AJ102" s="51"/>
      <c r="AK102" s="51"/>
      <c r="AL102" s="2"/>
      <c r="AM102" s="51"/>
      <c r="AN102" s="51"/>
      <c r="AO102" s="51"/>
      <c r="AP102" s="2"/>
      <c r="AQ102" s="51"/>
      <c r="AR102" s="51"/>
      <c r="AS102" s="51"/>
      <c r="AT102" s="2"/>
      <c r="AU102" s="51"/>
      <c r="AV102" s="51"/>
      <c r="AW102" s="51"/>
      <c r="AX102" s="2"/>
      <c r="AY102" s="51"/>
      <c r="AZ102" s="51"/>
      <c r="BA102" s="51"/>
      <c r="BB102" s="2"/>
      <c r="BC102" s="51"/>
      <c r="BD102" s="51"/>
      <c r="BE102" s="51"/>
      <c r="BF102" s="2"/>
      <c r="BG102" s="51"/>
      <c r="BH102" s="51"/>
      <c r="BI102" s="51"/>
      <c r="BJ102" s="2"/>
      <c r="BK102" s="51"/>
      <c r="BL102" s="51"/>
      <c r="BM102" s="51"/>
      <c r="BN102" s="2"/>
      <c r="BO102" s="51"/>
      <c r="BP102" s="51"/>
      <c r="BQ102" s="51"/>
      <c r="BR102" s="2"/>
      <c r="BS102" s="51"/>
      <c r="BT102" s="51"/>
      <c r="BU102" s="51"/>
      <c r="BV102" s="2"/>
      <c r="BW102" s="51"/>
    </row>
    <row r="103" spans="1:75" x14ac:dyDescent="0.2">
      <c r="A103" s="51"/>
      <c r="B103" s="51"/>
      <c r="C103" s="51"/>
      <c r="D103" s="51"/>
      <c r="E103" s="51"/>
      <c r="F103" s="2"/>
      <c r="G103" s="51"/>
      <c r="H103" s="51"/>
      <c r="I103" s="51"/>
      <c r="J103" s="2"/>
      <c r="K103" s="51"/>
      <c r="L103" s="51"/>
      <c r="M103" s="51"/>
      <c r="N103" s="2"/>
      <c r="O103" s="51"/>
      <c r="P103" s="51"/>
      <c r="Q103" s="51"/>
      <c r="R103" s="2"/>
      <c r="S103" s="51"/>
      <c r="T103" s="51"/>
      <c r="U103" s="51"/>
      <c r="V103" s="2"/>
      <c r="W103" s="51"/>
      <c r="X103" s="51"/>
      <c r="Y103" s="51"/>
      <c r="Z103" s="2"/>
      <c r="AA103" s="51"/>
      <c r="AB103" s="51"/>
      <c r="AC103" s="51"/>
      <c r="AD103" s="2"/>
      <c r="AE103" s="51"/>
      <c r="AF103" s="51"/>
      <c r="AG103" s="51"/>
      <c r="AH103" s="2"/>
      <c r="AI103" s="51"/>
      <c r="AJ103" s="51"/>
      <c r="AK103" s="51"/>
      <c r="AL103" s="2"/>
      <c r="AM103" s="51"/>
      <c r="AN103" s="51"/>
      <c r="AO103" s="51"/>
      <c r="AP103" s="2"/>
      <c r="AQ103" s="51"/>
      <c r="AR103" s="51"/>
      <c r="AS103" s="51"/>
      <c r="AT103" s="2"/>
      <c r="AU103" s="51"/>
      <c r="AV103" s="51"/>
      <c r="AW103" s="51"/>
      <c r="AX103" s="2"/>
      <c r="AY103" s="51"/>
      <c r="AZ103" s="51"/>
      <c r="BA103" s="51"/>
      <c r="BB103" s="2"/>
      <c r="BC103" s="51"/>
      <c r="BD103" s="51"/>
      <c r="BE103" s="51"/>
      <c r="BF103" s="2"/>
      <c r="BG103" s="51"/>
      <c r="BH103" s="51"/>
      <c r="BI103" s="51"/>
      <c r="BJ103" s="2"/>
      <c r="BK103" s="51"/>
      <c r="BL103" s="51"/>
      <c r="BM103" s="51"/>
      <c r="BN103" s="2"/>
      <c r="BO103" s="51"/>
      <c r="BP103" s="51"/>
      <c r="BQ103" s="51"/>
      <c r="BR103" s="2"/>
      <c r="BS103" s="51"/>
      <c r="BT103" s="51"/>
      <c r="BU103" s="51"/>
      <c r="BV103" s="2"/>
      <c r="BW103" s="51"/>
    </row>
    <row r="104" spans="1:75" x14ac:dyDescent="0.2">
      <c r="A104" s="51"/>
      <c r="B104" s="51"/>
      <c r="C104" s="51"/>
      <c r="D104" s="51"/>
      <c r="E104" s="51"/>
      <c r="F104" s="2"/>
      <c r="G104" s="51"/>
      <c r="H104" s="51"/>
      <c r="I104" s="51"/>
      <c r="J104" s="2"/>
      <c r="K104" s="51"/>
      <c r="L104" s="51"/>
      <c r="M104" s="51"/>
      <c r="N104" s="2"/>
      <c r="O104" s="51"/>
      <c r="P104" s="51"/>
      <c r="Q104" s="51"/>
      <c r="R104" s="2"/>
      <c r="S104" s="51"/>
      <c r="T104" s="51"/>
      <c r="U104" s="51"/>
      <c r="V104" s="2"/>
      <c r="W104" s="51"/>
      <c r="X104" s="51"/>
      <c r="Y104" s="51"/>
      <c r="Z104" s="2"/>
      <c r="AA104" s="51"/>
      <c r="AB104" s="51"/>
      <c r="AC104" s="51"/>
      <c r="AD104" s="2"/>
      <c r="AE104" s="51"/>
      <c r="AF104" s="51"/>
      <c r="AG104" s="51"/>
      <c r="AH104" s="2"/>
      <c r="AI104" s="51"/>
      <c r="AJ104" s="51"/>
      <c r="AK104" s="51"/>
      <c r="AL104" s="2"/>
      <c r="AM104" s="51"/>
      <c r="AN104" s="51"/>
      <c r="AO104" s="51"/>
      <c r="AP104" s="2"/>
      <c r="AQ104" s="51"/>
      <c r="AR104" s="51"/>
      <c r="AS104" s="51"/>
      <c r="AT104" s="2"/>
      <c r="AU104" s="51"/>
      <c r="AV104" s="51"/>
      <c r="AW104" s="51"/>
      <c r="AX104" s="2"/>
      <c r="AY104" s="51"/>
      <c r="AZ104" s="51"/>
      <c r="BA104" s="51"/>
      <c r="BB104" s="2"/>
      <c r="BC104" s="51"/>
      <c r="BD104" s="51"/>
      <c r="BE104" s="51"/>
      <c r="BF104" s="2"/>
      <c r="BG104" s="51"/>
      <c r="BH104" s="51"/>
      <c r="BI104" s="51"/>
      <c r="BJ104" s="2"/>
      <c r="BK104" s="51"/>
      <c r="BL104" s="51"/>
      <c r="BM104" s="51"/>
      <c r="BN104" s="2"/>
      <c r="BO104" s="51"/>
      <c r="BP104" s="51"/>
      <c r="BQ104" s="51"/>
      <c r="BR104" s="2"/>
      <c r="BS104" s="51"/>
      <c r="BT104" s="51"/>
      <c r="BU104" s="51"/>
      <c r="BV104" s="2"/>
      <c r="BW104" s="51"/>
    </row>
    <row r="105" spans="1:75" x14ac:dyDescent="0.2">
      <c r="A105" s="51"/>
      <c r="B105" s="51"/>
      <c r="C105" s="51"/>
      <c r="D105" s="51"/>
      <c r="E105" s="51"/>
      <c r="F105" s="2"/>
      <c r="G105" s="51"/>
      <c r="H105" s="51"/>
      <c r="I105" s="51"/>
      <c r="J105" s="2"/>
      <c r="K105" s="51"/>
      <c r="L105" s="51"/>
      <c r="M105" s="51"/>
      <c r="N105" s="2"/>
      <c r="O105" s="51"/>
      <c r="P105" s="51"/>
      <c r="Q105" s="51"/>
      <c r="R105" s="2"/>
      <c r="S105" s="51"/>
      <c r="T105" s="51"/>
      <c r="U105" s="51"/>
      <c r="V105" s="2"/>
      <c r="W105" s="51"/>
      <c r="X105" s="51"/>
      <c r="Y105" s="51"/>
      <c r="Z105" s="2"/>
      <c r="AA105" s="51"/>
      <c r="AB105" s="51"/>
      <c r="AC105" s="51"/>
      <c r="AD105" s="2"/>
      <c r="AE105" s="51"/>
      <c r="AF105" s="51"/>
      <c r="AG105" s="51"/>
      <c r="AH105" s="2"/>
      <c r="AI105" s="51"/>
      <c r="AJ105" s="51"/>
      <c r="AK105" s="51"/>
      <c r="AL105" s="2"/>
      <c r="AM105" s="51"/>
      <c r="AN105" s="51"/>
      <c r="AO105" s="51"/>
      <c r="AP105" s="2"/>
      <c r="AQ105" s="51"/>
      <c r="AR105" s="51"/>
      <c r="AS105" s="51"/>
      <c r="AT105" s="2"/>
      <c r="AU105" s="51"/>
      <c r="AV105" s="51"/>
      <c r="AW105" s="51"/>
      <c r="AX105" s="2"/>
      <c r="AY105" s="51"/>
      <c r="AZ105" s="51"/>
      <c r="BA105" s="51"/>
      <c r="BB105" s="2"/>
      <c r="BC105" s="51"/>
      <c r="BD105" s="51"/>
      <c r="BE105" s="51"/>
      <c r="BF105" s="2"/>
      <c r="BG105" s="51"/>
      <c r="BH105" s="51"/>
      <c r="BI105" s="51"/>
      <c r="BJ105" s="2"/>
      <c r="BK105" s="51"/>
      <c r="BL105" s="51"/>
      <c r="BM105" s="51"/>
      <c r="BN105" s="2"/>
      <c r="BO105" s="51"/>
      <c r="BP105" s="51"/>
      <c r="BQ105" s="51"/>
      <c r="BR105" s="2"/>
      <c r="BS105" s="51"/>
      <c r="BT105" s="51"/>
      <c r="BU105" s="51"/>
      <c r="BV105" s="2"/>
      <c r="BW105" s="51"/>
    </row>
    <row r="106" spans="1:75" x14ac:dyDescent="0.2">
      <c r="A106" s="51"/>
      <c r="B106" s="51"/>
      <c r="C106" s="51"/>
      <c r="D106" s="51"/>
      <c r="E106" s="51"/>
      <c r="F106" s="2"/>
      <c r="G106" s="51"/>
      <c r="H106" s="51"/>
      <c r="I106" s="51"/>
      <c r="J106" s="2"/>
      <c r="K106" s="51"/>
      <c r="L106" s="51"/>
      <c r="M106" s="51"/>
      <c r="N106" s="2"/>
      <c r="O106" s="51"/>
      <c r="P106" s="51"/>
      <c r="Q106" s="51"/>
      <c r="R106" s="2"/>
      <c r="S106" s="51"/>
      <c r="T106" s="51"/>
      <c r="U106" s="51"/>
      <c r="V106" s="2"/>
      <c r="W106" s="51"/>
      <c r="X106" s="51"/>
      <c r="Y106" s="51"/>
      <c r="Z106" s="2"/>
      <c r="AA106" s="51"/>
      <c r="AB106" s="51"/>
      <c r="AC106" s="51"/>
      <c r="AD106" s="2"/>
      <c r="AE106" s="51"/>
      <c r="AF106" s="51"/>
      <c r="AG106" s="51"/>
      <c r="AH106" s="2"/>
      <c r="AI106" s="51"/>
      <c r="AJ106" s="51"/>
      <c r="AK106" s="51"/>
      <c r="AL106" s="2"/>
      <c r="AM106" s="51"/>
      <c r="AN106" s="51"/>
      <c r="AO106" s="51"/>
      <c r="AP106" s="2"/>
      <c r="AQ106" s="51"/>
      <c r="AR106" s="51"/>
      <c r="AS106" s="51"/>
      <c r="AT106" s="2"/>
      <c r="AU106" s="51"/>
      <c r="AV106" s="51"/>
      <c r="AW106" s="51"/>
      <c r="AX106" s="2"/>
      <c r="AY106" s="51"/>
      <c r="AZ106" s="51"/>
      <c r="BA106" s="51"/>
      <c r="BB106" s="2"/>
      <c r="BC106" s="51"/>
      <c r="BD106" s="51"/>
      <c r="BE106" s="51"/>
      <c r="BF106" s="2"/>
      <c r="BG106" s="51"/>
      <c r="BH106" s="51"/>
      <c r="BI106" s="51"/>
      <c r="BJ106" s="2"/>
      <c r="BK106" s="51"/>
      <c r="BL106" s="51"/>
      <c r="BM106" s="51"/>
      <c r="BN106" s="2"/>
      <c r="BO106" s="51"/>
      <c r="BP106" s="51"/>
      <c r="BQ106" s="51"/>
      <c r="BR106" s="2"/>
      <c r="BS106" s="51"/>
      <c r="BT106" s="51"/>
      <c r="BU106" s="51"/>
      <c r="BV106" s="2"/>
      <c r="BW106" s="51"/>
    </row>
    <row r="107" spans="1:75" x14ac:dyDescent="0.2">
      <c r="A107" s="51"/>
      <c r="B107" s="51"/>
      <c r="C107" s="51"/>
      <c r="D107" s="51"/>
      <c r="E107" s="51"/>
      <c r="F107" s="2"/>
      <c r="G107" s="51"/>
      <c r="H107" s="51"/>
      <c r="I107" s="51"/>
      <c r="J107" s="2"/>
      <c r="K107" s="51"/>
      <c r="L107" s="51"/>
      <c r="M107" s="51"/>
      <c r="N107" s="2"/>
      <c r="O107" s="51"/>
      <c r="P107" s="51"/>
      <c r="Q107" s="51"/>
      <c r="R107" s="2"/>
      <c r="S107" s="51"/>
      <c r="T107" s="51"/>
      <c r="U107" s="51"/>
      <c r="V107" s="2"/>
      <c r="W107" s="51"/>
      <c r="X107" s="51"/>
      <c r="Y107" s="51"/>
      <c r="Z107" s="2"/>
      <c r="AA107" s="51"/>
      <c r="AB107" s="51"/>
      <c r="AC107" s="51"/>
      <c r="AD107" s="2"/>
      <c r="AE107" s="51"/>
      <c r="AF107" s="51"/>
      <c r="AG107" s="51"/>
      <c r="AH107" s="2"/>
      <c r="AI107" s="51"/>
      <c r="AJ107" s="51"/>
      <c r="AK107" s="51"/>
      <c r="AL107" s="2"/>
      <c r="AM107" s="51"/>
      <c r="AN107" s="51"/>
      <c r="AO107" s="51"/>
      <c r="AP107" s="2"/>
      <c r="AQ107" s="51"/>
      <c r="AR107" s="51"/>
      <c r="AS107" s="51"/>
      <c r="AT107" s="2"/>
      <c r="AU107" s="51"/>
      <c r="AV107" s="51"/>
      <c r="AW107" s="51"/>
      <c r="AX107" s="2"/>
      <c r="AY107" s="51"/>
      <c r="AZ107" s="51"/>
      <c r="BA107" s="51"/>
      <c r="BB107" s="2"/>
      <c r="BC107" s="51"/>
      <c r="BD107" s="51"/>
      <c r="BE107" s="51"/>
      <c r="BF107" s="2"/>
      <c r="BG107" s="51"/>
      <c r="BH107" s="51"/>
      <c r="BI107" s="51"/>
      <c r="BJ107" s="2"/>
      <c r="BK107" s="51"/>
      <c r="BL107" s="51"/>
      <c r="BM107" s="51"/>
      <c r="BN107" s="2"/>
      <c r="BO107" s="51"/>
      <c r="BP107" s="51"/>
      <c r="BQ107" s="51"/>
      <c r="BR107" s="2"/>
      <c r="BS107" s="51"/>
      <c r="BT107" s="51"/>
      <c r="BU107" s="51"/>
      <c r="BV107" s="2"/>
      <c r="BW107" s="51"/>
    </row>
    <row r="108" spans="1:75" x14ac:dyDescent="0.2">
      <c r="A108" s="51"/>
      <c r="B108" s="51"/>
      <c r="C108" s="51"/>
      <c r="D108" s="51"/>
      <c r="E108" s="51"/>
      <c r="F108" s="2"/>
      <c r="G108" s="51"/>
      <c r="H108" s="51"/>
      <c r="I108" s="51"/>
      <c r="J108" s="2"/>
      <c r="K108" s="51"/>
      <c r="L108" s="51"/>
      <c r="M108" s="51"/>
      <c r="N108" s="2"/>
      <c r="O108" s="51"/>
      <c r="P108" s="51"/>
      <c r="Q108" s="51"/>
      <c r="R108" s="2"/>
      <c r="S108" s="51"/>
      <c r="T108" s="51"/>
      <c r="U108" s="51"/>
      <c r="V108" s="2"/>
      <c r="W108" s="51"/>
      <c r="X108" s="51"/>
      <c r="Y108" s="51"/>
      <c r="Z108" s="2"/>
      <c r="AA108" s="51"/>
      <c r="AB108" s="51"/>
      <c r="AC108" s="51"/>
      <c r="AD108" s="2"/>
      <c r="AE108" s="51"/>
      <c r="AF108" s="51"/>
      <c r="AG108" s="51"/>
      <c r="AH108" s="2"/>
      <c r="AI108" s="51"/>
      <c r="AJ108" s="51"/>
      <c r="AK108" s="51"/>
      <c r="AL108" s="2"/>
      <c r="AM108" s="51"/>
      <c r="AN108" s="51"/>
      <c r="AO108" s="51"/>
      <c r="AP108" s="2"/>
      <c r="AQ108" s="51"/>
      <c r="AR108" s="51"/>
      <c r="AS108" s="51"/>
      <c r="AT108" s="2"/>
      <c r="AU108" s="51"/>
      <c r="AV108" s="51"/>
      <c r="AW108" s="51"/>
      <c r="AX108" s="2"/>
      <c r="AY108" s="51"/>
      <c r="AZ108" s="51"/>
      <c r="BA108" s="51"/>
      <c r="BB108" s="2"/>
      <c r="BC108" s="51"/>
      <c r="BD108" s="51"/>
      <c r="BE108" s="51"/>
      <c r="BF108" s="2"/>
      <c r="BG108" s="51"/>
      <c r="BH108" s="51"/>
      <c r="BI108" s="51"/>
      <c r="BJ108" s="2"/>
      <c r="BK108" s="51"/>
      <c r="BL108" s="51"/>
      <c r="BM108" s="51"/>
      <c r="BN108" s="2"/>
      <c r="BO108" s="51"/>
      <c r="BP108" s="51"/>
      <c r="BQ108" s="51"/>
      <c r="BR108" s="2"/>
      <c r="BS108" s="51"/>
      <c r="BT108" s="51"/>
      <c r="BU108" s="51"/>
      <c r="BV108" s="2"/>
      <c r="BW108" s="51"/>
    </row>
    <row r="109" spans="1:75" x14ac:dyDescent="0.2">
      <c r="A109" s="51"/>
      <c r="B109" s="51"/>
      <c r="C109" s="51"/>
      <c r="D109" s="51"/>
      <c r="E109" s="51"/>
      <c r="F109" s="2"/>
      <c r="G109" s="51"/>
      <c r="H109" s="51"/>
      <c r="I109" s="51"/>
      <c r="J109" s="2"/>
      <c r="K109" s="51"/>
      <c r="L109" s="51"/>
      <c r="M109" s="51"/>
      <c r="N109" s="2"/>
      <c r="O109" s="51"/>
      <c r="P109" s="51"/>
      <c r="Q109" s="51"/>
      <c r="R109" s="2"/>
      <c r="S109" s="51"/>
      <c r="T109" s="51"/>
      <c r="U109" s="51"/>
      <c r="V109" s="2"/>
      <c r="W109" s="51"/>
      <c r="X109" s="51"/>
      <c r="Y109" s="51"/>
      <c r="Z109" s="2"/>
      <c r="AA109" s="51"/>
      <c r="AB109" s="51"/>
      <c r="AC109" s="51"/>
      <c r="AD109" s="2"/>
      <c r="AE109" s="51"/>
      <c r="AF109" s="51"/>
      <c r="AG109" s="51"/>
      <c r="AH109" s="2"/>
      <c r="AI109" s="51"/>
      <c r="AJ109" s="51"/>
      <c r="AK109" s="51"/>
      <c r="AL109" s="2"/>
      <c r="AM109" s="51"/>
      <c r="AN109" s="51"/>
      <c r="AO109" s="51"/>
      <c r="AP109" s="2"/>
      <c r="AQ109" s="51"/>
      <c r="AR109" s="51"/>
      <c r="AS109" s="51"/>
      <c r="AT109" s="2"/>
      <c r="AU109" s="51"/>
      <c r="AV109" s="51"/>
      <c r="AW109" s="51"/>
      <c r="AX109" s="2"/>
      <c r="AY109" s="51"/>
      <c r="AZ109" s="51"/>
      <c r="BA109" s="51"/>
      <c r="BB109" s="2"/>
      <c r="BC109" s="51"/>
      <c r="BD109" s="51"/>
      <c r="BE109" s="51"/>
      <c r="BF109" s="2"/>
      <c r="BG109" s="51"/>
      <c r="BH109" s="51"/>
      <c r="BI109" s="51"/>
      <c r="BJ109" s="2"/>
      <c r="BK109" s="51"/>
      <c r="BL109" s="51"/>
      <c r="BM109" s="51"/>
      <c r="BN109" s="2"/>
      <c r="BO109" s="51"/>
      <c r="BP109" s="51"/>
      <c r="BQ109" s="51"/>
      <c r="BR109" s="2"/>
      <c r="BS109" s="51"/>
      <c r="BT109" s="51"/>
      <c r="BU109" s="51"/>
      <c r="BV109" s="2"/>
      <c r="BW109" s="51"/>
    </row>
    <row r="110" spans="1:75" x14ac:dyDescent="0.2">
      <c r="A110" s="51"/>
      <c r="B110" s="51"/>
      <c r="C110" s="51"/>
      <c r="D110" s="51"/>
      <c r="E110" s="51"/>
      <c r="F110" s="2"/>
      <c r="G110" s="51"/>
      <c r="H110" s="51"/>
      <c r="I110" s="51"/>
      <c r="J110" s="2"/>
      <c r="K110" s="51"/>
      <c r="L110" s="51"/>
      <c r="M110" s="51"/>
      <c r="N110" s="2"/>
      <c r="O110" s="51"/>
      <c r="P110" s="51"/>
      <c r="Q110" s="51"/>
      <c r="R110" s="2"/>
      <c r="S110" s="51"/>
      <c r="T110" s="51"/>
      <c r="U110" s="51"/>
      <c r="V110" s="2"/>
      <c r="W110" s="51"/>
      <c r="X110" s="51"/>
      <c r="Y110" s="51"/>
      <c r="Z110" s="2"/>
      <c r="AA110" s="51"/>
      <c r="AB110" s="51"/>
      <c r="AC110" s="51"/>
      <c r="AD110" s="2"/>
      <c r="AE110" s="51"/>
      <c r="AF110" s="51"/>
      <c r="AG110" s="51"/>
      <c r="AH110" s="2"/>
      <c r="AI110" s="51"/>
      <c r="AJ110" s="51"/>
      <c r="AK110" s="51"/>
      <c r="AL110" s="2"/>
      <c r="AM110" s="51"/>
      <c r="AN110" s="51"/>
      <c r="AO110" s="51"/>
      <c r="AP110" s="2"/>
      <c r="AQ110" s="51"/>
      <c r="AR110" s="51"/>
      <c r="AS110" s="51"/>
      <c r="AT110" s="2"/>
      <c r="AU110" s="51"/>
      <c r="AV110" s="51"/>
      <c r="AW110" s="51"/>
      <c r="AX110" s="2"/>
      <c r="AY110" s="51"/>
      <c r="AZ110" s="51"/>
      <c r="BA110" s="51"/>
      <c r="BB110" s="2"/>
      <c r="BC110" s="51"/>
      <c r="BD110" s="51"/>
      <c r="BE110" s="51"/>
      <c r="BF110" s="2"/>
      <c r="BG110" s="51"/>
      <c r="BH110" s="51"/>
      <c r="BI110" s="51"/>
      <c r="BJ110" s="2"/>
      <c r="BK110" s="51"/>
      <c r="BL110" s="51"/>
      <c r="BM110" s="51"/>
      <c r="BN110" s="2"/>
      <c r="BO110" s="51"/>
      <c r="BP110" s="51"/>
      <c r="BQ110" s="51"/>
      <c r="BR110" s="2"/>
      <c r="BS110" s="51"/>
      <c r="BT110" s="51"/>
      <c r="BU110" s="51"/>
      <c r="BV110" s="2"/>
      <c r="BW110" s="51"/>
    </row>
    <row r="111" spans="1:75" x14ac:dyDescent="0.2">
      <c r="A111" s="51"/>
      <c r="B111" s="51"/>
      <c r="C111" s="51"/>
      <c r="D111" s="51"/>
      <c r="E111" s="51"/>
      <c r="F111" s="2"/>
      <c r="G111" s="51"/>
      <c r="H111" s="51"/>
      <c r="I111" s="51"/>
      <c r="J111" s="2"/>
      <c r="K111" s="51"/>
      <c r="L111" s="51"/>
      <c r="M111" s="51"/>
      <c r="N111" s="2"/>
      <c r="O111" s="51"/>
      <c r="P111" s="51"/>
      <c r="Q111" s="51"/>
      <c r="R111" s="2"/>
      <c r="S111" s="51"/>
      <c r="T111" s="51"/>
      <c r="U111" s="51"/>
      <c r="V111" s="2"/>
      <c r="W111" s="51"/>
      <c r="X111" s="51"/>
      <c r="Y111" s="51"/>
      <c r="Z111" s="2"/>
      <c r="AA111" s="51"/>
      <c r="AB111" s="51"/>
      <c r="AC111" s="51"/>
      <c r="AD111" s="2"/>
      <c r="AE111" s="51"/>
      <c r="AF111" s="51"/>
      <c r="AG111" s="51"/>
      <c r="AH111" s="2"/>
      <c r="AI111" s="51"/>
      <c r="AJ111" s="51"/>
      <c r="AK111" s="51"/>
      <c r="AL111" s="2"/>
      <c r="AM111" s="51"/>
      <c r="AN111" s="51"/>
      <c r="AO111" s="51"/>
      <c r="AP111" s="2"/>
      <c r="AQ111" s="51"/>
      <c r="AR111" s="51"/>
      <c r="AS111" s="51"/>
      <c r="AT111" s="2"/>
      <c r="AU111" s="51"/>
      <c r="AV111" s="51"/>
      <c r="AW111" s="51"/>
      <c r="AX111" s="2"/>
      <c r="AY111" s="51"/>
      <c r="AZ111" s="51"/>
      <c r="BA111" s="51"/>
      <c r="BB111" s="2"/>
      <c r="BC111" s="51"/>
      <c r="BD111" s="51"/>
      <c r="BE111" s="51"/>
      <c r="BF111" s="2"/>
      <c r="BG111" s="51"/>
      <c r="BH111" s="51"/>
      <c r="BI111" s="51"/>
      <c r="BJ111" s="2"/>
      <c r="BK111" s="51"/>
      <c r="BL111" s="51"/>
      <c r="BM111" s="51"/>
      <c r="BN111" s="2"/>
      <c r="BO111" s="51"/>
      <c r="BP111" s="51"/>
      <c r="BQ111" s="51"/>
      <c r="BR111" s="2"/>
      <c r="BS111" s="51"/>
      <c r="BT111" s="51"/>
      <c r="BU111" s="51"/>
      <c r="BV111" s="2"/>
      <c r="BW111" s="51"/>
    </row>
    <row r="112" spans="1:75" x14ac:dyDescent="0.2">
      <c r="A112" s="51"/>
      <c r="B112" s="51"/>
      <c r="C112" s="51"/>
      <c r="D112" s="51"/>
      <c r="E112" s="51"/>
      <c r="F112" s="2"/>
      <c r="G112" s="51"/>
      <c r="H112" s="51"/>
      <c r="I112" s="51"/>
      <c r="J112" s="2"/>
      <c r="K112" s="51"/>
      <c r="L112" s="51"/>
      <c r="M112" s="51"/>
      <c r="N112" s="2"/>
      <c r="O112" s="51"/>
      <c r="P112" s="51"/>
      <c r="Q112" s="51"/>
      <c r="R112" s="2"/>
      <c r="S112" s="51"/>
      <c r="T112" s="51"/>
      <c r="U112" s="51"/>
      <c r="V112" s="2"/>
      <c r="W112" s="51"/>
      <c r="X112" s="51"/>
      <c r="Y112" s="51"/>
      <c r="Z112" s="2"/>
      <c r="AA112" s="51"/>
      <c r="AB112" s="51"/>
      <c r="AC112" s="51"/>
      <c r="AD112" s="2"/>
      <c r="AE112" s="51"/>
      <c r="AF112" s="51"/>
      <c r="AG112" s="51"/>
      <c r="AH112" s="2"/>
      <c r="AI112" s="51"/>
      <c r="AJ112" s="51"/>
      <c r="AK112" s="51"/>
      <c r="AL112" s="2"/>
      <c r="AM112" s="51"/>
      <c r="AN112" s="51"/>
      <c r="AO112" s="51"/>
      <c r="AP112" s="2"/>
      <c r="AQ112" s="51"/>
      <c r="AR112" s="51"/>
      <c r="AS112" s="51"/>
      <c r="AT112" s="2"/>
      <c r="AU112" s="51"/>
      <c r="AV112" s="51"/>
      <c r="AW112" s="51"/>
      <c r="AX112" s="2"/>
      <c r="AY112" s="51"/>
      <c r="AZ112" s="51"/>
      <c r="BA112" s="51"/>
      <c r="BB112" s="2"/>
      <c r="BC112" s="51"/>
      <c r="BD112" s="51"/>
      <c r="BE112" s="51"/>
      <c r="BF112" s="2"/>
      <c r="BG112" s="51"/>
      <c r="BH112" s="51"/>
      <c r="BI112" s="51"/>
      <c r="BJ112" s="2"/>
      <c r="BK112" s="51"/>
      <c r="BL112" s="51"/>
      <c r="BM112" s="51"/>
      <c r="BN112" s="2"/>
      <c r="BO112" s="51"/>
      <c r="BP112" s="51"/>
      <c r="BQ112" s="51"/>
      <c r="BR112" s="2"/>
      <c r="BS112" s="51"/>
      <c r="BT112" s="51"/>
      <c r="BU112" s="51"/>
      <c r="BV112" s="2"/>
      <c r="BW112" s="51"/>
    </row>
    <row r="113" spans="1:75" x14ac:dyDescent="0.2">
      <c r="A113" s="51"/>
      <c r="B113" s="51"/>
      <c r="C113" s="51"/>
      <c r="D113" s="51"/>
      <c r="E113" s="51"/>
      <c r="F113" s="2"/>
      <c r="G113" s="51"/>
      <c r="H113" s="51"/>
      <c r="I113" s="51"/>
      <c r="J113" s="2"/>
      <c r="K113" s="51"/>
      <c r="L113" s="51"/>
      <c r="M113" s="51"/>
      <c r="N113" s="2"/>
      <c r="O113" s="51"/>
      <c r="P113" s="51"/>
      <c r="Q113" s="51"/>
      <c r="R113" s="2"/>
      <c r="S113" s="51"/>
      <c r="T113" s="51"/>
      <c r="U113" s="51"/>
      <c r="V113" s="2"/>
      <c r="W113" s="51"/>
      <c r="X113" s="51"/>
      <c r="Y113" s="51"/>
      <c r="Z113" s="2"/>
      <c r="AA113" s="51"/>
      <c r="AB113" s="51"/>
      <c r="AC113" s="51"/>
      <c r="AD113" s="2"/>
      <c r="AE113" s="51"/>
      <c r="AF113" s="51"/>
      <c r="AG113" s="51"/>
      <c r="AH113" s="2"/>
      <c r="AI113" s="51"/>
      <c r="AJ113" s="51"/>
      <c r="AK113" s="51"/>
      <c r="AL113" s="2"/>
      <c r="AM113" s="51"/>
      <c r="AN113" s="51"/>
      <c r="AO113" s="51"/>
      <c r="AP113" s="2"/>
      <c r="AQ113" s="51"/>
      <c r="AR113" s="51"/>
      <c r="AS113" s="51"/>
      <c r="AT113" s="2"/>
      <c r="AU113" s="51"/>
      <c r="AV113" s="51"/>
      <c r="AW113" s="51"/>
      <c r="AX113" s="2"/>
      <c r="AY113" s="51"/>
      <c r="AZ113" s="51"/>
      <c r="BA113" s="51"/>
      <c r="BB113" s="2"/>
      <c r="BC113" s="51"/>
      <c r="BD113" s="51"/>
      <c r="BE113" s="51"/>
      <c r="BF113" s="2"/>
      <c r="BG113" s="51"/>
      <c r="BH113" s="51"/>
      <c r="BI113" s="51"/>
      <c r="BJ113" s="2"/>
      <c r="BK113" s="51"/>
      <c r="BL113" s="51"/>
      <c r="BM113" s="51"/>
      <c r="BN113" s="2"/>
      <c r="BO113" s="51"/>
      <c r="BP113" s="51"/>
      <c r="BQ113" s="51"/>
      <c r="BR113" s="2"/>
      <c r="BS113" s="51"/>
      <c r="BT113" s="51"/>
      <c r="BU113" s="51"/>
      <c r="BV113" s="2"/>
      <c r="BW113" s="51"/>
    </row>
    <row r="114" spans="1:75" x14ac:dyDescent="0.2">
      <c r="A114" s="51"/>
      <c r="B114" s="51"/>
      <c r="C114" s="51"/>
      <c r="D114" s="51"/>
      <c r="E114" s="51"/>
      <c r="F114" s="2"/>
      <c r="G114" s="51"/>
      <c r="H114" s="51"/>
      <c r="I114" s="51"/>
      <c r="J114" s="2"/>
      <c r="K114" s="51"/>
      <c r="L114" s="51"/>
      <c r="M114" s="51"/>
      <c r="N114" s="2"/>
      <c r="O114" s="51"/>
      <c r="P114" s="51"/>
      <c r="Q114" s="51"/>
      <c r="R114" s="2"/>
      <c r="S114" s="51"/>
      <c r="T114" s="51"/>
      <c r="U114" s="51"/>
      <c r="V114" s="2"/>
      <c r="W114" s="51"/>
      <c r="X114" s="51"/>
      <c r="Y114" s="51"/>
      <c r="Z114" s="2"/>
      <c r="AA114" s="51"/>
      <c r="AB114" s="51"/>
      <c r="AC114" s="51"/>
      <c r="AD114" s="2"/>
      <c r="AE114" s="51"/>
      <c r="AF114" s="51"/>
      <c r="AG114" s="51"/>
      <c r="AH114" s="2"/>
      <c r="AI114" s="51"/>
      <c r="AJ114" s="51"/>
      <c r="AK114" s="51"/>
      <c r="AL114" s="2"/>
      <c r="AM114" s="51"/>
      <c r="AN114" s="51"/>
      <c r="AO114" s="51"/>
      <c r="AP114" s="2"/>
      <c r="AQ114" s="51"/>
      <c r="AR114" s="51"/>
      <c r="AS114" s="51"/>
      <c r="AT114" s="2"/>
      <c r="AU114" s="51"/>
      <c r="AV114" s="51"/>
      <c r="AW114" s="51"/>
      <c r="AX114" s="2"/>
      <c r="AY114" s="51"/>
      <c r="AZ114" s="51"/>
      <c r="BA114" s="51"/>
      <c r="BB114" s="2"/>
      <c r="BC114" s="51"/>
      <c r="BD114" s="51"/>
      <c r="BE114" s="51"/>
      <c r="BF114" s="2"/>
      <c r="BG114" s="51"/>
      <c r="BH114" s="51"/>
      <c r="BI114" s="51"/>
      <c r="BJ114" s="2"/>
      <c r="BK114" s="51"/>
      <c r="BL114" s="51"/>
      <c r="BM114" s="51"/>
      <c r="BN114" s="2"/>
      <c r="BO114" s="51"/>
      <c r="BP114" s="51"/>
      <c r="BQ114" s="51"/>
      <c r="BR114" s="2"/>
      <c r="BS114" s="51"/>
      <c r="BT114" s="51"/>
      <c r="BU114" s="51"/>
      <c r="BV114" s="2"/>
      <c r="BW114" s="51"/>
    </row>
    <row r="115" spans="1:75" x14ac:dyDescent="0.2">
      <c r="A115" s="51"/>
      <c r="B115" s="51"/>
      <c r="C115" s="51"/>
      <c r="D115" s="51"/>
      <c r="E115" s="51"/>
      <c r="F115" s="2"/>
      <c r="G115" s="51"/>
      <c r="H115" s="51"/>
      <c r="I115" s="51"/>
      <c r="J115" s="2"/>
      <c r="K115" s="51"/>
      <c r="L115" s="51"/>
      <c r="M115" s="51"/>
      <c r="N115" s="2"/>
      <c r="O115" s="51"/>
      <c r="P115" s="51"/>
      <c r="Q115" s="51"/>
      <c r="R115" s="2"/>
      <c r="S115" s="51"/>
      <c r="T115" s="51"/>
      <c r="U115" s="51"/>
      <c r="V115" s="2"/>
      <c r="W115" s="51"/>
      <c r="X115" s="51"/>
      <c r="Y115" s="51"/>
      <c r="Z115" s="2"/>
      <c r="AA115" s="51"/>
      <c r="AB115" s="51"/>
      <c r="AC115" s="51"/>
      <c r="AD115" s="2"/>
      <c r="AE115" s="51"/>
      <c r="AF115" s="51"/>
      <c r="AG115" s="51"/>
      <c r="AH115" s="2"/>
      <c r="AI115" s="51"/>
      <c r="AJ115" s="51"/>
      <c r="AK115" s="51"/>
      <c r="AL115" s="2"/>
      <c r="AM115" s="51"/>
      <c r="AN115" s="51"/>
      <c r="AO115" s="51"/>
      <c r="AP115" s="2"/>
      <c r="AQ115" s="51"/>
      <c r="AR115" s="51"/>
      <c r="AS115" s="51"/>
      <c r="AT115" s="2"/>
      <c r="AU115" s="51"/>
      <c r="AV115" s="51"/>
      <c r="AW115" s="51"/>
      <c r="AX115" s="2"/>
      <c r="AY115" s="51"/>
      <c r="AZ115" s="51"/>
      <c r="BA115" s="51"/>
      <c r="BB115" s="2"/>
      <c r="BC115" s="51"/>
      <c r="BD115" s="51"/>
      <c r="BE115" s="51"/>
      <c r="BF115" s="2"/>
      <c r="BG115" s="51"/>
      <c r="BH115" s="51"/>
      <c r="BI115" s="51"/>
      <c r="BJ115" s="2"/>
      <c r="BK115" s="51"/>
      <c r="BL115" s="51"/>
      <c r="BM115" s="51"/>
      <c r="BN115" s="2"/>
      <c r="BO115" s="51"/>
      <c r="BP115" s="51"/>
      <c r="BQ115" s="51"/>
      <c r="BR115" s="2"/>
      <c r="BS115" s="51"/>
      <c r="BT115" s="51"/>
      <c r="BU115" s="51"/>
      <c r="BV115" s="2"/>
      <c r="BW115" s="51"/>
    </row>
    <row r="116" spans="1:75" x14ac:dyDescent="0.2">
      <c r="A116" s="51"/>
      <c r="B116" s="51"/>
      <c r="C116" s="51"/>
      <c r="D116" s="51"/>
      <c r="E116" s="51"/>
      <c r="F116" s="2"/>
      <c r="G116" s="51"/>
      <c r="H116" s="51"/>
      <c r="I116" s="51"/>
      <c r="J116" s="2"/>
      <c r="K116" s="51"/>
      <c r="L116" s="51"/>
      <c r="M116" s="51"/>
      <c r="N116" s="2"/>
      <c r="O116" s="51"/>
      <c r="P116" s="51"/>
      <c r="Q116" s="51"/>
      <c r="R116" s="2"/>
      <c r="S116" s="51"/>
      <c r="T116" s="51"/>
      <c r="U116" s="51"/>
      <c r="V116" s="2"/>
      <c r="W116" s="51"/>
      <c r="X116" s="51"/>
      <c r="Y116" s="51"/>
      <c r="Z116" s="2"/>
      <c r="AA116" s="51"/>
      <c r="AB116" s="51"/>
      <c r="AC116" s="51"/>
      <c r="AD116" s="2"/>
      <c r="AE116" s="51"/>
      <c r="AF116" s="51"/>
      <c r="AG116" s="51"/>
      <c r="AH116" s="2"/>
      <c r="AI116" s="51"/>
      <c r="AJ116" s="51"/>
      <c r="AK116" s="51"/>
      <c r="AL116" s="2"/>
      <c r="AM116" s="51"/>
      <c r="AN116" s="51"/>
      <c r="AO116" s="51"/>
      <c r="AP116" s="2"/>
      <c r="AQ116" s="51"/>
      <c r="AR116" s="51"/>
      <c r="AS116" s="51"/>
      <c r="AT116" s="2"/>
      <c r="AU116" s="51"/>
      <c r="AV116" s="51"/>
      <c r="AW116" s="51"/>
      <c r="AX116" s="2"/>
      <c r="AY116" s="51"/>
      <c r="AZ116" s="51"/>
      <c r="BA116" s="51"/>
      <c r="BB116" s="2"/>
      <c r="BC116" s="51"/>
      <c r="BD116" s="51"/>
      <c r="BE116" s="51"/>
      <c r="BF116" s="2"/>
      <c r="BG116" s="51"/>
      <c r="BH116" s="51"/>
      <c r="BI116" s="51"/>
      <c r="BJ116" s="2"/>
      <c r="BK116" s="51"/>
      <c r="BL116" s="51"/>
      <c r="BM116" s="51"/>
      <c r="BN116" s="2"/>
      <c r="BO116" s="51"/>
      <c r="BP116" s="51"/>
      <c r="BQ116" s="51"/>
      <c r="BR116" s="2"/>
      <c r="BS116" s="51"/>
      <c r="BT116" s="51"/>
      <c r="BU116" s="51"/>
      <c r="BV116" s="2"/>
      <c r="BW116" s="51"/>
    </row>
    <row r="117" spans="1:75" x14ac:dyDescent="0.2">
      <c r="A117" s="51"/>
      <c r="B117" s="51"/>
      <c r="C117" s="51"/>
      <c r="D117" s="51"/>
      <c r="E117" s="51"/>
      <c r="F117" s="2"/>
      <c r="G117" s="51"/>
      <c r="H117" s="51"/>
      <c r="I117" s="51"/>
      <c r="J117" s="2"/>
      <c r="K117" s="51"/>
      <c r="L117" s="51"/>
      <c r="M117" s="51"/>
      <c r="N117" s="2"/>
      <c r="O117" s="51"/>
      <c r="P117" s="51"/>
      <c r="Q117" s="51"/>
      <c r="R117" s="2"/>
      <c r="S117" s="51"/>
      <c r="T117" s="51"/>
      <c r="U117" s="51"/>
      <c r="V117" s="2"/>
      <c r="W117" s="51"/>
      <c r="X117" s="51"/>
      <c r="Y117" s="51"/>
      <c r="Z117" s="2"/>
      <c r="AA117" s="51"/>
      <c r="AB117" s="51"/>
      <c r="AC117" s="51"/>
      <c r="AD117" s="2"/>
      <c r="AE117" s="51"/>
      <c r="AF117" s="51"/>
      <c r="AG117" s="51"/>
      <c r="AH117" s="2"/>
      <c r="AI117" s="51"/>
      <c r="AJ117" s="51"/>
      <c r="AK117" s="51"/>
      <c r="AL117" s="2"/>
      <c r="AM117" s="51"/>
      <c r="AN117" s="51"/>
      <c r="AO117" s="51"/>
      <c r="AP117" s="2"/>
      <c r="AQ117" s="51"/>
      <c r="AR117" s="51"/>
      <c r="AS117" s="51"/>
      <c r="AT117" s="2"/>
      <c r="AU117" s="51"/>
      <c r="AV117" s="51"/>
      <c r="AW117" s="51"/>
      <c r="AX117" s="2"/>
      <c r="AY117" s="51"/>
      <c r="AZ117" s="51"/>
      <c r="BA117" s="51"/>
      <c r="BB117" s="2"/>
      <c r="BC117" s="51"/>
      <c r="BD117" s="51"/>
      <c r="BE117" s="51"/>
      <c r="BF117" s="2"/>
      <c r="BG117" s="51"/>
      <c r="BH117" s="51"/>
      <c r="BI117" s="51"/>
      <c r="BJ117" s="2"/>
      <c r="BK117" s="51"/>
      <c r="BL117" s="51"/>
      <c r="BM117" s="51"/>
      <c r="BN117" s="2"/>
      <c r="BO117" s="51"/>
      <c r="BP117" s="51"/>
      <c r="BQ117" s="51"/>
      <c r="BR117" s="2"/>
      <c r="BS117" s="51"/>
      <c r="BT117" s="51"/>
      <c r="BU117" s="51"/>
      <c r="BV117" s="2"/>
      <c r="BW117" s="51"/>
    </row>
    <row r="118" spans="1:75" x14ac:dyDescent="0.2">
      <c r="A118" s="51"/>
      <c r="B118" s="51"/>
      <c r="C118" s="51"/>
      <c r="D118" s="51"/>
      <c r="E118" s="51"/>
      <c r="F118" s="2"/>
      <c r="G118" s="51"/>
      <c r="H118" s="51"/>
      <c r="I118" s="51"/>
      <c r="J118" s="2"/>
      <c r="K118" s="51"/>
      <c r="L118" s="51"/>
      <c r="M118" s="51"/>
      <c r="N118" s="2"/>
      <c r="O118" s="51"/>
      <c r="P118" s="51"/>
      <c r="Q118" s="51"/>
      <c r="R118" s="2"/>
      <c r="S118" s="51"/>
      <c r="T118" s="51"/>
      <c r="U118" s="51"/>
      <c r="V118" s="2"/>
      <c r="W118" s="51"/>
      <c r="X118" s="51"/>
      <c r="Y118" s="51"/>
      <c r="Z118" s="2"/>
      <c r="AA118" s="51"/>
      <c r="AB118" s="51"/>
      <c r="AC118" s="51"/>
      <c r="AD118" s="2"/>
      <c r="AE118" s="51"/>
      <c r="AF118" s="51"/>
      <c r="AG118" s="51"/>
      <c r="AH118" s="2"/>
      <c r="AI118" s="51"/>
      <c r="AJ118" s="51"/>
      <c r="AK118" s="51"/>
      <c r="AL118" s="2"/>
      <c r="AM118" s="51"/>
      <c r="AN118" s="51"/>
      <c r="AO118" s="51"/>
      <c r="AP118" s="2"/>
      <c r="AQ118" s="51"/>
      <c r="AR118" s="51"/>
      <c r="AS118" s="51"/>
      <c r="AT118" s="2"/>
      <c r="AU118" s="51"/>
      <c r="AV118" s="51"/>
      <c r="AW118" s="51"/>
      <c r="AX118" s="2"/>
      <c r="AY118" s="51"/>
      <c r="AZ118" s="51"/>
      <c r="BA118" s="51"/>
      <c r="BB118" s="2"/>
      <c r="BC118" s="51"/>
      <c r="BD118" s="51"/>
      <c r="BE118" s="51"/>
      <c r="BF118" s="2"/>
      <c r="BG118" s="51"/>
      <c r="BH118" s="51"/>
      <c r="BI118" s="51"/>
      <c r="BJ118" s="2"/>
      <c r="BK118" s="51"/>
      <c r="BL118" s="51"/>
      <c r="BM118" s="51"/>
      <c r="BN118" s="2"/>
      <c r="BO118" s="51"/>
      <c r="BP118" s="51"/>
      <c r="BQ118" s="51"/>
      <c r="BR118" s="2"/>
      <c r="BS118" s="51"/>
      <c r="BT118" s="51"/>
      <c r="BU118" s="51"/>
      <c r="BV118" s="2"/>
      <c r="BW118" s="51"/>
    </row>
    <row r="119" spans="1:75" x14ac:dyDescent="0.2">
      <c r="A119" s="51"/>
      <c r="B119" s="51"/>
      <c r="C119" s="51"/>
      <c r="D119" s="51"/>
      <c r="E119" s="51"/>
      <c r="F119" s="2"/>
      <c r="G119" s="51"/>
      <c r="H119" s="51"/>
      <c r="I119" s="51"/>
      <c r="J119" s="2"/>
      <c r="K119" s="51"/>
      <c r="L119" s="51"/>
      <c r="M119" s="51"/>
      <c r="N119" s="2"/>
      <c r="O119" s="51"/>
      <c r="P119" s="51"/>
      <c r="Q119" s="51"/>
      <c r="R119" s="2"/>
      <c r="S119" s="51"/>
      <c r="T119" s="51"/>
      <c r="U119" s="51"/>
      <c r="V119" s="2"/>
      <c r="W119" s="51"/>
      <c r="X119" s="51"/>
      <c r="Y119" s="51"/>
      <c r="Z119" s="2"/>
      <c r="AA119" s="51"/>
      <c r="AB119" s="51"/>
      <c r="AC119" s="51"/>
      <c r="AD119" s="2"/>
      <c r="AE119" s="51"/>
      <c r="AF119" s="51"/>
      <c r="AG119" s="51"/>
      <c r="AH119" s="2"/>
      <c r="AI119" s="51"/>
      <c r="AJ119" s="51"/>
      <c r="AK119" s="51"/>
      <c r="AL119" s="2"/>
      <c r="AM119" s="51"/>
      <c r="AN119" s="51"/>
      <c r="AO119" s="51"/>
      <c r="AP119" s="2"/>
      <c r="AQ119" s="51"/>
      <c r="AR119" s="51"/>
      <c r="AS119" s="51"/>
      <c r="AT119" s="2"/>
      <c r="AU119" s="51"/>
      <c r="AV119" s="51"/>
      <c r="AW119" s="51"/>
      <c r="AX119" s="2"/>
      <c r="AY119" s="51"/>
      <c r="AZ119" s="51"/>
      <c r="BA119" s="51"/>
      <c r="BB119" s="2"/>
      <c r="BC119" s="51"/>
      <c r="BD119" s="51"/>
      <c r="BE119" s="51"/>
      <c r="BF119" s="2"/>
      <c r="BG119" s="51"/>
      <c r="BH119" s="51"/>
      <c r="BI119" s="51"/>
      <c r="BJ119" s="2"/>
      <c r="BK119" s="51"/>
      <c r="BL119" s="51"/>
      <c r="BM119" s="51"/>
      <c r="BN119" s="2"/>
      <c r="BO119" s="51"/>
      <c r="BP119" s="51"/>
      <c r="BQ119" s="51"/>
      <c r="BR119" s="2"/>
      <c r="BS119" s="51"/>
      <c r="BT119" s="51"/>
      <c r="BU119" s="51"/>
      <c r="BV119" s="2"/>
      <c r="BW119" s="51"/>
    </row>
    <row r="120" spans="1:75" x14ac:dyDescent="0.2">
      <c r="A120" s="51"/>
      <c r="B120" s="51"/>
      <c r="C120" s="51"/>
      <c r="D120" s="51"/>
      <c r="E120" s="51"/>
      <c r="F120" s="2"/>
      <c r="G120" s="51"/>
      <c r="H120" s="51"/>
      <c r="I120" s="51"/>
      <c r="J120" s="2"/>
      <c r="K120" s="51"/>
      <c r="L120" s="51"/>
      <c r="M120" s="51"/>
      <c r="N120" s="2"/>
      <c r="O120" s="51"/>
      <c r="P120" s="51"/>
      <c r="Q120" s="51"/>
      <c r="R120" s="2"/>
      <c r="S120" s="51"/>
      <c r="T120" s="51"/>
      <c r="U120" s="51"/>
      <c r="V120" s="2"/>
      <c r="W120" s="51"/>
      <c r="X120" s="51"/>
      <c r="Y120" s="51"/>
      <c r="Z120" s="2"/>
      <c r="AA120" s="51"/>
      <c r="AB120" s="51"/>
      <c r="AC120" s="51"/>
      <c r="AD120" s="2"/>
      <c r="AE120" s="51"/>
      <c r="AF120" s="51"/>
      <c r="AG120" s="51"/>
      <c r="AH120" s="2"/>
      <c r="AI120" s="51"/>
      <c r="AJ120" s="51"/>
      <c r="AK120" s="51"/>
      <c r="AL120" s="2"/>
      <c r="AM120" s="51"/>
      <c r="AN120" s="51"/>
      <c r="AO120" s="51"/>
      <c r="AP120" s="2"/>
      <c r="AQ120" s="51"/>
      <c r="AR120" s="51"/>
      <c r="AS120" s="51"/>
      <c r="AT120" s="2"/>
      <c r="AU120" s="51"/>
      <c r="AV120" s="51"/>
      <c r="AW120" s="51"/>
      <c r="AX120" s="2"/>
      <c r="AY120" s="51"/>
      <c r="AZ120" s="51"/>
      <c r="BA120" s="51"/>
      <c r="BB120" s="2"/>
      <c r="BC120" s="51"/>
      <c r="BD120" s="51"/>
      <c r="BE120" s="51"/>
      <c r="BF120" s="2"/>
      <c r="BG120" s="51"/>
      <c r="BH120" s="51"/>
      <c r="BI120" s="51"/>
      <c r="BJ120" s="2"/>
      <c r="BK120" s="51"/>
      <c r="BL120" s="51"/>
      <c r="BM120" s="51"/>
      <c r="BN120" s="2"/>
      <c r="BO120" s="51"/>
      <c r="BP120" s="51"/>
      <c r="BQ120" s="51"/>
      <c r="BR120" s="2"/>
      <c r="BS120" s="51"/>
      <c r="BT120" s="51"/>
      <c r="BU120" s="51"/>
      <c r="BV120" s="2"/>
      <c r="BW120" s="51"/>
    </row>
    <row r="121" spans="1:75" x14ac:dyDescent="0.2">
      <c r="A121" s="51"/>
      <c r="B121" s="51"/>
      <c r="C121" s="51"/>
      <c r="D121" s="51"/>
      <c r="E121" s="51"/>
      <c r="F121" s="2"/>
      <c r="G121" s="51"/>
      <c r="H121" s="51"/>
      <c r="I121" s="51"/>
      <c r="J121" s="2"/>
      <c r="K121" s="51"/>
      <c r="L121" s="51"/>
      <c r="M121" s="51"/>
      <c r="N121" s="2"/>
      <c r="O121" s="51"/>
      <c r="P121" s="51"/>
      <c r="Q121" s="51"/>
      <c r="R121" s="2"/>
      <c r="S121" s="51"/>
      <c r="T121" s="51"/>
      <c r="U121" s="51"/>
      <c r="V121" s="2"/>
      <c r="W121" s="51"/>
      <c r="X121" s="51"/>
      <c r="Y121" s="51"/>
      <c r="Z121" s="2"/>
      <c r="AA121" s="51"/>
      <c r="AB121" s="51"/>
      <c r="AC121" s="51"/>
      <c r="AD121" s="2"/>
      <c r="AE121" s="51"/>
      <c r="AF121" s="51"/>
      <c r="AG121" s="51"/>
      <c r="AH121" s="2"/>
      <c r="AI121" s="51"/>
      <c r="AJ121" s="51"/>
      <c r="AK121" s="51"/>
      <c r="AL121" s="2"/>
      <c r="AM121" s="51"/>
      <c r="AN121" s="51"/>
      <c r="AO121" s="51"/>
      <c r="AP121" s="2"/>
      <c r="AQ121" s="51"/>
      <c r="AR121" s="51"/>
      <c r="AS121" s="51"/>
      <c r="AT121" s="2"/>
      <c r="AU121" s="51"/>
      <c r="AV121" s="51"/>
      <c r="AW121" s="51"/>
      <c r="AX121" s="2"/>
      <c r="AY121" s="51"/>
      <c r="AZ121" s="51"/>
      <c r="BA121" s="51"/>
      <c r="BB121" s="2"/>
      <c r="BC121" s="51"/>
      <c r="BD121" s="51"/>
      <c r="BE121" s="51"/>
      <c r="BF121" s="2"/>
      <c r="BG121" s="51"/>
      <c r="BH121" s="51"/>
      <c r="BI121" s="51"/>
      <c r="BJ121" s="2"/>
      <c r="BK121" s="51"/>
      <c r="BL121" s="51"/>
      <c r="BM121" s="51"/>
      <c r="BN121" s="2"/>
      <c r="BO121" s="51"/>
      <c r="BP121" s="51"/>
      <c r="BQ121" s="51"/>
      <c r="BR121" s="2"/>
      <c r="BS121" s="51"/>
      <c r="BT121" s="51"/>
      <c r="BU121" s="51"/>
      <c r="BV121" s="2"/>
      <c r="BW121" s="51"/>
    </row>
    <row r="122" spans="1:75" x14ac:dyDescent="0.2">
      <c r="A122" s="51"/>
      <c r="B122" s="51"/>
      <c r="C122" s="51"/>
      <c r="D122" s="51"/>
      <c r="E122" s="51"/>
      <c r="F122" s="2"/>
      <c r="G122" s="51"/>
      <c r="H122" s="51"/>
      <c r="I122" s="51"/>
      <c r="J122" s="2"/>
      <c r="K122" s="51"/>
      <c r="L122" s="51"/>
      <c r="M122" s="51"/>
      <c r="N122" s="2"/>
      <c r="O122" s="51"/>
      <c r="P122" s="51"/>
      <c r="Q122" s="51"/>
      <c r="R122" s="2"/>
      <c r="S122" s="51"/>
      <c r="T122" s="51"/>
      <c r="U122" s="51"/>
      <c r="V122" s="2"/>
      <c r="W122" s="51"/>
      <c r="X122" s="51"/>
      <c r="Y122" s="51"/>
      <c r="Z122" s="2"/>
      <c r="AA122" s="51"/>
      <c r="AB122" s="51"/>
      <c r="AC122" s="51"/>
      <c r="AD122" s="2"/>
      <c r="AE122" s="51"/>
      <c r="AF122" s="51"/>
      <c r="AG122" s="51"/>
      <c r="AH122" s="2"/>
      <c r="AI122" s="51"/>
      <c r="AJ122" s="51"/>
      <c r="AK122" s="51"/>
      <c r="AL122" s="2"/>
      <c r="AM122" s="51"/>
      <c r="AN122" s="51"/>
      <c r="AO122" s="51"/>
      <c r="AP122" s="2"/>
      <c r="AQ122" s="51"/>
      <c r="AR122" s="51"/>
      <c r="AS122" s="51"/>
      <c r="AT122" s="2"/>
      <c r="AU122" s="51"/>
      <c r="AV122" s="51"/>
      <c r="AW122" s="51"/>
      <c r="AX122" s="2"/>
      <c r="AY122" s="51"/>
      <c r="AZ122" s="51"/>
      <c r="BA122" s="51"/>
      <c r="BB122" s="2"/>
      <c r="BC122" s="51"/>
      <c r="BD122" s="51"/>
      <c r="BE122" s="51"/>
      <c r="BF122" s="2"/>
      <c r="BG122" s="51"/>
      <c r="BH122" s="51"/>
      <c r="BI122" s="51"/>
      <c r="BJ122" s="2"/>
      <c r="BK122" s="51"/>
      <c r="BL122" s="51"/>
      <c r="BM122" s="51"/>
      <c r="BN122" s="2"/>
      <c r="BO122" s="51"/>
      <c r="BP122" s="51"/>
      <c r="BQ122" s="51"/>
      <c r="BR122" s="2"/>
      <c r="BS122" s="51"/>
      <c r="BT122" s="51"/>
      <c r="BU122" s="51"/>
      <c r="BV122" s="2"/>
      <c r="BW122" s="51"/>
    </row>
    <row r="123" spans="1:75" x14ac:dyDescent="0.2">
      <c r="A123" s="51"/>
      <c r="B123" s="51"/>
      <c r="C123" s="51"/>
      <c r="D123" s="51"/>
      <c r="E123" s="51"/>
      <c r="F123" s="2"/>
      <c r="G123" s="51"/>
      <c r="H123" s="51"/>
      <c r="I123" s="51"/>
      <c r="J123" s="2"/>
      <c r="K123" s="51"/>
      <c r="L123" s="51"/>
      <c r="M123" s="51"/>
      <c r="N123" s="2"/>
      <c r="O123" s="51"/>
      <c r="P123" s="51"/>
      <c r="Q123" s="51"/>
      <c r="R123" s="2"/>
      <c r="S123" s="51"/>
      <c r="T123" s="51"/>
      <c r="U123" s="51"/>
      <c r="V123" s="2"/>
      <c r="W123" s="51"/>
      <c r="X123" s="51"/>
      <c r="Y123" s="51"/>
      <c r="Z123" s="2"/>
      <c r="AA123" s="51"/>
      <c r="AB123" s="51"/>
      <c r="AC123" s="51"/>
      <c r="AD123" s="2"/>
      <c r="AE123" s="51"/>
      <c r="AF123" s="51"/>
      <c r="AG123" s="51"/>
      <c r="AH123" s="2"/>
      <c r="AI123" s="51"/>
      <c r="AJ123" s="51"/>
      <c r="AK123" s="51"/>
      <c r="AL123" s="2"/>
      <c r="AM123" s="51"/>
      <c r="AN123" s="51"/>
      <c r="AO123" s="51"/>
      <c r="AP123" s="2"/>
      <c r="AQ123" s="51"/>
      <c r="AR123" s="51"/>
      <c r="AS123" s="51"/>
      <c r="AT123" s="2"/>
      <c r="AU123" s="51"/>
      <c r="AV123" s="51"/>
      <c r="AW123" s="51"/>
      <c r="AX123" s="2"/>
      <c r="AY123" s="51"/>
      <c r="AZ123" s="51"/>
      <c r="BA123" s="51"/>
      <c r="BB123" s="2"/>
      <c r="BC123" s="51"/>
      <c r="BD123" s="51"/>
      <c r="BE123" s="51"/>
      <c r="BF123" s="2"/>
      <c r="BG123" s="51"/>
      <c r="BH123" s="51"/>
      <c r="BI123" s="51"/>
      <c r="BJ123" s="2"/>
      <c r="BK123" s="51"/>
      <c r="BL123" s="51"/>
      <c r="BM123" s="51"/>
      <c r="BN123" s="2"/>
      <c r="BO123" s="51"/>
      <c r="BP123" s="51"/>
      <c r="BQ123" s="51"/>
      <c r="BR123" s="2"/>
      <c r="BS123" s="51"/>
      <c r="BT123" s="51"/>
      <c r="BU123" s="51"/>
      <c r="BV123" s="2"/>
      <c r="BW123" s="51"/>
    </row>
    <row r="124" spans="1:75" x14ac:dyDescent="0.2">
      <c r="A124" s="51"/>
      <c r="B124" s="51"/>
      <c r="C124" s="51"/>
      <c r="D124" s="51"/>
      <c r="E124" s="51"/>
      <c r="F124" s="2"/>
      <c r="G124" s="51"/>
      <c r="H124" s="51"/>
      <c r="I124" s="51"/>
      <c r="J124" s="2"/>
      <c r="K124" s="51"/>
      <c r="L124" s="51"/>
      <c r="M124" s="51"/>
      <c r="N124" s="2"/>
      <c r="O124" s="51"/>
      <c r="P124" s="51"/>
      <c r="Q124" s="51"/>
      <c r="R124" s="2"/>
      <c r="S124" s="51"/>
      <c r="T124" s="51"/>
      <c r="U124" s="51"/>
      <c r="V124" s="2"/>
      <c r="W124" s="51"/>
      <c r="X124" s="51"/>
      <c r="Y124" s="51"/>
      <c r="Z124" s="2"/>
      <c r="AA124" s="51"/>
      <c r="AB124" s="51"/>
      <c r="AC124" s="51"/>
      <c r="AD124" s="2"/>
      <c r="AE124" s="51"/>
      <c r="AF124" s="51"/>
      <c r="AG124" s="51"/>
      <c r="AH124" s="2"/>
      <c r="AI124" s="51"/>
      <c r="AJ124" s="51"/>
      <c r="AK124" s="51"/>
      <c r="AL124" s="2"/>
      <c r="AM124" s="51"/>
      <c r="AN124" s="51"/>
      <c r="AO124" s="51"/>
      <c r="AP124" s="2"/>
      <c r="AQ124" s="51"/>
      <c r="AR124" s="51"/>
      <c r="AS124" s="51"/>
      <c r="AT124" s="2"/>
      <c r="AU124" s="51"/>
      <c r="AV124" s="51"/>
      <c r="AW124" s="51"/>
      <c r="AX124" s="2"/>
      <c r="AY124" s="51"/>
      <c r="AZ124" s="51"/>
      <c r="BA124" s="51"/>
      <c r="BB124" s="2"/>
      <c r="BC124" s="51"/>
      <c r="BD124" s="51"/>
      <c r="BE124" s="51"/>
      <c r="BF124" s="2"/>
      <c r="BG124" s="51"/>
      <c r="BH124" s="51"/>
      <c r="BI124" s="51"/>
      <c r="BJ124" s="2"/>
      <c r="BK124" s="51"/>
      <c r="BL124" s="51"/>
      <c r="BM124" s="51"/>
      <c r="BN124" s="2"/>
      <c r="BO124" s="51"/>
      <c r="BP124" s="51"/>
      <c r="BQ124" s="51"/>
      <c r="BR124" s="2"/>
      <c r="BS124" s="51"/>
      <c r="BT124" s="51"/>
      <c r="BU124" s="51"/>
      <c r="BV124" s="2"/>
      <c r="BW124" s="51"/>
    </row>
    <row r="125" spans="1:75" x14ac:dyDescent="0.2">
      <c r="A125" s="51"/>
      <c r="B125" s="51"/>
      <c r="C125" s="51"/>
      <c r="D125" s="51"/>
      <c r="E125" s="51"/>
      <c r="F125" s="2"/>
      <c r="G125" s="51"/>
      <c r="H125" s="51"/>
      <c r="I125" s="51"/>
      <c r="J125" s="2"/>
      <c r="K125" s="51"/>
      <c r="L125" s="51"/>
      <c r="M125" s="51"/>
      <c r="N125" s="2"/>
      <c r="O125" s="51"/>
      <c r="P125" s="51"/>
      <c r="Q125" s="51"/>
      <c r="R125" s="2"/>
      <c r="S125" s="51"/>
      <c r="T125" s="51"/>
      <c r="U125" s="51"/>
      <c r="V125" s="2"/>
      <c r="W125" s="51"/>
      <c r="X125" s="51"/>
      <c r="Y125" s="51"/>
      <c r="Z125" s="2"/>
      <c r="AA125" s="51"/>
      <c r="AB125" s="51"/>
      <c r="AC125" s="51"/>
      <c r="AD125" s="2"/>
      <c r="AE125" s="51"/>
      <c r="AF125" s="51"/>
      <c r="AG125" s="51"/>
      <c r="AH125" s="2"/>
      <c r="AI125" s="51"/>
      <c r="AJ125" s="51"/>
      <c r="AK125" s="51"/>
      <c r="AL125" s="2"/>
      <c r="AM125" s="51"/>
      <c r="AN125" s="51"/>
      <c r="AO125" s="51"/>
      <c r="AP125" s="2"/>
      <c r="AQ125" s="51"/>
      <c r="AR125" s="51"/>
      <c r="AS125" s="51"/>
      <c r="AT125" s="2"/>
      <c r="AU125" s="51"/>
      <c r="AV125" s="51"/>
      <c r="AW125" s="51"/>
      <c r="AX125" s="2"/>
      <c r="AY125" s="51"/>
      <c r="AZ125" s="51"/>
      <c r="BA125" s="51"/>
      <c r="BB125" s="2"/>
      <c r="BC125" s="51"/>
      <c r="BD125" s="51"/>
      <c r="BE125" s="51"/>
      <c r="BF125" s="2"/>
      <c r="BG125" s="51"/>
      <c r="BH125" s="51"/>
      <c r="BI125" s="51"/>
      <c r="BJ125" s="2"/>
      <c r="BK125" s="51"/>
      <c r="BL125" s="51"/>
      <c r="BM125" s="51"/>
      <c r="BN125" s="2"/>
      <c r="BO125" s="51"/>
      <c r="BP125" s="51"/>
      <c r="BQ125" s="51"/>
      <c r="BR125" s="2"/>
      <c r="BS125" s="51"/>
      <c r="BT125" s="51"/>
      <c r="BU125" s="51"/>
      <c r="BV125" s="2"/>
      <c r="BW125" s="51"/>
    </row>
    <row r="126" spans="1:75" x14ac:dyDescent="0.2">
      <c r="A126" s="51"/>
      <c r="B126" s="51"/>
      <c r="C126" s="51"/>
      <c r="D126" s="51"/>
      <c r="E126" s="51"/>
      <c r="F126" s="2"/>
      <c r="G126" s="51"/>
      <c r="H126" s="51"/>
      <c r="I126" s="51"/>
      <c r="J126" s="2"/>
      <c r="K126" s="51"/>
      <c r="L126" s="51"/>
      <c r="M126" s="51"/>
      <c r="N126" s="2"/>
      <c r="O126" s="51"/>
      <c r="P126" s="51"/>
      <c r="Q126" s="51"/>
      <c r="R126" s="2"/>
      <c r="S126" s="51"/>
      <c r="T126" s="51"/>
      <c r="U126" s="51"/>
      <c r="V126" s="2"/>
      <c r="W126" s="51"/>
      <c r="X126" s="51"/>
      <c r="Y126" s="51"/>
      <c r="Z126" s="2"/>
      <c r="AA126" s="51"/>
      <c r="AB126" s="51"/>
      <c r="AC126" s="51"/>
      <c r="AD126" s="2"/>
      <c r="AE126" s="51"/>
      <c r="AF126" s="51"/>
      <c r="AG126" s="51"/>
      <c r="AH126" s="2"/>
      <c r="AI126" s="51"/>
      <c r="AJ126" s="51"/>
      <c r="AK126" s="51"/>
      <c r="AL126" s="2"/>
      <c r="AM126" s="51"/>
      <c r="AN126" s="51"/>
      <c r="AO126" s="51"/>
      <c r="AP126" s="2"/>
      <c r="AQ126" s="51"/>
      <c r="AR126" s="51"/>
      <c r="AS126" s="51"/>
      <c r="AT126" s="2"/>
      <c r="AU126" s="51"/>
      <c r="AV126" s="51"/>
      <c r="AW126" s="51"/>
      <c r="AX126" s="2"/>
      <c r="AY126" s="51"/>
      <c r="AZ126" s="51"/>
      <c r="BA126" s="51"/>
      <c r="BB126" s="2"/>
      <c r="BC126" s="51"/>
      <c r="BD126" s="51"/>
      <c r="BE126" s="51"/>
      <c r="BF126" s="2"/>
      <c r="BG126" s="51"/>
      <c r="BH126" s="51"/>
      <c r="BI126" s="51"/>
      <c r="BJ126" s="2"/>
      <c r="BK126" s="51"/>
      <c r="BL126" s="51"/>
      <c r="BM126" s="51"/>
      <c r="BN126" s="2"/>
      <c r="BO126" s="51"/>
      <c r="BP126" s="51"/>
      <c r="BQ126" s="51"/>
      <c r="BR126" s="2"/>
      <c r="BS126" s="51"/>
      <c r="BT126" s="51"/>
      <c r="BU126" s="51"/>
      <c r="BV126" s="2"/>
      <c r="BW126" s="51"/>
    </row>
    <row r="127" spans="1:75" x14ac:dyDescent="0.2">
      <c r="A127" s="51"/>
      <c r="B127" s="51"/>
      <c r="C127" s="51"/>
      <c r="D127" s="51"/>
      <c r="E127" s="51"/>
      <c r="F127" s="2"/>
      <c r="G127" s="51"/>
      <c r="H127" s="51"/>
      <c r="I127" s="51"/>
      <c r="J127" s="2"/>
      <c r="K127" s="51"/>
      <c r="L127" s="51"/>
      <c r="M127" s="51"/>
      <c r="N127" s="2"/>
      <c r="O127" s="51"/>
      <c r="P127" s="51"/>
      <c r="Q127" s="51"/>
      <c r="R127" s="2"/>
      <c r="S127" s="51"/>
      <c r="T127" s="51"/>
      <c r="U127" s="51"/>
      <c r="V127" s="2"/>
      <c r="W127" s="51"/>
      <c r="X127" s="51"/>
      <c r="Y127" s="51"/>
      <c r="Z127" s="2"/>
      <c r="AA127" s="51"/>
      <c r="AB127" s="51"/>
      <c r="AC127" s="51"/>
      <c r="AD127" s="2"/>
      <c r="AE127" s="51"/>
      <c r="AF127" s="51"/>
      <c r="AG127" s="51"/>
      <c r="AH127" s="2"/>
      <c r="AI127" s="51"/>
      <c r="AJ127" s="51"/>
      <c r="AK127" s="51"/>
      <c r="AL127" s="2"/>
      <c r="AM127" s="51"/>
      <c r="AN127" s="51"/>
      <c r="AO127" s="51"/>
      <c r="AP127" s="2"/>
      <c r="AQ127" s="51"/>
      <c r="AR127" s="51"/>
      <c r="AS127" s="51"/>
      <c r="AT127" s="2"/>
      <c r="AU127" s="51"/>
      <c r="AV127" s="51"/>
      <c r="AW127" s="51"/>
      <c r="AX127" s="2"/>
      <c r="AY127" s="51"/>
      <c r="AZ127" s="51"/>
      <c r="BA127" s="51"/>
      <c r="BB127" s="2"/>
      <c r="BC127" s="51"/>
      <c r="BD127" s="51"/>
      <c r="BE127" s="51"/>
      <c r="BF127" s="2"/>
      <c r="BG127" s="51"/>
      <c r="BH127" s="51"/>
      <c r="BI127" s="51"/>
      <c r="BJ127" s="2"/>
      <c r="BK127" s="51"/>
      <c r="BL127" s="51"/>
      <c r="BM127" s="51"/>
      <c r="BN127" s="2"/>
      <c r="BO127" s="51"/>
      <c r="BP127" s="51"/>
      <c r="BQ127" s="51"/>
      <c r="BR127" s="2"/>
      <c r="BS127" s="51"/>
      <c r="BT127" s="51"/>
      <c r="BU127" s="51"/>
      <c r="BV127" s="2"/>
      <c r="BW127" s="51"/>
    </row>
    <row r="128" spans="1:75" x14ac:dyDescent="0.2">
      <c r="A128" s="51"/>
      <c r="B128" s="51"/>
      <c r="C128" s="51"/>
      <c r="D128" s="51"/>
      <c r="E128" s="51"/>
      <c r="F128" s="2"/>
      <c r="G128" s="51"/>
      <c r="H128" s="51"/>
      <c r="I128" s="51"/>
      <c r="J128" s="2"/>
      <c r="K128" s="51"/>
      <c r="L128" s="51"/>
      <c r="M128" s="51"/>
      <c r="N128" s="2"/>
      <c r="O128" s="51"/>
      <c r="P128" s="51"/>
      <c r="Q128" s="51"/>
      <c r="R128" s="2"/>
      <c r="S128" s="51"/>
      <c r="T128" s="51"/>
      <c r="U128" s="51"/>
      <c r="V128" s="2"/>
      <c r="W128" s="51"/>
      <c r="X128" s="51"/>
      <c r="Y128" s="51"/>
      <c r="Z128" s="2"/>
      <c r="AA128" s="51"/>
      <c r="AB128" s="51"/>
      <c r="AC128" s="51"/>
      <c r="AD128" s="2"/>
      <c r="AE128" s="51"/>
      <c r="AF128" s="51"/>
      <c r="AG128" s="51"/>
      <c r="AH128" s="2"/>
      <c r="AI128" s="51"/>
      <c r="AJ128" s="51"/>
      <c r="AK128" s="51"/>
      <c r="AL128" s="2"/>
      <c r="AM128" s="51"/>
      <c r="AN128" s="51"/>
      <c r="AO128" s="51"/>
      <c r="AP128" s="2"/>
      <c r="AQ128" s="51"/>
      <c r="AR128" s="51"/>
      <c r="AS128" s="51"/>
      <c r="AT128" s="2"/>
      <c r="AU128" s="51"/>
      <c r="AV128" s="51"/>
      <c r="AW128" s="51"/>
      <c r="AX128" s="2"/>
      <c r="AY128" s="51"/>
      <c r="AZ128" s="51"/>
      <c r="BA128" s="51"/>
      <c r="BB128" s="2"/>
      <c r="BC128" s="51"/>
      <c r="BD128" s="51"/>
      <c r="BE128" s="51"/>
      <c r="BF128" s="2"/>
      <c r="BG128" s="51"/>
      <c r="BH128" s="51"/>
      <c r="BI128" s="51"/>
      <c r="BJ128" s="2"/>
      <c r="BK128" s="51"/>
      <c r="BL128" s="51"/>
      <c r="BM128" s="51"/>
      <c r="BN128" s="2"/>
      <c r="BO128" s="51"/>
      <c r="BP128" s="51"/>
      <c r="BQ128" s="51"/>
      <c r="BR128" s="2"/>
      <c r="BS128" s="51"/>
      <c r="BT128" s="51"/>
      <c r="BU128" s="51"/>
      <c r="BV128" s="2"/>
      <c r="BW128" s="51"/>
    </row>
    <row r="129" spans="1:75" x14ac:dyDescent="0.2">
      <c r="A129" s="51"/>
      <c r="B129" s="51"/>
      <c r="C129" s="51"/>
      <c r="D129" s="51"/>
      <c r="E129" s="51"/>
      <c r="F129" s="2"/>
      <c r="G129" s="51"/>
      <c r="H129" s="51"/>
      <c r="I129" s="51"/>
      <c r="J129" s="2"/>
      <c r="K129" s="51"/>
      <c r="L129" s="51"/>
      <c r="M129" s="51"/>
      <c r="N129" s="2"/>
      <c r="O129" s="51"/>
      <c r="P129" s="51"/>
      <c r="Q129" s="51"/>
      <c r="R129" s="2"/>
      <c r="S129" s="51"/>
      <c r="T129" s="51"/>
      <c r="U129" s="51"/>
      <c r="V129" s="2"/>
      <c r="W129" s="51"/>
      <c r="X129" s="51"/>
      <c r="Y129" s="51"/>
      <c r="Z129" s="2"/>
      <c r="AA129" s="51"/>
      <c r="AB129" s="51"/>
      <c r="AC129" s="51"/>
      <c r="AD129" s="2"/>
      <c r="AE129" s="51"/>
      <c r="AF129" s="51"/>
      <c r="AG129" s="51"/>
      <c r="AH129" s="2"/>
      <c r="AI129" s="51"/>
      <c r="AJ129" s="51"/>
      <c r="AK129" s="51"/>
      <c r="AL129" s="2"/>
      <c r="AM129" s="51"/>
      <c r="AN129" s="51"/>
      <c r="AO129" s="51"/>
      <c r="AP129" s="2"/>
      <c r="AQ129" s="51"/>
      <c r="AR129" s="51"/>
      <c r="AS129" s="51"/>
      <c r="AT129" s="2"/>
      <c r="AU129" s="51"/>
      <c r="AV129" s="51"/>
      <c r="AW129" s="51"/>
      <c r="AX129" s="2"/>
      <c r="AY129" s="51"/>
      <c r="AZ129" s="51"/>
      <c r="BA129" s="51"/>
      <c r="BB129" s="2"/>
      <c r="BC129" s="51"/>
      <c r="BD129" s="51"/>
      <c r="BE129" s="51"/>
      <c r="BF129" s="2"/>
      <c r="BG129" s="51"/>
      <c r="BH129" s="51"/>
      <c r="BI129" s="51"/>
      <c r="BJ129" s="2"/>
      <c r="BK129" s="51"/>
      <c r="BL129" s="51"/>
      <c r="BM129" s="51"/>
      <c r="BN129" s="2"/>
      <c r="BO129" s="51"/>
      <c r="BP129" s="51"/>
      <c r="BQ129" s="51"/>
      <c r="BR129" s="2"/>
      <c r="BS129" s="51"/>
      <c r="BT129" s="51"/>
      <c r="BU129" s="51"/>
      <c r="BV129" s="2"/>
      <c r="BW129" s="51"/>
    </row>
    <row r="130" spans="1:75" x14ac:dyDescent="0.2">
      <c r="A130" s="51"/>
      <c r="B130" s="51"/>
      <c r="C130" s="51"/>
      <c r="D130" s="51"/>
      <c r="E130" s="51"/>
      <c r="F130" s="2"/>
      <c r="G130" s="51"/>
      <c r="H130" s="51"/>
      <c r="I130" s="51"/>
      <c r="J130" s="2"/>
      <c r="K130" s="51"/>
      <c r="L130" s="51"/>
      <c r="M130" s="51"/>
      <c r="N130" s="2"/>
      <c r="O130" s="51"/>
      <c r="P130" s="51"/>
      <c r="Q130" s="51"/>
      <c r="R130" s="2"/>
      <c r="S130" s="51"/>
      <c r="T130" s="51"/>
      <c r="U130" s="51"/>
      <c r="V130" s="2"/>
      <c r="W130" s="51"/>
      <c r="X130" s="51"/>
      <c r="Y130" s="51"/>
      <c r="Z130" s="2"/>
      <c r="AA130" s="51"/>
      <c r="AB130" s="51"/>
      <c r="AC130" s="51"/>
      <c r="AD130" s="2"/>
      <c r="AE130" s="51"/>
      <c r="AF130" s="51"/>
      <c r="AG130" s="51"/>
      <c r="AH130" s="2"/>
      <c r="AI130" s="51"/>
      <c r="AJ130" s="51"/>
      <c r="AK130" s="51"/>
      <c r="AL130" s="2"/>
      <c r="AM130" s="51"/>
      <c r="AN130" s="51"/>
      <c r="AO130" s="51"/>
      <c r="AP130" s="2"/>
      <c r="AQ130" s="51"/>
      <c r="AR130" s="51"/>
      <c r="AS130" s="51"/>
      <c r="AT130" s="2"/>
      <c r="AU130" s="51"/>
      <c r="AV130" s="51"/>
      <c r="AW130" s="51"/>
      <c r="AX130" s="2"/>
      <c r="AY130" s="51"/>
      <c r="AZ130" s="51"/>
      <c r="BA130" s="51"/>
      <c r="BB130" s="2"/>
      <c r="BC130" s="51"/>
      <c r="BD130" s="51"/>
      <c r="BE130" s="51"/>
      <c r="BF130" s="2"/>
      <c r="BG130" s="51"/>
      <c r="BH130" s="51"/>
      <c r="BI130" s="51"/>
      <c r="BJ130" s="2"/>
      <c r="BK130" s="51"/>
      <c r="BL130" s="51"/>
      <c r="BM130" s="51"/>
      <c r="BN130" s="2"/>
      <c r="BO130" s="51"/>
      <c r="BP130" s="51"/>
      <c r="BQ130" s="51"/>
      <c r="BR130" s="2"/>
      <c r="BS130" s="51"/>
      <c r="BT130" s="51"/>
      <c r="BU130" s="51"/>
      <c r="BV130" s="2"/>
      <c r="BW130" s="51"/>
    </row>
    <row r="131" spans="1:75" x14ac:dyDescent="0.2">
      <c r="A131" s="51"/>
      <c r="B131" s="51"/>
      <c r="C131" s="51"/>
      <c r="D131" s="51"/>
      <c r="E131" s="51"/>
      <c r="F131" s="2"/>
      <c r="G131" s="51"/>
      <c r="H131" s="51"/>
      <c r="I131" s="51"/>
      <c r="J131" s="2"/>
      <c r="K131" s="51"/>
      <c r="L131" s="51"/>
      <c r="M131" s="51"/>
      <c r="N131" s="2"/>
      <c r="O131" s="51"/>
      <c r="P131" s="51"/>
      <c r="Q131" s="51"/>
      <c r="R131" s="2"/>
      <c r="S131" s="51"/>
      <c r="T131" s="51"/>
      <c r="U131" s="51"/>
      <c r="V131" s="2"/>
      <c r="W131" s="51"/>
      <c r="X131" s="51"/>
      <c r="Y131" s="51"/>
      <c r="Z131" s="2"/>
      <c r="AA131" s="51"/>
      <c r="AB131" s="51"/>
      <c r="AC131" s="51"/>
      <c r="AD131" s="2"/>
      <c r="AE131" s="51"/>
      <c r="AF131" s="51"/>
      <c r="AG131" s="51"/>
      <c r="AH131" s="2"/>
      <c r="AI131" s="51"/>
      <c r="AJ131" s="51"/>
      <c r="AK131" s="51"/>
      <c r="AL131" s="2"/>
      <c r="AM131" s="51"/>
      <c r="AN131" s="51"/>
      <c r="AO131" s="51"/>
      <c r="AP131" s="2"/>
      <c r="AQ131" s="51"/>
      <c r="AR131" s="51"/>
      <c r="AS131" s="51"/>
      <c r="AT131" s="2"/>
      <c r="AU131" s="51"/>
      <c r="AV131" s="51"/>
      <c r="AW131" s="51"/>
      <c r="AX131" s="2"/>
      <c r="AY131" s="51"/>
      <c r="AZ131" s="51"/>
      <c r="BA131" s="51"/>
      <c r="BB131" s="2"/>
      <c r="BC131" s="51"/>
      <c r="BD131" s="51"/>
      <c r="BE131" s="51"/>
      <c r="BF131" s="2"/>
      <c r="BG131" s="51"/>
      <c r="BH131" s="51"/>
      <c r="BI131" s="51"/>
      <c r="BJ131" s="2"/>
      <c r="BK131" s="51"/>
      <c r="BL131" s="51"/>
      <c r="BM131" s="51"/>
      <c r="BN131" s="2"/>
      <c r="BO131" s="51"/>
      <c r="BP131" s="51"/>
      <c r="BQ131" s="51"/>
      <c r="BR131" s="2"/>
      <c r="BS131" s="51"/>
      <c r="BT131" s="51"/>
      <c r="BU131" s="51"/>
      <c r="BV131" s="2"/>
      <c r="BW131" s="51"/>
    </row>
    <row r="132" spans="1:75" x14ac:dyDescent="0.2">
      <c r="A132" s="51"/>
      <c r="B132" s="51"/>
      <c r="C132" s="51"/>
      <c r="D132" s="51"/>
      <c r="E132" s="51"/>
      <c r="F132" s="2"/>
      <c r="G132" s="51"/>
      <c r="H132" s="51"/>
      <c r="I132" s="51"/>
      <c r="J132" s="2"/>
      <c r="K132" s="51"/>
      <c r="L132" s="51"/>
      <c r="M132" s="51"/>
      <c r="N132" s="2"/>
      <c r="O132" s="51"/>
      <c r="P132" s="51"/>
      <c r="Q132" s="51"/>
      <c r="R132" s="2"/>
      <c r="S132" s="51"/>
      <c r="T132" s="51"/>
      <c r="U132" s="51"/>
      <c r="V132" s="2"/>
      <c r="W132" s="51"/>
      <c r="X132" s="51"/>
      <c r="Y132" s="51"/>
      <c r="Z132" s="2"/>
      <c r="AA132" s="51"/>
      <c r="AB132" s="51"/>
      <c r="AC132" s="51"/>
      <c r="AD132" s="2"/>
      <c r="AE132" s="51"/>
      <c r="AF132" s="51"/>
      <c r="AG132" s="51"/>
      <c r="AH132" s="2"/>
      <c r="AI132" s="51"/>
      <c r="AJ132" s="51"/>
      <c r="AK132" s="51"/>
      <c r="AL132" s="2"/>
      <c r="AM132" s="51"/>
      <c r="AN132" s="51"/>
      <c r="AO132" s="51"/>
      <c r="AP132" s="2"/>
      <c r="AQ132" s="51"/>
      <c r="AR132" s="51"/>
      <c r="AS132" s="51"/>
      <c r="AT132" s="2"/>
      <c r="AU132" s="51"/>
      <c r="AV132" s="51"/>
      <c r="AW132" s="51"/>
      <c r="AX132" s="2"/>
      <c r="AY132" s="51"/>
      <c r="AZ132" s="51"/>
      <c r="BA132" s="51"/>
      <c r="BB132" s="2"/>
      <c r="BC132" s="51"/>
      <c r="BD132" s="51"/>
      <c r="BE132" s="51"/>
      <c r="BF132" s="2"/>
      <c r="BG132" s="51"/>
      <c r="BH132" s="51"/>
      <c r="BI132" s="51"/>
      <c r="BJ132" s="2"/>
      <c r="BK132" s="51"/>
      <c r="BL132" s="51"/>
      <c r="BM132" s="51"/>
      <c r="BN132" s="2"/>
      <c r="BO132" s="51"/>
      <c r="BP132" s="51"/>
      <c r="BQ132" s="51"/>
      <c r="BR132" s="2"/>
      <c r="BS132" s="51"/>
      <c r="BT132" s="51"/>
      <c r="BU132" s="51"/>
      <c r="BV132" s="2"/>
      <c r="BW132" s="51"/>
    </row>
    <row r="133" spans="1:75" x14ac:dyDescent="0.2">
      <c r="A133" s="51"/>
      <c r="B133" s="51"/>
      <c r="C133" s="51"/>
      <c r="D133" s="51"/>
      <c r="E133" s="51"/>
      <c r="F133" s="2"/>
      <c r="G133" s="51"/>
      <c r="H133" s="51"/>
      <c r="I133" s="51"/>
      <c r="J133" s="2"/>
      <c r="K133" s="51"/>
      <c r="L133" s="51"/>
      <c r="M133" s="51"/>
      <c r="N133" s="2"/>
      <c r="O133" s="51"/>
      <c r="P133" s="51"/>
      <c r="Q133" s="51"/>
      <c r="R133" s="2"/>
      <c r="S133" s="51"/>
      <c r="T133" s="51"/>
      <c r="U133" s="51"/>
      <c r="V133" s="2"/>
      <c r="W133" s="51"/>
      <c r="X133" s="51"/>
      <c r="Y133" s="51"/>
      <c r="Z133" s="2"/>
      <c r="AA133" s="51"/>
      <c r="AB133" s="51"/>
      <c r="AC133" s="51"/>
      <c r="AD133" s="2"/>
      <c r="AE133" s="51"/>
      <c r="AF133" s="51"/>
      <c r="AG133" s="51"/>
      <c r="AH133" s="2"/>
      <c r="AI133" s="51"/>
      <c r="AJ133" s="51"/>
      <c r="AK133" s="51"/>
      <c r="AL133" s="2"/>
      <c r="AM133" s="51"/>
      <c r="AN133" s="51"/>
      <c r="AO133" s="51"/>
      <c r="AP133" s="2"/>
      <c r="AQ133" s="51"/>
      <c r="AR133" s="51"/>
      <c r="AS133" s="51"/>
      <c r="AT133" s="2"/>
      <c r="AU133" s="51"/>
      <c r="AV133" s="51"/>
      <c r="AW133" s="51"/>
      <c r="AX133" s="2"/>
      <c r="AY133" s="51"/>
      <c r="AZ133" s="51"/>
      <c r="BA133" s="51"/>
      <c r="BB133" s="2"/>
      <c r="BC133" s="51"/>
      <c r="BD133" s="51"/>
      <c r="BE133" s="51"/>
      <c r="BF133" s="2"/>
      <c r="BG133" s="51"/>
      <c r="BH133" s="51"/>
      <c r="BI133" s="51"/>
      <c r="BJ133" s="2"/>
      <c r="BK133" s="51"/>
      <c r="BL133" s="51"/>
      <c r="BM133" s="51"/>
      <c r="BN133" s="2"/>
      <c r="BO133" s="51"/>
      <c r="BP133" s="51"/>
      <c r="BQ133" s="51"/>
      <c r="BR133" s="2"/>
      <c r="BS133" s="51"/>
      <c r="BT133" s="51"/>
      <c r="BU133" s="51"/>
      <c r="BV133" s="2"/>
      <c r="BW133" s="51"/>
    </row>
    <row r="134" spans="1:75" x14ac:dyDescent="0.2">
      <c r="A134" s="51"/>
      <c r="B134" s="51"/>
      <c r="C134" s="51"/>
      <c r="D134" s="51"/>
      <c r="E134" s="51"/>
      <c r="F134" s="2"/>
      <c r="G134" s="51"/>
      <c r="H134" s="51"/>
      <c r="I134" s="51"/>
      <c r="J134" s="2"/>
      <c r="K134" s="51"/>
      <c r="L134" s="51"/>
      <c r="M134" s="51"/>
      <c r="N134" s="2"/>
      <c r="O134" s="51"/>
      <c r="P134" s="51"/>
      <c r="Q134" s="51"/>
      <c r="R134" s="2"/>
      <c r="S134" s="51"/>
      <c r="T134" s="51"/>
      <c r="U134" s="51"/>
      <c r="V134" s="2"/>
      <c r="W134" s="51"/>
      <c r="X134" s="51"/>
      <c r="Y134" s="51"/>
      <c r="Z134" s="2"/>
      <c r="AA134" s="51"/>
      <c r="AB134" s="51"/>
      <c r="AC134" s="51"/>
      <c r="AD134" s="2"/>
      <c r="AE134" s="51"/>
      <c r="AF134" s="51"/>
      <c r="AG134" s="51"/>
      <c r="AH134" s="2"/>
      <c r="AI134" s="51"/>
      <c r="AJ134" s="51"/>
      <c r="AK134" s="51"/>
      <c r="AL134" s="2"/>
      <c r="AM134" s="51"/>
      <c r="AN134" s="51"/>
      <c r="AO134" s="51"/>
      <c r="AP134" s="2"/>
      <c r="AQ134" s="51"/>
      <c r="AR134" s="51"/>
      <c r="AS134" s="51"/>
      <c r="AT134" s="2"/>
      <c r="AU134" s="51"/>
      <c r="AV134" s="51"/>
      <c r="AW134" s="51"/>
      <c r="AX134" s="2"/>
      <c r="AY134" s="51"/>
      <c r="AZ134" s="51"/>
      <c r="BA134" s="51"/>
      <c r="BB134" s="2"/>
      <c r="BC134" s="51"/>
      <c r="BD134" s="51"/>
      <c r="BE134" s="51"/>
      <c r="BF134" s="2"/>
      <c r="BG134" s="51"/>
      <c r="BH134" s="51"/>
      <c r="BI134" s="51"/>
      <c r="BJ134" s="2"/>
      <c r="BK134" s="51"/>
      <c r="BL134" s="51"/>
      <c r="BM134" s="51"/>
      <c r="BN134" s="2"/>
      <c r="BO134" s="51"/>
      <c r="BP134" s="51"/>
      <c r="BQ134" s="51"/>
      <c r="BR134" s="2"/>
      <c r="BS134" s="51"/>
      <c r="BT134" s="51"/>
      <c r="BU134" s="51"/>
      <c r="BV134" s="2"/>
      <c r="BW134" s="51"/>
    </row>
    <row r="135" spans="1:75" x14ac:dyDescent="0.2">
      <c r="A135" s="51"/>
      <c r="B135" s="51"/>
      <c r="C135" s="51"/>
      <c r="D135" s="51"/>
      <c r="E135" s="51"/>
      <c r="F135" s="2"/>
      <c r="G135" s="51"/>
      <c r="H135" s="51"/>
      <c r="I135" s="51"/>
      <c r="J135" s="2"/>
      <c r="K135" s="51"/>
      <c r="L135" s="51"/>
      <c r="M135" s="51"/>
      <c r="N135" s="2"/>
      <c r="O135" s="51"/>
      <c r="P135" s="51"/>
      <c r="Q135" s="51"/>
      <c r="R135" s="2"/>
      <c r="S135" s="51"/>
      <c r="T135" s="51"/>
      <c r="U135" s="51"/>
      <c r="V135" s="2"/>
      <c r="W135" s="51"/>
      <c r="X135" s="51"/>
      <c r="Y135" s="51"/>
      <c r="Z135" s="2"/>
      <c r="AA135" s="51"/>
      <c r="AB135" s="51"/>
      <c r="AC135" s="51"/>
      <c r="AD135" s="2"/>
      <c r="AE135" s="51"/>
      <c r="AF135" s="51"/>
      <c r="AG135" s="51"/>
      <c r="AH135" s="2"/>
      <c r="AI135" s="51"/>
      <c r="AJ135" s="51"/>
      <c r="AK135" s="51"/>
      <c r="AL135" s="2"/>
      <c r="AM135" s="51"/>
      <c r="AN135" s="51"/>
      <c r="AO135" s="51"/>
      <c r="AP135" s="2"/>
      <c r="AQ135" s="51"/>
      <c r="AR135" s="51"/>
      <c r="AS135" s="51"/>
      <c r="AT135" s="2"/>
      <c r="AU135" s="51"/>
      <c r="AV135" s="51"/>
      <c r="AW135" s="51"/>
      <c r="AX135" s="2"/>
      <c r="AY135" s="51"/>
      <c r="AZ135" s="51"/>
      <c r="BA135" s="51"/>
      <c r="BB135" s="2"/>
      <c r="BC135" s="51"/>
      <c r="BD135" s="51"/>
      <c r="BE135" s="51"/>
      <c r="BF135" s="2"/>
      <c r="BG135" s="51"/>
      <c r="BH135" s="51"/>
      <c r="BI135" s="51"/>
      <c r="BJ135" s="2"/>
      <c r="BK135" s="51"/>
      <c r="BL135" s="51"/>
      <c r="BM135" s="51"/>
      <c r="BN135" s="2"/>
      <c r="BO135" s="51"/>
      <c r="BP135" s="51"/>
      <c r="BQ135" s="51"/>
      <c r="BR135" s="2"/>
      <c r="BS135" s="51"/>
      <c r="BT135" s="51"/>
      <c r="BU135" s="51"/>
      <c r="BV135" s="2"/>
      <c r="BW135" s="51"/>
    </row>
    <row r="136" spans="1:75" x14ac:dyDescent="0.2">
      <c r="A136" s="51"/>
      <c r="B136" s="51"/>
      <c r="C136" s="51"/>
      <c r="D136" s="51"/>
      <c r="E136" s="51"/>
      <c r="F136" s="2"/>
      <c r="G136" s="51"/>
      <c r="H136" s="51"/>
      <c r="I136" s="51"/>
      <c r="J136" s="2"/>
      <c r="K136" s="51"/>
      <c r="L136" s="51"/>
      <c r="M136" s="51"/>
      <c r="N136" s="2"/>
      <c r="O136" s="51"/>
      <c r="P136" s="51"/>
      <c r="Q136" s="51"/>
      <c r="R136" s="2"/>
      <c r="S136" s="51"/>
      <c r="T136" s="51"/>
      <c r="U136" s="51"/>
      <c r="V136" s="2"/>
      <c r="W136" s="51"/>
      <c r="X136" s="51"/>
      <c r="Y136" s="51"/>
      <c r="Z136" s="2"/>
      <c r="AA136" s="51"/>
      <c r="AB136" s="51"/>
      <c r="AC136" s="51"/>
      <c r="AD136" s="2"/>
      <c r="AE136" s="51"/>
      <c r="AF136" s="51"/>
      <c r="AG136" s="51"/>
      <c r="AH136" s="2"/>
      <c r="AI136" s="51"/>
      <c r="AJ136" s="51"/>
      <c r="AK136" s="51"/>
      <c r="AL136" s="2"/>
      <c r="AM136" s="51"/>
      <c r="AN136" s="51"/>
      <c r="AO136" s="51"/>
      <c r="AP136" s="2"/>
      <c r="AQ136" s="51"/>
      <c r="AR136" s="51"/>
      <c r="AS136" s="51"/>
      <c r="AT136" s="2"/>
      <c r="AU136" s="51"/>
      <c r="AV136" s="51"/>
      <c r="AW136" s="51"/>
      <c r="AX136" s="2"/>
      <c r="AY136" s="51"/>
      <c r="AZ136" s="51"/>
      <c r="BA136" s="51"/>
      <c r="BB136" s="2"/>
      <c r="BC136" s="51"/>
      <c r="BD136" s="51"/>
      <c r="BE136" s="51"/>
      <c r="BF136" s="2"/>
      <c r="BG136" s="51"/>
      <c r="BH136" s="51"/>
      <c r="BI136" s="51"/>
      <c r="BJ136" s="2"/>
      <c r="BK136" s="51"/>
      <c r="BL136" s="51"/>
      <c r="BM136" s="51"/>
      <c r="BN136" s="2"/>
      <c r="BO136" s="51"/>
      <c r="BP136" s="51"/>
      <c r="BQ136" s="51"/>
      <c r="BR136" s="2"/>
      <c r="BS136" s="51"/>
      <c r="BT136" s="51"/>
      <c r="BU136" s="51"/>
      <c r="BV136" s="2"/>
      <c r="BW136" s="51"/>
    </row>
    <row r="137" spans="1:75" x14ac:dyDescent="0.2">
      <c r="A137" s="51"/>
      <c r="B137" s="51"/>
      <c r="C137" s="51"/>
      <c r="D137" s="51"/>
      <c r="E137" s="51"/>
      <c r="F137" s="2"/>
      <c r="G137" s="51"/>
      <c r="H137" s="51"/>
      <c r="I137" s="51"/>
      <c r="J137" s="2"/>
      <c r="K137" s="51"/>
      <c r="L137" s="51"/>
      <c r="M137" s="51"/>
      <c r="N137" s="2"/>
      <c r="O137" s="51"/>
      <c r="P137" s="51"/>
      <c r="Q137" s="51"/>
      <c r="R137" s="2"/>
      <c r="S137" s="51"/>
      <c r="T137" s="51"/>
      <c r="U137" s="51"/>
      <c r="V137" s="2"/>
      <c r="W137" s="51"/>
      <c r="X137" s="51"/>
      <c r="Y137" s="51"/>
      <c r="Z137" s="2"/>
      <c r="AA137" s="51"/>
      <c r="AB137" s="51"/>
      <c r="AC137" s="51"/>
      <c r="AD137" s="2"/>
      <c r="AE137" s="51"/>
      <c r="AF137" s="51"/>
      <c r="AG137" s="51"/>
      <c r="AH137" s="2"/>
      <c r="AI137" s="51"/>
      <c r="AJ137" s="51"/>
      <c r="AK137" s="51"/>
      <c r="AL137" s="2"/>
      <c r="AM137" s="51"/>
      <c r="AN137" s="51"/>
      <c r="AO137" s="51"/>
      <c r="AP137" s="2"/>
      <c r="AQ137" s="51"/>
      <c r="AR137" s="51"/>
      <c r="AS137" s="51"/>
      <c r="AT137" s="2"/>
      <c r="AU137" s="51"/>
      <c r="AV137" s="51"/>
      <c r="AW137" s="51"/>
      <c r="AX137" s="2"/>
      <c r="AY137" s="51"/>
      <c r="AZ137" s="51"/>
      <c r="BA137" s="51"/>
      <c r="BB137" s="2"/>
      <c r="BC137" s="51"/>
      <c r="BD137" s="51"/>
      <c r="BE137" s="51"/>
      <c r="BF137" s="2"/>
      <c r="BG137" s="51"/>
      <c r="BH137" s="51"/>
      <c r="BI137" s="51"/>
      <c r="BJ137" s="2"/>
      <c r="BK137" s="51"/>
      <c r="BL137" s="51"/>
      <c r="BM137" s="51"/>
      <c r="BN137" s="2"/>
      <c r="BO137" s="51"/>
      <c r="BP137" s="51"/>
      <c r="BQ137" s="51"/>
      <c r="BR137" s="2"/>
      <c r="BS137" s="51"/>
      <c r="BT137" s="51"/>
      <c r="BU137" s="51"/>
      <c r="BV137" s="2"/>
      <c r="BW137" s="51"/>
    </row>
    <row r="138" spans="1:75" x14ac:dyDescent="0.2">
      <c r="A138" s="51"/>
      <c r="B138" s="51"/>
      <c r="C138" s="51"/>
      <c r="D138" s="51"/>
      <c r="E138" s="51"/>
      <c r="F138" s="2"/>
      <c r="G138" s="51"/>
      <c r="H138" s="51"/>
      <c r="I138" s="51"/>
      <c r="J138" s="2"/>
      <c r="K138" s="51"/>
      <c r="L138" s="51"/>
      <c r="M138" s="51"/>
      <c r="N138" s="2"/>
      <c r="O138" s="51"/>
      <c r="P138" s="51"/>
      <c r="Q138" s="51"/>
      <c r="R138" s="2"/>
      <c r="S138" s="51"/>
      <c r="T138" s="51"/>
      <c r="U138" s="51"/>
      <c r="V138" s="2"/>
      <c r="W138" s="51"/>
      <c r="X138" s="51"/>
      <c r="Y138" s="51"/>
      <c r="Z138" s="2"/>
      <c r="AA138" s="51"/>
      <c r="AB138" s="51"/>
      <c r="AC138" s="51"/>
      <c r="AD138" s="2"/>
      <c r="AE138" s="51"/>
      <c r="AF138" s="51"/>
      <c r="AG138" s="51"/>
      <c r="AH138" s="2"/>
      <c r="AI138" s="51"/>
      <c r="AJ138" s="51"/>
      <c r="AK138" s="51"/>
      <c r="AL138" s="2"/>
      <c r="AM138" s="51"/>
      <c r="AN138" s="51"/>
      <c r="AO138" s="51"/>
      <c r="AP138" s="2"/>
      <c r="AQ138" s="51"/>
      <c r="AR138" s="51"/>
      <c r="AS138" s="51"/>
      <c r="AT138" s="2"/>
      <c r="AU138" s="51"/>
      <c r="AV138" s="51"/>
      <c r="AW138" s="51"/>
      <c r="AX138" s="2"/>
      <c r="AY138" s="51"/>
      <c r="AZ138" s="51"/>
      <c r="BA138" s="51"/>
      <c r="BB138" s="2"/>
      <c r="BC138" s="51"/>
      <c r="BD138" s="51"/>
      <c r="BE138" s="51"/>
      <c r="BF138" s="2"/>
      <c r="BG138" s="51"/>
      <c r="BH138" s="51"/>
      <c r="BI138" s="51"/>
      <c r="BJ138" s="2"/>
      <c r="BK138" s="51"/>
      <c r="BL138" s="51"/>
      <c r="BM138" s="51"/>
      <c r="BN138" s="2"/>
      <c r="BO138" s="51"/>
      <c r="BP138" s="51"/>
      <c r="BQ138" s="51"/>
      <c r="BR138" s="2"/>
      <c r="BS138" s="51"/>
      <c r="BT138" s="51"/>
      <c r="BU138" s="51"/>
      <c r="BV138" s="2"/>
      <c r="BW138" s="51"/>
    </row>
    <row r="139" spans="1:75" x14ac:dyDescent="0.2">
      <c r="A139" s="51"/>
      <c r="B139" s="51"/>
      <c r="C139" s="51"/>
      <c r="D139" s="51"/>
      <c r="E139" s="51"/>
      <c r="F139" s="2"/>
      <c r="G139" s="51"/>
      <c r="H139" s="51"/>
      <c r="I139" s="51"/>
      <c r="J139" s="2"/>
      <c r="K139" s="51"/>
      <c r="L139" s="51"/>
      <c r="M139" s="51"/>
      <c r="N139" s="2"/>
      <c r="O139" s="51"/>
      <c r="P139" s="51"/>
      <c r="Q139" s="51"/>
      <c r="R139" s="2"/>
      <c r="S139" s="51"/>
      <c r="T139" s="51"/>
      <c r="U139" s="51"/>
      <c r="V139" s="2"/>
      <c r="W139" s="51"/>
      <c r="X139" s="51"/>
      <c r="Y139" s="51"/>
      <c r="Z139" s="2"/>
      <c r="AA139" s="51"/>
      <c r="AB139" s="51"/>
      <c r="AC139" s="51"/>
      <c r="AD139" s="2"/>
      <c r="AE139" s="51"/>
      <c r="AF139" s="51"/>
      <c r="AG139" s="51"/>
      <c r="AH139" s="2"/>
      <c r="AI139" s="51"/>
      <c r="AJ139" s="51"/>
      <c r="AK139" s="51"/>
      <c r="AL139" s="2"/>
      <c r="AM139" s="51"/>
      <c r="AN139" s="51"/>
      <c r="AO139" s="51"/>
      <c r="AP139" s="2"/>
      <c r="AQ139" s="51"/>
      <c r="AR139" s="51"/>
      <c r="AS139" s="51"/>
      <c r="AT139" s="2"/>
      <c r="AU139" s="51"/>
      <c r="AV139" s="51"/>
      <c r="AW139" s="51"/>
      <c r="AX139" s="2"/>
      <c r="AY139" s="51"/>
      <c r="AZ139" s="51"/>
      <c r="BA139" s="51"/>
      <c r="BB139" s="2"/>
      <c r="BC139" s="51"/>
      <c r="BD139" s="51"/>
      <c r="BE139" s="51"/>
      <c r="BF139" s="2"/>
      <c r="BG139" s="51"/>
      <c r="BH139" s="51"/>
      <c r="BI139" s="51"/>
      <c r="BJ139" s="2"/>
      <c r="BK139" s="51"/>
      <c r="BL139" s="51"/>
      <c r="BM139" s="51"/>
      <c r="BN139" s="2"/>
      <c r="BO139" s="51"/>
      <c r="BP139" s="51"/>
      <c r="BQ139" s="51"/>
      <c r="BR139" s="2"/>
      <c r="BS139" s="51"/>
      <c r="BT139" s="51"/>
      <c r="BU139" s="51"/>
      <c r="BV139" s="2"/>
      <c r="BW139" s="51"/>
    </row>
    <row r="140" spans="1:75" x14ac:dyDescent="0.2">
      <c r="A140" s="51"/>
      <c r="B140" s="51"/>
      <c r="C140" s="51"/>
      <c r="D140" s="51"/>
      <c r="E140" s="51"/>
      <c r="F140" s="2"/>
      <c r="G140" s="51"/>
      <c r="H140" s="51"/>
      <c r="I140" s="51"/>
      <c r="J140" s="2"/>
      <c r="K140" s="51"/>
      <c r="L140" s="51"/>
      <c r="M140" s="51"/>
      <c r="N140" s="2"/>
      <c r="O140" s="51"/>
      <c r="P140" s="51"/>
      <c r="Q140" s="51"/>
      <c r="R140" s="2"/>
      <c r="S140" s="51"/>
      <c r="T140" s="51"/>
      <c r="U140" s="51"/>
      <c r="V140" s="2"/>
      <c r="W140" s="51"/>
      <c r="X140" s="51"/>
      <c r="Y140" s="51"/>
      <c r="Z140" s="2"/>
      <c r="AA140" s="51"/>
      <c r="AB140" s="51"/>
      <c r="AC140" s="51"/>
      <c r="AD140" s="2"/>
      <c r="AE140" s="51"/>
      <c r="AF140" s="51"/>
      <c r="AG140" s="51"/>
      <c r="AH140" s="2"/>
      <c r="AI140" s="51"/>
      <c r="AJ140" s="51"/>
      <c r="AK140" s="51"/>
      <c r="AL140" s="2"/>
      <c r="AM140" s="51"/>
      <c r="AN140" s="51"/>
      <c r="AO140" s="51"/>
      <c r="AP140" s="2"/>
      <c r="AQ140" s="51"/>
      <c r="AR140" s="51"/>
      <c r="AS140" s="51"/>
      <c r="AT140" s="2"/>
      <c r="AU140" s="51"/>
      <c r="AV140" s="51"/>
      <c r="AW140" s="51"/>
      <c r="AX140" s="2"/>
      <c r="AY140" s="51"/>
      <c r="AZ140" s="51"/>
      <c r="BA140" s="51"/>
      <c r="BB140" s="2"/>
      <c r="BC140" s="51"/>
      <c r="BD140" s="51"/>
      <c r="BE140" s="51"/>
      <c r="BF140" s="2"/>
      <c r="BG140" s="51"/>
      <c r="BH140" s="51"/>
      <c r="BI140" s="51"/>
      <c r="BJ140" s="2"/>
      <c r="BK140" s="51"/>
      <c r="BL140" s="51"/>
      <c r="BM140" s="51"/>
      <c r="BN140" s="2"/>
      <c r="BO140" s="51"/>
      <c r="BP140" s="51"/>
      <c r="BQ140" s="51"/>
      <c r="BR140" s="2"/>
      <c r="BS140" s="51"/>
      <c r="BT140" s="51"/>
      <c r="BU140" s="51"/>
      <c r="BV140" s="2"/>
      <c r="BW140" s="51"/>
    </row>
    <row r="141" spans="1:75" x14ac:dyDescent="0.2">
      <c r="A141" s="51"/>
      <c r="B141" s="51"/>
      <c r="C141" s="51"/>
      <c r="D141" s="51"/>
      <c r="E141" s="51"/>
      <c r="F141" s="2"/>
      <c r="G141" s="51"/>
      <c r="H141" s="51"/>
      <c r="I141" s="51"/>
      <c r="J141" s="2"/>
      <c r="K141" s="51"/>
      <c r="L141" s="51"/>
      <c r="M141" s="51"/>
      <c r="N141" s="2"/>
      <c r="O141" s="51"/>
      <c r="P141" s="51"/>
      <c r="Q141" s="51"/>
      <c r="R141" s="2"/>
      <c r="S141" s="51"/>
      <c r="T141" s="51"/>
      <c r="U141" s="51"/>
      <c r="V141" s="2"/>
      <c r="W141" s="51"/>
      <c r="X141" s="51"/>
      <c r="Y141" s="51"/>
      <c r="Z141" s="2"/>
      <c r="AA141" s="51"/>
      <c r="AB141" s="51"/>
      <c r="AC141" s="51"/>
      <c r="AD141" s="2"/>
      <c r="AE141" s="51"/>
      <c r="AF141" s="51"/>
      <c r="AG141" s="51"/>
      <c r="AH141" s="2"/>
      <c r="AI141" s="51"/>
      <c r="AJ141" s="51"/>
      <c r="AK141" s="51"/>
      <c r="AL141" s="2"/>
      <c r="AM141" s="51"/>
      <c r="AN141" s="51"/>
      <c r="AO141" s="51"/>
      <c r="AP141" s="2"/>
      <c r="AQ141" s="51"/>
      <c r="AR141" s="51"/>
      <c r="AS141" s="51"/>
      <c r="AT141" s="2"/>
      <c r="AU141" s="51"/>
      <c r="AV141" s="51"/>
      <c r="AW141" s="51"/>
      <c r="AX141" s="2"/>
      <c r="AY141" s="51"/>
      <c r="AZ141" s="51"/>
      <c r="BA141" s="51"/>
      <c r="BB141" s="2"/>
      <c r="BC141" s="51"/>
      <c r="BD141" s="51"/>
      <c r="BE141" s="51"/>
      <c r="BF141" s="2"/>
      <c r="BG141" s="51"/>
      <c r="BH141" s="51"/>
      <c r="BI141" s="51"/>
      <c r="BJ141" s="2"/>
      <c r="BK141" s="51"/>
      <c r="BL141" s="51"/>
      <c r="BM141" s="51"/>
      <c r="BN141" s="2"/>
      <c r="BO141" s="51"/>
      <c r="BP141" s="51"/>
      <c r="BQ141" s="51"/>
      <c r="BR141" s="2"/>
      <c r="BS141" s="51"/>
      <c r="BT141" s="51"/>
      <c r="BU141" s="51"/>
      <c r="BV141" s="2"/>
      <c r="BW141" s="51"/>
    </row>
    <row r="142" spans="1:75" x14ac:dyDescent="0.2">
      <c r="A142" s="51"/>
      <c r="B142" s="51"/>
      <c r="C142" s="51"/>
      <c r="D142" s="51"/>
      <c r="E142" s="51"/>
      <c r="F142" s="2"/>
      <c r="G142" s="51"/>
      <c r="H142" s="51"/>
      <c r="I142" s="51"/>
      <c r="J142" s="2"/>
      <c r="K142" s="51"/>
      <c r="L142" s="51"/>
      <c r="M142" s="51"/>
      <c r="N142" s="2"/>
      <c r="O142" s="51"/>
      <c r="P142" s="51"/>
      <c r="Q142" s="51"/>
      <c r="R142" s="2"/>
      <c r="S142" s="51"/>
      <c r="T142" s="51"/>
      <c r="U142" s="51"/>
      <c r="V142" s="2"/>
      <c r="W142" s="51"/>
      <c r="X142" s="51"/>
      <c r="Y142" s="51"/>
      <c r="Z142" s="2"/>
      <c r="AA142" s="51"/>
      <c r="AB142" s="51"/>
      <c r="AC142" s="51"/>
      <c r="AD142" s="2"/>
      <c r="AE142" s="51"/>
      <c r="AF142" s="51"/>
      <c r="AG142" s="51"/>
      <c r="AH142" s="2"/>
      <c r="AI142" s="51"/>
      <c r="AJ142" s="51"/>
      <c r="AK142" s="51"/>
      <c r="AL142" s="2"/>
      <c r="AM142" s="51"/>
      <c r="AN142" s="51"/>
      <c r="AO142" s="51"/>
      <c r="AP142" s="2"/>
      <c r="AQ142" s="51"/>
      <c r="AR142" s="51"/>
      <c r="AS142" s="51"/>
      <c r="AT142" s="2"/>
      <c r="AU142" s="51"/>
      <c r="AV142" s="51"/>
      <c r="AW142" s="51"/>
      <c r="AX142" s="2"/>
      <c r="AY142" s="51"/>
      <c r="AZ142" s="51"/>
      <c r="BA142" s="51"/>
      <c r="BB142" s="2"/>
      <c r="BC142" s="51"/>
      <c r="BD142" s="51"/>
      <c r="BE142" s="51"/>
      <c r="BF142" s="2"/>
      <c r="BG142" s="51"/>
      <c r="BH142" s="51"/>
      <c r="BI142" s="51"/>
      <c r="BJ142" s="2"/>
      <c r="BK142" s="51"/>
      <c r="BL142" s="51"/>
      <c r="BM142" s="51"/>
      <c r="BN142" s="2"/>
      <c r="BO142" s="51"/>
      <c r="BP142" s="51"/>
      <c r="BQ142" s="51"/>
      <c r="BR142" s="2"/>
      <c r="BS142" s="51"/>
      <c r="BT142" s="51"/>
      <c r="BU142" s="51"/>
      <c r="BV142" s="2"/>
      <c r="BW142" s="51"/>
    </row>
    <row r="143" spans="1:75" x14ac:dyDescent="0.2">
      <c r="A143" s="51"/>
      <c r="B143" s="51"/>
      <c r="C143" s="51"/>
      <c r="D143" s="51"/>
      <c r="E143" s="51"/>
      <c r="F143" s="2"/>
      <c r="G143" s="51"/>
      <c r="H143" s="51"/>
      <c r="I143" s="51"/>
      <c r="J143" s="2"/>
      <c r="K143" s="51"/>
      <c r="L143" s="51"/>
      <c r="M143" s="51"/>
      <c r="N143" s="2"/>
      <c r="O143" s="51"/>
      <c r="P143" s="51"/>
      <c r="Q143" s="51"/>
      <c r="R143" s="2"/>
      <c r="S143" s="51"/>
      <c r="T143" s="51"/>
      <c r="U143" s="51"/>
      <c r="V143" s="2"/>
      <c r="W143" s="51"/>
      <c r="X143" s="51"/>
      <c r="Y143" s="51"/>
      <c r="Z143" s="2"/>
      <c r="AA143" s="51"/>
      <c r="AB143" s="51"/>
      <c r="AC143" s="51"/>
      <c r="AD143" s="2"/>
      <c r="AE143" s="51"/>
      <c r="AF143" s="51"/>
      <c r="AG143" s="51"/>
      <c r="AH143" s="2"/>
      <c r="AI143" s="51"/>
      <c r="AJ143" s="51"/>
      <c r="AK143" s="51"/>
      <c r="AL143" s="2"/>
      <c r="AM143" s="51"/>
      <c r="AN143" s="51"/>
      <c r="AO143" s="51"/>
      <c r="AP143" s="2"/>
      <c r="AQ143" s="51"/>
      <c r="AR143" s="51"/>
      <c r="AS143" s="51"/>
      <c r="AT143" s="2"/>
      <c r="AU143" s="51"/>
      <c r="AV143" s="51"/>
      <c r="AW143" s="51"/>
      <c r="AX143" s="2"/>
      <c r="AY143" s="51"/>
      <c r="AZ143" s="51"/>
      <c r="BA143" s="51"/>
      <c r="BB143" s="2"/>
      <c r="BC143" s="51"/>
      <c r="BD143" s="51"/>
      <c r="BE143" s="51"/>
      <c r="BF143" s="2"/>
      <c r="BG143" s="51"/>
      <c r="BH143" s="51"/>
      <c r="BI143" s="51"/>
      <c r="BJ143" s="2"/>
      <c r="BK143" s="51"/>
      <c r="BL143" s="51"/>
      <c r="BM143" s="51"/>
      <c r="BN143" s="2"/>
      <c r="BO143" s="51"/>
      <c r="BP143" s="51"/>
      <c r="BQ143" s="51"/>
      <c r="BR143" s="2"/>
      <c r="BS143" s="51"/>
      <c r="BT143" s="51"/>
      <c r="BU143" s="51"/>
      <c r="BV143" s="2"/>
      <c r="BW143" s="51"/>
    </row>
    <row r="144" spans="1:75" x14ac:dyDescent="0.2">
      <c r="A144" s="51"/>
      <c r="B144" s="51"/>
      <c r="C144" s="51"/>
      <c r="D144" s="51"/>
      <c r="E144" s="51"/>
      <c r="F144" s="2"/>
      <c r="G144" s="51"/>
      <c r="H144" s="51"/>
      <c r="I144" s="51"/>
      <c r="J144" s="2"/>
      <c r="K144" s="51"/>
      <c r="L144" s="51"/>
      <c r="M144" s="51"/>
      <c r="N144" s="2"/>
      <c r="O144" s="51"/>
      <c r="P144" s="51"/>
      <c r="Q144" s="51"/>
      <c r="R144" s="2"/>
      <c r="S144" s="51"/>
      <c r="T144" s="51"/>
      <c r="U144" s="51"/>
      <c r="V144" s="2"/>
      <c r="W144" s="51"/>
      <c r="X144" s="51"/>
      <c r="Y144" s="51"/>
      <c r="Z144" s="2"/>
      <c r="AA144" s="51"/>
      <c r="AB144" s="51"/>
      <c r="AC144" s="51"/>
      <c r="AD144" s="2"/>
      <c r="AE144" s="51"/>
      <c r="AF144" s="51"/>
      <c r="AG144" s="51"/>
      <c r="AH144" s="2"/>
      <c r="AI144" s="51"/>
      <c r="AJ144" s="51"/>
      <c r="AK144" s="51"/>
      <c r="AL144" s="2"/>
      <c r="AM144" s="51"/>
      <c r="AN144" s="51"/>
      <c r="AO144" s="51"/>
      <c r="AP144" s="2"/>
      <c r="AQ144" s="51"/>
      <c r="AR144" s="51"/>
      <c r="AS144" s="51"/>
      <c r="AT144" s="2"/>
      <c r="AU144" s="51"/>
      <c r="AV144" s="51"/>
      <c r="AW144" s="51"/>
      <c r="AX144" s="2"/>
      <c r="AY144" s="51"/>
      <c r="AZ144" s="51"/>
      <c r="BA144" s="51"/>
      <c r="BB144" s="2"/>
      <c r="BC144" s="51"/>
      <c r="BD144" s="51"/>
      <c r="BE144" s="51"/>
      <c r="BF144" s="2"/>
      <c r="BG144" s="51"/>
      <c r="BH144" s="51"/>
      <c r="BI144" s="51"/>
      <c r="BJ144" s="2"/>
      <c r="BK144" s="51"/>
      <c r="BL144" s="51"/>
      <c r="BM144" s="51"/>
      <c r="BN144" s="2"/>
      <c r="BO144" s="51"/>
      <c r="BP144" s="51"/>
      <c r="BQ144" s="51"/>
      <c r="BR144" s="2"/>
      <c r="BS144" s="51"/>
      <c r="BT144" s="51"/>
      <c r="BU144" s="51"/>
      <c r="BV144" s="2"/>
      <c r="BW144" s="51"/>
    </row>
    <row r="145" spans="1:75" x14ac:dyDescent="0.2">
      <c r="A145" s="51"/>
      <c r="B145" s="51"/>
      <c r="C145" s="51"/>
      <c r="D145" s="51"/>
      <c r="E145" s="51"/>
      <c r="F145" s="2"/>
      <c r="G145" s="51"/>
      <c r="H145" s="51"/>
      <c r="I145" s="51"/>
      <c r="J145" s="2"/>
      <c r="K145" s="51"/>
      <c r="L145" s="51"/>
      <c r="M145" s="51"/>
      <c r="N145" s="2"/>
      <c r="O145" s="51"/>
      <c r="P145" s="51"/>
      <c r="Q145" s="51"/>
      <c r="R145" s="2"/>
      <c r="S145" s="51"/>
      <c r="T145" s="51"/>
      <c r="U145" s="51"/>
      <c r="V145" s="2"/>
      <c r="W145" s="51"/>
      <c r="X145" s="51"/>
      <c r="Y145" s="51"/>
      <c r="Z145" s="2"/>
      <c r="AA145" s="51"/>
      <c r="AB145" s="51"/>
      <c r="AC145" s="51"/>
      <c r="AD145" s="2"/>
      <c r="AE145" s="51"/>
      <c r="AF145" s="51"/>
      <c r="AG145" s="51"/>
      <c r="AH145" s="2"/>
      <c r="AI145" s="51"/>
      <c r="AJ145" s="51"/>
      <c r="AK145" s="51"/>
      <c r="AL145" s="2"/>
      <c r="AM145" s="51"/>
      <c r="AN145" s="51"/>
      <c r="AO145" s="51"/>
      <c r="AP145" s="2"/>
      <c r="AQ145" s="51"/>
      <c r="AR145" s="51"/>
      <c r="AS145" s="51"/>
      <c r="AT145" s="2"/>
      <c r="AU145" s="51"/>
      <c r="AV145" s="51"/>
      <c r="AW145" s="51"/>
      <c r="AX145" s="2"/>
      <c r="AY145" s="51"/>
      <c r="AZ145" s="51"/>
      <c r="BA145" s="51"/>
      <c r="BB145" s="2"/>
      <c r="BC145" s="51"/>
      <c r="BD145" s="51"/>
      <c r="BE145" s="51"/>
      <c r="BF145" s="2"/>
      <c r="BG145" s="51"/>
      <c r="BH145" s="51"/>
      <c r="BI145" s="51"/>
      <c r="BJ145" s="2"/>
      <c r="BK145" s="51"/>
      <c r="BL145" s="51"/>
      <c r="BM145" s="51"/>
      <c r="BN145" s="2"/>
      <c r="BO145" s="51"/>
      <c r="BP145" s="51"/>
      <c r="BQ145" s="51"/>
      <c r="BR145" s="2"/>
      <c r="BS145" s="51"/>
      <c r="BT145" s="51"/>
      <c r="BU145" s="51"/>
      <c r="BV145" s="2"/>
      <c r="BW145" s="51"/>
    </row>
    <row r="146" spans="1:75" x14ac:dyDescent="0.2">
      <c r="A146" s="51"/>
      <c r="B146" s="51"/>
      <c r="C146" s="51"/>
      <c r="D146" s="51"/>
      <c r="E146" s="51"/>
      <c r="F146" s="2"/>
      <c r="G146" s="51"/>
      <c r="H146" s="51"/>
      <c r="I146" s="51"/>
      <c r="J146" s="2"/>
      <c r="K146" s="51"/>
      <c r="L146" s="51"/>
      <c r="M146" s="51"/>
      <c r="N146" s="2"/>
      <c r="O146" s="51"/>
      <c r="P146" s="51"/>
      <c r="Q146" s="51"/>
      <c r="R146" s="2"/>
      <c r="S146" s="51"/>
      <c r="T146" s="51"/>
      <c r="U146" s="51"/>
      <c r="V146" s="2"/>
      <c r="W146" s="51"/>
      <c r="X146" s="51"/>
      <c r="Y146" s="51"/>
      <c r="Z146" s="2"/>
      <c r="AA146" s="51"/>
      <c r="AB146" s="51"/>
      <c r="AC146" s="51"/>
      <c r="AD146" s="2"/>
      <c r="AE146" s="51"/>
      <c r="AF146" s="51"/>
      <c r="AG146" s="51"/>
      <c r="AH146" s="2"/>
      <c r="AI146" s="51"/>
      <c r="AJ146" s="51"/>
      <c r="AK146" s="51"/>
      <c r="AL146" s="2"/>
      <c r="AM146" s="51"/>
      <c r="AN146" s="51"/>
      <c r="AO146" s="51"/>
      <c r="AP146" s="2"/>
      <c r="AQ146" s="51"/>
      <c r="AR146" s="51"/>
      <c r="AS146" s="51"/>
      <c r="AT146" s="2"/>
      <c r="AU146" s="51"/>
      <c r="AV146" s="51"/>
      <c r="AW146" s="51"/>
      <c r="AX146" s="2"/>
      <c r="AY146" s="51"/>
      <c r="AZ146" s="51"/>
      <c r="BA146" s="51"/>
      <c r="BB146" s="2"/>
      <c r="BC146" s="51"/>
      <c r="BD146" s="51"/>
      <c r="BE146" s="51"/>
      <c r="BF146" s="2"/>
      <c r="BG146" s="51"/>
      <c r="BH146" s="51"/>
      <c r="BI146" s="51"/>
      <c r="BJ146" s="2"/>
      <c r="BK146" s="51"/>
      <c r="BL146" s="51"/>
      <c r="BM146" s="51"/>
      <c r="BN146" s="2"/>
      <c r="BO146" s="51"/>
      <c r="BP146" s="51"/>
      <c r="BQ146" s="51"/>
      <c r="BR146" s="2"/>
      <c r="BS146" s="51"/>
      <c r="BT146" s="51"/>
      <c r="BU146" s="51"/>
      <c r="BV146" s="2"/>
      <c r="BW146" s="51"/>
    </row>
    <row r="147" spans="1:75" x14ac:dyDescent="0.2">
      <c r="A147" s="51"/>
      <c r="B147" s="51"/>
      <c r="C147" s="51"/>
      <c r="D147" s="51"/>
      <c r="E147" s="51"/>
      <c r="F147" s="2"/>
      <c r="G147" s="51"/>
      <c r="H147" s="51"/>
      <c r="I147" s="51"/>
      <c r="J147" s="2"/>
      <c r="K147" s="51"/>
      <c r="L147" s="51"/>
      <c r="M147" s="51"/>
      <c r="N147" s="2"/>
      <c r="O147" s="51"/>
      <c r="P147" s="51"/>
      <c r="Q147" s="51"/>
      <c r="R147" s="2"/>
      <c r="S147" s="51"/>
      <c r="T147" s="51"/>
      <c r="U147" s="51"/>
      <c r="V147" s="2"/>
      <c r="W147" s="51"/>
      <c r="X147" s="51"/>
      <c r="Y147" s="51"/>
      <c r="Z147" s="2"/>
      <c r="AA147" s="51"/>
      <c r="AB147" s="51"/>
      <c r="AC147" s="51"/>
      <c r="AD147" s="2"/>
      <c r="AE147" s="51"/>
      <c r="AF147" s="51"/>
      <c r="AG147" s="51"/>
      <c r="AH147" s="2"/>
      <c r="AI147" s="51"/>
      <c r="AJ147" s="51"/>
      <c r="AK147" s="51"/>
      <c r="AL147" s="2"/>
      <c r="AM147" s="51"/>
      <c r="AN147" s="51"/>
      <c r="AO147" s="51"/>
      <c r="AP147" s="2"/>
      <c r="AQ147" s="51"/>
      <c r="AR147" s="51"/>
      <c r="AS147" s="51"/>
      <c r="AT147" s="2"/>
      <c r="AU147" s="51"/>
      <c r="AV147" s="51"/>
      <c r="AW147" s="51"/>
      <c r="AX147" s="2"/>
      <c r="AY147" s="51"/>
      <c r="AZ147" s="51"/>
      <c r="BA147" s="51"/>
      <c r="BB147" s="2"/>
      <c r="BC147" s="51"/>
      <c r="BD147" s="51"/>
      <c r="BE147" s="51"/>
      <c r="BF147" s="2"/>
      <c r="BG147" s="51"/>
      <c r="BH147" s="51"/>
      <c r="BI147" s="51"/>
      <c r="BJ147" s="2"/>
      <c r="BK147" s="51"/>
      <c r="BL147" s="51"/>
      <c r="BM147" s="51"/>
      <c r="BN147" s="2"/>
      <c r="BO147" s="51"/>
      <c r="BP147" s="51"/>
      <c r="BQ147" s="51"/>
      <c r="BR147" s="2"/>
      <c r="BS147" s="51"/>
      <c r="BT147" s="51"/>
      <c r="BU147" s="51"/>
      <c r="BV147" s="2"/>
      <c r="BW147" s="51"/>
    </row>
    <row r="148" spans="1:75" x14ac:dyDescent="0.2">
      <c r="A148" s="51"/>
      <c r="B148" s="51"/>
      <c r="C148" s="51"/>
      <c r="D148" s="51"/>
      <c r="E148" s="51"/>
      <c r="F148" s="2"/>
      <c r="G148" s="51"/>
      <c r="H148" s="51"/>
      <c r="I148" s="51"/>
      <c r="J148" s="2"/>
      <c r="K148" s="51"/>
      <c r="L148" s="51"/>
      <c r="M148" s="51"/>
      <c r="N148" s="2"/>
      <c r="O148" s="51"/>
      <c r="P148" s="51"/>
      <c r="Q148" s="51"/>
      <c r="R148" s="2"/>
      <c r="S148" s="51"/>
      <c r="T148" s="51"/>
      <c r="U148" s="51"/>
      <c r="V148" s="2"/>
      <c r="W148" s="51"/>
      <c r="X148" s="51"/>
      <c r="Y148" s="51"/>
      <c r="Z148" s="2"/>
      <c r="AA148" s="51"/>
      <c r="AB148" s="51"/>
      <c r="AC148" s="51"/>
      <c r="AD148" s="2"/>
      <c r="AE148" s="51"/>
      <c r="AF148" s="51"/>
      <c r="AG148" s="51"/>
      <c r="AH148" s="2"/>
      <c r="AI148" s="51"/>
      <c r="AJ148" s="51"/>
      <c r="AK148" s="51"/>
      <c r="AL148" s="2"/>
      <c r="AM148" s="51"/>
      <c r="AN148" s="51"/>
      <c r="AO148" s="51"/>
      <c r="AP148" s="2"/>
      <c r="AQ148" s="51"/>
      <c r="AR148" s="51"/>
      <c r="AS148" s="51"/>
      <c r="AT148" s="2"/>
      <c r="AU148" s="51"/>
      <c r="AV148" s="51"/>
      <c r="AW148" s="51"/>
      <c r="AX148" s="2"/>
      <c r="AY148" s="51"/>
      <c r="AZ148" s="51"/>
      <c r="BA148" s="51"/>
      <c r="BB148" s="2"/>
      <c r="BC148" s="51"/>
      <c r="BD148" s="51"/>
      <c r="BE148" s="51"/>
      <c r="BF148" s="2"/>
      <c r="BG148" s="51"/>
      <c r="BH148" s="51"/>
      <c r="BI148" s="51"/>
      <c r="BJ148" s="2"/>
      <c r="BK148" s="51"/>
      <c r="BL148" s="51"/>
      <c r="BM148" s="51"/>
      <c r="BN148" s="2"/>
      <c r="BO148" s="51"/>
      <c r="BP148" s="51"/>
      <c r="BQ148" s="51"/>
      <c r="BR148" s="2"/>
      <c r="BS148" s="51"/>
      <c r="BT148" s="51"/>
      <c r="BU148" s="51"/>
      <c r="BV148" s="2"/>
      <c r="BW148" s="51"/>
    </row>
    <row r="149" spans="1:75" x14ac:dyDescent="0.2">
      <c r="A149" s="51"/>
      <c r="B149" s="51"/>
      <c r="C149" s="51"/>
      <c r="D149" s="51"/>
      <c r="E149" s="51"/>
      <c r="F149" s="2"/>
      <c r="G149" s="51"/>
      <c r="H149" s="51"/>
      <c r="I149" s="51"/>
      <c r="J149" s="2"/>
      <c r="K149" s="51"/>
      <c r="L149" s="51"/>
      <c r="M149" s="51"/>
      <c r="N149" s="2"/>
      <c r="O149" s="51"/>
      <c r="P149" s="51"/>
      <c r="Q149" s="51"/>
      <c r="R149" s="2"/>
      <c r="S149" s="51"/>
      <c r="T149" s="51"/>
      <c r="U149" s="51"/>
      <c r="V149" s="2"/>
      <c r="W149" s="51"/>
      <c r="X149" s="51"/>
      <c r="Y149" s="51"/>
      <c r="Z149" s="2"/>
      <c r="AA149" s="51"/>
      <c r="AB149" s="51"/>
      <c r="AC149" s="51"/>
      <c r="AD149" s="2"/>
      <c r="AE149" s="51"/>
      <c r="AF149" s="51"/>
      <c r="AG149" s="51"/>
      <c r="AH149" s="2"/>
      <c r="AI149" s="51"/>
      <c r="AJ149" s="51"/>
      <c r="AK149" s="51"/>
      <c r="AL149" s="2"/>
      <c r="AM149" s="51"/>
      <c r="AN149" s="51"/>
      <c r="AO149" s="51"/>
      <c r="AP149" s="2"/>
      <c r="AQ149" s="51"/>
      <c r="AR149" s="51"/>
      <c r="AS149" s="51"/>
      <c r="AT149" s="2"/>
      <c r="AU149" s="51"/>
      <c r="AV149" s="51"/>
      <c r="AW149" s="51"/>
      <c r="AX149" s="2"/>
      <c r="AY149" s="51"/>
      <c r="AZ149" s="51"/>
      <c r="BA149" s="51"/>
      <c r="BB149" s="2"/>
      <c r="BC149" s="51"/>
      <c r="BD149" s="51"/>
      <c r="BE149" s="51"/>
      <c r="BF149" s="2"/>
      <c r="BG149" s="51"/>
      <c r="BH149" s="51"/>
      <c r="BI149" s="51"/>
      <c r="BJ149" s="2"/>
      <c r="BK149" s="51"/>
      <c r="BL149" s="51"/>
      <c r="BM149" s="51"/>
      <c r="BN149" s="2"/>
      <c r="BO149" s="51"/>
      <c r="BP149" s="51"/>
      <c r="BQ149" s="51"/>
      <c r="BR149" s="2"/>
      <c r="BS149" s="51"/>
      <c r="BT149" s="51"/>
      <c r="BU149" s="51"/>
      <c r="BV149" s="2"/>
      <c r="BW149" s="51"/>
    </row>
    <row r="150" spans="1:75" x14ac:dyDescent="0.2">
      <c r="A150" s="51"/>
      <c r="B150" s="51"/>
      <c r="C150" s="51"/>
      <c r="D150" s="51"/>
      <c r="E150" s="51"/>
      <c r="F150" s="2"/>
      <c r="G150" s="51"/>
      <c r="H150" s="51"/>
      <c r="I150" s="51"/>
      <c r="J150" s="2"/>
      <c r="K150" s="51"/>
      <c r="L150" s="51"/>
      <c r="M150" s="51"/>
      <c r="N150" s="2"/>
      <c r="O150" s="51"/>
      <c r="P150" s="51"/>
      <c r="Q150" s="51"/>
      <c r="R150" s="2"/>
      <c r="S150" s="51"/>
      <c r="T150" s="51"/>
      <c r="U150" s="51"/>
      <c r="V150" s="2"/>
      <c r="W150" s="51"/>
      <c r="X150" s="51"/>
      <c r="Y150" s="51"/>
      <c r="Z150" s="2"/>
      <c r="AA150" s="51"/>
      <c r="AB150" s="51"/>
      <c r="AC150" s="51"/>
      <c r="AD150" s="2"/>
      <c r="AE150" s="51"/>
      <c r="AF150" s="51"/>
      <c r="AG150" s="51"/>
      <c r="AH150" s="2"/>
      <c r="AI150" s="51"/>
      <c r="AJ150" s="51"/>
      <c r="AK150" s="51"/>
      <c r="AL150" s="2"/>
      <c r="AM150" s="51"/>
      <c r="AN150" s="51"/>
      <c r="AO150" s="51"/>
      <c r="AP150" s="2"/>
      <c r="AQ150" s="51"/>
      <c r="AR150" s="51"/>
      <c r="AS150" s="51"/>
      <c r="AT150" s="2"/>
      <c r="AU150" s="51"/>
      <c r="AV150" s="51"/>
      <c r="AW150" s="51"/>
      <c r="AX150" s="2"/>
      <c r="AY150" s="51"/>
      <c r="AZ150" s="51"/>
      <c r="BA150" s="51"/>
      <c r="BB150" s="2"/>
      <c r="BC150" s="51"/>
      <c r="BD150" s="51"/>
      <c r="BE150" s="51"/>
      <c r="BF150" s="2"/>
      <c r="BG150" s="51"/>
      <c r="BH150" s="51"/>
      <c r="BI150" s="51"/>
      <c r="BJ150" s="2"/>
      <c r="BK150" s="51"/>
      <c r="BL150" s="51"/>
      <c r="BM150" s="51"/>
      <c r="BN150" s="2"/>
      <c r="BO150" s="51"/>
      <c r="BP150" s="51"/>
      <c r="BQ150" s="51"/>
      <c r="BR150" s="2"/>
      <c r="BS150" s="51"/>
      <c r="BT150" s="51"/>
      <c r="BU150" s="51"/>
      <c r="BV150" s="2"/>
      <c r="BW150" s="51"/>
    </row>
    <row r="151" spans="1:75" x14ac:dyDescent="0.2">
      <c r="A151" s="51"/>
      <c r="B151" s="51"/>
      <c r="C151" s="51"/>
      <c r="D151" s="51"/>
      <c r="E151" s="51"/>
      <c r="F151" s="2"/>
      <c r="G151" s="51"/>
      <c r="H151" s="51"/>
      <c r="I151" s="51"/>
      <c r="J151" s="2"/>
      <c r="K151" s="51"/>
      <c r="L151" s="51"/>
      <c r="M151" s="51"/>
      <c r="N151" s="2"/>
      <c r="O151" s="51"/>
      <c r="P151" s="51"/>
      <c r="Q151" s="51"/>
      <c r="R151" s="2"/>
      <c r="S151" s="51"/>
      <c r="T151" s="51"/>
      <c r="U151" s="51"/>
      <c r="V151" s="2"/>
      <c r="W151" s="51"/>
      <c r="X151" s="51"/>
      <c r="Y151" s="51"/>
      <c r="Z151" s="2"/>
      <c r="AA151" s="51"/>
      <c r="AB151" s="51"/>
      <c r="AC151" s="51"/>
      <c r="AD151" s="2"/>
      <c r="AE151" s="51"/>
      <c r="AF151" s="51"/>
      <c r="AG151" s="51"/>
      <c r="AH151" s="2"/>
      <c r="AI151" s="51"/>
      <c r="AJ151" s="51"/>
      <c r="AK151" s="51"/>
      <c r="AL151" s="2"/>
      <c r="AM151" s="51"/>
      <c r="AN151" s="51"/>
      <c r="AO151" s="51"/>
      <c r="AP151" s="2"/>
      <c r="AQ151" s="51"/>
      <c r="AR151" s="51"/>
      <c r="AS151" s="51"/>
      <c r="AT151" s="2"/>
      <c r="AU151" s="51"/>
      <c r="AV151" s="51"/>
      <c r="AW151" s="51"/>
      <c r="AX151" s="2"/>
      <c r="AY151" s="51"/>
      <c r="AZ151" s="51"/>
      <c r="BA151" s="51"/>
      <c r="BB151" s="2"/>
      <c r="BC151" s="51"/>
      <c r="BD151" s="51"/>
      <c r="BE151" s="51"/>
      <c r="BF151" s="2"/>
      <c r="BG151" s="51"/>
      <c r="BH151" s="51"/>
      <c r="BI151" s="51"/>
      <c r="BJ151" s="2"/>
      <c r="BK151" s="51"/>
      <c r="BL151" s="51"/>
      <c r="BM151" s="51"/>
      <c r="BN151" s="2"/>
      <c r="BO151" s="51"/>
      <c r="BP151" s="51"/>
      <c r="BQ151" s="51"/>
      <c r="BR151" s="2"/>
      <c r="BS151" s="51"/>
      <c r="BT151" s="51"/>
      <c r="BU151" s="51"/>
      <c r="BV151" s="2"/>
      <c r="BW151" s="51"/>
    </row>
    <row r="152" spans="1:75" x14ac:dyDescent="0.2">
      <c r="A152" s="51"/>
      <c r="B152" s="51"/>
      <c r="C152" s="51"/>
      <c r="D152" s="51"/>
      <c r="E152" s="51"/>
      <c r="F152" s="2"/>
      <c r="G152" s="51"/>
      <c r="H152" s="51"/>
      <c r="I152" s="51"/>
      <c r="J152" s="2"/>
      <c r="K152" s="51"/>
      <c r="L152" s="51"/>
      <c r="M152" s="51"/>
      <c r="N152" s="2"/>
      <c r="O152" s="51"/>
      <c r="P152" s="51"/>
      <c r="Q152" s="51"/>
      <c r="R152" s="2"/>
      <c r="S152" s="51"/>
      <c r="T152" s="51"/>
      <c r="U152" s="51"/>
      <c r="V152" s="2"/>
      <c r="W152" s="51"/>
      <c r="X152" s="51"/>
      <c r="Y152" s="51"/>
      <c r="Z152" s="2"/>
      <c r="AA152" s="51"/>
      <c r="AB152" s="51"/>
      <c r="AC152" s="51"/>
      <c r="AD152" s="2"/>
      <c r="AE152" s="51"/>
      <c r="AF152" s="51"/>
      <c r="AG152" s="51"/>
      <c r="AH152" s="2"/>
      <c r="AI152" s="51"/>
      <c r="AJ152" s="51"/>
      <c r="AK152" s="51"/>
      <c r="AL152" s="2"/>
      <c r="AM152" s="51"/>
      <c r="AN152" s="51"/>
      <c r="AO152" s="51"/>
      <c r="AP152" s="2"/>
      <c r="AQ152" s="51"/>
      <c r="AR152" s="51"/>
      <c r="AS152" s="51"/>
      <c r="AT152" s="2"/>
      <c r="AU152" s="51"/>
      <c r="AV152" s="51"/>
      <c r="AW152" s="51"/>
      <c r="AX152" s="2"/>
      <c r="AY152" s="51"/>
      <c r="AZ152" s="51"/>
      <c r="BA152" s="51"/>
      <c r="BB152" s="2"/>
      <c r="BC152" s="51"/>
      <c r="BD152" s="51"/>
      <c r="BE152" s="51"/>
      <c r="BF152" s="2"/>
      <c r="BG152" s="51"/>
      <c r="BH152" s="51"/>
      <c r="BI152" s="51"/>
      <c r="BJ152" s="2"/>
      <c r="BK152" s="51"/>
      <c r="BL152" s="51"/>
      <c r="BM152" s="51"/>
      <c r="BN152" s="2"/>
      <c r="BO152" s="51"/>
      <c r="BP152" s="51"/>
      <c r="BQ152" s="51"/>
      <c r="BR152" s="2"/>
      <c r="BS152" s="51"/>
      <c r="BT152" s="51"/>
      <c r="BU152" s="51"/>
      <c r="BV152" s="2"/>
      <c r="BW152" s="51"/>
    </row>
    <row r="153" spans="1:75" x14ac:dyDescent="0.2">
      <c r="A153" s="51"/>
      <c r="B153" s="51"/>
      <c r="C153" s="51"/>
      <c r="D153" s="51"/>
      <c r="E153" s="51"/>
      <c r="F153" s="2"/>
      <c r="G153" s="51"/>
      <c r="H153" s="51"/>
      <c r="I153" s="51"/>
      <c r="J153" s="2"/>
      <c r="K153" s="51"/>
      <c r="L153" s="51"/>
      <c r="M153" s="51"/>
      <c r="N153" s="2"/>
      <c r="O153" s="51"/>
      <c r="P153" s="51"/>
      <c r="Q153" s="51"/>
      <c r="R153" s="2"/>
      <c r="S153" s="51"/>
      <c r="T153" s="51"/>
      <c r="U153" s="51"/>
      <c r="V153" s="2"/>
      <c r="W153" s="51"/>
      <c r="X153" s="51"/>
      <c r="Y153" s="51"/>
      <c r="Z153" s="2"/>
      <c r="AA153" s="51"/>
      <c r="AB153" s="51"/>
      <c r="AC153" s="51"/>
      <c r="AD153" s="2"/>
      <c r="AE153" s="51"/>
      <c r="AF153" s="51"/>
      <c r="AG153" s="51"/>
      <c r="AH153" s="2"/>
      <c r="AI153" s="51"/>
      <c r="AJ153" s="51"/>
      <c r="AK153" s="51"/>
      <c r="AL153" s="2"/>
      <c r="AM153" s="51"/>
      <c r="AN153" s="51"/>
      <c r="AO153" s="51"/>
      <c r="AP153" s="2"/>
      <c r="AQ153" s="51"/>
      <c r="AR153" s="51"/>
      <c r="AS153" s="51"/>
      <c r="AT153" s="2"/>
      <c r="AU153" s="51"/>
      <c r="AV153" s="51"/>
      <c r="AW153" s="51"/>
      <c r="AX153" s="2"/>
      <c r="AY153" s="51"/>
      <c r="AZ153" s="51"/>
      <c r="BA153" s="51"/>
      <c r="BB153" s="2"/>
      <c r="BC153" s="51"/>
      <c r="BD153" s="51"/>
      <c r="BE153" s="51"/>
      <c r="BF153" s="2"/>
      <c r="BG153" s="51"/>
      <c r="BH153" s="51"/>
      <c r="BI153" s="51"/>
      <c r="BJ153" s="2"/>
      <c r="BK153" s="51"/>
      <c r="BL153" s="51"/>
      <c r="BM153" s="51"/>
      <c r="BN153" s="2"/>
      <c r="BO153" s="51"/>
      <c r="BP153" s="51"/>
      <c r="BQ153" s="51"/>
      <c r="BR153" s="2"/>
      <c r="BS153" s="51"/>
      <c r="BT153" s="51"/>
      <c r="BU153" s="51"/>
      <c r="BV153" s="2"/>
      <c r="BW153" s="51"/>
    </row>
    <row r="154" spans="1:75" x14ac:dyDescent="0.2">
      <c r="A154" s="51"/>
      <c r="B154" s="51"/>
      <c r="C154" s="51"/>
      <c r="D154" s="51"/>
      <c r="E154" s="51"/>
      <c r="F154" s="2"/>
      <c r="G154" s="51"/>
      <c r="H154" s="51"/>
      <c r="I154" s="51"/>
      <c r="J154" s="2"/>
      <c r="K154" s="51"/>
      <c r="L154" s="51"/>
      <c r="M154" s="51"/>
      <c r="N154" s="2"/>
      <c r="O154" s="51"/>
      <c r="P154" s="51"/>
      <c r="Q154" s="51"/>
      <c r="R154" s="2"/>
      <c r="S154" s="51"/>
      <c r="T154" s="51"/>
      <c r="U154" s="51"/>
      <c r="V154" s="2"/>
      <c r="W154" s="51"/>
      <c r="X154" s="51"/>
      <c r="Y154" s="51"/>
      <c r="Z154" s="2"/>
      <c r="AA154" s="51"/>
      <c r="AB154" s="51"/>
      <c r="AC154" s="51"/>
      <c r="AD154" s="2"/>
      <c r="AE154" s="51"/>
      <c r="AF154" s="51"/>
      <c r="AG154" s="51"/>
      <c r="AH154" s="2"/>
      <c r="AI154" s="51"/>
      <c r="AJ154" s="51"/>
      <c r="AK154" s="51"/>
      <c r="AL154" s="2"/>
      <c r="AM154" s="51"/>
      <c r="AN154" s="51"/>
      <c r="AO154" s="51"/>
      <c r="AP154" s="2"/>
      <c r="AQ154" s="51"/>
      <c r="AR154" s="51"/>
      <c r="AS154" s="51"/>
      <c r="AT154" s="2"/>
      <c r="AU154" s="51"/>
      <c r="AV154" s="51"/>
      <c r="AW154" s="51"/>
      <c r="AX154" s="2"/>
      <c r="AY154" s="51"/>
      <c r="AZ154" s="51"/>
      <c r="BA154" s="51"/>
      <c r="BB154" s="2"/>
      <c r="BC154" s="51"/>
      <c r="BD154" s="51"/>
      <c r="BE154" s="51"/>
      <c r="BF154" s="2"/>
      <c r="BG154" s="51"/>
      <c r="BH154" s="51"/>
      <c r="BI154" s="51"/>
      <c r="BJ154" s="2"/>
      <c r="BK154" s="51"/>
      <c r="BL154" s="51"/>
      <c r="BM154" s="51"/>
      <c r="BN154" s="2"/>
      <c r="BO154" s="51"/>
      <c r="BP154" s="51"/>
      <c r="BQ154" s="51"/>
      <c r="BR154" s="2"/>
      <c r="BS154" s="51"/>
      <c r="BT154" s="51"/>
      <c r="BU154" s="51"/>
      <c r="BV154" s="2"/>
      <c r="BW154" s="51"/>
    </row>
    <row r="155" spans="1:75" x14ac:dyDescent="0.2">
      <c r="A155" s="51"/>
      <c r="B155" s="51"/>
      <c r="C155" s="51"/>
      <c r="D155" s="51"/>
      <c r="E155" s="51"/>
      <c r="F155" s="2"/>
      <c r="G155" s="51"/>
      <c r="H155" s="51"/>
      <c r="I155" s="51"/>
      <c r="J155" s="2"/>
      <c r="K155" s="51"/>
      <c r="L155" s="51"/>
      <c r="M155" s="51"/>
      <c r="N155" s="2"/>
      <c r="O155" s="51"/>
      <c r="P155" s="51"/>
      <c r="Q155" s="51"/>
      <c r="R155" s="2"/>
      <c r="S155" s="51"/>
      <c r="T155" s="51"/>
      <c r="U155" s="51"/>
      <c r="V155" s="2"/>
      <c r="W155" s="51"/>
      <c r="X155" s="51"/>
      <c r="Y155" s="51"/>
      <c r="Z155" s="2"/>
      <c r="AA155" s="51"/>
      <c r="AB155" s="51"/>
      <c r="AC155" s="51"/>
      <c r="AD155" s="2"/>
      <c r="AE155" s="51"/>
      <c r="AF155" s="51"/>
      <c r="AG155" s="51"/>
      <c r="AH155" s="2"/>
      <c r="AI155" s="51"/>
      <c r="AJ155" s="51"/>
      <c r="AK155" s="51"/>
      <c r="AL155" s="2"/>
      <c r="AM155" s="51"/>
      <c r="AN155" s="51"/>
      <c r="AO155" s="51"/>
      <c r="AP155" s="2"/>
      <c r="AQ155" s="51"/>
      <c r="AR155" s="51"/>
      <c r="AS155" s="51"/>
      <c r="AT155" s="2"/>
      <c r="AU155" s="51"/>
      <c r="AV155" s="51"/>
      <c r="AW155" s="51"/>
      <c r="AX155" s="2"/>
      <c r="AY155" s="51"/>
      <c r="AZ155" s="51"/>
      <c r="BA155" s="51"/>
      <c r="BB155" s="2"/>
      <c r="BC155" s="51"/>
      <c r="BD155" s="51"/>
      <c r="BE155" s="51"/>
      <c r="BF155" s="2"/>
      <c r="BG155" s="51"/>
      <c r="BH155" s="51"/>
      <c r="BI155" s="51"/>
      <c r="BJ155" s="2"/>
      <c r="BK155" s="51"/>
      <c r="BL155" s="51"/>
      <c r="BM155" s="51"/>
      <c r="BN155" s="2"/>
      <c r="BO155" s="51"/>
      <c r="BP155" s="51"/>
      <c r="BQ155" s="51"/>
      <c r="BR155" s="2"/>
      <c r="BS155" s="51"/>
      <c r="BT155" s="51"/>
      <c r="BU155" s="51"/>
      <c r="BV155" s="2"/>
      <c r="BW155" s="51"/>
    </row>
    <row r="156" spans="1:75" x14ac:dyDescent="0.2">
      <c r="A156" s="51"/>
      <c r="B156" s="51"/>
      <c r="C156" s="51"/>
      <c r="D156" s="51"/>
      <c r="E156" s="51"/>
      <c r="F156" s="2"/>
      <c r="G156" s="51"/>
      <c r="H156" s="51"/>
      <c r="I156" s="51"/>
      <c r="J156" s="2"/>
      <c r="K156" s="51"/>
      <c r="L156" s="51"/>
      <c r="M156" s="51"/>
      <c r="N156" s="2"/>
      <c r="O156" s="51"/>
      <c r="P156" s="51"/>
      <c r="Q156" s="51"/>
      <c r="R156" s="2"/>
      <c r="S156" s="51"/>
      <c r="T156" s="51"/>
      <c r="U156" s="51"/>
      <c r="V156" s="2"/>
      <c r="W156" s="51"/>
      <c r="X156" s="51"/>
      <c r="Y156" s="51"/>
      <c r="Z156" s="2"/>
      <c r="AA156" s="51"/>
      <c r="AB156" s="51"/>
      <c r="AC156" s="51"/>
      <c r="AD156" s="2"/>
      <c r="AE156" s="51"/>
      <c r="AF156" s="51"/>
      <c r="AG156" s="51"/>
      <c r="AH156" s="2"/>
      <c r="AI156" s="51"/>
      <c r="AJ156" s="51"/>
      <c r="AK156" s="51"/>
      <c r="AL156" s="2"/>
      <c r="AM156" s="51"/>
      <c r="AN156" s="51"/>
      <c r="AO156" s="51"/>
      <c r="AP156" s="2"/>
      <c r="AQ156" s="51"/>
      <c r="AR156" s="51"/>
      <c r="AS156" s="51"/>
      <c r="AT156" s="2"/>
      <c r="AU156" s="51"/>
      <c r="AV156" s="51"/>
      <c r="AW156" s="51"/>
      <c r="AX156" s="2"/>
      <c r="AY156" s="51"/>
      <c r="AZ156" s="51"/>
      <c r="BA156" s="51"/>
      <c r="BB156" s="2"/>
      <c r="BC156" s="51"/>
      <c r="BD156" s="51"/>
      <c r="BE156" s="51"/>
      <c r="BF156" s="2"/>
      <c r="BG156" s="51"/>
      <c r="BH156" s="51"/>
      <c r="BI156" s="51"/>
      <c r="BJ156" s="2"/>
      <c r="BK156" s="51"/>
      <c r="BL156" s="51"/>
      <c r="BM156" s="51"/>
      <c r="BN156" s="2"/>
      <c r="BO156" s="51"/>
      <c r="BP156" s="51"/>
      <c r="BQ156" s="51"/>
      <c r="BR156" s="2"/>
      <c r="BS156" s="51"/>
      <c r="BT156" s="51"/>
      <c r="BU156" s="51"/>
      <c r="BV156" s="2"/>
      <c r="BW156" s="51"/>
    </row>
    <row r="157" spans="1:75" x14ac:dyDescent="0.2">
      <c r="A157" s="51"/>
      <c r="B157" s="51"/>
      <c r="C157" s="51"/>
      <c r="D157" s="51"/>
      <c r="E157" s="51"/>
      <c r="F157" s="2"/>
      <c r="G157" s="51"/>
      <c r="H157" s="51"/>
      <c r="I157" s="51"/>
      <c r="J157" s="2"/>
      <c r="K157" s="51"/>
      <c r="L157" s="51"/>
      <c r="M157" s="51"/>
      <c r="N157" s="2"/>
      <c r="O157" s="51"/>
      <c r="P157" s="51"/>
      <c r="Q157" s="51"/>
      <c r="R157" s="2"/>
      <c r="S157" s="51"/>
      <c r="T157" s="51"/>
      <c r="U157" s="51"/>
      <c r="V157" s="2"/>
      <c r="W157" s="51"/>
      <c r="X157" s="51"/>
      <c r="Y157" s="51"/>
      <c r="Z157" s="2"/>
      <c r="AA157" s="51"/>
      <c r="AB157" s="51"/>
      <c r="AC157" s="51"/>
      <c r="AD157" s="2"/>
      <c r="AE157" s="51"/>
      <c r="AF157" s="51"/>
      <c r="AG157" s="51"/>
      <c r="AH157" s="2"/>
      <c r="AI157" s="51"/>
      <c r="AJ157" s="51"/>
      <c r="AK157" s="51"/>
      <c r="AL157" s="2"/>
      <c r="AM157" s="51"/>
      <c r="AN157" s="51"/>
      <c r="AO157" s="51"/>
      <c r="AP157" s="2"/>
      <c r="AQ157" s="51"/>
      <c r="AR157" s="51"/>
      <c r="AS157" s="51"/>
      <c r="AT157" s="2"/>
      <c r="AU157" s="51"/>
      <c r="AV157" s="51"/>
      <c r="AW157" s="51"/>
      <c r="AX157" s="2"/>
      <c r="AY157" s="51"/>
      <c r="AZ157" s="51"/>
      <c r="BA157" s="51"/>
      <c r="BB157" s="2"/>
      <c r="BC157" s="51"/>
      <c r="BD157" s="51"/>
      <c r="BE157" s="51"/>
      <c r="BF157" s="2"/>
      <c r="BG157" s="51"/>
      <c r="BH157" s="51"/>
      <c r="BI157" s="51"/>
      <c r="BJ157" s="2"/>
      <c r="BK157" s="51"/>
      <c r="BL157" s="51"/>
      <c r="BM157" s="51"/>
      <c r="BN157" s="2"/>
      <c r="BO157" s="51"/>
      <c r="BP157" s="51"/>
      <c r="BQ157" s="51"/>
      <c r="BR157" s="2"/>
      <c r="BS157" s="51"/>
      <c r="BT157" s="51"/>
      <c r="BU157" s="51"/>
      <c r="BV157" s="2"/>
      <c r="BW157" s="51"/>
    </row>
    <row r="158" spans="1:75" x14ac:dyDescent="0.2">
      <c r="A158" s="51"/>
      <c r="B158" s="51"/>
      <c r="C158" s="51"/>
      <c r="D158" s="51"/>
      <c r="E158" s="51"/>
      <c r="F158" s="2"/>
      <c r="G158" s="51"/>
      <c r="H158" s="51"/>
      <c r="I158" s="51"/>
      <c r="J158" s="2"/>
      <c r="K158" s="51"/>
      <c r="L158" s="51"/>
      <c r="M158" s="51"/>
      <c r="N158" s="2"/>
      <c r="O158" s="51"/>
      <c r="P158" s="51"/>
      <c r="Q158" s="51"/>
      <c r="R158" s="2"/>
      <c r="S158" s="51"/>
      <c r="T158" s="51"/>
      <c r="U158" s="51"/>
      <c r="V158" s="2"/>
      <c r="W158" s="51"/>
      <c r="X158" s="51"/>
      <c r="Y158" s="51"/>
      <c r="Z158" s="2"/>
      <c r="AA158" s="51"/>
      <c r="AB158" s="51"/>
      <c r="AC158" s="51"/>
      <c r="AD158" s="2"/>
      <c r="AE158" s="51"/>
      <c r="AF158" s="51"/>
      <c r="AG158" s="51"/>
      <c r="AH158" s="2"/>
      <c r="AI158" s="51"/>
      <c r="AJ158" s="51"/>
      <c r="AK158" s="51"/>
      <c r="AL158" s="2"/>
      <c r="AM158" s="51"/>
      <c r="AN158" s="51"/>
      <c r="AO158" s="51"/>
      <c r="AP158" s="2"/>
      <c r="AQ158" s="51"/>
      <c r="AR158" s="51"/>
      <c r="AS158" s="51"/>
      <c r="AT158" s="2"/>
      <c r="AU158" s="51"/>
      <c r="AV158" s="51"/>
      <c r="AW158" s="51"/>
      <c r="AX158" s="2"/>
      <c r="AY158" s="51"/>
      <c r="AZ158" s="51"/>
      <c r="BA158" s="51"/>
      <c r="BB158" s="2"/>
      <c r="BC158" s="51"/>
      <c r="BD158" s="51"/>
      <c r="BE158" s="51"/>
      <c r="BF158" s="2"/>
      <c r="BG158" s="51"/>
      <c r="BH158" s="51"/>
      <c r="BI158" s="51"/>
      <c r="BJ158" s="2"/>
      <c r="BK158" s="51"/>
      <c r="BL158" s="51"/>
      <c r="BM158" s="51"/>
      <c r="BN158" s="2"/>
      <c r="BO158" s="51"/>
      <c r="BP158" s="51"/>
      <c r="BQ158" s="51"/>
      <c r="BR158" s="2"/>
      <c r="BS158" s="51"/>
      <c r="BT158" s="51"/>
      <c r="BU158" s="51"/>
      <c r="BV158" s="2"/>
      <c r="BW158" s="51"/>
    </row>
    <row r="159" spans="1:75" x14ac:dyDescent="0.2">
      <c r="A159" s="51"/>
      <c r="B159" s="51"/>
      <c r="C159" s="51"/>
      <c r="D159" s="51"/>
      <c r="E159" s="51"/>
      <c r="F159" s="2"/>
      <c r="G159" s="51"/>
      <c r="H159" s="51"/>
      <c r="I159" s="51"/>
      <c r="J159" s="2"/>
      <c r="K159" s="51"/>
      <c r="L159" s="51"/>
      <c r="M159" s="51"/>
      <c r="N159" s="2"/>
      <c r="O159" s="51"/>
      <c r="P159" s="51"/>
      <c r="Q159" s="51"/>
      <c r="R159" s="2"/>
      <c r="S159" s="51"/>
      <c r="T159" s="51"/>
      <c r="U159" s="51"/>
      <c r="V159" s="2"/>
      <c r="W159" s="51"/>
      <c r="X159" s="51"/>
      <c r="Y159" s="51"/>
      <c r="Z159" s="2"/>
      <c r="AA159" s="51"/>
      <c r="AB159" s="51"/>
      <c r="AC159" s="51"/>
      <c r="AD159" s="2"/>
      <c r="AE159" s="51"/>
      <c r="AF159" s="51"/>
      <c r="AG159" s="51"/>
      <c r="AH159" s="2"/>
      <c r="AI159" s="51"/>
      <c r="AJ159" s="51"/>
      <c r="AK159" s="51"/>
      <c r="AL159" s="2"/>
      <c r="AM159" s="51"/>
      <c r="AN159" s="51"/>
      <c r="AO159" s="51"/>
      <c r="AP159" s="2"/>
      <c r="AQ159" s="51"/>
      <c r="AR159" s="51"/>
      <c r="AS159" s="51"/>
      <c r="AT159" s="2"/>
      <c r="AU159" s="51"/>
      <c r="AV159" s="51"/>
      <c r="AW159" s="51"/>
      <c r="AX159" s="2"/>
      <c r="AY159" s="51"/>
      <c r="AZ159" s="51"/>
      <c r="BA159" s="51"/>
      <c r="BB159" s="2"/>
      <c r="BC159" s="51"/>
      <c r="BD159" s="51"/>
      <c r="BE159" s="51"/>
      <c r="BF159" s="2"/>
      <c r="BG159" s="51"/>
      <c r="BH159" s="51"/>
      <c r="BI159" s="51"/>
      <c r="BJ159" s="2"/>
      <c r="BK159" s="51"/>
      <c r="BL159" s="51"/>
      <c r="BM159" s="51"/>
      <c r="BN159" s="2"/>
      <c r="BO159" s="51"/>
      <c r="BP159" s="51"/>
      <c r="BQ159" s="51"/>
      <c r="BR159" s="2"/>
      <c r="BS159" s="51"/>
      <c r="BT159" s="51"/>
      <c r="BU159" s="51"/>
      <c r="BV159" s="2"/>
      <c r="BW159" s="51"/>
    </row>
    <row r="160" spans="1:75" x14ac:dyDescent="0.2">
      <c r="A160" s="51"/>
      <c r="B160" s="51"/>
      <c r="C160" s="51"/>
      <c r="D160" s="51"/>
      <c r="E160" s="51"/>
      <c r="F160" s="2"/>
      <c r="G160" s="51"/>
      <c r="H160" s="51"/>
      <c r="I160" s="51"/>
      <c r="J160" s="2"/>
      <c r="K160" s="51"/>
      <c r="L160" s="51"/>
      <c r="M160" s="51"/>
      <c r="N160" s="2"/>
      <c r="O160" s="51"/>
      <c r="P160" s="51"/>
      <c r="Q160" s="51"/>
      <c r="R160" s="2"/>
      <c r="S160" s="51"/>
      <c r="T160" s="51"/>
      <c r="U160" s="51"/>
      <c r="V160" s="2"/>
      <c r="W160" s="51"/>
      <c r="X160" s="51"/>
      <c r="Y160" s="51"/>
      <c r="Z160" s="2"/>
      <c r="AA160" s="51"/>
      <c r="AB160" s="51"/>
      <c r="AC160" s="51"/>
      <c r="AD160" s="2"/>
      <c r="AE160" s="51"/>
      <c r="AF160" s="51"/>
      <c r="AG160" s="51"/>
      <c r="AH160" s="2"/>
      <c r="AI160" s="51"/>
      <c r="AJ160" s="51"/>
      <c r="AK160" s="51"/>
      <c r="AL160" s="2"/>
      <c r="AM160" s="51"/>
      <c r="AN160" s="51"/>
      <c r="AO160" s="51"/>
      <c r="AP160" s="2"/>
      <c r="AQ160" s="51"/>
      <c r="AR160" s="51"/>
      <c r="AS160" s="51"/>
      <c r="AT160" s="2"/>
      <c r="AU160" s="51"/>
      <c r="AV160" s="51"/>
      <c r="AW160" s="51"/>
      <c r="AX160" s="2"/>
      <c r="AY160" s="51"/>
      <c r="AZ160" s="51"/>
      <c r="BA160" s="51"/>
      <c r="BB160" s="2"/>
      <c r="BC160" s="51"/>
      <c r="BD160" s="51"/>
      <c r="BE160" s="51"/>
      <c r="BF160" s="2"/>
      <c r="BG160" s="51"/>
      <c r="BH160" s="51"/>
      <c r="BI160" s="51"/>
      <c r="BJ160" s="2"/>
      <c r="BK160" s="51"/>
      <c r="BL160" s="51"/>
      <c r="BM160" s="51"/>
      <c r="BN160" s="2"/>
      <c r="BO160" s="51"/>
      <c r="BP160" s="51"/>
      <c r="BQ160" s="51"/>
      <c r="BR160" s="2"/>
      <c r="BS160" s="51"/>
      <c r="BT160" s="51"/>
      <c r="BU160" s="51"/>
      <c r="BV160" s="2"/>
      <c r="BW160" s="51"/>
    </row>
    <row r="161" spans="1:75" x14ac:dyDescent="0.2">
      <c r="A161" s="51"/>
      <c r="B161" s="51"/>
      <c r="C161" s="51"/>
      <c r="D161" s="51"/>
      <c r="E161" s="51"/>
      <c r="F161" s="2"/>
      <c r="G161" s="51"/>
      <c r="H161" s="51"/>
      <c r="I161" s="51"/>
      <c r="J161" s="2"/>
      <c r="K161" s="51"/>
      <c r="L161" s="51"/>
      <c r="M161" s="51"/>
      <c r="N161" s="2"/>
      <c r="O161" s="51"/>
      <c r="P161" s="51"/>
      <c r="Q161" s="51"/>
      <c r="R161" s="2"/>
      <c r="S161" s="51"/>
      <c r="T161" s="51"/>
      <c r="U161" s="51"/>
      <c r="V161" s="2"/>
      <c r="W161" s="51"/>
      <c r="X161" s="51"/>
      <c r="Y161" s="51"/>
      <c r="Z161" s="2"/>
      <c r="AA161" s="51"/>
      <c r="AB161" s="51"/>
      <c r="AC161" s="51"/>
      <c r="AD161" s="2"/>
      <c r="AE161" s="51"/>
      <c r="AF161" s="51"/>
      <c r="AG161" s="51"/>
      <c r="AH161" s="2"/>
      <c r="AI161" s="51"/>
      <c r="AJ161" s="51"/>
      <c r="AK161" s="51"/>
      <c r="AL161" s="2"/>
      <c r="AM161" s="51"/>
      <c r="AN161" s="51"/>
      <c r="AO161" s="51"/>
      <c r="AP161" s="2"/>
      <c r="AQ161" s="51"/>
      <c r="AR161" s="51"/>
      <c r="AS161" s="51"/>
      <c r="AT161" s="2"/>
      <c r="AU161" s="51"/>
      <c r="AV161" s="51"/>
      <c r="AW161" s="51"/>
      <c r="AX161" s="2"/>
      <c r="AY161" s="51"/>
      <c r="AZ161" s="51"/>
      <c r="BA161" s="51"/>
      <c r="BB161" s="2"/>
      <c r="BC161" s="51"/>
      <c r="BD161" s="51"/>
      <c r="BE161" s="51"/>
      <c r="BF161" s="2"/>
      <c r="BG161" s="51"/>
      <c r="BH161" s="51"/>
      <c r="BI161" s="51"/>
      <c r="BJ161" s="2"/>
      <c r="BK161" s="51"/>
      <c r="BL161" s="51"/>
      <c r="BM161" s="51"/>
      <c r="BN161" s="2"/>
      <c r="BO161" s="51"/>
      <c r="BP161" s="51"/>
      <c r="BQ161" s="51"/>
      <c r="BR161" s="2"/>
      <c r="BS161" s="51"/>
      <c r="BT161" s="51"/>
      <c r="BU161" s="51"/>
      <c r="BV161" s="2"/>
      <c r="BW161" s="51"/>
    </row>
    <row r="162" spans="1:75" x14ac:dyDescent="0.2">
      <c r="A162" s="51"/>
      <c r="B162" s="51"/>
      <c r="C162" s="51"/>
      <c r="D162" s="51"/>
      <c r="E162" s="51"/>
      <c r="F162" s="2"/>
      <c r="G162" s="51"/>
      <c r="H162" s="51"/>
      <c r="I162" s="51"/>
      <c r="J162" s="2"/>
      <c r="K162" s="51"/>
      <c r="L162" s="51"/>
      <c r="M162" s="51"/>
      <c r="N162" s="2"/>
      <c r="O162" s="51"/>
      <c r="P162" s="51"/>
      <c r="Q162" s="51"/>
      <c r="R162" s="2"/>
      <c r="S162" s="51"/>
      <c r="T162" s="51"/>
      <c r="U162" s="51"/>
      <c r="V162" s="2"/>
      <c r="W162" s="51"/>
      <c r="X162" s="51"/>
      <c r="Y162" s="51"/>
      <c r="Z162" s="2"/>
      <c r="AA162" s="51"/>
      <c r="AB162" s="51"/>
      <c r="AC162" s="51"/>
      <c r="AD162" s="2"/>
      <c r="AE162" s="51"/>
      <c r="AF162" s="51"/>
      <c r="AG162" s="51"/>
      <c r="AH162" s="2"/>
      <c r="AI162" s="51"/>
      <c r="AJ162" s="51"/>
      <c r="AK162" s="51"/>
      <c r="AL162" s="2"/>
      <c r="AM162" s="51"/>
      <c r="AN162" s="51"/>
      <c r="AO162" s="51"/>
      <c r="AP162" s="2"/>
      <c r="AQ162" s="51"/>
      <c r="AR162" s="51"/>
      <c r="AS162" s="51"/>
      <c r="AT162" s="2"/>
      <c r="AU162" s="51"/>
      <c r="AV162" s="51"/>
      <c r="AW162" s="51"/>
      <c r="AX162" s="2"/>
      <c r="AY162" s="51"/>
      <c r="AZ162" s="51"/>
      <c r="BA162" s="51"/>
      <c r="BB162" s="2"/>
      <c r="BC162" s="51"/>
      <c r="BD162" s="51"/>
      <c r="BE162" s="51"/>
      <c r="BF162" s="2"/>
      <c r="BG162" s="51"/>
      <c r="BH162" s="51"/>
      <c r="BI162" s="51"/>
      <c r="BJ162" s="2"/>
      <c r="BK162" s="51"/>
      <c r="BL162" s="51"/>
      <c r="BM162" s="51"/>
      <c r="BN162" s="2"/>
      <c r="BO162" s="51"/>
      <c r="BP162" s="51"/>
      <c r="BQ162" s="51"/>
      <c r="BR162" s="2"/>
      <c r="BS162" s="51"/>
      <c r="BT162" s="51"/>
      <c r="BU162" s="51"/>
      <c r="BV162" s="2"/>
      <c r="BW162" s="51"/>
    </row>
    <row r="163" spans="1:75" x14ac:dyDescent="0.2">
      <c r="A163" s="51"/>
      <c r="B163" s="51"/>
      <c r="C163" s="51"/>
      <c r="D163" s="51"/>
      <c r="E163" s="51"/>
      <c r="F163" s="2"/>
      <c r="G163" s="51"/>
      <c r="H163" s="51"/>
      <c r="I163" s="51"/>
      <c r="J163" s="2"/>
      <c r="K163" s="51"/>
      <c r="L163" s="51"/>
      <c r="M163" s="51"/>
      <c r="N163" s="2"/>
      <c r="O163" s="51"/>
      <c r="P163" s="51"/>
      <c r="Q163" s="51"/>
      <c r="R163" s="2"/>
      <c r="S163" s="51"/>
      <c r="T163" s="51"/>
      <c r="U163" s="51"/>
      <c r="V163" s="2"/>
      <c r="W163" s="51"/>
      <c r="X163" s="51"/>
      <c r="Y163" s="51"/>
      <c r="Z163" s="2"/>
      <c r="AA163" s="51"/>
      <c r="AB163" s="51"/>
      <c r="AC163" s="51"/>
      <c r="AD163" s="2"/>
      <c r="AE163" s="51"/>
      <c r="AF163" s="51"/>
      <c r="AG163" s="51"/>
      <c r="AH163" s="2"/>
      <c r="AI163" s="51"/>
      <c r="AJ163" s="51"/>
      <c r="AK163" s="51"/>
      <c r="AL163" s="2"/>
      <c r="AM163" s="51"/>
      <c r="AN163" s="51"/>
      <c r="AO163" s="51"/>
      <c r="AP163" s="2"/>
      <c r="AQ163" s="51"/>
      <c r="AR163" s="51"/>
      <c r="AS163" s="51"/>
      <c r="AT163" s="2"/>
      <c r="AU163" s="51"/>
      <c r="AV163" s="51"/>
      <c r="AW163" s="51"/>
      <c r="AX163" s="2"/>
      <c r="AY163" s="51"/>
      <c r="AZ163" s="51"/>
      <c r="BA163" s="51"/>
      <c r="BB163" s="2"/>
      <c r="BC163" s="51"/>
      <c r="BD163" s="51"/>
      <c r="BE163" s="51"/>
      <c r="BF163" s="2"/>
      <c r="BG163" s="51"/>
      <c r="BH163" s="51"/>
      <c r="BI163" s="51"/>
      <c r="BJ163" s="2"/>
      <c r="BK163" s="51"/>
      <c r="BL163" s="51"/>
      <c r="BM163" s="51"/>
      <c r="BN163" s="2"/>
      <c r="BO163" s="51"/>
      <c r="BP163" s="51"/>
      <c r="BQ163" s="51"/>
      <c r="BR163" s="2"/>
      <c r="BS163" s="51"/>
      <c r="BT163" s="51"/>
      <c r="BU163" s="51"/>
      <c r="BV163" s="2"/>
      <c r="BW163" s="51"/>
    </row>
    <row r="164" spans="1:75" x14ac:dyDescent="0.2">
      <c r="A164" s="51"/>
      <c r="B164" s="51"/>
      <c r="C164" s="51"/>
      <c r="D164" s="51"/>
      <c r="E164" s="51"/>
      <c r="F164" s="2"/>
      <c r="G164" s="51"/>
      <c r="H164" s="51"/>
      <c r="I164" s="51"/>
      <c r="J164" s="2"/>
      <c r="K164" s="51"/>
      <c r="L164" s="51"/>
      <c r="M164" s="51"/>
      <c r="N164" s="2"/>
      <c r="O164" s="51"/>
      <c r="P164" s="51"/>
      <c r="Q164" s="51"/>
      <c r="R164" s="2"/>
      <c r="S164" s="51"/>
      <c r="T164" s="51"/>
      <c r="U164" s="51"/>
      <c r="V164" s="2"/>
      <c r="W164" s="51"/>
      <c r="X164" s="51"/>
      <c r="Y164" s="51"/>
      <c r="Z164" s="2"/>
      <c r="AA164" s="51"/>
      <c r="AB164" s="51"/>
      <c r="AC164" s="51"/>
      <c r="AD164" s="2"/>
      <c r="AE164" s="51"/>
      <c r="AF164" s="51"/>
      <c r="AG164" s="51"/>
      <c r="AH164" s="2"/>
      <c r="AI164" s="51"/>
      <c r="AJ164" s="51"/>
      <c r="AK164" s="51"/>
      <c r="AL164" s="2"/>
      <c r="AM164" s="51"/>
      <c r="AN164" s="51"/>
      <c r="AO164" s="51"/>
      <c r="AP164" s="2"/>
      <c r="AQ164" s="51"/>
      <c r="AR164" s="51"/>
      <c r="AS164" s="51"/>
      <c r="AT164" s="2"/>
      <c r="AU164" s="51"/>
      <c r="AV164" s="51"/>
      <c r="AW164" s="51"/>
      <c r="AX164" s="2"/>
      <c r="AY164" s="51"/>
      <c r="AZ164" s="51"/>
      <c r="BA164" s="51"/>
      <c r="BB164" s="2"/>
      <c r="BC164" s="51"/>
      <c r="BD164" s="51"/>
      <c r="BE164" s="51"/>
      <c r="BF164" s="2"/>
      <c r="BG164" s="51"/>
      <c r="BH164" s="51"/>
      <c r="BI164" s="51"/>
      <c r="BJ164" s="2"/>
      <c r="BK164" s="51"/>
      <c r="BL164" s="51"/>
      <c r="BM164" s="51"/>
      <c r="BN164" s="2"/>
      <c r="BO164" s="51"/>
      <c r="BP164" s="51"/>
      <c r="BQ164" s="51"/>
      <c r="BR164" s="2"/>
      <c r="BS164" s="51"/>
      <c r="BT164" s="51"/>
      <c r="BU164" s="51"/>
      <c r="BV164" s="2"/>
      <c r="BW164" s="51"/>
    </row>
    <row r="165" spans="1:75" x14ac:dyDescent="0.2">
      <c r="A165" s="51"/>
      <c r="B165" s="51"/>
      <c r="C165" s="51"/>
      <c r="D165" s="51"/>
      <c r="E165" s="51"/>
      <c r="F165" s="2"/>
      <c r="G165" s="51"/>
      <c r="H165" s="51"/>
      <c r="I165" s="51"/>
      <c r="J165" s="2"/>
      <c r="K165" s="51"/>
      <c r="L165" s="51"/>
      <c r="M165" s="51"/>
      <c r="N165" s="2"/>
      <c r="O165" s="51"/>
      <c r="P165" s="51"/>
      <c r="Q165" s="51"/>
      <c r="R165" s="2"/>
      <c r="S165" s="51"/>
      <c r="T165" s="51"/>
      <c r="U165" s="51"/>
      <c r="V165" s="2"/>
      <c r="W165" s="51"/>
      <c r="X165" s="51"/>
      <c r="Y165" s="51"/>
      <c r="Z165" s="2"/>
      <c r="AA165" s="51"/>
      <c r="AB165" s="51"/>
      <c r="AC165" s="51"/>
      <c r="AD165" s="2"/>
      <c r="AE165" s="51"/>
      <c r="AF165" s="51"/>
      <c r="AG165" s="51"/>
      <c r="AH165" s="2"/>
      <c r="AI165" s="51"/>
      <c r="AJ165" s="51"/>
      <c r="AK165" s="51"/>
      <c r="AL165" s="2"/>
      <c r="AM165" s="51"/>
      <c r="AN165" s="51"/>
      <c r="AO165" s="51"/>
      <c r="AP165" s="2"/>
      <c r="AQ165" s="51"/>
      <c r="AR165" s="51"/>
      <c r="AS165" s="51"/>
      <c r="AT165" s="2"/>
      <c r="AU165" s="51"/>
      <c r="AV165" s="51"/>
      <c r="AW165" s="51"/>
      <c r="AX165" s="2"/>
      <c r="AY165" s="51"/>
      <c r="AZ165" s="51"/>
      <c r="BA165" s="51"/>
      <c r="BB165" s="2"/>
      <c r="BC165" s="51"/>
      <c r="BD165" s="51"/>
      <c r="BE165" s="51"/>
      <c r="BF165" s="2"/>
      <c r="BG165" s="51"/>
      <c r="BH165" s="51"/>
      <c r="BI165" s="51"/>
      <c r="BJ165" s="2"/>
      <c r="BK165" s="51"/>
      <c r="BL165" s="51"/>
      <c r="BM165" s="51"/>
      <c r="BN165" s="2"/>
      <c r="BO165" s="51"/>
      <c r="BP165" s="51"/>
      <c r="BQ165" s="51"/>
      <c r="BR165" s="2"/>
      <c r="BS165" s="51"/>
      <c r="BT165" s="51"/>
      <c r="BU165" s="51"/>
      <c r="BV165" s="2"/>
      <c r="BW165" s="51"/>
    </row>
    <row r="166" spans="1:75" x14ac:dyDescent="0.2">
      <c r="A166" s="51"/>
      <c r="B166" s="51"/>
      <c r="C166" s="51"/>
      <c r="D166" s="51"/>
      <c r="E166" s="51"/>
      <c r="F166" s="2"/>
      <c r="G166" s="51"/>
      <c r="H166" s="51"/>
      <c r="I166" s="51"/>
      <c r="J166" s="2"/>
      <c r="K166" s="51"/>
      <c r="L166" s="51"/>
      <c r="M166" s="51"/>
      <c r="N166" s="2"/>
      <c r="O166" s="51"/>
      <c r="P166" s="51"/>
      <c r="Q166" s="51"/>
      <c r="R166" s="2"/>
      <c r="S166" s="51"/>
      <c r="T166" s="51"/>
      <c r="U166" s="51"/>
      <c r="V166" s="2"/>
      <c r="W166" s="51"/>
      <c r="X166" s="51"/>
      <c r="Y166" s="51"/>
      <c r="Z166" s="2"/>
      <c r="AA166" s="51"/>
      <c r="AB166" s="51"/>
      <c r="AC166" s="51"/>
      <c r="AD166" s="2"/>
      <c r="AE166" s="51"/>
      <c r="AF166" s="51"/>
      <c r="AG166" s="51"/>
      <c r="AH166" s="2"/>
      <c r="AI166" s="51"/>
      <c r="AJ166" s="51"/>
      <c r="AK166" s="51"/>
      <c r="AL166" s="2"/>
      <c r="AM166" s="51"/>
      <c r="AN166" s="51"/>
      <c r="AO166" s="51"/>
      <c r="AP166" s="2"/>
      <c r="AQ166" s="51"/>
      <c r="AR166" s="51"/>
      <c r="AS166" s="51"/>
      <c r="AT166" s="2"/>
      <c r="AU166" s="51"/>
      <c r="AV166" s="51"/>
      <c r="AW166" s="51"/>
      <c r="AX166" s="2"/>
      <c r="AY166" s="51"/>
      <c r="AZ166" s="51"/>
      <c r="BA166" s="51"/>
      <c r="BB166" s="2"/>
      <c r="BC166" s="51"/>
      <c r="BD166" s="51"/>
      <c r="BE166" s="51"/>
      <c r="BF166" s="2"/>
      <c r="BG166" s="51"/>
      <c r="BH166" s="51"/>
      <c r="BI166" s="51"/>
      <c r="BJ166" s="2"/>
      <c r="BK166" s="51"/>
      <c r="BL166" s="51"/>
      <c r="BM166" s="51"/>
      <c r="BN166" s="2"/>
      <c r="BO166" s="51"/>
      <c r="BP166" s="51"/>
      <c r="BQ166" s="51"/>
      <c r="BR166" s="2"/>
      <c r="BS166" s="51"/>
      <c r="BT166" s="51"/>
      <c r="BU166" s="51"/>
      <c r="BV166" s="2"/>
      <c r="BW166" s="51"/>
    </row>
    <row r="167" spans="1:75" x14ac:dyDescent="0.2">
      <c r="A167" s="51"/>
      <c r="B167" s="51"/>
      <c r="C167" s="51"/>
      <c r="D167" s="51"/>
      <c r="E167" s="51"/>
      <c r="F167" s="2"/>
      <c r="G167" s="51"/>
      <c r="H167" s="51"/>
      <c r="I167" s="51"/>
      <c r="J167" s="2"/>
      <c r="K167" s="51"/>
      <c r="L167" s="51"/>
      <c r="M167" s="51"/>
      <c r="N167" s="2"/>
      <c r="O167" s="51"/>
      <c r="P167" s="51"/>
      <c r="Q167" s="51"/>
      <c r="R167" s="2"/>
      <c r="S167" s="51"/>
      <c r="T167" s="51"/>
      <c r="U167" s="51"/>
      <c r="V167" s="2"/>
      <c r="W167" s="51"/>
      <c r="X167" s="51"/>
      <c r="Y167" s="51"/>
      <c r="Z167" s="2"/>
      <c r="AA167" s="51"/>
      <c r="AB167" s="51"/>
      <c r="AC167" s="51"/>
      <c r="AD167" s="2"/>
      <c r="AE167" s="51"/>
      <c r="AF167" s="51"/>
      <c r="AG167" s="51"/>
      <c r="AH167" s="2"/>
      <c r="AI167" s="51"/>
      <c r="AJ167" s="51"/>
      <c r="AK167" s="51"/>
      <c r="AL167" s="2"/>
      <c r="AM167" s="51"/>
      <c r="AN167" s="51"/>
      <c r="AO167" s="51"/>
      <c r="AP167" s="2"/>
      <c r="AQ167" s="51"/>
      <c r="AR167" s="51"/>
      <c r="AS167" s="51"/>
      <c r="AT167" s="2"/>
      <c r="AU167" s="51"/>
      <c r="AV167" s="51"/>
      <c r="AW167" s="51"/>
      <c r="AX167" s="2"/>
      <c r="AY167" s="51"/>
      <c r="AZ167" s="51"/>
      <c r="BA167" s="51"/>
      <c r="BB167" s="2"/>
      <c r="BC167" s="51"/>
      <c r="BD167" s="51"/>
      <c r="BE167" s="51"/>
      <c r="BF167" s="2"/>
      <c r="BG167" s="51"/>
      <c r="BH167" s="51"/>
      <c r="BI167" s="51"/>
      <c r="BJ167" s="2"/>
      <c r="BK167" s="51"/>
      <c r="BL167" s="51"/>
      <c r="BM167" s="51"/>
      <c r="BN167" s="2"/>
      <c r="BO167" s="51"/>
      <c r="BP167" s="51"/>
      <c r="BQ167" s="51"/>
      <c r="BR167" s="2"/>
      <c r="BS167" s="51"/>
      <c r="BT167" s="51"/>
      <c r="BU167" s="51"/>
      <c r="BV167" s="2"/>
      <c r="BW167" s="51"/>
    </row>
    <row r="168" spans="1:75" x14ac:dyDescent="0.2">
      <c r="A168" s="51"/>
      <c r="B168" s="51"/>
      <c r="C168" s="51"/>
      <c r="D168" s="51"/>
      <c r="E168" s="51"/>
      <c r="F168" s="2"/>
      <c r="G168" s="51"/>
      <c r="H168" s="51"/>
      <c r="I168" s="51"/>
      <c r="J168" s="2"/>
      <c r="K168" s="51"/>
      <c r="L168" s="51"/>
      <c r="M168" s="51"/>
      <c r="N168" s="2"/>
      <c r="O168" s="51"/>
      <c r="P168" s="51"/>
      <c r="Q168" s="51"/>
      <c r="R168" s="2"/>
      <c r="S168" s="51"/>
      <c r="T168" s="51"/>
      <c r="U168" s="51"/>
      <c r="V168" s="2"/>
      <c r="W168" s="51"/>
      <c r="X168" s="51"/>
      <c r="Y168" s="51"/>
      <c r="Z168" s="2"/>
      <c r="AA168" s="51"/>
      <c r="AB168" s="51"/>
      <c r="AC168" s="51"/>
      <c r="AD168" s="2"/>
      <c r="AE168" s="51"/>
      <c r="AF168" s="51"/>
      <c r="AG168" s="51"/>
      <c r="AH168" s="2"/>
      <c r="AI168" s="51"/>
      <c r="AJ168" s="51"/>
      <c r="AK168" s="51"/>
      <c r="AL168" s="2"/>
      <c r="AM168" s="51"/>
      <c r="AN168" s="51"/>
      <c r="AO168" s="51"/>
      <c r="AP168" s="2"/>
      <c r="AQ168" s="51"/>
      <c r="AR168" s="51"/>
      <c r="AS168" s="51"/>
      <c r="AT168" s="2"/>
      <c r="AU168" s="51"/>
      <c r="AV168" s="51"/>
      <c r="AW168" s="51"/>
      <c r="AX168" s="2"/>
      <c r="AY168" s="51"/>
      <c r="AZ168" s="51"/>
      <c r="BA168" s="51"/>
      <c r="BB168" s="2"/>
      <c r="BC168" s="51"/>
      <c r="BD168" s="51"/>
      <c r="BE168" s="51"/>
      <c r="BF168" s="2"/>
      <c r="BG168" s="51"/>
      <c r="BH168" s="51"/>
      <c r="BI168" s="51"/>
      <c r="BJ168" s="2"/>
      <c r="BK168" s="51"/>
      <c r="BL168" s="51"/>
      <c r="BM168" s="51"/>
      <c r="BN168" s="2"/>
      <c r="BO168" s="51"/>
      <c r="BP168" s="51"/>
      <c r="BQ168" s="51"/>
      <c r="BR168" s="2"/>
      <c r="BS168" s="51"/>
      <c r="BT168" s="51"/>
      <c r="BU168" s="51"/>
      <c r="BV168" s="2"/>
      <c r="BW168" s="51"/>
    </row>
    <row r="169" spans="1:75" x14ac:dyDescent="0.2">
      <c r="A169" s="51"/>
      <c r="B169" s="51"/>
      <c r="C169" s="51"/>
      <c r="D169" s="51"/>
      <c r="E169" s="51"/>
      <c r="F169" s="2"/>
      <c r="G169" s="51"/>
      <c r="H169" s="51"/>
      <c r="I169" s="51"/>
      <c r="J169" s="2"/>
      <c r="K169" s="51"/>
      <c r="L169" s="51"/>
      <c r="M169" s="51"/>
      <c r="N169" s="2"/>
      <c r="O169" s="51"/>
      <c r="P169" s="51"/>
      <c r="Q169" s="51"/>
      <c r="R169" s="2"/>
      <c r="S169" s="51"/>
      <c r="T169" s="51"/>
      <c r="U169" s="51"/>
      <c r="V169" s="2"/>
      <c r="W169" s="51"/>
      <c r="X169" s="51"/>
      <c r="Y169" s="51"/>
      <c r="Z169" s="2"/>
      <c r="AA169" s="51"/>
      <c r="AB169" s="51"/>
      <c r="AC169" s="51"/>
      <c r="AD169" s="2"/>
      <c r="AE169" s="51"/>
      <c r="AF169" s="51"/>
      <c r="AG169" s="51"/>
      <c r="AH169" s="2"/>
      <c r="AI169" s="51"/>
      <c r="AJ169" s="51"/>
      <c r="AK169" s="51"/>
      <c r="AL169" s="2"/>
      <c r="AM169" s="51"/>
      <c r="AN169" s="51"/>
      <c r="AO169" s="51"/>
      <c r="AP169" s="2"/>
      <c r="AQ169" s="51"/>
      <c r="AR169" s="51"/>
      <c r="AS169" s="51"/>
      <c r="AT169" s="2"/>
      <c r="AU169" s="51"/>
      <c r="AV169" s="51"/>
      <c r="AW169" s="51"/>
      <c r="AX169" s="2"/>
      <c r="AY169" s="51"/>
      <c r="AZ169" s="51"/>
      <c r="BA169" s="51"/>
      <c r="BB169" s="2"/>
      <c r="BC169" s="51"/>
      <c r="BD169" s="51"/>
      <c r="BE169" s="51"/>
      <c r="BF169" s="2"/>
      <c r="BG169" s="51"/>
      <c r="BH169" s="51"/>
      <c r="BI169" s="51"/>
      <c r="BJ169" s="2"/>
      <c r="BK169" s="51"/>
      <c r="BL169" s="51"/>
      <c r="BM169" s="51"/>
      <c r="BN169" s="2"/>
      <c r="BO169" s="51"/>
      <c r="BP169" s="51"/>
      <c r="BQ169" s="51"/>
      <c r="BR169" s="2"/>
      <c r="BS169" s="51"/>
      <c r="BT169" s="51"/>
      <c r="BU169" s="51"/>
      <c r="BV169" s="2"/>
      <c r="BW169" s="51"/>
    </row>
    <row r="170" spans="1:75" x14ac:dyDescent="0.2">
      <c r="A170" s="51"/>
      <c r="B170" s="51"/>
      <c r="C170" s="51"/>
      <c r="D170" s="51"/>
      <c r="E170" s="51"/>
      <c r="F170" s="2"/>
      <c r="G170" s="51"/>
      <c r="H170" s="51"/>
      <c r="I170" s="51"/>
      <c r="J170" s="2"/>
      <c r="K170" s="51"/>
      <c r="L170" s="51"/>
      <c r="M170" s="51"/>
      <c r="N170" s="2"/>
      <c r="O170" s="51"/>
      <c r="P170" s="51"/>
      <c r="Q170" s="51"/>
      <c r="R170" s="2"/>
      <c r="S170" s="51"/>
      <c r="T170" s="51"/>
      <c r="U170" s="51"/>
      <c r="V170" s="2"/>
      <c r="W170" s="51"/>
      <c r="X170" s="51"/>
      <c r="Y170" s="51"/>
      <c r="Z170" s="2"/>
      <c r="AA170" s="51"/>
      <c r="AB170" s="51"/>
      <c r="AC170" s="51"/>
      <c r="AD170" s="2"/>
      <c r="AE170" s="51"/>
      <c r="AF170" s="51"/>
      <c r="AG170" s="51"/>
      <c r="AH170" s="2"/>
      <c r="AI170" s="51"/>
      <c r="AJ170" s="51"/>
      <c r="AK170" s="51"/>
      <c r="AL170" s="2"/>
      <c r="AM170" s="51"/>
      <c r="AN170" s="51"/>
      <c r="AO170" s="51"/>
      <c r="AP170" s="2"/>
      <c r="AQ170" s="51"/>
      <c r="AR170" s="51"/>
      <c r="AS170" s="51"/>
      <c r="AT170" s="2"/>
      <c r="AU170" s="51"/>
      <c r="AV170" s="51"/>
      <c r="AW170" s="51"/>
      <c r="AX170" s="2"/>
      <c r="AY170" s="51"/>
      <c r="AZ170" s="51"/>
      <c r="BA170" s="51"/>
      <c r="BB170" s="2"/>
      <c r="BC170" s="51"/>
      <c r="BD170" s="51"/>
      <c r="BE170" s="51"/>
      <c r="BF170" s="2"/>
      <c r="BG170" s="51"/>
      <c r="BH170" s="51"/>
      <c r="BI170" s="51"/>
      <c r="BJ170" s="2"/>
      <c r="BK170" s="51"/>
      <c r="BL170" s="51"/>
      <c r="BM170" s="51"/>
      <c r="BN170" s="2"/>
      <c r="BO170" s="51"/>
      <c r="BP170" s="51"/>
      <c r="BQ170" s="51"/>
      <c r="BR170" s="2"/>
      <c r="BS170" s="51"/>
      <c r="BT170" s="51"/>
      <c r="BU170" s="51"/>
      <c r="BV170" s="2"/>
      <c r="BW170" s="51"/>
    </row>
    <row r="171" spans="1:75" x14ac:dyDescent="0.2">
      <c r="A171" s="51"/>
      <c r="B171" s="51"/>
      <c r="C171" s="51"/>
      <c r="D171" s="51"/>
      <c r="E171" s="51"/>
      <c r="F171" s="2"/>
      <c r="G171" s="51"/>
      <c r="H171" s="51"/>
      <c r="I171" s="51"/>
      <c r="J171" s="2"/>
      <c r="K171" s="51"/>
      <c r="L171" s="51"/>
      <c r="M171" s="51"/>
      <c r="N171" s="2"/>
      <c r="O171" s="51"/>
      <c r="P171" s="51"/>
      <c r="Q171" s="51"/>
      <c r="R171" s="2"/>
      <c r="S171" s="51"/>
      <c r="T171" s="51"/>
      <c r="U171" s="51"/>
      <c r="V171" s="2"/>
      <c r="W171" s="51"/>
      <c r="X171" s="51"/>
      <c r="Y171" s="51"/>
      <c r="Z171" s="2"/>
      <c r="AA171" s="51"/>
      <c r="AB171" s="51"/>
      <c r="AC171" s="51"/>
      <c r="AD171" s="2"/>
      <c r="AE171" s="51"/>
      <c r="AF171" s="51"/>
      <c r="AG171" s="51"/>
      <c r="AH171" s="2"/>
      <c r="AI171" s="51"/>
      <c r="AJ171" s="51"/>
      <c r="AK171" s="51"/>
      <c r="AL171" s="2"/>
      <c r="AM171" s="51"/>
      <c r="AN171" s="51"/>
      <c r="AO171" s="51"/>
      <c r="AP171" s="2"/>
      <c r="AQ171" s="51"/>
      <c r="AR171" s="51"/>
      <c r="AS171" s="51"/>
      <c r="AT171" s="2"/>
      <c r="AU171" s="51"/>
      <c r="AV171" s="51"/>
      <c r="AW171" s="51"/>
      <c r="AX171" s="2"/>
      <c r="AY171" s="51"/>
      <c r="AZ171" s="51"/>
      <c r="BA171" s="51"/>
      <c r="BB171" s="2"/>
      <c r="BC171" s="51"/>
      <c r="BD171" s="51"/>
      <c r="BE171" s="51"/>
      <c r="BF171" s="2"/>
      <c r="BG171" s="51"/>
      <c r="BH171" s="51"/>
      <c r="BI171" s="51"/>
      <c r="BJ171" s="2"/>
      <c r="BK171" s="51"/>
      <c r="BL171" s="51"/>
      <c r="BM171" s="51"/>
      <c r="BN171" s="2"/>
      <c r="BO171" s="51"/>
      <c r="BP171" s="51"/>
      <c r="BQ171" s="51"/>
      <c r="BR171" s="2"/>
      <c r="BS171" s="51"/>
      <c r="BT171" s="51"/>
      <c r="BU171" s="51"/>
      <c r="BV171" s="2"/>
      <c r="BW171" s="51"/>
    </row>
    <row r="172" spans="1:75" x14ac:dyDescent="0.2">
      <c r="A172" s="51"/>
      <c r="B172" s="51"/>
      <c r="C172" s="51"/>
      <c r="D172" s="51"/>
      <c r="E172" s="51"/>
      <c r="F172" s="2"/>
      <c r="G172" s="51"/>
      <c r="H172" s="51"/>
      <c r="I172" s="51"/>
      <c r="J172" s="2"/>
      <c r="K172" s="51"/>
      <c r="L172" s="51"/>
      <c r="M172" s="51"/>
      <c r="N172" s="2"/>
      <c r="O172" s="51"/>
      <c r="P172" s="51"/>
      <c r="Q172" s="51"/>
      <c r="R172" s="2"/>
      <c r="S172" s="51"/>
      <c r="T172" s="51"/>
      <c r="U172" s="51"/>
      <c r="V172" s="2"/>
      <c r="W172" s="51"/>
      <c r="X172" s="51"/>
      <c r="Y172" s="51"/>
      <c r="Z172" s="2"/>
      <c r="AA172" s="51"/>
      <c r="AB172" s="51"/>
      <c r="AC172" s="51"/>
      <c r="AD172" s="2"/>
      <c r="AE172" s="51"/>
      <c r="AF172" s="51"/>
      <c r="AG172" s="51"/>
      <c r="AH172" s="2"/>
      <c r="AI172" s="51"/>
      <c r="AJ172" s="51"/>
      <c r="AK172" s="51"/>
      <c r="AL172" s="2"/>
      <c r="AM172" s="51"/>
      <c r="AN172" s="51"/>
      <c r="AO172" s="51"/>
      <c r="AP172" s="2"/>
      <c r="AQ172" s="51"/>
      <c r="AR172" s="51"/>
      <c r="AS172" s="51"/>
      <c r="AT172" s="2"/>
      <c r="AU172" s="51"/>
      <c r="AV172" s="51"/>
      <c r="AW172" s="51"/>
      <c r="AX172" s="2"/>
      <c r="AY172" s="51"/>
      <c r="AZ172" s="51"/>
      <c r="BA172" s="51"/>
      <c r="BB172" s="2"/>
      <c r="BC172" s="51"/>
      <c r="BD172" s="51"/>
      <c r="BE172" s="51"/>
      <c r="BF172" s="2"/>
      <c r="BG172" s="51"/>
      <c r="BH172" s="51"/>
      <c r="BI172" s="51"/>
      <c r="BJ172" s="2"/>
      <c r="BK172" s="51"/>
      <c r="BL172" s="51"/>
      <c r="BM172" s="51"/>
      <c r="BN172" s="2"/>
      <c r="BO172" s="51"/>
      <c r="BP172" s="51"/>
      <c r="BQ172" s="51"/>
      <c r="BR172" s="2"/>
      <c r="BS172" s="51"/>
      <c r="BT172" s="51"/>
      <c r="BU172" s="51"/>
      <c r="BV172" s="2"/>
      <c r="BW172" s="51"/>
    </row>
    <row r="173" spans="1:75" x14ac:dyDescent="0.2">
      <c r="A173" s="51"/>
      <c r="B173" s="51"/>
      <c r="C173" s="51"/>
      <c r="D173" s="51"/>
      <c r="E173" s="51"/>
      <c r="F173" s="2"/>
      <c r="G173" s="51"/>
      <c r="H173" s="51"/>
      <c r="I173" s="51"/>
      <c r="J173" s="2"/>
      <c r="K173" s="51"/>
      <c r="L173" s="51"/>
      <c r="M173" s="51"/>
      <c r="N173" s="2"/>
      <c r="O173" s="51"/>
      <c r="P173" s="51"/>
      <c r="Q173" s="51"/>
      <c r="R173" s="2"/>
      <c r="S173" s="51"/>
      <c r="T173" s="51"/>
      <c r="U173" s="51"/>
      <c r="V173" s="2"/>
      <c r="W173" s="51"/>
      <c r="X173" s="51"/>
      <c r="Y173" s="51"/>
      <c r="Z173" s="2"/>
      <c r="AA173" s="51"/>
      <c r="AB173" s="51"/>
      <c r="AC173" s="51"/>
      <c r="AD173" s="2"/>
      <c r="AE173" s="51"/>
      <c r="AF173" s="51"/>
      <c r="AG173" s="51"/>
      <c r="AH173" s="2"/>
      <c r="AI173" s="51"/>
      <c r="AJ173" s="51"/>
      <c r="AK173" s="51"/>
      <c r="AL173" s="2"/>
      <c r="AM173" s="51"/>
      <c r="AN173" s="51"/>
      <c r="AO173" s="51"/>
      <c r="AP173" s="2"/>
      <c r="AQ173" s="51"/>
      <c r="AR173" s="51"/>
      <c r="AS173" s="51"/>
      <c r="AT173" s="2"/>
      <c r="AU173" s="51"/>
      <c r="AV173" s="51"/>
      <c r="AW173" s="51"/>
      <c r="AX173" s="2"/>
      <c r="AY173" s="51"/>
      <c r="AZ173" s="51"/>
      <c r="BA173" s="51"/>
      <c r="BB173" s="2"/>
      <c r="BC173" s="51"/>
      <c r="BD173" s="51"/>
      <c r="BE173" s="51"/>
      <c r="BF173" s="2"/>
      <c r="BG173" s="51"/>
      <c r="BH173" s="51"/>
      <c r="BI173" s="51"/>
      <c r="BJ173" s="2"/>
      <c r="BK173" s="51"/>
      <c r="BL173" s="51"/>
      <c r="BM173" s="51"/>
      <c r="BN173" s="2"/>
      <c r="BO173" s="51"/>
      <c r="BP173" s="51"/>
      <c r="BQ173" s="51"/>
      <c r="BR173" s="2"/>
      <c r="BS173" s="51"/>
      <c r="BT173" s="51"/>
      <c r="BU173" s="51"/>
      <c r="BV173" s="2"/>
      <c r="BW173" s="51"/>
    </row>
    <row r="174" spans="1:75" x14ac:dyDescent="0.2">
      <c r="A174" s="51"/>
      <c r="B174" s="51"/>
      <c r="C174" s="51"/>
      <c r="D174" s="51"/>
      <c r="E174" s="51"/>
      <c r="F174" s="2"/>
      <c r="G174" s="51"/>
      <c r="H174" s="51"/>
      <c r="I174" s="51"/>
      <c r="J174" s="2"/>
      <c r="K174" s="51"/>
      <c r="L174" s="51"/>
      <c r="M174" s="51"/>
      <c r="N174" s="2"/>
      <c r="O174" s="51"/>
      <c r="P174" s="51"/>
      <c r="Q174" s="51"/>
      <c r="R174" s="2"/>
      <c r="S174" s="51"/>
      <c r="T174" s="51"/>
      <c r="U174" s="51"/>
      <c r="V174" s="2"/>
      <c r="W174" s="51"/>
      <c r="X174" s="51"/>
      <c r="Y174" s="51"/>
      <c r="Z174" s="2"/>
      <c r="AA174" s="51"/>
      <c r="AB174" s="51"/>
      <c r="AC174" s="51"/>
      <c r="AD174" s="2"/>
      <c r="AE174" s="51"/>
      <c r="AF174" s="51"/>
      <c r="AG174" s="51"/>
      <c r="AH174" s="2"/>
      <c r="AI174" s="51"/>
      <c r="AJ174" s="51"/>
      <c r="AK174" s="51"/>
      <c r="AL174" s="2"/>
      <c r="AM174" s="51"/>
      <c r="AN174" s="51"/>
      <c r="AO174" s="51"/>
      <c r="AP174" s="2"/>
      <c r="AQ174" s="51"/>
      <c r="AR174" s="51"/>
      <c r="AS174" s="51"/>
      <c r="AT174" s="2"/>
      <c r="AU174" s="51"/>
      <c r="AV174" s="51"/>
      <c r="AW174" s="51"/>
      <c r="AX174" s="2"/>
      <c r="AY174" s="51"/>
      <c r="AZ174" s="51"/>
      <c r="BA174" s="51"/>
      <c r="BB174" s="2"/>
      <c r="BC174" s="51"/>
      <c r="BD174" s="51"/>
      <c r="BE174" s="51"/>
      <c r="BF174" s="2"/>
      <c r="BG174" s="51"/>
      <c r="BH174" s="51"/>
      <c r="BI174" s="51"/>
      <c r="BJ174" s="2"/>
      <c r="BK174" s="51"/>
      <c r="BL174" s="51"/>
      <c r="BM174" s="51"/>
      <c r="BN174" s="2"/>
      <c r="BO174" s="51"/>
      <c r="BP174" s="51"/>
      <c r="BQ174" s="51"/>
      <c r="BR174" s="2"/>
      <c r="BS174" s="51"/>
      <c r="BT174" s="51"/>
      <c r="BU174" s="51"/>
      <c r="BV174" s="2"/>
      <c r="BW174" s="51"/>
    </row>
    <row r="175" spans="1:75" x14ac:dyDescent="0.2">
      <c r="A175" s="51"/>
      <c r="B175" s="51"/>
      <c r="C175" s="51"/>
      <c r="D175" s="51"/>
      <c r="E175" s="51"/>
      <c r="F175" s="2"/>
      <c r="G175" s="51"/>
      <c r="H175" s="51"/>
      <c r="I175" s="51"/>
      <c r="J175" s="2"/>
      <c r="K175" s="51"/>
      <c r="L175" s="51"/>
      <c r="M175" s="51"/>
      <c r="N175" s="2"/>
      <c r="O175" s="51"/>
      <c r="P175" s="51"/>
      <c r="Q175" s="51"/>
      <c r="R175" s="2"/>
      <c r="S175" s="51"/>
      <c r="T175" s="51"/>
      <c r="U175" s="51"/>
      <c r="V175" s="2"/>
      <c r="W175" s="51"/>
      <c r="X175" s="51"/>
      <c r="Y175" s="51"/>
      <c r="Z175" s="2"/>
      <c r="AA175" s="51"/>
      <c r="AB175" s="51"/>
      <c r="AC175" s="51"/>
      <c r="AD175" s="2"/>
      <c r="AE175" s="51"/>
      <c r="AF175" s="51"/>
      <c r="AG175" s="51"/>
      <c r="AH175" s="2"/>
      <c r="AI175" s="51"/>
      <c r="AJ175" s="51"/>
      <c r="AK175" s="51"/>
      <c r="AL175" s="2"/>
      <c r="AM175" s="51"/>
      <c r="AN175" s="51"/>
      <c r="AO175" s="51"/>
      <c r="AP175" s="2"/>
      <c r="AQ175" s="51"/>
      <c r="AR175" s="51"/>
      <c r="AS175" s="51"/>
      <c r="AT175" s="2"/>
      <c r="AU175" s="51"/>
      <c r="AV175" s="51"/>
      <c r="AW175" s="51"/>
      <c r="AX175" s="2"/>
      <c r="AY175" s="51"/>
      <c r="AZ175" s="51"/>
      <c r="BA175" s="51"/>
      <c r="BB175" s="2"/>
      <c r="BC175" s="51"/>
      <c r="BD175" s="51"/>
      <c r="BE175" s="51"/>
      <c r="BF175" s="2"/>
      <c r="BG175" s="51"/>
      <c r="BH175" s="51"/>
      <c r="BI175" s="51"/>
      <c r="BJ175" s="2"/>
      <c r="BK175" s="51"/>
      <c r="BL175" s="51"/>
      <c r="BM175" s="51"/>
      <c r="BN175" s="2"/>
      <c r="BO175" s="51"/>
      <c r="BP175" s="51"/>
      <c r="BQ175" s="51"/>
      <c r="BR175" s="2"/>
      <c r="BS175" s="51"/>
      <c r="BT175" s="51"/>
      <c r="BU175" s="51"/>
      <c r="BV175" s="2"/>
      <c r="BW175" s="51"/>
    </row>
    <row r="176" spans="1:75" x14ac:dyDescent="0.2">
      <c r="A176" s="51"/>
      <c r="B176" s="51"/>
      <c r="C176" s="51"/>
      <c r="D176" s="51"/>
      <c r="E176" s="51"/>
      <c r="F176" s="2"/>
      <c r="G176" s="51"/>
      <c r="H176" s="51"/>
      <c r="I176" s="51"/>
      <c r="J176" s="2"/>
      <c r="K176" s="51"/>
      <c r="L176" s="51"/>
      <c r="M176" s="51"/>
      <c r="N176" s="2"/>
      <c r="O176" s="51"/>
      <c r="P176" s="51"/>
      <c r="Q176" s="51"/>
      <c r="R176" s="2"/>
      <c r="S176" s="51"/>
      <c r="T176" s="51"/>
      <c r="U176" s="51"/>
      <c r="V176" s="2"/>
      <c r="W176" s="51"/>
      <c r="X176" s="51"/>
      <c r="Y176" s="51"/>
      <c r="Z176" s="2"/>
      <c r="AA176" s="51"/>
      <c r="AB176" s="51"/>
      <c r="AC176" s="51"/>
      <c r="AD176" s="2"/>
      <c r="AE176" s="51"/>
      <c r="AF176" s="51"/>
      <c r="AG176" s="51"/>
      <c r="AH176" s="2"/>
      <c r="AI176" s="51"/>
      <c r="AJ176" s="51"/>
      <c r="AK176" s="51"/>
      <c r="AL176" s="2"/>
      <c r="AM176" s="51"/>
      <c r="AN176" s="51"/>
      <c r="AO176" s="51"/>
      <c r="AP176" s="2"/>
      <c r="AQ176" s="51"/>
      <c r="AR176" s="51"/>
      <c r="AS176" s="51"/>
      <c r="AT176" s="2"/>
      <c r="AU176" s="51"/>
      <c r="AV176" s="51"/>
      <c r="AW176" s="51"/>
      <c r="AX176" s="2"/>
      <c r="AY176" s="51"/>
      <c r="AZ176" s="51"/>
      <c r="BA176" s="51"/>
      <c r="BB176" s="2"/>
      <c r="BC176" s="51"/>
      <c r="BD176" s="51"/>
      <c r="BE176" s="51"/>
      <c r="BF176" s="2"/>
      <c r="BG176" s="51"/>
      <c r="BH176" s="51"/>
      <c r="BI176" s="51"/>
      <c r="BJ176" s="2"/>
      <c r="BK176" s="51"/>
      <c r="BL176" s="51"/>
      <c r="BM176" s="51"/>
      <c r="BN176" s="2"/>
      <c r="BO176" s="51"/>
      <c r="BP176" s="51"/>
      <c r="BQ176" s="51"/>
      <c r="BR176" s="2"/>
      <c r="BS176" s="51"/>
      <c r="BT176" s="51"/>
      <c r="BU176" s="51"/>
      <c r="BV176" s="2"/>
      <c r="BW176" s="51"/>
    </row>
    <row r="177" spans="1:75" x14ac:dyDescent="0.2">
      <c r="A177" s="51"/>
      <c r="B177" s="51"/>
      <c r="C177" s="51"/>
      <c r="D177" s="51"/>
      <c r="E177" s="51"/>
      <c r="F177" s="2"/>
      <c r="G177" s="51"/>
      <c r="H177" s="51"/>
      <c r="I177" s="51"/>
      <c r="J177" s="2"/>
      <c r="K177" s="51"/>
      <c r="L177" s="51"/>
      <c r="M177" s="51"/>
      <c r="N177" s="2"/>
      <c r="O177" s="51"/>
      <c r="P177" s="51"/>
      <c r="Q177" s="51"/>
      <c r="R177" s="2"/>
      <c r="S177" s="51"/>
      <c r="T177" s="51"/>
      <c r="U177" s="51"/>
      <c r="V177" s="2"/>
      <c r="W177" s="51"/>
      <c r="X177" s="51"/>
      <c r="Y177" s="51"/>
      <c r="Z177" s="2"/>
      <c r="AA177" s="51"/>
      <c r="AB177" s="51"/>
      <c r="AC177" s="51"/>
      <c r="AD177" s="2"/>
      <c r="AE177" s="51"/>
      <c r="AF177" s="51"/>
      <c r="AG177" s="51"/>
      <c r="AH177" s="2"/>
      <c r="AI177" s="51"/>
      <c r="AJ177" s="51"/>
      <c r="AK177" s="51"/>
      <c r="AL177" s="2"/>
      <c r="AM177" s="51"/>
      <c r="AN177" s="51"/>
      <c r="AO177" s="51"/>
      <c r="AP177" s="2"/>
      <c r="AQ177" s="51"/>
      <c r="AR177" s="51"/>
      <c r="AS177" s="51"/>
      <c r="AT177" s="2"/>
      <c r="AU177" s="51"/>
      <c r="AV177" s="51"/>
      <c r="AW177" s="51"/>
      <c r="AX177" s="2"/>
      <c r="AY177" s="51"/>
      <c r="AZ177" s="51"/>
      <c r="BA177" s="51"/>
      <c r="BB177" s="2"/>
      <c r="BC177" s="51"/>
      <c r="BD177" s="51"/>
      <c r="BE177" s="51"/>
      <c r="BF177" s="2"/>
      <c r="BG177" s="51"/>
      <c r="BH177" s="51"/>
      <c r="BI177" s="51"/>
      <c r="BJ177" s="2"/>
      <c r="BK177" s="51"/>
      <c r="BL177" s="51"/>
      <c r="BM177" s="51"/>
      <c r="BN177" s="2"/>
      <c r="BO177" s="51"/>
      <c r="BP177" s="51"/>
      <c r="BQ177" s="51"/>
      <c r="BR177" s="2"/>
      <c r="BS177" s="51"/>
      <c r="BT177" s="51"/>
      <c r="BU177" s="51"/>
      <c r="BV177" s="2"/>
      <c r="BW177" s="51"/>
    </row>
    <row r="178" spans="1:75" x14ac:dyDescent="0.2">
      <c r="A178" s="51"/>
      <c r="B178" s="51"/>
      <c r="C178" s="51"/>
      <c r="D178" s="51"/>
      <c r="E178" s="51"/>
      <c r="F178" s="2"/>
      <c r="G178" s="51"/>
      <c r="H178" s="51"/>
      <c r="I178" s="51"/>
      <c r="J178" s="2"/>
      <c r="K178" s="51"/>
      <c r="L178" s="51"/>
      <c r="M178" s="51"/>
      <c r="N178" s="2"/>
      <c r="O178" s="51"/>
      <c r="P178" s="51"/>
      <c r="Q178" s="51"/>
      <c r="R178" s="2"/>
      <c r="S178" s="51"/>
      <c r="T178" s="51"/>
      <c r="U178" s="51"/>
      <c r="V178" s="2"/>
      <c r="W178" s="51"/>
      <c r="X178" s="51"/>
      <c r="Y178" s="51"/>
      <c r="Z178" s="2"/>
      <c r="AA178" s="51"/>
      <c r="AB178" s="51"/>
      <c r="AC178" s="51"/>
      <c r="AD178" s="2"/>
      <c r="AE178" s="51"/>
      <c r="AF178" s="51"/>
      <c r="AG178" s="51"/>
      <c r="AH178" s="2"/>
      <c r="AI178" s="51"/>
      <c r="AJ178" s="51"/>
      <c r="AK178" s="51"/>
      <c r="AL178" s="2"/>
      <c r="AM178" s="51"/>
      <c r="AN178" s="51"/>
      <c r="AO178" s="51"/>
      <c r="AP178" s="2"/>
      <c r="AQ178" s="51"/>
      <c r="AR178" s="51"/>
      <c r="AS178" s="51"/>
      <c r="AT178" s="2"/>
      <c r="AU178" s="51"/>
      <c r="AV178" s="51"/>
      <c r="AW178" s="51"/>
      <c r="AX178" s="2"/>
      <c r="AY178" s="51"/>
      <c r="AZ178" s="51"/>
      <c r="BA178" s="51"/>
      <c r="BB178" s="2"/>
      <c r="BC178" s="51"/>
      <c r="BD178" s="51"/>
      <c r="BE178" s="51"/>
      <c r="BF178" s="2"/>
      <c r="BG178" s="51"/>
      <c r="BH178" s="51"/>
      <c r="BI178" s="51"/>
      <c r="BJ178" s="2"/>
      <c r="BK178" s="51"/>
      <c r="BL178" s="51"/>
      <c r="BM178" s="51"/>
      <c r="BN178" s="2"/>
      <c r="BO178" s="51"/>
      <c r="BP178" s="51"/>
      <c r="BQ178" s="51"/>
      <c r="BR178" s="2"/>
      <c r="BS178" s="51"/>
      <c r="BT178" s="51"/>
      <c r="BU178" s="51"/>
      <c r="BV178" s="2"/>
      <c r="BW178" s="51"/>
    </row>
    <row r="179" spans="1:75" x14ac:dyDescent="0.2">
      <c r="A179" s="51"/>
      <c r="B179" s="51"/>
      <c r="C179" s="51"/>
      <c r="D179" s="51"/>
      <c r="E179" s="51"/>
      <c r="F179" s="2"/>
      <c r="G179" s="51"/>
      <c r="H179" s="51"/>
      <c r="I179" s="51"/>
      <c r="J179" s="2"/>
      <c r="K179" s="51"/>
      <c r="L179" s="51"/>
      <c r="M179" s="51"/>
      <c r="N179" s="2"/>
      <c r="O179" s="51"/>
      <c r="P179" s="51"/>
      <c r="Q179" s="51"/>
      <c r="R179" s="2"/>
      <c r="S179" s="51"/>
      <c r="T179" s="51"/>
      <c r="U179" s="51"/>
      <c r="V179" s="2"/>
      <c r="W179" s="51"/>
      <c r="X179" s="51"/>
      <c r="Y179" s="51"/>
      <c r="Z179" s="2"/>
      <c r="AA179" s="51"/>
      <c r="AB179" s="51"/>
      <c r="AC179" s="51"/>
      <c r="AD179" s="2"/>
      <c r="AE179" s="51"/>
      <c r="AF179" s="51"/>
      <c r="AG179" s="51"/>
      <c r="AH179" s="2"/>
      <c r="AI179" s="51"/>
      <c r="AJ179" s="51"/>
      <c r="AK179" s="51"/>
      <c r="AL179" s="2"/>
      <c r="AM179" s="51"/>
      <c r="AN179" s="51"/>
      <c r="AO179" s="51"/>
      <c r="AP179" s="2"/>
      <c r="AQ179" s="51"/>
      <c r="AR179" s="51"/>
      <c r="AS179" s="51"/>
      <c r="AT179" s="2"/>
      <c r="AU179" s="51"/>
      <c r="AV179" s="51"/>
      <c r="AW179" s="51"/>
      <c r="AX179" s="2"/>
      <c r="AY179" s="51"/>
      <c r="AZ179" s="51"/>
      <c r="BA179" s="51"/>
      <c r="BB179" s="2"/>
      <c r="BC179" s="51"/>
      <c r="BD179" s="51"/>
      <c r="BE179" s="51"/>
      <c r="BF179" s="2"/>
      <c r="BG179" s="51"/>
      <c r="BH179" s="51"/>
      <c r="BI179" s="51"/>
      <c r="BJ179" s="2"/>
      <c r="BK179" s="51"/>
      <c r="BL179" s="51"/>
      <c r="BM179" s="51"/>
      <c r="BN179" s="2"/>
      <c r="BO179" s="51"/>
      <c r="BP179" s="51"/>
      <c r="BQ179" s="51"/>
      <c r="BR179" s="2"/>
      <c r="BS179" s="51"/>
      <c r="BT179" s="51"/>
      <c r="BU179" s="51"/>
      <c r="BV179" s="2"/>
      <c r="BW179" s="51"/>
    </row>
    <row r="180" spans="1:75" x14ac:dyDescent="0.2">
      <c r="A180" s="51"/>
      <c r="B180" s="51"/>
      <c r="C180" s="51"/>
      <c r="D180" s="51"/>
      <c r="E180" s="51"/>
      <c r="F180" s="2"/>
      <c r="G180" s="51"/>
      <c r="H180" s="51"/>
      <c r="I180" s="51"/>
      <c r="J180" s="2"/>
      <c r="K180" s="51"/>
      <c r="L180" s="51"/>
      <c r="M180" s="51"/>
      <c r="N180" s="2"/>
      <c r="O180" s="51"/>
      <c r="P180" s="51"/>
      <c r="Q180" s="51"/>
      <c r="R180" s="2"/>
      <c r="S180" s="51"/>
      <c r="T180" s="51"/>
      <c r="U180" s="51"/>
      <c r="V180" s="2"/>
      <c r="W180" s="51"/>
      <c r="X180" s="51"/>
      <c r="Y180" s="51"/>
      <c r="Z180" s="2"/>
      <c r="AA180" s="51"/>
      <c r="AB180" s="51"/>
      <c r="AC180" s="51"/>
      <c r="AD180" s="2"/>
      <c r="AE180" s="51"/>
      <c r="AF180" s="51"/>
      <c r="AG180" s="51"/>
      <c r="AH180" s="2"/>
      <c r="AI180" s="51"/>
      <c r="AJ180" s="51"/>
      <c r="AK180" s="51"/>
      <c r="AL180" s="2"/>
      <c r="AM180" s="51"/>
      <c r="AN180" s="51"/>
      <c r="AO180" s="51"/>
      <c r="AP180" s="2"/>
      <c r="AQ180" s="51"/>
      <c r="AR180" s="51"/>
      <c r="AS180" s="51"/>
      <c r="AT180" s="2"/>
      <c r="AU180" s="51"/>
      <c r="AV180" s="51"/>
      <c r="AW180" s="51"/>
      <c r="AX180" s="2"/>
      <c r="AY180" s="51"/>
      <c r="AZ180" s="51"/>
      <c r="BA180" s="51"/>
      <c r="BB180" s="2"/>
      <c r="BC180" s="51"/>
      <c r="BD180" s="51"/>
      <c r="BE180" s="51"/>
      <c r="BF180" s="2"/>
      <c r="BG180" s="51"/>
      <c r="BH180" s="51"/>
      <c r="BI180" s="51"/>
      <c r="BJ180" s="2"/>
      <c r="BK180" s="51"/>
      <c r="BL180" s="51"/>
      <c r="BM180" s="51"/>
      <c r="BN180" s="2"/>
      <c r="BO180" s="51"/>
      <c r="BP180" s="51"/>
      <c r="BQ180" s="51"/>
      <c r="BR180" s="2"/>
      <c r="BS180" s="51"/>
      <c r="BT180" s="51"/>
      <c r="BU180" s="51"/>
      <c r="BV180" s="2"/>
      <c r="BW180" s="51"/>
    </row>
    <row r="181" spans="1:75" x14ac:dyDescent="0.2">
      <c r="A181" s="51"/>
      <c r="B181" s="51"/>
      <c r="C181" s="51"/>
      <c r="D181" s="51"/>
      <c r="E181" s="51"/>
      <c r="F181" s="2"/>
      <c r="G181" s="51"/>
      <c r="H181" s="51"/>
      <c r="I181" s="51"/>
      <c r="J181" s="2"/>
      <c r="K181" s="51"/>
      <c r="L181" s="51"/>
      <c r="M181" s="51"/>
      <c r="N181" s="2"/>
      <c r="O181" s="51"/>
      <c r="P181" s="51"/>
      <c r="Q181" s="51"/>
      <c r="R181" s="2"/>
      <c r="S181" s="51"/>
      <c r="T181" s="51"/>
      <c r="U181" s="51"/>
      <c r="V181" s="2"/>
      <c r="W181" s="51"/>
      <c r="X181" s="51"/>
      <c r="Y181" s="51"/>
      <c r="Z181" s="2"/>
      <c r="AA181" s="51"/>
      <c r="AB181" s="51"/>
      <c r="AC181" s="51"/>
      <c r="AD181" s="2"/>
      <c r="AE181" s="51"/>
      <c r="AF181" s="51"/>
      <c r="AG181" s="51"/>
      <c r="AH181" s="2"/>
      <c r="AI181" s="51"/>
      <c r="AJ181" s="51"/>
      <c r="AK181" s="51"/>
      <c r="AL181" s="2"/>
      <c r="AM181" s="51"/>
      <c r="AN181" s="51"/>
      <c r="AO181" s="51"/>
      <c r="AP181" s="2"/>
      <c r="AQ181" s="51"/>
      <c r="AR181" s="51"/>
      <c r="AS181" s="51"/>
      <c r="AT181" s="2"/>
      <c r="AU181" s="51"/>
      <c r="AV181" s="51"/>
      <c r="AW181" s="51"/>
      <c r="AX181" s="2"/>
      <c r="AY181" s="51"/>
      <c r="AZ181" s="51"/>
      <c r="BA181" s="51"/>
      <c r="BB181" s="2"/>
      <c r="BC181" s="51"/>
      <c r="BD181" s="51"/>
      <c r="BE181" s="51"/>
      <c r="BF181" s="2"/>
      <c r="BG181" s="51"/>
      <c r="BH181" s="51"/>
      <c r="BI181" s="51"/>
      <c r="BJ181" s="2"/>
      <c r="BK181" s="51"/>
      <c r="BL181" s="51"/>
      <c r="BM181" s="51"/>
      <c r="BN181" s="2"/>
      <c r="BO181" s="51"/>
      <c r="BP181" s="51"/>
      <c r="BQ181" s="51"/>
      <c r="BR181" s="2"/>
      <c r="BS181" s="51"/>
      <c r="BT181" s="51"/>
      <c r="BU181" s="51"/>
      <c r="BV181" s="2"/>
      <c r="BW181" s="51"/>
    </row>
    <row r="182" spans="1:75" x14ac:dyDescent="0.2">
      <c r="A182" s="51"/>
      <c r="B182" s="51"/>
      <c r="C182" s="51"/>
      <c r="D182" s="51"/>
      <c r="E182" s="51"/>
      <c r="F182" s="2"/>
      <c r="G182" s="51"/>
      <c r="H182" s="51"/>
      <c r="I182" s="51"/>
      <c r="J182" s="2"/>
      <c r="K182" s="51"/>
      <c r="L182" s="51"/>
      <c r="M182" s="51"/>
      <c r="N182" s="2"/>
      <c r="O182" s="51"/>
      <c r="P182" s="51"/>
      <c r="Q182" s="51"/>
      <c r="R182" s="2"/>
      <c r="S182" s="51"/>
      <c r="T182" s="51"/>
      <c r="U182" s="51"/>
      <c r="V182" s="2"/>
      <c r="W182" s="51"/>
      <c r="X182" s="51"/>
      <c r="Y182" s="51"/>
      <c r="Z182" s="2"/>
      <c r="AA182" s="51"/>
      <c r="AB182" s="51"/>
      <c r="AC182" s="51"/>
      <c r="AD182" s="2"/>
      <c r="AE182" s="51"/>
      <c r="AF182" s="51"/>
      <c r="AG182" s="51"/>
      <c r="AH182" s="2"/>
      <c r="AI182" s="51"/>
      <c r="AJ182" s="51"/>
      <c r="AK182" s="51"/>
      <c r="AL182" s="2"/>
      <c r="AM182" s="51"/>
      <c r="AN182" s="51"/>
      <c r="AO182" s="51"/>
      <c r="AP182" s="2"/>
      <c r="AQ182" s="51"/>
      <c r="AR182" s="51"/>
      <c r="AS182" s="51"/>
      <c r="AT182" s="2"/>
      <c r="AU182" s="51"/>
      <c r="AV182" s="51"/>
      <c r="AW182" s="51"/>
      <c r="AX182" s="2"/>
      <c r="AY182" s="51"/>
      <c r="AZ182" s="51"/>
      <c r="BA182" s="51"/>
      <c r="BB182" s="2"/>
      <c r="BC182" s="51"/>
      <c r="BD182" s="51"/>
      <c r="BE182" s="51"/>
      <c r="BF182" s="2"/>
      <c r="BG182" s="51"/>
      <c r="BH182" s="51"/>
      <c r="BI182" s="51"/>
      <c r="BJ182" s="2"/>
      <c r="BK182" s="51"/>
      <c r="BL182" s="51"/>
      <c r="BM182" s="51"/>
      <c r="BN182" s="2"/>
      <c r="BO182" s="51"/>
      <c r="BP182" s="51"/>
      <c r="BQ182" s="51"/>
      <c r="BR182" s="2"/>
      <c r="BS182" s="51"/>
      <c r="BT182" s="51"/>
      <c r="BU182" s="51"/>
      <c r="BV182" s="2"/>
      <c r="BW182" s="51"/>
    </row>
    <row r="183" spans="1:75" x14ac:dyDescent="0.2">
      <c r="A183" s="51"/>
      <c r="B183" s="51"/>
      <c r="C183" s="51"/>
      <c r="D183" s="51"/>
      <c r="E183" s="51"/>
      <c r="F183" s="2"/>
      <c r="G183" s="51"/>
      <c r="H183" s="51"/>
      <c r="I183" s="51"/>
      <c r="J183" s="2"/>
      <c r="K183" s="51"/>
      <c r="L183" s="51"/>
      <c r="M183" s="51"/>
      <c r="N183" s="2"/>
      <c r="O183" s="51"/>
      <c r="P183" s="51"/>
      <c r="Q183" s="51"/>
      <c r="R183" s="2"/>
      <c r="S183" s="51"/>
      <c r="T183" s="51"/>
      <c r="U183" s="51"/>
      <c r="V183" s="2"/>
      <c r="W183" s="51"/>
      <c r="X183" s="51"/>
      <c r="Y183" s="51"/>
      <c r="Z183" s="2"/>
      <c r="AA183" s="51"/>
      <c r="AB183" s="51"/>
      <c r="AC183" s="51"/>
      <c r="AD183" s="2"/>
      <c r="AE183" s="51"/>
      <c r="AF183" s="51"/>
      <c r="AG183" s="51"/>
      <c r="AH183" s="2"/>
      <c r="AI183" s="51"/>
      <c r="AJ183" s="51"/>
      <c r="AK183" s="51"/>
      <c r="AL183" s="2"/>
      <c r="AM183" s="51"/>
      <c r="AN183" s="51"/>
      <c r="AO183" s="51"/>
      <c r="AP183" s="2"/>
      <c r="AQ183" s="51"/>
      <c r="AR183" s="51"/>
      <c r="AS183" s="51"/>
      <c r="AT183" s="2"/>
      <c r="AU183" s="51"/>
      <c r="AV183" s="51"/>
      <c r="AW183" s="51"/>
      <c r="AX183" s="2"/>
      <c r="AY183" s="51"/>
      <c r="AZ183" s="51"/>
      <c r="BA183" s="51"/>
      <c r="BB183" s="2"/>
      <c r="BC183" s="51"/>
      <c r="BD183" s="51"/>
      <c r="BE183" s="51"/>
      <c r="BF183" s="2"/>
      <c r="BG183" s="51"/>
      <c r="BH183" s="51"/>
      <c r="BI183" s="51"/>
      <c r="BJ183" s="2"/>
      <c r="BK183" s="51"/>
      <c r="BL183" s="51"/>
      <c r="BM183" s="51"/>
      <c r="BN183" s="2"/>
      <c r="BO183" s="51"/>
      <c r="BP183" s="51"/>
      <c r="BQ183" s="51"/>
      <c r="BR183" s="2"/>
      <c r="BS183" s="51"/>
      <c r="BT183" s="51"/>
      <c r="BU183" s="51"/>
      <c r="BV183" s="2"/>
      <c r="BW183" s="51"/>
    </row>
    <row r="184" spans="1:75" x14ac:dyDescent="0.2">
      <c r="A184" s="51"/>
      <c r="B184" s="51"/>
      <c r="C184" s="51"/>
      <c r="D184" s="51"/>
      <c r="E184" s="51"/>
      <c r="F184" s="2"/>
      <c r="G184" s="51"/>
      <c r="H184" s="51"/>
      <c r="I184" s="51"/>
      <c r="J184" s="2"/>
      <c r="K184" s="51"/>
      <c r="L184" s="51"/>
      <c r="M184" s="51"/>
      <c r="N184" s="2"/>
      <c r="O184" s="51"/>
      <c r="P184" s="51"/>
      <c r="Q184" s="51"/>
      <c r="R184" s="2"/>
      <c r="S184" s="51"/>
      <c r="T184" s="51"/>
      <c r="U184" s="51"/>
      <c r="V184" s="2"/>
      <c r="W184" s="51"/>
      <c r="X184" s="51"/>
      <c r="Y184" s="51"/>
      <c r="Z184" s="2"/>
      <c r="AA184" s="51"/>
      <c r="AB184" s="51"/>
      <c r="AC184" s="51"/>
      <c r="AD184" s="2"/>
      <c r="AE184" s="51"/>
      <c r="AF184" s="51"/>
      <c r="AG184" s="51"/>
      <c r="AH184" s="2"/>
      <c r="AI184" s="51"/>
      <c r="AJ184" s="51"/>
      <c r="AK184" s="51"/>
      <c r="AL184" s="2"/>
      <c r="AM184" s="51"/>
      <c r="AN184" s="51"/>
      <c r="AO184" s="51"/>
      <c r="AP184" s="2"/>
      <c r="AQ184" s="51"/>
      <c r="AR184" s="51"/>
      <c r="AS184" s="51"/>
      <c r="AT184" s="2"/>
      <c r="AU184" s="51"/>
      <c r="AV184" s="51"/>
      <c r="AW184" s="51"/>
      <c r="AX184" s="2"/>
      <c r="AY184" s="51"/>
      <c r="AZ184" s="51"/>
      <c r="BA184" s="51"/>
      <c r="BB184" s="2"/>
      <c r="BC184" s="51"/>
      <c r="BD184" s="51"/>
      <c r="BE184" s="51"/>
      <c r="BF184" s="2"/>
      <c r="BG184" s="51"/>
      <c r="BH184" s="51"/>
      <c r="BI184" s="51"/>
      <c r="BJ184" s="2"/>
      <c r="BK184" s="51"/>
      <c r="BL184" s="51"/>
      <c r="BM184" s="51"/>
      <c r="BN184" s="2"/>
      <c r="BO184" s="51"/>
      <c r="BP184" s="51"/>
      <c r="BQ184" s="51"/>
      <c r="BR184" s="2"/>
      <c r="BS184" s="51"/>
      <c r="BT184" s="51"/>
      <c r="BU184" s="51"/>
      <c r="BV184" s="2"/>
      <c r="BW184" s="51"/>
    </row>
    <row r="185" spans="1:75" x14ac:dyDescent="0.2">
      <c r="A185" s="51"/>
      <c r="B185" s="51"/>
      <c r="C185" s="51"/>
      <c r="D185" s="51"/>
      <c r="E185" s="51"/>
      <c r="F185" s="2"/>
      <c r="G185" s="51"/>
      <c r="H185" s="51"/>
      <c r="I185" s="51"/>
      <c r="J185" s="2"/>
      <c r="K185" s="51"/>
      <c r="L185" s="51"/>
      <c r="M185" s="51"/>
      <c r="N185" s="2"/>
      <c r="O185" s="51"/>
      <c r="P185" s="51"/>
      <c r="Q185" s="51"/>
      <c r="R185" s="2"/>
      <c r="S185" s="51"/>
      <c r="T185" s="51"/>
      <c r="U185" s="51"/>
      <c r="V185" s="2"/>
      <c r="W185" s="51"/>
      <c r="X185" s="51"/>
      <c r="Y185" s="51"/>
      <c r="Z185" s="2"/>
      <c r="AA185" s="51"/>
      <c r="AB185" s="51"/>
      <c r="AC185" s="51"/>
      <c r="AD185" s="2"/>
      <c r="AE185" s="51"/>
      <c r="AF185" s="51"/>
      <c r="AG185" s="51"/>
      <c r="AH185" s="2"/>
      <c r="AI185" s="51"/>
      <c r="AJ185" s="51"/>
      <c r="AK185" s="51"/>
      <c r="AL185" s="2"/>
      <c r="AM185" s="51"/>
      <c r="AN185" s="51"/>
      <c r="AO185" s="51"/>
      <c r="AP185" s="2"/>
      <c r="AQ185" s="51"/>
      <c r="AR185" s="51"/>
      <c r="AS185" s="51"/>
      <c r="AT185" s="2"/>
      <c r="AU185" s="51"/>
      <c r="AV185" s="51"/>
      <c r="AW185" s="51"/>
      <c r="AX185" s="2"/>
      <c r="AY185" s="51"/>
      <c r="AZ185" s="51"/>
      <c r="BA185" s="51"/>
      <c r="BB185" s="2"/>
      <c r="BC185" s="51"/>
      <c r="BD185" s="51"/>
      <c r="BE185" s="51"/>
      <c r="BF185" s="2"/>
      <c r="BG185" s="51"/>
      <c r="BH185" s="51"/>
      <c r="BI185" s="51"/>
      <c r="BJ185" s="2"/>
      <c r="BK185" s="51"/>
      <c r="BL185" s="51"/>
      <c r="BM185" s="51"/>
      <c r="BN185" s="2"/>
      <c r="BO185" s="51"/>
      <c r="BP185" s="51"/>
      <c r="BQ185" s="51"/>
      <c r="BR185" s="2"/>
      <c r="BS185" s="51"/>
      <c r="BT185" s="51"/>
      <c r="BU185" s="51"/>
      <c r="BV185" s="2"/>
      <c r="BW185" s="51"/>
    </row>
    <row r="186" spans="1:75" x14ac:dyDescent="0.2">
      <c r="A186" s="51"/>
      <c r="B186" s="51"/>
      <c r="C186" s="51"/>
      <c r="D186" s="51"/>
      <c r="E186" s="51"/>
      <c r="F186" s="2"/>
      <c r="G186" s="51"/>
      <c r="H186" s="51"/>
      <c r="I186" s="51"/>
      <c r="J186" s="2"/>
      <c r="K186" s="51"/>
      <c r="L186" s="51"/>
      <c r="M186" s="51"/>
      <c r="N186" s="2"/>
      <c r="O186" s="51"/>
      <c r="P186" s="51"/>
      <c r="Q186" s="51"/>
      <c r="R186" s="2"/>
      <c r="S186" s="51"/>
      <c r="T186" s="51"/>
      <c r="U186" s="51"/>
      <c r="V186" s="2"/>
      <c r="W186" s="51"/>
      <c r="X186" s="51"/>
      <c r="Y186" s="51"/>
      <c r="Z186" s="2"/>
      <c r="AA186" s="51"/>
      <c r="AB186" s="51"/>
      <c r="AC186" s="51"/>
      <c r="AD186" s="2"/>
      <c r="AE186" s="51"/>
      <c r="AF186" s="51"/>
      <c r="AG186" s="51"/>
      <c r="AH186" s="2"/>
      <c r="AI186" s="51"/>
      <c r="AJ186" s="51"/>
      <c r="AK186" s="51"/>
      <c r="AL186" s="2"/>
      <c r="AM186" s="51"/>
      <c r="AN186" s="51"/>
      <c r="AO186" s="51"/>
      <c r="AP186" s="2"/>
      <c r="AQ186" s="51"/>
      <c r="AR186" s="51"/>
      <c r="AS186" s="51"/>
      <c r="AT186" s="2"/>
      <c r="AU186" s="51"/>
      <c r="AV186" s="51"/>
      <c r="AW186" s="51"/>
      <c r="AX186" s="2"/>
      <c r="AY186" s="51"/>
      <c r="AZ186" s="51"/>
      <c r="BA186" s="51"/>
      <c r="BB186" s="2"/>
      <c r="BC186" s="51"/>
      <c r="BD186" s="51"/>
      <c r="BE186" s="51"/>
      <c r="BF186" s="2"/>
      <c r="BG186" s="51"/>
      <c r="BH186" s="51"/>
      <c r="BI186" s="51"/>
      <c r="BJ186" s="2"/>
      <c r="BK186" s="51"/>
      <c r="BL186" s="51"/>
      <c r="BM186" s="51"/>
      <c r="BN186" s="2"/>
      <c r="BO186" s="51"/>
      <c r="BP186" s="51"/>
      <c r="BQ186" s="51"/>
      <c r="BR186" s="2"/>
      <c r="BS186" s="51"/>
      <c r="BT186" s="51"/>
      <c r="BU186" s="51"/>
      <c r="BV186" s="2"/>
      <c r="BW186" s="51"/>
    </row>
    <row r="187" spans="1:75" x14ac:dyDescent="0.2">
      <c r="A187" s="51"/>
      <c r="B187" s="51"/>
      <c r="C187" s="51"/>
      <c r="D187" s="51"/>
      <c r="E187" s="51"/>
      <c r="F187" s="2"/>
      <c r="G187" s="51"/>
      <c r="H187" s="51"/>
      <c r="I187" s="51"/>
      <c r="J187" s="2"/>
      <c r="K187" s="51"/>
      <c r="L187" s="51"/>
      <c r="M187" s="51"/>
      <c r="N187" s="2"/>
      <c r="O187" s="51"/>
      <c r="P187" s="51"/>
      <c r="Q187" s="51"/>
      <c r="R187" s="2"/>
      <c r="S187" s="51"/>
      <c r="T187" s="51"/>
      <c r="U187" s="51"/>
      <c r="V187" s="2"/>
      <c r="W187" s="51"/>
      <c r="X187" s="51"/>
      <c r="Y187" s="51"/>
      <c r="Z187" s="2"/>
      <c r="AA187" s="51"/>
      <c r="AB187" s="51"/>
      <c r="AC187" s="51"/>
      <c r="AD187" s="2"/>
      <c r="AE187" s="51"/>
      <c r="AF187" s="51"/>
      <c r="AG187" s="51"/>
      <c r="AH187" s="2"/>
      <c r="AI187" s="51"/>
      <c r="AJ187" s="51"/>
      <c r="AK187" s="51"/>
      <c r="AL187" s="2"/>
      <c r="AM187" s="51"/>
      <c r="AN187" s="51"/>
      <c r="AO187" s="51"/>
      <c r="AP187" s="2"/>
      <c r="AQ187" s="51"/>
      <c r="AR187" s="51"/>
      <c r="AS187" s="51"/>
      <c r="AT187" s="2"/>
      <c r="AU187" s="51"/>
      <c r="AV187" s="51"/>
      <c r="AW187" s="51"/>
      <c r="AX187" s="2"/>
      <c r="AY187" s="51"/>
      <c r="AZ187" s="51"/>
      <c r="BA187" s="51"/>
      <c r="BB187" s="2"/>
      <c r="BC187" s="51"/>
      <c r="BD187" s="51"/>
      <c r="BE187" s="51"/>
      <c r="BF187" s="2"/>
      <c r="BG187" s="51"/>
      <c r="BH187" s="51"/>
      <c r="BI187" s="51"/>
      <c r="BJ187" s="2"/>
      <c r="BK187" s="51"/>
      <c r="BL187" s="51"/>
      <c r="BM187" s="51"/>
      <c r="BN187" s="2"/>
      <c r="BO187" s="51"/>
      <c r="BP187" s="51"/>
      <c r="BQ187" s="51"/>
      <c r="BR187" s="2"/>
      <c r="BS187" s="51"/>
      <c r="BT187" s="51"/>
      <c r="BU187" s="51"/>
      <c r="BV187" s="2"/>
      <c r="BW187" s="51"/>
    </row>
    <row r="188" spans="1:75" x14ac:dyDescent="0.2">
      <c r="A188" s="51"/>
      <c r="B188" s="51"/>
      <c r="C188" s="51"/>
      <c r="D188" s="51"/>
      <c r="E188" s="51"/>
      <c r="F188" s="2"/>
      <c r="G188" s="51"/>
      <c r="H188" s="51"/>
      <c r="I188" s="51"/>
      <c r="J188" s="2"/>
      <c r="K188" s="51"/>
      <c r="L188" s="51"/>
      <c r="M188" s="51"/>
      <c r="N188" s="2"/>
      <c r="O188" s="51"/>
      <c r="P188" s="51"/>
      <c r="Q188" s="51"/>
      <c r="R188" s="2"/>
      <c r="S188" s="51"/>
      <c r="T188" s="51"/>
      <c r="U188" s="51"/>
      <c r="V188" s="2"/>
      <c r="W188" s="51"/>
      <c r="X188" s="51"/>
      <c r="Y188" s="51"/>
      <c r="Z188" s="2"/>
      <c r="AA188" s="51"/>
      <c r="AB188" s="51"/>
      <c r="AC188" s="51"/>
      <c r="AD188" s="2"/>
      <c r="AE188" s="51"/>
      <c r="AF188" s="51"/>
      <c r="AG188" s="51"/>
      <c r="AH188" s="2"/>
      <c r="AI188" s="51"/>
      <c r="AJ188" s="51"/>
      <c r="AK188" s="51"/>
      <c r="AL188" s="2"/>
      <c r="AM188" s="51"/>
      <c r="AN188" s="51"/>
      <c r="AO188" s="51"/>
      <c r="AP188" s="2"/>
      <c r="AQ188" s="51"/>
      <c r="AR188" s="51"/>
      <c r="AS188" s="51"/>
      <c r="AT188" s="2"/>
      <c r="AU188" s="51"/>
      <c r="AV188" s="51"/>
      <c r="AW188" s="51"/>
      <c r="AX188" s="2"/>
      <c r="AY188" s="51"/>
      <c r="AZ188" s="51"/>
      <c r="BA188" s="51"/>
      <c r="BB188" s="2"/>
      <c r="BC188" s="51"/>
      <c r="BD188" s="51"/>
      <c r="BE188" s="51"/>
      <c r="BF188" s="2"/>
      <c r="BG188" s="51"/>
      <c r="BH188" s="51"/>
      <c r="BI188" s="51"/>
      <c r="BJ188" s="2"/>
      <c r="BK188" s="51"/>
      <c r="BL188" s="51"/>
      <c r="BM188" s="51"/>
      <c r="BN188" s="2"/>
      <c r="BO188" s="51"/>
      <c r="BP188" s="51"/>
      <c r="BQ188" s="51"/>
      <c r="BR188" s="2"/>
      <c r="BS188" s="51"/>
      <c r="BT188" s="51"/>
      <c r="BU188" s="51"/>
      <c r="BV188" s="2"/>
      <c r="BW188" s="51"/>
    </row>
    <row r="189" spans="1:75" x14ac:dyDescent="0.2">
      <c r="A189" s="51"/>
      <c r="B189" s="51"/>
      <c r="C189" s="51"/>
      <c r="D189" s="51"/>
      <c r="E189" s="51"/>
      <c r="F189" s="2"/>
      <c r="G189" s="51"/>
      <c r="H189" s="51"/>
      <c r="I189" s="51"/>
      <c r="J189" s="2"/>
      <c r="K189" s="51"/>
      <c r="L189" s="51"/>
      <c r="M189" s="51"/>
      <c r="N189" s="2"/>
      <c r="O189" s="51"/>
      <c r="P189" s="51"/>
      <c r="Q189" s="51"/>
      <c r="R189" s="2"/>
      <c r="S189" s="51"/>
      <c r="T189" s="51"/>
      <c r="U189" s="51"/>
      <c r="V189" s="2"/>
      <c r="W189" s="51"/>
      <c r="X189" s="51"/>
      <c r="Y189" s="51"/>
      <c r="Z189" s="2"/>
      <c r="AA189" s="51"/>
      <c r="AB189" s="51"/>
      <c r="AC189" s="51"/>
      <c r="AD189" s="2"/>
      <c r="AE189" s="51"/>
      <c r="AF189" s="51"/>
      <c r="AG189" s="51"/>
      <c r="AH189" s="2"/>
      <c r="AI189" s="51"/>
      <c r="AJ189" s="51"/>
      <c r="AK189" s="51"/>
      <c r="AL189" s="2"/>
      <c r="AM189" s="51"/>
      <c r="AN189" s="51"/>
      <c r="AO189" s="51"/>
      <c r="AP189" s="2"/>
      <c r="AQ189" s="51"/>
      <c r="AR189" s="51"/>
      <c r="AS189" s="51"/>
      <c r="AT189" s="2"/>
      <c r="AU189" s="51"/>
      <c r="AV189" s="51"/>
      <c r="AW189" s="51"/>
      <c r="AX189" s="2"/>
      <c r="AY189" s="51"/>
      <c r="AZ189" s="51"/>
      <c r="BA189" s="51"/>
      <c r="BB189" s="2"/>
      <c r="BC189" s="51"/>
      <c r="BD189" s="51"/>
      <c r="BE189" s="51"/>
      <c r="BF189" s="2"/>
      <c r="BG189" s="51"/>
      <c r="BH189" s="51"/>
      <c r="BI189" s="51"/>
      <c r="BJ189" s="2"/>
      <c r="BK189" s="51"/>
      <c r="BL189" s="51"/>
      <c r="BM189" s="51"/>
      <c r="BN189" s="2"/>
      <c r="BO189" s="51"/>
      <c r="BP189" s="51"/>
      <c r="BQ189" s="51"/>
      <c r="BR189" s="2"/>
      <c r="BS189" s="51"/>
      <c r="BT189" s="51"/>
      <c r="BU189" s="51"/>
      <c r="BV189" s="2"/>
      <c r="BW189" s="51"/>
    </row>
    <row r="190" spans="1:75" x14ac:dyDescent="0.2">
      <c r="A190" s="51"/>
      <c r="B190" s="51"/>
      <c r="C190" s="51"/>
      <c r="D190" s="51"/>
      <c r="E190" s="51"/>
      <c r="F190" s="2"/>
      <c r="G190" s="51"/>
      <c r="H190" s="51"/>
      <c r="I190" s="51"/>
      <c r="J190" s="2"/>
      <c r="K190" s="51"/>
      <c r="L190" s="51"/>
      <c r="M190" s="51"/>
      <c r="N190" s="2"/>
      <c r="O190" s="51"/>
      <c r="P190" s="51"/>
      <c r="Q190" s="51"/>
      <c r="R190" s="2"/>
      <c r="S190" s="51"/>
      <c r="T190" s="51"/>
      <c r="U190" s="51"/>
      <c r="V190" s="2"/>
      <c r="W190" s="51"/>
      <c r="X190" s="51"/>
      <c r="Y190" s="51"/>
      <c r="Z190" s="2"/>
      <c r="AA190" s="51"/>
      <c r="AB190" s="51"/>
      <c r="AC190" s="51"/>
      <c r="AD190" s="2"/>
      <c r="AE190" s="51"/>
      <c r="AF190" s="51"/>
      <c r="AG190" s="51"/>
      <c r="AH190" s="2"/>
      <c r="AI190" s="51"/>
      <c r="AJ190" s="51"/>
      <c r="AK190" s="51"/>
      <c r="AL190" s="2"/>
      <c r="AM190" s="51"/>
      <c r="AN190" s="51"/>
      <c r="AO190" s="51"/>
      <c r="AP190" s="2"/>
      <c r="AQ190" s="51"/>
      <c r="AR190" s="51"/>
      <c r="AS190" s="51"/>
      <c r="AT190" s="2"/>
      <c r="AU190" s="51"/>
      <c r="AV190" s="51"/>
      <c r="AW190" s="51"/>
      <c r="AX190" s="2"/>
      <c r="AY190" s="51"/>
      <c r="AZ190" s="51"/>
      <c r="BA190" s="51"/>
      <c r="BB190" s="2"/>
      <c r="BC190" s="51"/>
      <c r="BD190" s="51"/>
      <c r="BE190" s="51"/>
      <c r="BF190" s="2"/>
      <c r="BG190" s="51"/>
      <c r="BH190" s="51"/>
      <c r="BI190" s="51"/>
      <c r="BJ190" s="2"/>
      <c r="BK190" s="51"/>
      <c r="BL190" s="51"/>
      <c r="BM190" s="51"/>
      <c r="BN190" s="2"/>
      <c r="BO190" s="51"/>
      <c r="BP190" s="51"/>
      <c r="BQ190" s="51"/>
      <c r="BR190" s="2"/>
      <c r="BS190" s="51"/>
      <c r="BT190" s="51"/>
      <c r="BU190" s="51"/>
      <c r="BV190" s="2"/>
      <c r="BW190" s="51"/>
    </row>
    <row r="191" spans="1:75" x14ac:dyDescent="0.2">
      <c r="A191" s="51"/>
      <c r="B191" s="51"/>
      <c r="C191" s="51"/>
      <c r="D191" s="51"/>
      <c r="E191" s="51"/>
      <c r="F191" s="2"/>
      <c r="G191" s="51"/>
      <c r="H191" s="51"/>
      <c r="I191" s="51"/>
      <c r="J191" s="2"/>
      <c r="K191" s="51"/>
      <c r="L191" s="51"/>
      <c r="M191" s="51"/>
      <c r="N191" s="2"/>
      <c r="O191" s="51"/>
      <c r="P191" s="51"/>
      <c r="Q191" s="51"/>
      <c r="R191" s="2"/>
      <c r="S191" s="51"/>
      <c r="T191" s="51"/>
      <c r="U191" s="51"/>
      <c r="V191" s="2"/>
      <c r="W191" s="51"/>
      <c r="X191" s="51"/>
      <c r="Y191" s="51"/>
      <c r="Z191" s="2"/>
      <c r="AA191" s="51"/>
      <c r="AB191" s="51"/>
      <c r="AC191" s="51"/>
      <c r="AD191" s="2"/>
      <c r="AE191" s="51"/>
      <c r="AF191" s="51"/>
      <c r="AG191" s="51"/>
      <c r="AH191" s="2"/>
      <c r="AI191" s="51"/>
      <c r="AJ191" s="51"/>
      <c r="AK191" s="51"/>
      <c r="AL191" s="2"/>
      <c r="AM191" s="51"/>
      <c r="AN191" s="51"/>
      <c r="AO191" s="51"/>
      <c r="AP191" s="2"/>
      <c r="AQ191" s="51"/>
      <c r="AR191" s="51"/>
      <c r="AS191" s="51"/>
      <c r="AT191" s="2"/>
      <c r="AU191" s="51"/>
      <c r="AV191" s="51"/>
      <c r="AW191" s="51"/>
      <c r="AX191" s="2"/>
      <c r="AY191" s="51"/>
      <c r="AZ191" s="51"/>
      <c r="BA191" s="51"/>
      <c r="BB191" s="2"/>
      <c r="BC191" s="51"/>
      <c r="BD191" s="51"/>
      <c r="BE191" s="51"/>
      <c r="BF191" s="2"/>
      <c r="BG191" s="51"/>
      <c r="BH191" s="51"/>
      <c r="BI191" s="51"/>
      <c r="BJ191" s="2"/>
      <c r="BK191" s="51"/>
      <c r="BL191" s="51"/>
      <c r="BM191" s="51"/>
      <c r="BN191" s="2"/>
      <c r="BO191" s="51"/>
      <c r="BP191" s="51"/>
      <c r="BQ191" s="51"/>
      <c r="BR191" s="2"/>
      <c r="BS191" s="51"/>
      <c r="BT191" s="51"/>
      <c r="BU191" s="51"/>
      <c r="BV191" s="2"/>
      <c r="BW191" s="51"/>
    </row>
    <row r="192" spans="1:75" x14ac:dyDescent="0.2">
      <c r="A192" s="51"/>
      <c r="B192" s="51"/>
      <c r="C192" s="51"/>
      <c r="D192" s="51"/>
      <c r="E192" s="51"/>
      <c r="F192" s="2"/>
      <c r="G192" s="51"/>
      <c r="H192" s="51"/>
      <c r="I192" s="51"/>
      <c r="J192" s="2"/>
      <c r="K192" s="51"/>
      <c r="L192" s="51"/>
      <c r="M192" s="51"/>
      <c r="N192" s="2"/>
      <c r="O192" s="51"/>
      <c r="P192" s="51"/>
      <c r="Q192" s="51"/>
      <c r="R192" s="2"/>
      <c r="S192" s="51"/>
      <c r="T192" s="51"/>
      <c r="U192" s="51"/>
      <c r="V192" s="2"/>
      <c r="W192" s="51"/>
      <c r="X192" s="51"/>
      <c r="Y192" s="51"/>
      <c r="Z192" s="2"/>
      <c r="AA192" s="51"/>
      <c r="AB192" s="51"/>
      <c r="AC192" s="51"/>
      <c r="AD192" s="2"/>
      <c r="AE192" s="51"/>
      <c r="AF192" s="51"/>
      <c r="AG192" s="51"/>
      <c r="AH192" s="2"/>
      <c r="AI192" s="51"/>
      <c r="AJ192" s="51"/>
      <c r="AK192" s="51"/>
      <c r="AL192" s="2"/>
      <c r="AM192" s="51"/>
      <c r="AN192" s="51"/>
      <c r="AO192" s="51"/>
      <c r="AP192" s="2"/>
      <c r="AQ192" s="51"/>
      <c r="AR192" s="51"/>
      <c r="AS192" s="51"/>
      <c r="AT192" s="2"/>
      <c r="AU192" s="51"/>
      <c r="AV192" s="51"/>
      <c r="AW192" s="51"/>
      <c r="AX192" s="2"/>
      <c r="AY192" s="51"/>
      <c r="AZ192" s="51"/>
      <c r="BA192" s="51"/>
      <c r="BB192" s="2"/>
      <c r="BC192" s="51"/>
      <c r="BD192" s="51"/>
      <c r="BE192" s="51"/>
      <c r="BF192" s="2"/>
      <c r="BG192" s="51"/>
      <c r="BH192" s="51"/>
      <c r="BI192" s="51"/>
      <c r="BJ192" s="2"/>
      <c r="BK192" s="51"/>
      <c r="BL192" s="51"/>
      <c r="BM192" s="51"/>
      <c r="BN192" s="2"/>
      <c r="BO192" s="51"/>
      <c r="BP192" s="51"/>
      <c r="BQ192" s="51"/>
      <c r="BR192" s="2"/>
      <c r="BS192" s="51"/>
      <c r="BT192" s="51"/>
      <c r="BU192" s="51"/>
      <c r="BV192" s="2"/>
      <c r="BW192" s="51"/>
    </row>
    <row r="193" spans="1:75" x14ac:dyDescent="0.2">
      <c r="A193" s="51"/>
      <c r="B193" s="51"/>
      <c r="C193" s="51"/>
      <c r="D193" s="51"/>
      <c r="E193" s="51"/>
      <c r="F193" s="2"/>
      <c r="G193" s="51"/>
      <c r="H193" s="51"/>
      <c r="I193" s="51"/>
      <c r="J193" s="2"/>
      <c r="K193" s="51"/>
      <c r="L193" s="51"/>
      <c r="M193" s="51"/>
      <c r="N193" s="2"/>
      <c r="O193" s="51"/>
      <c r="P193" s="51"/>
      <c r="Q193" s="51"/>
      <c r="R193" s="2"/>
      <c r="S193" s="51"/>
      <c r="T193" s="51"/>
      <c r="U193" s="51"/>
      <c r="V193" s="2"/>
      <c r="W193" s="51"/>
      <c r="X193" s="51"/>
      <c r="Y193" s="51"/>
      <c r="Z193" s="2"/>
      <c r="AA193" s="51"/>
      <c r="AB193" s="51"/>
      <c r="AC193" s="51"/>
      <c r="AD193" s="2"/>
      <c r="AE193" s="51"/>
      <c r="AF193" s="51"/>
      <c r="AG193" s="51"/>
      <c r="AH193" s="2"/>
      <c r="AI193" s="51"/>
      <c r="AJ193" s="51"/>
      <c r="AK193" s="51"/>
      <c r="AL193" s="2"/>
      <c r="AM193" s="51"/>
      <c r="AN193" s="51"/>
      <c r="AO193" s="51"/>
      <c r="AP193" s="2"/>
      <c r="AQ193" s="51"/>
      <c r="AR193" s="51"/>
      <c r="AS193" s="51"/>
      <c r="AT193" s="2"/>
      <c r="AU193" s="51"/>
      <c r="AV193" s="51"/>
      <c r="AW193" s="51"/>
      <c r="AX193" s="2"/>
      <c r="AY193" s="51"/>
      <c r="AZ193" s="51"/>
      <c r="BA193" s="51"/>
      <c r="BB193" s="2"/>
      <c r="BC193" s="51"/>
      <c r="BD193" s="51"/>
      <c r="BE193" s="51"/>
      <c r="BF193" s="2"/>
      <c r="BG193" s="51"/>
      <c r="BH193" s="51"/>
      <c r="BI193" s="51"/>
      <c r="BJ193" s="2"/>
      <c r="BK193" s="51"/>
      <c r="BL193" s="51"/>
      <c r="BM193" s="51"/>
      <c r="BN193" s="2"/>
      <c r="BO193" s="51"/>
      <c r="BP193" s="51"/>
      <c r="BQ193" s="51"/>
      <c r="BR193" s="2"/>
      <c r="BS193" s="51"/>
      <c r="BT193" s="51"/>
      <c r="BU193" s="51"/>
      <c r="BV193" s="2"/>
      <c r="BW193" s="51"/>
    </row>
    <row r="194" spans="1:75" x14ac:dyDescent="0.2">
      <c r="A194" s="51"/>
      <c r="B194" s="51"/>
      <c r="C194" s="51"/>
      <c r="D194" s="51"/>
      <c r="E194" s="51"/>
      <c r="F194" s="2"/>
      <c r="G194" s="51"/>
      <c r="H194" s="51"/>
      <c r="I194" s="51"/>
      <c r="J194" s="2"/>
      <c r="K194" s="51"/>
      <c r="L194" s="51"/>
      <c r="M194" s="51"/>
      <c r="N194" s="2"/>
      <c r="O194" s="51"/>
      <c r="P194" s="51"/>
      <c r="Q194" s="51"/>
      <c r="R194" s="2"/>
      <c r="S194" s="51"/>
      <c r="T194" s="51"/>
      <c r="U194" s="51"/>
      <c r="V194" s="2"/>
      <c r="W194" s="51"/>
      <c r="X194" s="51"/>
      <c r="Y194" s="51"/>
      <c r="Z194" s="2"/>
      <c r="AA194" s="51"/>
      <c r="AB194" s="51"/>
      <c r="AC194" s="51"/>
      <c r="AD194" s="2"/>
      <c r="AE194" s="51"/>
      <c r="AF194" s="51"/>
      <c r="AG194" s="51"/>
      <c r="AH194" s="2"/>
      <c r="AI194" s="51"/>
      <c r="AJ194" s="51"/>
      <c r="AK194" s="51"/>
      <c r="AL194" s="2"/>
      <c r="AM194" s="51"/>
      <c r="AN194" s="51"/>
      <c r="AO194" s="51"/>
      <c r="AP194" s="2"/>
      <c r="AQ194" s="51"/>
      <c r="AR194" s="51"/>
      <c r="AS194" s="51"/>
      <c r="AT194" s="2"/>
      <c r="AU194" s="51"/>
      <c r="AV194" s="51"/>
      <c r="AW194" s="51"/>
      <c r="AX194" s="2"/>
      <c r="AY194" s="51"/>
      <c r="AZ194" s="51"/>
      <c r="BA194" s="51"/>
      <c r="BB194" s="2"/>
      <c r="BC194" s="51"/>
      <c r="BD194" s="51"/>
      <c r="BE194" s="51"/>
      <c r="BF194" s="2"/>
      <c r="BG194" s="51"/>
      <c r="BH194" s="51"/>
      <c r="BI194" s="51"/>
      <c r="BJ194" s="2"/>
      <c r="BK194" s="51"/>
      <c r="BL194" s="51"/>
      <c r="BM194" s="51"/>
      <c r="BN194" s="2"/>
      <c r="BO194" s="51"/>
      <c r="BP194" s="51"/>
      <c r="BQ194" s="51"/>
      <c r="BR194" s="2"/>
      <c r="BS194" s="51"/>
      <c r="BT194" s="51"/>
      <c r="BU194" s="51"/>
      <c r="BV194" s="2"/>
      <c r="BW194" s="51"/>
    </row>
    <row r="195" spans="1:75" x14ac:dyDescent="0.2">
      <c r="A195" s="51"/>
      <c r="B195" s="51"/>
      <c r="C195" s="51"/>
      <c r="D195" s="51"/>
      <c r="E195" s="51"/>
      <c r="F195" s="2"/>
      <c r="G195" s="51"/>
      <c r="H195" s="51"/>
      <c r="I195" s="51"/>
      <c r="J195" s="2"/>
      <c r="K195" s="51"/>
      <c r="L195" s="51"/>
      <c r="M195" s="51"/>
      <c r="N195" s="2"/>
      <c r="O195" s="51"/>
      <c r="P195" s="51"/>
      <c r="Q195" s="51"/>
      <c r="R195" s="2"/>
      <c r="S195" s="51"/>
      <c r="T195" s="51"/>
      <c r="U195" s="51"/>
      <c r="V195" s="2"/>
      <c r="W195" s="51"/>
      <c r="X195" s="51"/>
      <c r="Y195" s="51"/>
      <c r="Z195" s="2"/>
      <c r="AA195" s="51"/>
      <c r="AB195" s="51"/>
      <c r="AC195" s="51"/>
      <c r="AD195" s="2"/>
      <c r="AE195" s="51"/>
      <c r="AF195" s="51"/>
      <c r="AG195" s="51"/>
      <c r="AH195" s="2"/>
      <c r="AI195" s="51"/>
      <c r="AJ195" s="51"/>
      <c r="AK195" s="51"/>
      <c r="AL195" s="2"/>
      <c r="AM195" s="51"/>
      <c r="AN195" s="51"/>
      <c r="AO195" s="51"/>
      <c r="AP195" s="2"/>
      <c r="AQ195" s="51"/>
      <c r="AR195" s="51"/>
      <c r="AS195" s="51"/>
      <c r="AT195" s="2"/>
      <c r="AU195" s="51"/>
      <c r="AV195" s="51"/>
      <c r="AW195" s="51"/>
      <c r="AX195" s="2"/>
      <c r="AY195" s="51"/>
      <c r="AZ195" s="51"/>
      <c r="BA195" s="51"/>
      <c r="BB195" s="2"/>
      <c r="BC195" s="51"/>
      <c r="BD195" s="51"/>
      <c r="BE195" s="51"/>
      <c r="BF195" s="2"/>
      <c r="BG195" s="51"/>
      <c r="BH195" s="51"/>
      <c r="BI195" s="51"/>
      <c r="BJ195" s="2"/>
      <c r="BK195" s="51"/>
      <c r="BL195" s="51"/>
      <c r="BM195" s="51"/>
      <c r="BN195" s="2"/>
      <c r="BO195" s="51"/>
      <c r="BP195" s="51"/>
      <c r="BQ195" s="51"/>
      <c r="BR195" s="2"/>
      <c r="BS195" s="51"/>
      <c r="BT195" s="51"/>
      <c r="BU195" s="51"/>
      <c r="BV195" s="2"/>
      <c r="BW195" s="51"/>
    </row>
    <row r="196" spans="1:75" x14ac:dyDescent="0.2">
      <c r="A196" s="51"/>
      <c r="B196" s="51"/>
      <c r="C196" s="51"/>
      <c r="D196" s="51"/>
      <c r="E196" s="51"/>
      <c r="F196" s="2"/>
      <c r="G196" s="51"/>
      <c r="H196" s="51"/>
      <c r="I196" s="51"/>
      <c r="J196" s="2"/>
      <c r="K196" s="51"/>
      <c r="L196" s="51"/>
      <c r="M196" s="51"/>
      <c r="N196" s="2"/>
      <c r="O196" s="51"/>
      <c r="P196" s="51"/>
      <c r="Q196" s="51"/>
      <c r="R196" s="2"/>
      <c r="S196" s="51"/>
      <c r="T196" s="51"/>
      <c r="U196" s="51"/>
      <c r="V196" s="2"/>
      <c r="W196" s="51"/>
      <c r="X196" s="51"/>
      <c r="Y196" s="51"/>
      <c r="Z196" s="2"/>
      <c r="AA196" s="51"/>
      <c r="AB196" s="51"/>
      <c r="AC196" s="51"/>
      <c r="AD196" s="2"/>
      <c r="AE196" s="51"/>
      <c r="AF196" s="51"/>
      <c r="AG196" s="51"/>
      <c r="AH196" s="2"/>
      <c r="AI196" s="51"/>
      <c r="AJ196" s="51"/>
      <c r="AK196" s="51"/>
      <c r="AL196" s="2"/>
      <c r="AM196" s="51"/>
      <c r="AN196" s="51"/>
      <c r="AO196" s="51"/>
      <c r="AP196" s="2"/>
      <c r="AQ196" s="51"/>
      <c r="AR196" s="51"/>
      <c r="AS196" s="51"/>
      <c r="AT196" s="2"/>
      <c r="AU196" s="51"/>
      <c r="AV196" s="51"/>
      <c r="AW196" s="51"/>
      <c r="AX196" s="2"/>
      <c r="AY196" s="51"/>
      <c r="AZ196" s="51"/>
      <c r="BA196" s="51"/>
      <c r="BB196" s="2"/>
      <c r="BC196" s="51"/>
      <c r="BD196" s="51"/>
      <c r="BE196" s="51"/>
      <c r="BF196" s="2"/>
      <c r="BG196" s="51"/>
      <c r="BH196" s="51"/>
      <c r="BI196" s="51"/>
      <c r="BJ196" s="2"/>
      <c r="BK196" s="51"/>
      <c r="BL196" s="51"/>
      <c r="BM196" s="51"/>
      <c r="BN196" s="2"/>
      <c r="BO196" s="51"/>
      <c r="BP196" s="51"/>
      <c r="BQ196" s="51"/>
      <c r="BR196" s="2"/>
      <c r="BS196" s="51"/>
      <c r="BT196" s="51"/>
      <c r="BU196" s="51"/>
      <c r="BV196" s="2"/>
      <c r="BW196" s="51"/>
    </row>
    <row r="197" spans="1:75" x14ac:dyDescent="0.2">
      <c r="A197" s="51"/>
      <c r="B197" s="51"/>
      <c r="C197" s="51"/>
      <c r="D197" s="51"/>
      <c r="E197" s="51"/>
      <c r="F197" s="2"/>
      <c r="G197" s="51"/>
      <c r="H197" s="51"/>
      <c r="I197" s="51"/>
      <c r="J197" s="2"/>
      <c r="K197" s="51"/>
      <c r="L197" s="51"/>
      <c r="M197" s="51"/>
      <c r="N197" s="2"/>
      <c r="O197" s="51"/>
      <c r="P197" s="51"/>
      <c r="Q197" s="51"/>
      <c r="R197" s="2"/>
      <c r="S197" s="51"/>
      <c r="T197" s="51"/>
      <c r="U197" s="51"/>
      <c r="V197" s="2"/>
      <c r="W197" s="51"/>
      <c r="X197" s="51"/>
      <c r="Y197" s="51"/>
      <c r="Z197" s="2"/>
      <c r="AA197" s="51"/>
      <c r="AB197" s="51"/>
      <c r="AC197" s="51"/>
      <c r="AD197" s="2"/>
      <c r="AE197" s="51"/>
      <c r="AF197" s="51"/>
      <c r="AG197" s="51"/>
      <c r="AH197" s="2"/>
      <c r="AI197" s="51"/>
      <c r="AJ197" s="51"/>
      <c r="AK197" s="51"/>
      <c r="AL197" s="2"/>
      <c r="AM197" s="51"/>
      <c r="AN197" s="51"/>
      <c r="AO197" s="51"/>
      <c r="AP197" s="2"/>
      <c r="AQ197" s="51"/>
      <c r="AR197" s="51"/>
      <c r="AS197" s="51"/>
      <c r="AT197" s="2"/>
      <c r="AU197" s="51"/>
      <c r="AV197" s="51"/>
      <c r="AW197" s="51"/>
      <c r="AX197" s="2"/>
      <c r="AY197" s="51"/>
      <c r="AZ197" s="51"/>
      <c r="BA197" s="51"/>
      <c r="BB197" s="2"/>
      <c r="BC197" s="51"/>
      <c r="BD197" s="51"/>
      <c r="BE197" s="51"/>
      <c r="BF197" s="2"/>
      <c r="BG197" s="51"/>
      <c r="BH197" s="51"/>
      <c r="BI197" s="51"/>
      <c r="BJ197" s="2"/>
      <c r="BK197" s="51"/>
      <c r="BL197" s="51"/>
      <c r="BM197" s="51"/>
      <c r="BN197" s="2"/>
      <c r="BO197" s="51"/>
      <c r="BP197" s="51"/>
      <c r="BQ197" s="51"/>
      <c r="BR197" s="2"/>
      <c r="BS197" s="51"/>
      <c r="BT197" s="51"/>
      <c r="BU197" s="51"/>
      <c r="BV197" s="2"/>
      <c r="BW197" s="51"/>
    </row>
    <row r="198" spans="1:75" x14ac:dyDescent="0.2">
      <c r="A198" s="51"/>
      <c r="B198" s="51"/>
      <c r="C198" s="51"/>
      <c r="D198" s="51"/>
      <c r="E198" s="51"/>
      <c r="F198" s="2"/>
      <c r="G198" s="51"/>
      <c r="H198" s="51"/>
      <c r="I198" s="51"/>
      <c r="J198" s="2"/>
      <c r="K198" s="51"/>
      <c r="L198" s="51"/>
      <c r="M198" s="51"/>
      <c r="N198" s="2"/>
      <c r="O198" s="51"/>
      <c r="P198" s="51"/>
      <c r="Q198" s="51"/>
      <c r="R198" s="2"/>
      <c r="S198" s="51"/>
      <c r="T198" s="51"/>
      <c r="U198" s="51"/>
      <c r="V198" s="2"/>
      <c r="W198" s="51"/>
      <c r="X198" s="51"/>
      <c r="Y198" s="51"/>
      <c r="Z198" s="2"/>
      <c r="AA198" s="51"/>
      <c r="AB198" s="51"/>
      <c r="AC198" s="51"/>
      <c r="AD198" s="2"/>
      <c r="AE198" s="51"/>
      <c r="AF198" s="51"/>
      <c r="AG198" s="51"/>
      <c r="AH198" s="2"/>
      <c r="AI198" s="51"/>
      <c r="AJ198" s="51"/>
      <c r="AK198" s="51"/>
      <c r="AL198" s="2"/>
      <c r="AM198" s="51"/>
      <c r="AN198" s="51"/>
      <c r="AO198" s="51"/>
      <c r="AP198" s="2"/>
      <c r="AQ198" s="51"/>
      <c r="AR198" s="51"/>
      <c r="AS198" s="51"/>
      <c r="AT198" s="2"/>
      <c r="AU198" s="51"/>
      <c r="AV198" s="51"/>
      <c r="AW198" s="51"/>
      <c r="AX198" s="2"/>
      <c r="AY198" s="51"/>
      <c r="AZ198" s="51"/>
      <c r="BA198" s="51"/>
      <c r="BB198" s="2"/>
      <c r="BC198" s="51"/>
      <c r="BD198" s="51"/>
      <c r="BE198" s="51"/>
      <c r="BF198" s="2"/>
      <c r="BG198" s="51"/>
      <c r="BH198" s="51"/>
      <c r="BI198" s="51"/>
      <c r="BJ198" s="2"/>
      <c r="BK198" s="51"/>
      <c r="BL198" s="51"/>
      <c r="BM198" s="51"/>
      <c r="BN198" s="2"/>
      <c r="BO198" s="51"/>
      <c r="BP198" s="51"/>
      <c r="BQ198" s="51"/>
      <c r="BR198" s="2"/>
      <c r="BS198" s="51"/>
      <c r="BT198" s="51"/>
      <c r="BU198" s="51"/>
      <c r="BV198" s="2"/>
      <c r="BW198" s="51"/>
    </row>
    <row r="199" spans="1:75" x14ac:dyDescent="0.2">
      <c r="A199" s="51"/>
      <c r="B199" s="51"/>
      <c r="C199" s="51"/>
      <c r="D199" s="51"/>
      <c r="E199" s="51"/>
      <c r="F199" s="2"/>
      <c r="G199" s="51"/>
      <c r="H199" s="51"/>
      <c r="I199" s="51"/>
      <c r="J199" s="2"/>
      <c r="K199" s="51"/>
      <c r="L199" s="51"/>
      <c r="M199" s="51"/>
      <c r="N199" s="2"/>
      <c r="O199" s="51"/>
      <c r="P199" s="51"/>
      <c r="Q199" s="51"/>
      <c r="R199" s="2"/>
      <c r="S199" s="51"/>
      <c r="T199" s="51"/>
      <c r="U199" s="51"/>
      <c r="V199" s="2"/>
      <c r="W199" s="51"/>
      <c r="X199" s="51"/>
      <c r="Y199" s="51"/>
      <c r="Z199" s="2"/>
      <c r="AA199" s="51"/>
      <c r="AB199" s="51"/>
      <c r="AC199" s="51"/>
      <c r="AD199" s="2"/>
      <c r="AE199" s="51"/>
      <c r="AF199" s="51"/>
      <c r="AG199" s="51"/>
      <c r="AH199" s="2"/>
      <c r="AI199" s="51"/>
      <c r="AJ199" s="51"/>
      <c r="AK199" s="51"/>
      <c r="AL199" s="2"/>
      <c r="AM199" s="51"/>
      <c r="AN199" s="51"/>
      <c r="AO199" s="51"/>
      <c r="AP199" s="2"/>
      <c r="AQ199" s="51"/>
      <c r="AR199" s="51"/>
      <c r="AS199" s="51"/>
      <c r="AT199" s="2"/>
      <c r="AU199" s="51"/>
      <c r="AV199" s="51"/>
      <c r="AW199" s="51"/>
      <c r="AX199" s="2"/>
      <c r="AY199" s="51"/>
      <c r="AZ199" s="51"/>
      <c r="BA199" s="51"/>
      <c r="BB199" s="2"/>
      <c r="BC199" s="51"/>
      <c r="BD199" s="51"/>
      <c r="BE199" s="51"/>
      <c r="BF199" s="2"/>
      <c r="BG199" s="51"/>
      <c r="BH199" s="51"/>
      <c r="BI199" s="51"/>
      <c r="BJ199" s="2"/>
      <c r="BK199" s="51"/>
      <c r="BL199" s="51"/>
      <c r="BM199" s="51"/>
      <c r="BN199" s="2"/>
      <c r="BO199" s="51"/>
      <c r="BP199" s="51"/>
      <c r="BQ199" s="51"/>
      <c r="BR199" s="2"/>
      <c r="BS199" s="51"/>
      <c r="BT199" s="51"/>
      <c r="BU199" s="51"/>
      <c r="BV199" s="2"/>
      <c r="BW199" s="51"/>
    </row>
    <row r="200" spans="1:75" x14ac:dyDescent="0.2">
      <c r="A200" s="51"/>
      <c r="B200" s="51"/>
      <c r="C200" s="51"/>
      <c r="D200" s="51"/>
      <c r="E200" s="51"/>
      <c r="F200" s="2"/>
      <c r="G200" s="51"/>
      <c r="H200" s="51"/>
      <c r="I200" s="51"/>
      <c r="J200" s="2"/>
      <c r="K200" s="51"/>
      <c r="L200" s="51"/>
      <c r="M200" s="51"/>
      <c r="N200" s="2"/>
      <c r="O200" s="51"/>
      <c r="P200" s="51"/>
      <c r="Q200" s="51"/>
      <c r="R200" s="2"/>
      <c r="S200" s="51"/>
      <c r="T200" s="51"/>
      <c r="U200" s="51"/>
      <c r="V200" s="2"/>
      <c r="W200" s="51"/>
      <c r="X200" s="51"/>
      <c r="Y200" s="51"/>
      <c r="Z200" s="2"/>
      <c r="AA200" s="51"/>
      <c r="AB200" s="51"/>
      <c r="AC200" s="51"/>
      <c r="AD200" s="2"/>
      <c r="AE200" s="51"/>
      <c r="AF200" s="51"/>
      <c r="AG200" s="51"/>
      <c r="AH200" s="2"/>
      <c r="AI200" s="51"/>
      <c r="AJ200" s="51"/>
      <c r="AK200" s="51"/>
      <c r="AL200" s="2"/>
      <c r="AM200" s="51"/>
      <c r="AN200" s="51"/>
      <c r="AO200" s="51"/>
      <c r="AP200" s="2"/>
      <c r="AQ200" s="51"/>
      <c r="AR200" s="51"/>
      <c r="AS200" s="51"/>
      <c r="AT200" s="2"/>
      <c r="AU200" s="51"/>
      <c r="AV200" s="51"/>
      <c r="AW200" s="51"/>
      <c r="AX200" s="2"/>
      <c r="AY200" s="51"/>
      <c r="AZ200" s="51"/>
      <c r="BA200" s="51"/>
      <c r="BB200" s="2"/>
      <c r="BC200" s="51"/>
      <c r="BD200" s="51"/>
      <c r="BE200" s="51"/>
      <c r="BF200" s="2"/>
      <c r="BG200" s="51"/>
      <c r="BH200" s="51"/>
      <c r="BI200" s="51"/>
      <c r="BJ200" s="2"/>
      <c r="BK200" s="51"/>
      <c r="BL200" s="51"/>
      <c r="BM200" s="51"/>
      <c r="BN200" s="2"/>
      <c r="BO200" s="51"/>
      <c r="BP200" s="51"/>
      <c r="BQ200" s="51"/>
      <c r="BR200" s="2"/>
      <c r="BS200" s="51"/>
      <c r="BT200" s="51"/>
      <c r="BU200" s="51"/>
      <c r="BV200" s="2"/>
      <c r="BW200" s="51"/>
    </row>
    <row r="201" spans="1:75" x14ac:dyDescent="0.2">
      <c r="A201" s="51"/>
      <c r="B201" s="51"/>
      <c r="C201" s="51"/>
      <c r="D201" s="51"/>
      <c r="E201" s="51"/>
      <c r="F201" s="2"/>
      <c r="G201" s="51"/>
      <c r="H201" s="51"/>
      <c r="I201" s="51"/>
      <c r="J201" s="2"/>
      <c r="K201" s="51"/>
      <c r="L201" s="51"/>
      <c r="M201" s="51"/>
      <c r="N201" s="2"/>
      <c r="O201" s="51"/>
      <c r="P201" s="51"/>
      <c r="Q201" s="51"/>
      <c r="R201" s="2"/>
      <c r="S201" s="51"/>
      <c r="T201" s="51"/>
      <c r="U201" s="51"/>
      <c r="V201" s="2"/>
      <c r="W201" s="51"/>
      <c r="X201" s="51"/>
      <c r="Y201" s="51"/>
      <c r="Z201" s="2"/>
      <c r="AA201" s="51"/>
      <c r="AB201" s="51"/>
      <c r="AC201" s="51"/>
      <c r="AD201" s="2"/>
      <c r="AE201" s="51"/>
      <c r="AF201" s="51"/>
      <c r="AG201" s="51"/>
      <c r="AH201" s="2"/>
      <c r="AI201" s="51"/>
      <c r="AJ201" s="51"/>
      <c r="AK201" s="51"/>
      <c r="AL201" s="2"/>
      <c r="AM201" s="51"/>
      <c r="AN201" s="51"/>
      <c r="AO201" s="51"/>
      <c r="AP201" s="2"/>
      <c r="AQ201" s="51"/>
      <c r="AR201" s="51"/>
      <c r="AS201" s="51"/>
      <c r="AT201" s="2"/>
      <c r="AU201" s="51"/>
      <c r="AV201" s="51"/>
      <c r="AW201" s="51"/>
      <c r="AX201" s="2"/>
      <c r="AY201" s="51"/>
      <c r="AZ201" s="51"/>
      <c r="BA201" s="51"/>
      <c r="BB201" s="2"/>
      <c r="BC201" s="51"/>
      <c r="BD201" s="51"/>
      <c r="BE201" s="51"/>
      <c r="BF201" s="2"/>
      <c r="BG201" s="51"/>
      <c r="BH201" s="51"/>
      <c r="BI201" s="51"/>
      <c r="BJ201" s="2"/>
      <c r="BK201" s="51"/>
      <c r="BL201" s="51"/>
      <c r="BM201" s="51"/>
      <c r="BN201" s="2"/>
      <c r="BO201" s="51"/>
      <c r="BP201" s="51"/>
      <c r="BQ201" s="51"/>
      <c r="BR201" s="2"/>
      <c r="BS201" s="51"/>
      <c r="BT201" s="51"/>
      <c r="BU201" s="51"/>
      <c r="BV201" s="2"/>
      <c r="BW201" s="51"/>
    </row>
    <row r="202" spans="1:75" x14ac:dyDescent="0.2">
      <c r="A202" s="51"/>
      <c r="B202" s="51"/>
      <c r="C202" s="51"/>
      <c r="D202" s="51"/>
      <c r="E202" s="51"/>
      <c r="F202" s="2"/>
      <c r="G202" s="51"/>
      <c r="H202" s="51"/>
      <c r="I202" s="51"/>
      <c r="J202" s="2"/>
      <c r="K202" s="51"/>
      <c r="L202" s="51"/>
      <c r="M202" s="51"/>
      <c r="N202" s="2"/>
      <c r="O202" s="51"/>
      <c r="P202" s="51"/>
      <c r="Q202" s="51"/>
      <c r="R202" s="2"/>
      <c r="S202" s="51"/>
      <c r="T202" s="51"/>
      <c r="U202" s="51"/>
      <c r="V202" s="2"/>
      <c r="W202" s="51"/>
      <c r="X202" s="51"/>
      <c r="Y202" s="51"/>
      <c r="Z202" s="2"/>
      <c r="AA202" s="51"/>
      <c r="AB202" s="51"/>
      <c r="AC202" s="51"/>
      <c r="AD202" s="2"/>
      <c r="AE202" s="51"/>
      <c r="AF202" s="51"/>
      <c r="AG202" s="51"/>
      <c r="AH202" s="2"/>
      <c r="AI202" s="51"/>
      <c r="AJ202" s="51"/>
      <c r="AK202" s="51"/>
      <c r="AL202" s="2"/>
      <c r="AM202" s="51"/>
      <c r="AN202" s="51"/>
      <c r="AO202" s="51"/>
      <c r="AP202" s="2"/>
      <c r="AQ202" s="51"/>
      <c r="AR202" s="51"/>
      <c r="AS202" s="51"/>
      <c r="AT202" s="2"/>
      <c r="AU202" s="51"/>
      <c r="AV202" s="51"/>
      <c r="AW202" s="51"/>
      <c r="AX202" s="2"/>
      <c r="AY202" s="51"/>
      <c r="AZ202" s="51"/>
      <c r="BA202" s="51"/>
      <c r="BB202" s="2"/>
      <c r="BC202" s="51"/>
      <c r="BD202" s="51"/>
      <c r="BE202" s="51"/>
      <c r="BF202" s="2"/>
      <c r="BG202" s="51"/>
      <c r="BH202" s="51"/>
      <c r="BI202" s="51"/>
      <c r="BJ202" s="2"/>
      <c r="BK202" s="51"/>
      <c r="BL202" s="51"/>
      <c r="BM202" s="51"/>
      <c r="BN202" s="2"/>
      <c r="BO202" s="51"/>
      <c r="BP202" s="51"/>
      <c r="BQ202" s="51"/>
      <c r="BR202" s="2"/>
      <c r="BS202" s="51"/>
      <c r="BT202" s="51"/>
      <c r="BU202" s="51"/>
      <c r="BV202" s="2"/>
      <c r="BW202" s="51"/>
    </row>
    <row r="203" spans="1:75" x14ac:dyDescent="0.2">
      <c r="A203" s="51"/>
      <c r="B203" s="51"/>
      <c r="C203" s="51"/>
      <c r="D203" s="51"/>
      <c r="E203" s="51"/>
      <c r="F203" s="2"/>
      <c r="G203" s="51"/>
      <c r="H203" s="51"/>
      <c r="I203" s="51"/>
      <c r="J203" s="2"/>
      <c r="K203" s="51"/>
      <c r="L203" s="51"/>
      <c r="M203" s="51"/>
      <c r="N203" s="2"/>
      <c r="O203" s="51"/>
      <c r="P203" s="51"/>
      <c r="Q203" s="51"/>
      <c r="R203" s="2"/>
      <c r="S203" s="51"/>
      <c r="T203" s="51"/>
      <c r="U203" s="51"/>
      <c r="V203" s="2"/>
      <c r="W203" s="51"/>
      <c r="X203" s="51"/>
      <c r="Y203" s="51"/>
      <c r="Z203" s="2"/>
      <c r="AA203" s="51"/>
      <c r="AB203" s="51"/>
      <c r="AC203" s="51"/>
      <c r="AD203" s="2"/>
      <c r="AE203" s="51"/>
      <c r="AF203" s="51"/>
      <c r="AG203" s="51"/>
      <c r="AH203" s="2"/>
      <c r="AI203" s="51"/>
      <c r="AJ203" s="51"/>
      <c r="AK203" s="51"/>
      <c r="AL203" s="2"/>
      <c r="AM203" s="51"/>
      <c r="AN203" s="51"/>
      <c r="AO203" s="51"/>
      <c r="AP203" s="2"/>
      <c r="AQ203" s="51"/>
      <c r="AR203" s="51"/>
      <c r="AS203" s="51"/>
      <c r="AT203" s="2"/>
      <c r="AU203" s="51"/>
      <c r="AV203" s="51"/>
      <c r="AW203" s="51"/>
      <c r="AX203" s="2"/>
      <c r="AY203" s="51"/>
      <c r="AZ203" s="51"/>
      <c r="BA203" s="51"/>
      <c r="BB203" s="2"/>
      <c r="BC203" s="51"/>
      <c r="BD203" s="51"/>
      <c r="BE203" s="51"/>
      <c r="BF203" s="2"/>
      <c r="BG203" s="51"/>
      <c r="BH203" s="51"/>
      <c r="BI203" s="51"/>
      <c r="BJ203" s="2"/>
      <c r="BK203" s="51"/>
      <c r="BL203" s="51"/>
      <c r="BM203" s="51"/>
      <c r="BN203" s="2"/>
      <c r="BO203" s="51"/>
      <c r="BP203" s="51"/>
      <c r="BQ203" s="51"/>
      <c r="BR203" s="2"/>
      <c r="BS203" s="51"/>
      <c r="BT203" s="51"/>
      <c r="BU203" s="51"/>
      <c r="BV203" s="2"/>
      <c r="BW203" s="51"/>
    </row>
    <row r="204" spans="1:75" x14ac:dyDescent="0.2">
      <c r="A204" s="51"/>
      <c r="B204" s="51"/>
      <c r="C204" s="51"/>
      <c r="D204" s="51"/>
      <c r="E204" s="51"/>
      <c r="F204" s="2"/>
      <c r="G204" s="51"/>
      <c r="H204" s="51"/>
      <c r="I204" s="51"/>
      <c r="J204" s="2"/>
      <c r="K204" s="51"/>
      <c r="L204" s="51"/>
      <c r="M204" s="51"/>
      <c r="N204" s="2"/>
      <c r="O204" s="51"/>
      <c r="P204" s="51"/>
      <c r="Q204" s="51"/>
      <c r="R204" s="2"/>
      <c r="S204" s="51"/>
      <c r="T204" s="51"/>
      <c r="U204" s="51"/>
      <c r="V204" s="2"/>
      <c r="W204" s="51"/>
      <c r="X204" s="51"/>
      <c r="Y204" s="51"/>
      <c r="Z204" s="2"/>
      <c r="AA204" s="51"/>
      <c r="AB204" s="51"/>
      <c r="AC204" s="51"/>
      <c r="AD204" s="2"/>
      <c r="AE204" s="51"/>
      <c r="AF204" s="51"/>
      <c r="AG204" s="51"/>
      <c r="AH204" s="2"/>
      <c r="AI204" s="51"/>
      <c r="AJ204" s="51"/>
      <c r="AK204" s="51"/>
      <c r="AL204" s="2"/>
      <c r="AM204" s="51"/>
      <c r="AN204" s="51"/>
      <c r="AO204" s="51"/>
      <c r="AP204" s="2"/>
      <c r="AQ204" s="51"/>
      <c r="AR204" s="51"/>
      <c r="AS204" s="51"/>
      <c r="AT204" s="2"/>
      <c r="AU204" s="51"/>
      <c r="AV204" s="51"/>
      <c r="AW204" s="51"/>
      <c r="AX204" s="2"/>
      <c r="AY204" s="51"/>
      <c r="AZ204" s="51"/>
      <c r="BA204" s="51"/>
      <c r="BB204" s="2"/>
      <c r="BC204" s="51"/>
      <c r="BD204" s="51"/>
      <c r="BE204" s="51"/>
      <c r="BF204" s="2"/>
      <c r="BG204" s="51"/>
      <c r="BH204" s="51"/>
      <c r="BI204" s="51"/>
      <c r="BJ204" s="2"/>
      <c r="BK204" s="51"/>
      <c r="BL204" s="51"/>
      <c r="BM204" s="51"/>
      <c r="BN204" s="2"/>
      <c r="BO204" s="51"/>
      <c r="BP204" s="51"/>
      <c r="BQ204" s="51"/>
      <c r="BR204" s="2"/>
      <c r="BS204" s="51"/>
      <c r="BT204" s="51"/>
      <c r="BU204" s="51"/>
      <c r="BV204" s="2"/>
      <c r="BW204" s="51"/>
    </row>
    <row r="205" spans="1:75" x14ac:dyDescent="0.2">
      <c r="A205" s="51"/>
      <c r="B205" s="51"/>
      <c r="C205" s="51"/>
      <c r="D205" s="51"/>
      <c r="E205" s="51"/>
      <c r="F205" s="2"/>
      <c r="G205" s="51"/>
      <c r="H205" s="51"/>
      <c r="I205" s="51"/>
      <c r="J205" s="2"/>
      <c r="K205" s="51"/>
      <c r="L205" s="51"/>
      <c r="M205" s="51"/>
      <c r="N205" s="2"/>
      <c r="O205" s="51"/>
      <c r="P205" s="51"/>
      <c r="Q205" s="51"/>
      <c r="R205" s="2"/>
      <c r="S205" s="51"/>
      <c r="T205" s="51"/>
      <c r="U205" s="51"/>
    </row>
    <row r="206" spans="1:75" x14ac:dyDescent="0.2">
      <c r="C206" s="51"/>
      <c r="D206" s="51"/>
      <c r="E206" s="51"/>
      <c r="F206" s="2"/>
      <c r="G206" s="51"/>
      <c r="H206" s="51"/>
      <c r="I206" s="51"/>
      <c r="J206" s="2"/>
      <c r="K206" s="51"/>
      <c r="L206" s="51"/>
      <c r="M206" s="51"/>
      <c r="N206" s="2"/>
      <c r="O206" s="51"/>
      <c r="P206" s="51"/>
      <c r="Q206" s="51"/>
      <c r="R206" s="2"/>
      <c r="S206" s="51"/>
      <c r="T206" s="51"/>
    </row>
  </sheetData>
  <sheetProtection algorithmName="SHA-512" hashValue="Tec/O5zUCfcVCV+qZtsyfCac0Tk5KlzDyY91X7amalpv6/B1289U/iPzHwUWiJrAwS3XwtH4oIr9jZGHvDH1eA==" saltValue="lGoUsgUCQ4Azs3+RMakMKA==" spinCount="100000" sheet="1" objects="1" scenarios="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ARK DISCLOSURE</vt:lpstr>
      <vt:lpstr>DASHBOARD</vt:lpstr>
      <vt:lpstr>MODEL INPUT</vt:lpstr>
      <vt:lpstr>PREVENTION &amp; SCREENING</vt:lpstr>
      <vt:lpstr>PROGNOSTICS &amp; MRD</vt:lpstr>
      <vt:lpstr>THERAPY SELECTION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Simon Barnett</cp:lastModifiedBy>
  <cp:revision/>
  <dcterms:created xsi:type="dcterms:W3CDTF">2022-03-21T14:10:22Z</dcterms:created>
  <dcterms:modified xsi:type="dcterms:W3CDTF">2023-01-05T01:11:07Z</dcterms:modified>
  <cp:category/>
  <cp:contentStatus/>
</cp:coreProperties>
</file>