
<file path=[Content_Types].xml><?xml version="1.0" encoding="utf-8"?>
<Types xmlns="http://schemas.openxmlformats.org/package/2006/content-types">
  <Default Extension="bin" ContentType="application/vnd.openxmlformats-officedocument.spreadsheetml.printerSetting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https://arkinvestmentmanagement-my.sharepoint.com/personal/akim_ark-invest_com/Documents/0 Research/1 Consumer/OTT/ROKU/Models/"/>
    </mc:Choice>
  </mc:AlternateContent>
  <xr:revisionPtr revIDLastSave="9468" documentId="8_{7AEDF38D-BB1B-4B48-835A-A8BC756AF2F8}" xr6:coauthVersionLast="47" xr6:coauthVersionMax="47" xr10:uidLastSave="{1CC08957-A016-4773-BEA7-31F1E28E675D}"/>
  <bookViews>
    <workbookView xWindow="31590" yWindow="2070" windowWidth="17280" windowHeight="12480" xr2:uid="{FA744F24-64EB-4D79-9265-E938663016AD}"/>
  </bookViews>
  <sheets>
    <sheet name="ARK Disclosure" sheetId="27" r:id="rId1"/>
    <sheet name="Table of Contents" sheetId="25" r:id="rId2"/>
    <sheet name="Roku Valuation" sheetId="20" r:id="rId3"/>
    <sheet name="Financials + KPIs" sheetId="12" r:id="rId4"/>
    <sheet name="TAM" sheetId="18" r:id="rId5"/>
    <sheet name="Content Spend" sheetId="23" r:id="rId6"/>
  </sheets>
  <externalReferences>
    <externalReference r:id="rId7"/>
  </externalReferences>
  <definedNames>
    <definedName name="CIQWBGuid" hidden="1">"9d83be09-8a3d-4f00-ae41-38e3a0e77611"</definedName>
    <definedName name="CIQWBInfo" hidden="1">"{ ""CIQVersion"":""9.45.614.5792"" }"</definedName>
    <definedName name="firstm" localSheetId="0">#REF!</definedName>
    <definedName name="firstm">#REF!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44168.252025463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enetration">OFFSET([1]S_Curve!$B$11,0,0,COUNTA([1]S_Curve!$B$11:$B$110),1)</definedName>
    <definedName name="Saturation">OFFSET([1]S_Curve!$C$11,0,0,COUNTA([1]S_Curve!$C$11:$C$110),1)</definedName>
    <definedName name="solver_adj" localSheetId="2" hidden="1">'Roku Valuation'!$O$91</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'Roku Valuation'!$O$7</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1523.283</definedName>
    <definedName name="solver_ver" localSheetId="2" hidden="1">3</definedName>
    <definedName name="Year">OFFSET([1]S_Curve!$A$11,0,0,COUNTA([1]S_Curve!$A$11:$A$110),1)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23" l="1"/>
  <c r="I9" i="23"/>
  <c r="J9" i="23"/>
  <c r="J10" i="23" s="1"/>
  <c r="K9" i="23"/>
  <c r="L9" i="23"/>
  <c r="M9" i="23"/>
  <c r="N9" i="23"/>
  <c r="O9" i="23"/>
  <c r="O10" i="23" s="1"/>
  <c r="I10" i="23"/>
  <c r="K10" i="23"/>
  <c r="L10" i="23"/>
  <c r="M10" i="23"/>
  <c r="K14" i="23"/>
  <c r="K15" i="23" s="1"/>
  <c r="L14" i="23"/>
  <c r="L15" i="23" s="1"/>
  <c r="M14" i="23"/>
  <c r="N14" i="23"/>
  <c r="O14" i="23"/>
  <c r="M15" i="23"/>
  <c r="N15" i="23"/>
  <c r="K16" i="23"/>
  <c r="L16" i="23"/>
  <c r="M16" i="23"/>
  <c r="N16" i="23"/>
  <c r="O16" i="23"/>
  <c r="K17" i="23"/>
  <c r="L17" i="23"/>
  <c r="M17" i="23"/>
  <c r="K18" i="23"/>
  <c r="L18" i="23"/>
  <c r="M18" i="23"/>
  <c r="N18" i="23"/>
  <c r="O18" i="23"/>
  <c r="J3" i="18"/>
  <c r="K3" i="18" s="1"/>
  <c r="L3" i="18" s="1"/>
  <c r="M3" i="18" s="1"/>
  <c r="N3" i="18" s="1"/>
  <c r="O3" i="18" s="1"/>
  <c r="P3" i="18"/>
  <c r="Q3" i="18" s="1"/>
  <c r="R3" i="18" s="1"/>
  <c r="S3" i="18" s="1"/>
  <c r="T3" i="18" s="1"/>
  <c r="U10" i="18"/>
  <c r="U11" i="18"/>
  <c r="I12" i="18"/>
  <c r="J12" i="18"/>
  <c r="K12" i="18"/>
  <c r="L12" i="18"/>
  <c r="M12" i="18"/>
  <c r="N12" i="18"/>
  <c r="O12" i="18"/>
  <c r="P12" i="18"/>
  <c r="Q12" i="18"/>
  <c r="R12" i="18"/>
  <c r="S12" i="18"/>
  <c r="T12" i="18"/>
  <c r="I13" i="18"/>
  <c r="J13" i="18"/>
  <c r="K13" i="18"/>
  <c r="K26" i="18" s="1"/>
  <c r="L13" i="18"/>
  <c r="M13" i="18"/>
  <c r="N13" i="18"/>
  <c r="N26" i="18" s="1"/>
  <c r="N27" i="18" s="1"/>
  <c r="O13" i="18"/>
  <c r="P13" i="18"/>
  <c r="Q13" i="18"/>
  <c r="R13" i="18"/>
  <c r="S13" i="18"/>
  <c r="T13" i="18"/>
  <c r="U13" i="18" s="1"/>
  <c r="O16" i="18"/>
  <c r="P16" i="18" s="1"/>
  <c r="Q16" i="18" s="1"/>
  <c r="R16" i="18" s="1"/>
  <c r="S16" i="18" s="1"/>
  <c r="T16" i="18" s="1"/>
  <c r="O15" i="18"/>
  <c r="P18" i="18"/>
  <c r="J18" i="18"/>
  <c r="K18" i="18"/>
  <c r="L18" i="18"/>
  <c r="M18" i="18"/>
  <c r="N18" i="18"/>
  <c r="O18" i="18"/>
  <c r="I19" i="18"/>
  <c r="J19" i="18"/>
  <c r="K19" i="18"/>
  <c r="L19" i="18"/>
  <c r="M19" i="18"/>
  <c r="M26" i="18" s="1"/>
  <c r="M27" i="18" s="1"/>
  <c r="N19" i="18"/>
  <c r="I22" i="18"/>
  <c r="J22" i="18"/>
  <c r="J23" i="18" s="1"/>
  <c r="K22" i="18"/>
  <c r="K23" i="18" s="1"/>
  <c r="L22" i="18"/>
  <c r="M22" i="18"/>
  <c r="N22" i="18"/>
  <c r="M23" i="18"/>
  <c r="N23" i="18"/>
  <c r="I24" i="18"/>
  <c r="J24" i="18"/>
  <c r="J25" i="18" s="1"/>
  <c r="K24" i="18"/>
  <c r="K25" i="18" s="1"/>
  <c r="L24" i="18"/>
  <c r="M24" i="18"/>
  <c r="N24" i="18"/>
  <c r="O25" i="18" s="1"/>
  <c r="O24" i="18"/>
  <c r="M25" i="18"/>
  <c r="N25" i="18"/>
  <c r="I26" i="18"/>
  <c r="J26" i="18"/>
  <c r="J27" i="18" s="1"/>
  <c r="L26" i="18"/>
  <c r="I31" i="18"/>
  <c r="I33" i="18" s="1"/>
  <c r="I35" i="18" s="1"/>
  <c r="J31" i="18"/>
  <c r="K31" i="18"/>
  <c r="L31" i="18"/>
  <c r="M31" i="18"/>
  <c r="N31" i="18"/>
  <c r="J32" i="18"/>
  <c r="J62" i="18" s="1"/>
  <c r="K32" i="18"/>
  <c r="L32" i="18" s="1"/>
  <c r="J33" i="18"/>
  <c r="J35" i="18" s="1"/>
  <c r="J36" i="18" s="1"/>
  <c r="O61" i="18"/>
  <c r="P36" i="18"/>
  <c r="Q36" i="18" s="1"/>
  <c r="R36" i="18" s="1"/>
  <c r="S36" i="18" s="1"/>
  <c r="T36" i="18" s="1"/>
  <c r="I38" i="18"/>
  <c r="J38" i="18"/>
  <c r="J39" i="18" s="1"/>
  <c r="K38" i="18"/>
  <c r="L38" i="18"/>
  <c r="M38" i="18"/>
  <c r="N38" i="18"/>
  <c r="N39" i="18" s="1"/>
  <c r="O38" i="18"/>
  <c r="O39" i="18" s="1"/>
  <c r="I39" i="18"/>
  <c r="K39" i="18"/>
  <c r="L39" i="18"/>
  <c r="M39" i="18"/>
  <c r="O42" i="18"/>
  <c r="P43" i="18" s="1"/>
  <c r="Q43" i="18" s="1"/>
  <c r="R43" i="18" s="1"/>
  <c r="S43" i="18" s="1"/>
  <c r="I42" i="18"/>
  <c r="J42" i="18"/>
  <c r="J43" i="18" s="1"/>
  <c r="K42" i="18"/>
  <c r="L42" i="18"/>
  <c r="M42" i="18"/>
  <c r="N42" i="18"/>
  <c r="K43" i="18"/>
  <c r="L43" i="18"/>
  <c r="O43" i="18"/>
  <c r="T43" i="18"/>
  <c r="O45" i="18"/>
  <c r="P45" i="18"/>
  <c r="Q45" i="18"/>
  <c r="I45" i="18"/>
  <c r="J45" i="18"/>
  <c r="K45" i="18"/>
  <c r="L45" i="18"/>
  <c r="M45" i="18"/>
  <c r="N45" i="18"/>
  <c r="J46" i="18"/>
  <c r="K46" i="18"/>
  <c r="N46" i="18"/>
  <c r="O46" i="18"/>
  <c r="P48" i="18"/>
  <c r="Q48" i="18" s="1"/>
  <c r="Q52" i="18" s="1"/>
  <c r="J49" i="18"/>
  <c r="K49" i="18"/>
  <c r="L49" i="18"/>
  <c r="M49" i="18"/>
  <c r="N49" i="18"/>
  <c r="O49" i="18"/>
  <c r="P50" i="18"/>
  <c r="Q50" i="18" s="1"/>
  <c r="R50" i="18" s="1"/>
  <c r="S50" i="18" s="1"/>
  <c r="T50" i="18" s="1"/>
  <c r="U50" i="18" s="1"/>
  <c r="J51" i="18"/>
  <c r="K51" i="18"/>
  <c r="L51" i="18"/>
  <c r="M51" i="18"/>
  <c r="N51" i="18"/>
  <c r="O51" i="18"/>
  <c r="I52" i="18"/>
  <c r="J52" i="18"/>
  <c r="K52" i="18"/>
  <c r="L52" i="18"/>
  <c r="M52" i="18"/>
  <c r="N52" i="18"/>
  <c r="O52" i="18"/>
  <c r="P52" i="18"/>
  <c r="L54" i="18"/>
  <c r="M54" i="18"/>
  <c r="M55" i="18" s="1"/>
  <c r="N54" i="18"/>
  <c r="O54" i="18"/>
  <c r="P54" i="18"/>
  <c r="Q54" i="18"/>
  <c r="R54" i="18" s="1"/>
  <c r="S54" i="18" s="1"/>
  <c r="T54" i="18" s="1"/>
  <c r="U54" i="18" s="1"/>
  <c r="I57" i="18"/>
  <c r="J57" i="18"/>
  <c r="K57" i="18"/>
  <c r="I61" i="18"/>
  <c r="J61" i="18"/>
  <c r="K61" i="18"/>
  <c r="L61" i="18"/>
  <c r="M61" i="18"/>
  <c r="N61" i="18"/>
  <c r="I62" i="18"/>
  <c r="K62" i="18"/>
  <c r="K68" i="18" s="1"/>
  <c r="L62" i="18"/>
  <c r="L68" i="18" s="1"/>
  <c r="U63" i="18"/>
  <c r="I64" i="18"/>
  <c r="J64" i="18"/>
  <c r="K64" i="18"/>
  <c r="L64" i="18"/>
  <c r="M64" i="18"/>
  <c r="N64" i="18"/>
  <c r="O66" i="18"/>
  <c r="T65" i="18"/>
  <c r="U65" i="18" s="1"/>
  <c r="I66" i="18"/>
  <c r="J66" i="18"/>
  <c r="K66" i="18"/>
  <c r="L66" i="18"/>
  <c r="M66" i="18"/>
  <c r="M67" i="18" s="1"/>
  <c r="N66" i="18"/>
  <c r="L67" i="18"/>
  <c r="I68" i="18"/>
  <c r="J68" i="18"/>
  <c r="J72" i="18"/>
  <c r="K72" i="18" s="1"/>
  <c r="L72" i="18" s="1"/>
  <c r="M72" i="18" s="1"/>
  <c r="N72" i="18" s="1"/>
  <c r="O72" i="18" s="1"/>
  <c r="P72" i="18" s="1"/>
  <c r="I76" i="18"/>
  <c r="J76" i="18"/>
  <c r="K76" i="18"/>
  <c r="L76" i="18"/>
  <c r="M76" i="18"/>
  <c r="N76" i="18"/>
  <c r="O76" i="18"/>
  <c r="O96" i="18" s="1"/>
  <c r="I77" i="18"/>
  <c r="J77" i="18"/>
  <c r="J78" i="18" s="1"/>
  <c r="L77" i="18"/>
  <c r="M77" i="18"/>
  <c r="J83" i="18"/>
  <c r="J82" i="18" s="1"/>
  <c r="K83" i="18"/>
  <c r="O80" i="18"/>
  <c r="O81" i="18" s="1"/>
  <c r="T81" i="18"/>
  <c r="T80" i="18"/>
  <c r="I80" i="18"/>
  <c r="L80" i="18"/>
  <c r="L81" i="18" s="1"/>
  <c r="M80" i="18"/>
  <c r="M81" i="18" s="1"/>
  <c r="N80" i="18"/>
  <c r="N81" i="18" s="1"/>
  <c r="I81" i="18"/>
  <c r="I84" i="18" s="1"/>
  <c r="N88" i="18"/>
  <c r="O91" i="18"/>
  <c r="P92" i="18"/>
  <c r="Q92" i="18"/>
  <c r="R92" i="18" s="1"/>
  <c r="S92" i="18" s="1"/>
  <c r="T92" i="18" s="1"/>
  <c r="I91" i="18"/>
  <c r="J91" i="18"/>
  <c r="J92" i="18" s="1"/>
  <c r="K91" i="18"/>
  <c r="L92" i="18" s="1"/>
  <c r="L91" i="18"/>
  <c r="M91" i="18"/>
  <c r="N91" i="18"/>
  <c r="N92" i="18" s="1"/>
  <c r="M92" i="18"/>
  <c r="O93" i="18"/>
  <c r="U94" i="18"/>
  <c r="P97" i="18"/>
  <c r="Q97" i="18" s="1"/>
  <c r="R97" i="18" s="1"/>
  <c r="S97" i="18" s="1"/>
  <c r="T97" i="18" s="1"/>
  <c r="I96" i="18"/>
  <c r="L96" i="18"/>
  <c r="M96" i="18"/>
  <c r="N98" i="18"/>
  <c r="I3" i="12"/>
  <c r="J3" i="12"/>
  <c r="K3" i="12" s="1"/>
  <c r="L3" i="12" s="1"/>
  <c r="N3" i="12"/>
  <c r="O3" i="12" s="1"/>
  <c r="P3" i="12" s="1"/>
  <c r="Q3" i="12"/>
  <c r="S3" i="12"/>
  <c r="T3" i="12" s="1"/>
  <c r="U3" i="12" s="1"/>
  <c r="V3" i="12" s="1"/>
  <c r="X3" i="12"/>
  <c r="Y3" i="12" s="1"/>
  <c r="Z3" i="12" s="1"/>
  <c r="AA3" i="12" s="1"/>
  <c r="AC3" i="12"/>
  <c r="AD3" i="12"/>
  <c r="AE3" i="12" s="1"/>
  <c r="AF3" i="12"/>
  <c r="AH3" i="12"/>
  <c r="AI3" i="12" s="1"/>
  <c r="AJ3" i="12" s="1"/>
  <c r="AK3" i="12" s="1"/>
  <c r="AM3" i="12"/>
  <c r="AN3" i="12"/>
  <c r="AO3" i="12" s="1"/>
  <c r="AP3" i="12"/>
  <c r="L5" i="12"/>
  <c r="Q5" i="12"/>
  <c r="V5" i="12"/>
  <c r="AA5" i="12"/>
  <c r="AF5" i="12"/>
  <c r="AK5" i="12"/>
  <c r="AP5" i="12"/>
  <c r="H12" i="12"/>
  <c r="I12" i="12"/>
  <c r="J14" i="12" s="1"/>
  <c r="J12" i="12"/>
  <c r="K12" i="12"/>
  <c r="M12" i="12"/>
  <c r="N12" i="12"/>
  <c r="N18" i="12" s="1"/>
  <c r="O12" i="12"/>
  <c r="P12" i="12"/>
  <c r="R12" i="12"/>
  <c r="S12" i="12"/>
  <c r="T12" i="12"/>
  <c r="U12" i="12"/>
  <c r="V12" i="12"/>
  <c r="W12" i="12"/>
  <c r="X12" i="12"/>
  <c r="Y12" i="12"/>
  <c r="Z12" i="12"/>
  <c r="AB12" i="12"/>
  <c r="AB13" i="12" s="1"/>
  <c r="AC12" i="12"/>
  <c r="AD12" i="12"/>
  <c r="AE12" i="12"/>
  <c r="AF12" i="12"/>
  <c r="AG12" i="12"/>
  <c r="AH12" i="12"/>
  <c r="AI12" i="12"/>
  <c r="AJ12" i="12"/>
  <c r="AL12" i="12"/>
  <c r="AM12" i="12"/>
  <c r="AN12" i="12"/>
  <c r="AO12" i="12"/>
  <c r="O13" i="12"/>
  <c r="R13" i="12"/>
  <c r="W13" i="12"/>
  <c r="X13" i="12"/>
  <c r="AD13" i="12"/>
  <c r="AE13" i="12"/>
  <c r="AH13" i="12"/>
  <c r="AI13" i="12"/>
  <c r="AL13" i="12"/>
  <c r="AM13" i="12"/>
  <c r="K14" i="12"/>
  <c r="M14" i="12"/>
  <c r="N14" i="12"/>
  <c r="O14" i="12"/>
  <c r="S14" i="12"/>
  <c r="W14" i="12"/>
  <c r="AB14" i="12"/>
  <c r="AC14" i="12"/>
  <c r="AG14" i="12"/>
  <c r="AI14" i="12"/>
  <c r="AL14" i="12"/>
  <c r="AM14" i="12"/>
  <c r="L15" i="12"/>
  <c r="Q15" i="12"/>
  <c r="Q16" i="12" s="1"/>
  <c r="V15" i="12"/>
  <c r="AA15" i="12"/>
  <c r="AF15" i="12"/>
  <c r="AK15" i="12"/>
  <c r="AK16" i="12" s="1"/>
  <c r="AP15" i="12"/>
  <c r="M16" i="12"/>
  <c r="N16" i="12"/>
  <c r="O16" i="12"/>
  <c r="P16" i="12"/>
  <c r="R16" i="12"/>
  <c r="S16" i="12"/>
  <c r="T16" i="12"/>
  <c r="U16" i="12"/>
  <c r="W16" i="12"/>
  <c r="X16" i="12"/>
  <c r="Y16" i="12"/>
  <c r="Z16" i="12"/>
  <c r="AB16" i="12"/>
  <c r="AC16" i="12"/>
  <c r="AD16" i="12"/>
  <c r="AE16" i="12"/>
  <c r="AF16" i="12"/>
  <c r="AG16" i="12"/>
  <c r="AH16" i="12"/>
  <c r="AI16" i="12"/>
  <c r="AJ16" i="12"/>
  <c r="AL16" i="12"/>
  <c r="AM16" i="12"/>
  <c r="AN16" i="12"/>
  <c r="AO16" i="12"/>
  <c r="AP16" i="12"/>
  <c r="I17" i="12"/>
  <c r="J17" i="12"/>
  <c r="K17" i="12"/>
  <c r="M17" i="12"/>
  <c r="N17" i="12"/>
  <c r="O17" i="12"/>
  <c r="P17" i="12"/>
  <c r="R17" i="12"/>
  <c r="S17" i="12"/>
  <c r="T17" i="12"/>
  <c r="U17" i="12"/>
  <c r="W17" i="12"/>
  <c r="X17" i="12"/>
  <c r="Y17" i="12"/>
  <c r="Z17" i="12"/>
  <c r="AB17" i="12"/>
  <c r="AC17" i="12"/>
  <c r="AD17" i="12"/>
  <c r="AE17" i="12"/>
  <c r="AG17" i="12"/>
  <c r="AH17" i="12"/>
  <c r="AI17" i="12"/>
  <c r="AJ17" i="12"/>
  <c r="AL17" i="12"/>
  <c r="AM17" i="12"/>
  <c r="AN17" i="12"/>
  <c r="AO17" i="12"/>
  <c r="I18" i="12"/>
  <c r="J18" i="12"/>
  <c r="K18" i="12"/>
  <c r="M18" i="12"/>
  <c r="O18" i="12"/>
  <c r="R18" i="12"/>
  <c r="S18" i="12"/>
  <c r="T18" i="12"/>
  <c r="U18" i="12"/>
  <c r="W18" i="12"/>
  <c r="Y18" i="12"/>
  <c r="Z18" i="12"/>
  <c r="AB18" i="12"/>
  <c r="AC18" i="12"/>
  <c r="AE18" i="12"/>
  <c r="AF18" i="12"/>
  <c r="AG18" i="12"/>
  <c r="AH18" i="12"/>
  <c r="AI18" i="12"/>
  <c r="AJ18" i="12"/>
  <c r="AM18" i="12"/>
  <c r="AO18" i="12"/>
  <c r="L19" i="12"/>
  <c r="Q19" i="12"/>
  <c r="Q20" i="12" s="1"/>
  <c r="V19" i="12"/>
  <c r="AA20" i="12" s="1"/>
  <c r="AA19" i="12"/>
  <c r="AF19" i="12"/>
  <c r="AK19" i="12"/>
  <c r="AP19" i="12"/>
  <c r="M20" i="12"/>
  <c r="N20" i="12"/>
  <c r="O20" i="12"/>
  <c r="P20" i="12"/>
  <c r="R20" i="12"/>
  <c r="S20" i="12"/>
  <c r="T20" i="12"/>
  <c r="U20" i="12"/>
  <c r="V20" i="12"/>
  <c r="W20" i="12"/>
  <c r="X20" i="12"/>
  <c r="Y20" i="12"/>
  <c r="Z20" i="12"/>
  <c r="AB20" i="12"/>
  <c r="AC20" i="12"/>
  <c r="AD20" i="12"/>
  <c r="AE20" i="12"/>
  <c r="AF20" i="12"/>
  <c r="AG20" i="12"/>
  <c r="AH20" i="12"/>
  <c r="AI20" i="12"/>
  <c r="AJ20" i="12"/>
  <c r="AK20" i="12"/>
  <c r="AL20" i="12"/>
  <c r="AM20" i="12"/>
  <c r="AN20" i="12"/>
  <c r="AO20" i="12"/>
  <c r="I21" i="12"/>
  <c r="J21" i="12"/>
  <c r="K21" i="12"/>
  <c r="M21" i="12"/>
  <c r="N21" i="12"/>
  <c r="O21" i="12"/>
  <c r="P21" i="12"/>
  <c r="R21" i="12"/>
  <c r="S21" i="12"/>
  <c r="T21" i="12"/>
  <c r="U21" i="12"/>
  <c r="W21" i="12"/>
  <c r="X21" i="12"/>
  <c r="Y21" i="12"/>
  <c r="Z21" i="12"/>
  <c r="AB21" i="12"/>
  <c r="AC21" i="12"/>
  <c r="AD21" i="12"/>
  <c r="AE21" i="12"/>
  <c r="AG21" i="12"/>
  <c r="AH21" i="12"/>
  <c r="AI21" i="12"/>
  <c r="AJ21" i="12"/>
  <c r="AL21" i="12"/>
  <c r="AM21" i="12"/>
  <c r="AN21" i="12"/>
  <c r="AO21" i="12"/>
  <c r="I22" i="12"/>
  <c r="J22" i="12"/>
  <c r="K22" i="12"/>
  <c r="M22" i="12"/>
  <c r="O22" i="12"/>
  <c r="P22" i="12"/>
  <c r="R22" i="12"/>
  <c r="S22" i="12"/>
  <c r="T22" i="12"/>
  <c r="U22" i="12"/>
  <c r="W22" i="12"/>
  <c r="X22" i="12"/>
  <c r="Y22" i="12"/>
  <c r="Z22" i="12"/>
  <c r="AB22" i="12"/>
  <c r="AC22" i="12"/>
  <c r="AD22" i="12"/>
  <c r="AE22" i="12"/>
  <c r="AF22" i="12"/>
  <c r="AG22" i="12"/>
  <c r="AH22" i="12"/>
  <c r="AI22" i="12"/>
  <c r="AJ22" i="12"/>
  <c r="AL22" i="12"/>
  <c r="AM22" i="12"/>
  <c r="AO22" i="12"/>
  <c r="H27" i="12"/>
  <c r="H24" i="12"/>
  <c r="I27" i="12"/>
  <c r="I24" i="12" s="1"/>
  <c r="I29" i="12" s="1"/>
  <c r="J27" i="12"/>
  <c r="J24" i="12"/>
  <c r="J29" i="12" s="1"/>
  <c r="J30" i="12" s="1"/>
  <c r="K27" i="12"/>
  <c r="K24" i="12" s="1"/>
  <c r="K29" i="12" s="1"/>
  <c r="M24" i="12"/>
  <c r="N24" i="12"/>
  <c r="N29" i="12" s="1"/>
  <c r="O24" i="12"/>
  <c r="P24" i="12"/>
  <c r="Q24" i="12"/>
  <c r="R24" i="12"/>
  <c r="S24" i="12"/>
  <c r="T24" i="12"/>
  <c r="U24" i="12"/>
  <c r="W24" i="12"/>
  <c r="X24" i="12"/>
  <c r="Y24" i="12"/>
  <c r="Z24" i="12"/>
  <c r="Z29" i="12" s="1"/>
  <c r="AB24" i="12"/>
  <c r="AC24" i="12"/>
  <c r="AD24" i="12"/>
  <c r="AD29" i="12" s="1"/>
  <c r="AE24" i="12"/>
  <c r="AF24" i="12"/>
  <c r="AG24" i="12"/>
  <c r="AH24" i="12"/>
  <c r="AH29" i="12" s="1"/>
  <c r="AH30" i="12" s="1"/>
  <c r="AI24" i="12"/>
  <c r="AJ24" i="12"/>
  <c r="AL24" i="12"/>
  <c r="AL29" i="12" s="1"/>
  <c r="AM24" i="12"/>
  <c r="AN24" i="12"/>
  <c r="AO24" i="12"/>
  <c r="AP24" i="12"/>
  <c r="L25" i="12"/>
  <c r="Q25" i="12"/>
  <c r="V25" i="12"/>
  <c r="AA25" i="12"/>
  <c r="AF25" i="12"/>
  <c r="AK25" i="12"/>
  <c r="AP25" i="12"/>
  <c r="L26" i="12"/>
  <c r="Q26" i="12"/>
  <c r="V26" i="12"/>
  <c r="AA26" i="12"/>
  <c r="AF26" i="12"/>
  <c r="AK26" i="12"/>
  <c r="AP26" i="12"/>
  <c r="A27" i="12"/>
  <c r="L27" i="12"/>
  <c r="Q27" i="12"/>
  <c r="V27" i="12"/>
  <c r="AA27" i="12"/>
  <c r="AF27" i="12"/>
  <c r="AK27" i="12"/>
  <c r="AP27" i="12"/>
  <c r="H29" i="12"/>
  <c r="M29" i="12"/>
  <c r="O29" i="12"/>
  <c r="O30" i="12" s="1"/>
  <c r="P29" i="12"/>
  <c r="Q29" i="12"/>
  <c r="S29" i="12"/>
  <c r="T29" i="12"/>
  <c r="U29" i="12"/>
  <c r="W29" i="12"/>
  <c r="W30" i="12" s="1"/>
  <c r="X29" i="12"/>
  <c r="Y29" i="12"/>
  <c r="AB29" i="12"/>
  <c r="AC29" i="12"/>
  <c r="AE29" i="12"/>
  <c r="AE30" i="12" s="1"/>
  <c r="AF29" i="12"/>
  <c r="AF30" i="12" s="1"/>
  <c r="AG29" i="12"/>
  <c r="AI29" i="12"/>
  <c r="AJ29" i="12"/>
  <c r="AM29" i="12"/>
  <c r="AM30" i="12" s="1"/>
  <c r="AO29" i="12"/>
  <c r="AO30" i="12" s="1"/>
  <c r="M30" i="12"/>
  <c r="N30" i="12"/>
  <c r="S30" i="12"/>
  <c r="T30" i="12"/>
  <c r="U30" i="12"/>
  <c r="AB30" i="12"/>
  <c r="AC30" i="12"/>
  <c r="AD30" i="12"/>
  <c r="AI30" i="12"/>
  <c r="AJ30" i="12"/>
  <c r="AL30" i="12"/>
  <c r="H31" i="12"/>
  <c r="L31" i="12" s="1"/>
  <c r="L32" i="12" s="1"/>
  <c r="I31" i="12"/>
  <c r="I32" i="12" s="1"/>
  <c r="J31" i="12"/>
  <c r="J32" i="12" s="1"/>
  <c r="K31" i="12"/>
  <c r="K32" i="12" s="1"/>
  <c r="M31" i="12"/>
  <c r="N31" i="12"/>
  <c r="O31" i="12"/>
  <c r="P31" i="12"/>
  <c r="Q31" i="12"/>
  <c r="Q32" i="12" s="1"/>
  <c r="R31" i="12"/>
  <c r="S31" i="12"/>
  <c r="S32" i="12" s="1"/>
  <c r="T31" i="12"/>
  <c r="U31" i="12"/>
  <c r="W31" i="12"/>
  <c r="X31" i="12"/>
  <c r="Y31" i="12"/>
  <c r="Y32" i="12" s="1"/>
  <c r="Z31" i="12"/>
  <c r="AB31" i="12"/>
  <c r="AC31" i="12"/>
  <c r="AD31" i="12"/>
  <c r="AF31" i="12" s="1"/>
  <c r="AE31" i="12"/>
  <c r="AG31" i="12"/>
  <c r="AG32" i="12" s="1"/>
  <c r="AH31" i="12"/>
  <c r="AH32" i="12" s="1"/>
  <c r="AI31" i="12"/>
  <c r="AI32" i="12" s="1"/>
  <c r="AJ31" i="12"/>
  <c r="AL31" i="12"/>
  <c r="AM31" i="12"/>
  <c r="AN31" i="12"/>
  <c r="AO31" i="12"/>
  <c r="AO32" i="12" s="1"/>
  <c r="AP31" i="12"/>
  <c r="AP32" i="12" s="1"/>
  <c r="H32" i="12"/>
  <c r="M32" i="12"/>
  <c r="N32" i="12"/>
  <c r="O32" i="12"/>
  <c r="P32" i="12"/>
  <c r="T32" i="12"/>
  <c r="U32" i="12"/>
  <c r="W32" i="12"/>
  <c r="X32" i="12"/>
  <c r="AB32" i="12"/>
  <c r="AC32" i="12"/>
  <c r="AD32" i="12"/>
  <c r="AE32" i="12"/>
  <c r="AF32" i="12"/>
  <c r="AJ32" i="12"/>
  <c r="AL32" i="12"/>
  <c r="AM32" i="12"/>
  <c r="AN32" i="12"/>
  <c r="H33" i="12"/>
  <c r="I33" i="12"/>
  <c r="J33" i="12"/>
  <c r="K33" i="12"/>
  <c r="K34" i="12" s="1"/>
  <c r="L33" i="12"/>
  <c r="L34" i="12" s="1"/>
  <c r="M33" i="12"/>
  <c r="N33" i="12"/>
  <c r="O33" i="12"/>
  <c r="P33" i="12"/>
  <c r="R33" i="12"/>
  <c r="S33" i="12"/>
  <c r="S34" i="12" s="1"/>
  <c r="T33" i="12"/>
  <c r="T34" i="12" s="1"/>
  <c r="U33" i="12"/>
  <c r="U34" i="12" s="1"/>
  <c r="W33" i="12"/>
  <c r="X33" i="12"/>
  <c r="Y33" i="12"/>
  <c r="Z33" i="12"/>
  <c r="AA33" i="12"/>
  <c r="AA34" i="12" s="1"/>
  <c r="AB33" i="12"/>
  <c r="AC33" i="12"/>
  <c r="AC34" i="12" s="1"/>
  <c r="AD33" i="12"/>
  <c r="AE33" i="12"/>
  <c r="AG33" i="12"/>
  <c r="AH33" i="12"/>
  <c r="AI33" i="12"/>
  <c r="AI34" i="12" s="1"/>
  <c r="AJ33" i="12"/>
  <c r="AJ34" i="12" s="1"/>
  <c r="AL33" i="12"/>
  <c r="AM33" i="12"/>
  <c r="AN33" i="12"/>
  <c r="AP33" i="12" s="1"/>
  <c r="AP34" i="12" s="1"/>
  <c r="AO33" i="12"/>
  <c r="H34" i="12"/>
  <c r="I34" i="12"/>
  <c r="J34" i="12"/>
  <c r="N34" i="12"/>
  <c r="O34" i="12"/>
  <c r="P34" i="12"/>
  <c r="R34" i="12"/>
  <c r="W34" i="12"/>
  <c r="X34" i="12"/>
  <c r="Y34" i="12"/>
  <c r="Z34" i="12"/>
  <c r="AD34" i="12"/>
  <c r="AE34" i="12"/>
  <c r="AG34" i="12"/>
  <c r="AH34" i="12"/>
  <c r="AL34" i="12"/>
  <c r="AM34" i="12"/>
  <c r="AN34" i="12"/>
  <c r="AO34" i="12"/>
  <c r="H36" i="12"/>
  <c r="I36" i="12"/>
  <c r="J36" i="12"/>
  <c r="L36" i="12" s="1"/>
  <c r="K36" i="12"/>
  <c r="M36" i="12"/>
  <c r="N36" i="12"/>
  <c r="O36" i="12"/>
  <c r="O47" i="12" s="1"/>
  <c r="P36" i="12"/>
  <c r="R36" i="12"/>
  <c r="S36" i="12"/>
  <c r="T36" i="12"/>
  <c r="U36" i="12"/>
  <c r="V36" i="12"/>
  <c r="W36" i="12"/>
  <c r="X36" i="12"/>
  <c r="Y36" i="12"/>
  <c r="Z36" i="12"/>
  <c r="AB36" i="12"/>
  <c r="AC36" i="12"/>
  <c r="AD36" i="12"/>
  <c r="AD47" i="12" s="1"/>
  <c r="AE36" i="12"/>
  <c r="AE47" i="12" s="1"/>
  <c r="AG36" i="12"/>
  <c r="AH36" i="12"/>
  <c r="AI36" i="12"/>
  <c r="AJ36" i="12"/>
  <c r="AK36" i="12"/>
  <c r="AL36" i="12"/>
  <c r="AM36" i="12"/>
  <c r="AM47" i="12" s="1"/>
  <c r="AM56" i="12" s="1"/>
  <c r="AN36" i="12"/>
  <c r="AO36" i="12"/>
  <c r="L37" i="12"/>
  <c r="Q37" i="12"/>
  <c r="V37" i="12"/>
  <c r="V38" i="12" s="1"/>
  <c r="AA37" i="12"/>
  <c r="AF37" i="12"/>
  <c r="AF38" i="12" s="1"/>
  <c r="AK37" i="12"/>
  <c r="AP37" i="12"/>
  <c r="I38" i="12"/>
  <c r="J38" i="12"/>
  <c r="K38" i="12"/>
  <c r="M38" i="12"/>
  <c r="N38" i="12"/>
  <c r="O38" i="12"/>
  <c r="R38" i="12"/>
  <c r="S38" i="12"/>
  <c r="T38" i="12"/>
  <c r="U38" i="12"/>
  <c r="W38" i="12"/>
  <c r="Y38" i="12"/>
  <c r="Z38" i="12"/>
  <c r="AB38" i="12"/>
  <c r="AC38" i="12"/>
  <c r="AD38" i="12"/>
  <c r="AE38" i="12"/>
  <c r="AH38" i="12"/>
  <c r="AI38" i="12"/>
  <c r="AJ38" i="12"/>
  <c r="AL38" i="12"/>
  <c r="AM38" i="12"/>
  <c r="A39" i="12"/>
  <c r="L39" i="12"/>
  <c r="Q39" i="12"/>
  <c r="V39" i="12"/>
  <c r="AA39" i="12"/>
  <c r="AF39" i="12"/>
  <c r="AK39" i="12"/>
  <c r="AP39" i="12"/>
  <c r="L40" i="12"/>
  <c r="Q40" i="12"/>
  <c r="V40" i="12"/>
  <c r="V41" i="12" s="1"/>
  <c r="AA40" i="12"/>
  <c r="AF40" i="12"/>
  <c r="AK40" i="12"/>
  <c r="AP40" i="12"/>
  <c r="I41" i="12"/>
  <c r="J41" i="12"/>
  <c r="K41" i="12"/>
  <c r="M41" i="12"/>
  <c r="N41" i="12"/>
  <c r="O41" i="12"/>
  <c r="R41" i="12"/>
  <c r="S41" i="12"/>
  <c r="T41" i="12"/>
  <c r="U41" i="12"/>
  <c r="W41" i="12"/>
  <c r="Y41" i="12"/>
  <c r="Z41" i="12"/>
  <c r="AB41" i="12"/>
  <c r="AC41" i="12"/>
  <c r="AD41" i="12"/>
  <c r="AE41" i="12"/>
  <c r="AG41" i="12"/>
  <c r="AH41" i="12"/>
  <c r="AI41" i="12"/>
  <c r="AJ41" i="12"/>
  <c r="AL41" i="12"/>
  <c r="AM41" i="12"/>
  <c r="AO41" i="12"/>
  <c r="A42" i="12"/>
  <c r="L42" i="12"/>
  <c r="Q42" i="12"/>
  <c r="V42" i="12"/>
  <c r="AA42" i="12"/>
  <c r="AF42" i="12"/>
  <c r="AK42" i="12"/>
  <c r="AP42" i="12"/>
  <c r="L43" i="12"/>
  <c r="Q43" i="12"/>
  <c r="V43" i="12"/>
  <c r="AA43" i="12"/>
  <c r="AF43" i="12"/>
  <c r="AK43" i="12"/>
  <c r="AP43" i="12"/>
  <c r="H44" i="12"/>
  <c r="I44" i="12"/>
  <c r="J44" i="12"/>
  <c r="K44" i="12"/>
  <c r="M44" i="12"/>
  <c r="N44" i="12"/>
  <c r="O44" i="12"/>
  <c r="P44" i="12"/>
  <c r="R44" i="12"/>
  <c r="S44" i="12"/>
  <c r="T44" i="12"/>
  <c r="U44" i="12"/>
  <c r="V44" i="12"/>
  <c r="W44" i="12"/>
  <c r="X44" i="12"/>
  <c r="Y44" i="12"/>
  <c r="Z44" i="12"/>
  <c r="AB44" i="12"/>
  <c r="AC44" i="12"/>
  <c r="AD44" i="12"/>
  <c r="AE44" i="12"/>
  <c r="AF44" i="12"/>
  <c r="AG44" i="12"/>
  <c r="AH44" i="12"/>
  <c r="AI44" i="12"/>
  <c r="AJ44" i="12"/>
  <c r="AL44" i="12"/>
  <c r="AM44" i="12"/>
  <c r="AO44" i="12"/>
  <c r="A45" i="12"/>
  <c r="L45" i="12"/>
  <c r="Q45" i="12"/>
  <c r="V45" i="12"/>
  <c r="AA45" i="12"/>
  <c r="AF45" i="12"/>
  <c r="AK45" i="12"/>
  <c r="AP45" i="12"/>
  <c r="J47" i="12"/>
  <c r="J50" i="12" s="1"/>
  <c r="M47" i="12"/>
  <c r="N47" i="12"/>
  <c r="S47" i="12"/>
  <c r="T47" i="12"/>
  <c r="T48" i="12" s="1"/>
  <c r="U47" i="12"/>
  <c r="AB47" i="12"/>
  <c r="AC47" i="12"/>
  <c r="AG47" i="12"/>
  <c r="AG50" i="12" s="1"/>
  <c r="AH47" i="12"/>
  <c r="AI47" i="12"/>
  <c r="AJ47" i="12"/>
  <c r="AJ48" i="12" s="1"/>
  <c r="AK47" i="12"/>
  <c r="AO47" i="12"/>
  <c r="AO50" i="12" s="1"/>
  <c r="AO52" i="12" s="1"/>
  <c r="J48" i="12"/>
  <c r="O48" i="12"/>
  <c r="S48" i="12"/>
  <c r="AE48" i="12"/>
  <c r="AH48" i="12"/>
  <c r="AI48" i="12"/>
  <c r="AO48" i="12"/>
  <c r="O50" i="12"/>
  <c r="O52" i="12" s="1"/>
  <c r="S50" i="12"/>
  <c r="T50" i="12"/>
  <c r="T52" i="12" s="1"/>
  <c r="AB50" i="12"/>
  <c r="AE50" i="12"/>
  <c r="AH50" i="12"/>
  <c r="AI50" i="12"/>
  <c r="AI52" i="12" s="1"/>
  <c r="AM50" i="12"/>
  <c r="AM52" i="12" s="1"/>
  <c r="A51" i="12"/>
  <c r="L51" i="12"/>
  <c r="Q51" i="12"/>
  <c r="V51" i="12"/>
  <c r="AA51" i="12"/>
  <c r="AF51" i="12"/>
  <c r="AK51" i="12"/>
  <c r="AP51" i="12"/>
  <c r="J52" i="12"/>
  <c r="S52" i="12"/>
  <c r="AE52" i="12"/>
  <c r="AH52" i="12"/>
  <c r="L54" i="12"/>
  <c r="Q54" i="12"/>
  <c r="V54" i="12"/>
  <c r="AA54" i="12"/>
  <c r="AF54" i="12"/>
  <c r="AK54" i="12"/>
  <c r="AP54" i="12"/>
  <c r="L55" i="12"/>
  <c r="Q55" i="12"/>
  <c r="V55" i="12"/>
  <c r="AA55" i="12"/>
  <c r="AF55" i="12"/>
  <c r="AK55" i="12"/>
  <c r="AK56" i="12" s="1"/>
  <c r="AP55" i="12"/>
  <c r="J56" i="12"/>
  <c r="O56" i="12"/>
  <c r="O58" i="12" s="1"/>
  <c r="S56" i="12"/>
  <c r="T56" i="12"/>
  <c r="U56" i="12"/>
  <c r="U58" i="12" s="1"/>
  <c r="U60" i="12" s="1"/>
  <c r="U61" i="12" s="1"/>
  <c r="AB56" i="12"/>
  <c r="AC56" i="12"/>
  <c r="AE56" i="12"/>
  <c r="AE58" i="12" s="1"/>
  <c r="AG56" i="12"/>
  <c r="AG58" i="12" s="1"/>
  <c r="AH56" i="12"/>
  <c r="AI56" i="12"/>
  <c r="AO56" i="12"/>
  <c r="AO58" i="12" s="1"/>
  <c r="AO60" i="12" s="1"/>
  <c r="AO61" i="12" s="1"/>
  <c r="J58" i="12"/>
  <c r="S58" i="12"/>
  <c r="S60" i="12" s="1"/>
  <c r="S61" i="12" s="1"/>
  <c r="T58" i="12"/>
  <c r="T60" i="12" s="1"/>
  <c r="T61" i="12" s="1"/>
  <c r="AB58" i="12"/>
  <c r="AH58" i="12"/>
  <c r="AI58" i="12"/>
  <c r="R62" i="12"/>
  <c r="V62" i="12" s="1"/>
  <c r="S62" i="12"/>
  <c r="T62" i="12"/>
  <c r="U62" i="12"/>
  <c r="W62" i="12"/>
  <c r="AA62" i="12" s="1"/>
  <c r="X62" i="12"/>
  <c r="Y62" i="12"/>
  <c r="Z62" i="12"/>
  <c r="AB62" i="12"/>
  <c r="AC62" i="12"/>
  <c r="AD62" i="12"/>
  <c r="AE62" i="12"/>
  <c r="AE60" i="12"/>
  <c r="AE61" i="12" s="1"/>
  <c r="AG62" i="12"/>
  <c r="AK62" i="12" s="1"/>
  <c r="AH62" i="12"/>
  <c r="AH60" i="12" s="1"/>
  <c r="AH61" i="12" s="1"/>
  <c r="AI62" i="12"/>
  <c r="AI60" i="12"/>
  <c r="AI61" i="12" s="1"/>
  <c r="AJ62" i="12"/>
  <c r="AL62" i="12"/>
  <c r="AM62" i="12"/>
  <c r="AN62" i="12"/>
  <c r="AP62" i="12" s="1"/>
  <c r="AO62" i="12"/>
  <c r="A62" i="12"/>
  <c r="AF62" i="12"/>
  <c r="A63" i="12"/>
  <c r="V63" i="12"/>
  <c r="AA63" i="12"/>
  <c r="AF63" i="12"/>
  <c r="AK63" i="12"/>
  <c r="AP63" i="12"/>
  <c r="A64" i="12"/>
  <c r="V64" i="12"/>
  <c r="AA64" i="12"/>
  <c r="AF64" i="12"/>
  <c r="AK64" i="12"/>
  <c r="AP64" i="12"/>
  <c r="AF66" i="12"/>
  <c r="AK66" i="12"/>
  <c r="AP66" i="12"/>
  <c r="L73" i="12"/>
  <c r="Q73" i="12"/>
  <c r="V73" i="12"/>
  <c r="AA73" i="12"/>
  <c r="AA74" i="12" s="1"/>
  <c r="AF73" i="12"/>
  <c r="AK73" i="12"/>
  <c r="AP73" i="12"/>
  <c r="AP76" i="12" s="1"/>
  <c r="M74" i="12"/>
  <c r="N74" i="12"/>
  <c r="O74" i="12"/>
  <c r="P74" i="12"/>
  <c r="Q74" i="12"/>
  <c r="R74" i="12"/>
  <c r="S74" i="12"/>
  <c r="T74" i="12"/>
  <c r="U74" i="12"/>
  <c r="V74" i="12"/>
  <c r="W74" i="12"/>
  <c r="X74" i="12"/>
  <c r="Y74" i="12"/>
  <c r="Z74" i="12"/>
  <c r="AB74" i="12"/>
  <c r="AC74" i="12"/>
  <c r="AD74" i="12"/>
  <c r="AE74" i="12"/>
  <c r="AG74" i="12"/>
  <c r="AH74" i="12"/>
  <c r="AI74" i="12"/>
  <c r="AJ74" i="12"/>
  <c r="AL74" i="12"/>
  <c r="AM74" i="12"/>
  <c r="AN74" i="12"/>
  <c r="AO74" i="12"/>
  <c r="AP74" i="12"/>
  <c r="I75" i="12"/>
  <c r="J75" i="12"/>
  <c r="K75" i="12"/>
  <c r="M75" i="12"/>
  <c r="N75" i="12"/>
  <c r="O75" i="12"/>
  <c r="P75" i="12"/>
  <c r="R75" i="12"/>
  <c r="S75" i="12"/>
  <c r="T75" i="12"/>
  <c r="U75" i="12"/>
  <c r="W75" i="12"/>
  <c r="X75" i="12"/>
  <c r="Y75" i="12"/>
  <c r="Z75" i="12"/>
  <c r="AB75" i="12"/>
  <c r="AC75" i="12"/>
  <c r="AD75" i="12"/>
  <c r="AE75" i="12"/>
  <c r="AG75" i="12"/>
  <c r="AH75" i="12"/>
  <c r="AI75" i="12"/>
  <c r="AJ75" i="12"/>
  <c r="AL75" i="12"/>
  <c r="AM75" i="12"/>
  <c r="AN75" i="12"/>
  <c r="AO75" i="12"/>
  <c r="M76" i="12"/>
  <c r="N78" i="12" s="1"/>
  <c r="N76" i="12"/>
  <c r="O76" i="12"/>
  <c r="P76" i="12"/>
  <c r="P78" i="12" s="1"/>
  <c r="Q76" i="12"/>
  <c r="R76" i="12"/>
  <c r="S76" i="12"/>
  <c r="S77" i="12" s="1"/>
  <c r="T76" i="12"/>
  <c r="U76" i="12"/>
  <c r="U78" i="12" s="1"/>
  <c r="V76" i="12"/>
  <c r="V77" i="12" s="1"/>
  <c r="W76" i="12"/>
  <c r="X76" i="12"/>
  <c r="X78" i="12" s="1"/>
  <c r="Y76" i="12"/>
  <c r="Z76" i="12"/>
  <c r="AA76" i="12"/>
  <c r="AA77" i="12" s="1"/>
  <c r="AB76" i="12"/>
  <c r="AC76" i="12"/>
  <c r="AC77" i="12" s="1"/>
  <c r="AD76" i="12"/>
  <c r="AE76" i="12"/>
  <c r="AE78" i="12" s="1"/>
  <c r="AG76" i="12"/>
  <c r="AH76" i="12"/>
  <c r="AI76" i="12"/>
  <c r="AI77" i="12" s="1"/>
  <c r="AJ76" i="12"/>
  <c r="AL76" i="12"/>
  <c r="AL77" i="12" s="1"/>
  <c r="AM76" i="12"/>
  <c r="AN76" i="12"/>
  <c r="AO76" i="12"/>
  <c r="R77" i="12"/>
  <c r="T77" i="12"/>
  <c r="W77" i="12"/>
  <c r="X77" i="12"/>
  <c r="Z77" i="12"/>
  <c r="AB77" i="12"/>
  <c r="AE77" i="12"/>
  <c r="AH77" i="12"/>
  <c r="AJ77" i="12"/>
  <c r="AM77" i="12"/>
  <c r="AN77" i="12"/>
  <c r="O78" i="12"/>
  <c r="S78" i="12"/>
  <c r="T78" i="12"/>
  <c r="W78" i="12"/>
  <c r="AB78" i="12"/>
  <c r="AC78" i="12"/>
  <c r="AD78" i="12"/>
  <c r="AI78" i="12"/>
  <c r="AL78" i="12"/>
  <c r="AM78" i="12"/>
  <c r="AN78" i="12"/>
  <c r="V79" i="12"/>
  <c r="AA79" i="12"/>
  <c r="J80" i="12"/>
  <c r="O81" i="12" s="1"/>
  <c r="K80" i="12"/>
  <c r="M80" i="12"/>
  <c r="M82" i="12" s="1"/>
  <c r="N80" i="12"/>
  <c r="O80" i="12"/>
  <c r="O82" i="12" s="1"/>
  <c r="P80" i="12"/>
  <c r="P81" i="12" s="1"/>
  <c r="R80" i="12"/>
  <c r="S80" i="12"/>
  <c r="S81" i="12" s="1"/>
  <c r="T80" i="12"/>
  <c r="U80" i="12"/>
  <c r="W80" i="12"/>
  <c r="W82" i="12" s="1"/>
  <c r="X80" i="12"/>
  <c r="X81" i="12" s="1"/>
  <c r="Y80" i="12"/>
  <c r="Y82" i="12" s="1"/>
  <c r="Z80" i="12"/>
  <c r="Z81" i="12" s="1"/>
  <c r="AB80" i="12"/>
  <c r="AC80" i="12"/>
  <c r="AC81" i="12" s="1"/>
  <c r="AD80" i="12"/>
  <c r="AE80" i="12"/>
  <c r="AG80" i="12"/>
  <c r="AG82" i="12" s="1"/>
  <c r="AH80" i="12"/>
  <c r="AH81" i="12" s="1"/>
  <c r="AI80" i="12"/>
  <c r="AI82" i="12" s="1"/>
  <c r="AJ80" i="12"/>
  <c r="AJ81" i="12" s="1"/>
  <c r="AL80" i="12"/>
  <c r="AM80" i="12"/>
  <c r="AM81" i="12" s="1"/>
  <c r="AN80" i="12"/>
  <c r="AO80" i="12"/>
  <c r="R81" i="12"/>
  <c r="U81" i="12"/>
  <c r="W81" i="12"/>
  <c r="AB81" i="12"/>
  <c r="AE81" i="12"/>
  <c r="AG81" i="12"/>
  <c r="AL81" i="12"/>
  <c r="AO81" i="12"/>
  <c r="K82" i="12"/>
  <c r="N82" i="12"/>
  <c r="P82" i="12"/>
  <c r="R82" i="12"/>
  <c r="X82" i="12"/>
  <c r="Z82" i="12"/>
  <c r="AB82" i="12"/>
  <c r="AE82" i="12"/>
  <c r="AH82" i="12"/>
  <c r="AJ82" i="12"/>
  <c r="AL82" i="12"/>
  <c r="L84" i="12"/>
  <c r="Q84" i="12"/>
  <c r="V84" i="12"/>
  <c r="V85" i="12" s="1"/>
  <c r="AA84" i="12"/>
  <c r="AA85" i="12" s="1"/>
  <c r="AF84" i="12"/>
  <c r="AF85" i="12" s="1"/>
  <c r="AK84" i="12"/>
  <c r="AP84" i="12"/>
  <c r="AP85" i="12" s="1"/>
  <c r="M85" i="12"/>
  <c r="N85" i="12"/>
  <c r="O85" i="12"/>
  <c r="P85" i="12"/>
  <c r="Q85" i="12"/>
  <c r="R85" i="12"/>
  <c r="S85" i="12"/>
  <c r="T85" i="12"/>
  <c r="U85" i="12"/>
  <c r="W85" i="12"/>
  <c r="X85" i="12"/>
  <c r="Y85" i="12"/>
  <c r="Z85" i="12"/>
  <c r="AB85" i="12"/>
  <c r="AC85" i="12"/>
  <c r="AD85" i="12"/>
  <c r="AE85" i="12"/>
  <c r="AG85" i="12"/>
  <c r="AH85" i="12"/>
  <c r="AI85" i="12"/>
  <c r="AJ85" i="12"/>
  <c r="AK85" i="12"/>
  <c r="AL85" i="12"/>
  <c r="AM85" i="12"/>
  <c r="AN85" i="12"/>
  <c r="AO85" i="12"/>
  <c r="I86" i="12"/>
  <c r="J86" i="12"/>
  <c r="K86" i="12"/>
  <c r="M86" i="12"/>
  <c r="N86" i="12"/>
  <c r="O86" i="12"/>
  <c r="P86" i="12"/>
  <c r="R86" i="12"/>
  <c r="S86" i="12"/>
  <c r="T86" i="12"/>
  <c r="U86" i="12"/>
  <c r="W86" i="12"/>
  <c r="X86" i="12"/>
  <c r="Y86" i="12"/>
  <c r="Z86" i="12"/>
  <c r="AB86" i="12"/>
  <c r="AC86" i="12"/>
  <c r="AD86" i="12"/>
  <c r="AE86" i="12"/>
  <c r="AG86" i="12"/>
  <c r="AH86" i="12"/>
  <c r="AI86" i="12"/>
  <c r="AJ86" i="12"/>
  <c r="AL86" i="12"/>
  <c r="AM86" i="12"/>
  <c r="AN86" i="12"/>
  <c r="AO86" i="12"/>
  <c r="L88" i="12"/>
  <c r="M88" i="12"/>
  <c r="M90" i="12" s="1"/>
  <c r="N88" i="12"/>
  <c r="N89" i="12" s="1"/>
  <c r="O88" i="12"/>
  <c r="P88" i="12"/>
  <c r="Q88" i="12"/>
  <c r="R88" i="12"/>
  <c r="R89" i="12" s="1"/>
  <c r="S88" i="12"/>
  <c r="T88" i="12"/>
  <c r="U88" i="12"/>
  <c r="V88" i="12"/>
  <c r="V89" i="12" s="1"/>
  <c r="W88" i="12"/>
  <c r="W90" i="12" s="1"/>
  <c r="X88" i="12"/>
  <c r="Y88" i="12"/>
  <c r="Z88" i="12"/>
  <c r="Z89" i="12" s="1"/>
  <c r="AA88" i="12"/>
  <c r="AB88" i="12"/>
  <c r="AC88" i="12"/>
  <c r="AC90" i="12" s="1"/>
  <c r="AD88" i="12"/>
  <c r="AD89" i="12" s="1"/>
  <c r="AE88" i="12"/>
  <c r="AE89" i="12" s="1"/>
  <c r="AG88" i="12"/>
  <c r="AG90" i="12" s="1"/>
  <c r="AH88" i="12"/>
  <c r="AH89" i="12" s="1"/>
  <c r="AI88" i="12"/>
  <c r="AJ88" i="12"/>
  <c r="AK88" i="12"/>
  <c r="AL88" i="12"/>
  <c r="AL89" i="12" s="1"/>
  <c r="AM88" i="12"/>
  <c r="AM89" i="12" s="1"/>
  <c r="AN88" i="12"/>
  <c r="AO88" i="12"/>
  <c r="AP88" i="12"/>
  <c r="AP89" i="12" s="1"/>
  <c r="M89" i="12"/>
  <c r="O89" i="12"/>
  <c r="P89" i="12"/>
  <c r="Q89" i="12"/>
  <c r="T89" i="12"/>
  <c r="U89" i="12"/>
  <c r="W89" i="12"/>
  <c r="Y89" i="12"/>
  <c r="AB89" i="12"/>
  <c r="AC89" i="12"/>
  <c r="AG89" i="12"/>
  <c r="AJ89" i="12"/>
  <c r="AO89" i="12"/>
  <c r="I90" i="12"/>
  <c r="J90" i="12"/>
  <c r="K90" i="12"/>
  <c r="N90" i="12"/>
  <c r="O90" i="12"/>
  <c r="P90" i="12"/>
  <c r="U90" i="12"/>
  <c r="X90" i="12"/>
  <c r="Y90" i="12"/>
  <c r="Z90" i="12"/>
  <c r="AD90" i="12"/>
  <c r="AE90" i="12"/>
  <c r="AH90" i="12"/>
  <c r="AL90" i="12"/>
  <c r="AN90" i="12"/>
  <c r="AO90" i="12"/>
  <c r="I91" i="12"/>
  <c r="J91" i="12"/>
  <c r="K91" i="12"/>
  <c r="K93" i="12" s="1"/>
  <c r="L91" i="12"/>
  <c r="Q92" i="12" s="1"/>
  <c r="M91" i="12"/>
  <c r="N91" i="12"/>
  <c r="O91" i="12"/>
  <c r="P91" i="12"/>
  <c r="Q91" i="12"/>
  <c r="R91" i="12"/>
  <c r="S91" i="12"/>
  <c r="T91" i="12"/>
  <c r="T92" i="12" s="1"/>
  <c r="U91" i="12"/>
  <c r="U93" i="12" s="1"/>
  <c r="V91" i="12"/>
  <c r="W91" i="12"/>
  <c r="X91" i="12"/>
  <c r="Y91" i="12"/>
  <c r="Z91" i="12"/>
  <c r="Z93" i="12" s="1"/>
  <c r="AB91" i="12"/>
  <c r="AB92" i="12" s="1"/>
  <c r="AC91" i="12"/>
  <c r="AD91" i="12"/>
  <c r="AE91" i="12"/>
  <c r="AE93" i="12" s="1"/>
  <c r="AG91" i="12"/>
  <c r="AH91" i="12"/>
  <c r="AI91" i="12"/>
  <c r="AJ91" i="12"/>
  <c r="AJ92" i="12" s="1"/>
  <c r="AK91" i="12"/>
  <c r="AL91" i="12"/>
  <c r="AM91" i="12"/>
  <c r="AN91" i="12"/>
  <c r="AO91" i="12"/>
  <c r="AP91" i="12"/>
  <c r="N92" i="12"/>
  <c r="O92" i="12"/>
  <c r="R92" i="12"/>
  <c r="S92" i="12"/>
  <c r="V92" i="12"/>
  <c r="W92" i="12"/>
  <c r="Z92" i="12"/>
  <c r="AD92" i="12"/>
  <c r="AE92" i="12"/>
  <c r="AH92" i="12"/>
  <c r="AI92" i="12"/>
  <c r="AL92" i="12"/>
  <c r="AM92" i="12"/>
  <c r="AP92" i="12"/>
  <c r="J93" i="12"/>
  <c r="M93" i="12"/>
  <c r="N93" i="12"/>
  <c r="O93" i="12"/>
  <c r="S93" i="12"/>
  <c r="T93" i="12"/>
  <c r="W93" i="12"/>
  <c r="AC93" i="12"/>
  <c r="AD93" i="12"/>
  <c r="AG93" i="12"/>
  <c r="AH93" i="12"/>
  <c r="AI93" i="12"/>
  <c r="AM93" i="12"/>
  <c r="M95" i="12"/>
  <c r="N95" i="12"/>
  <c r="O95" i="12"/>
  <c r="P95" i="12"/>
  <c r="R95" i="12"/>
  <c r="S95" i="12"/>
  <c r="T95" i="12"/>
  <c r="U95" i="12"/>
  <c r="V95" i="12"/>
  <c r="W95" i="12"/>
  <c r="X95" i="12"/>
  <c r="Z95" i="12"/>
  <c r="AA95" i="12"/>
  <c r="AB95" i="12"/>
  <c r="AC95" i="12"/>
  <c r="AD95" i="12"/>
  <c r="AE95" i="12"/>
  <c r="AH95" i="12"/>
  <c r="AI95" i="12"/>
  <c r="AJ95" i="12"/>
  <c r="AL95" i="12"/>
  <c r="AM95" i="12"/>
  <c r="AN95" i="12"/>
  <c r="I97" i="12"/>
  <c r="J97" i="12"/>
  <c r="K97" i="12"/>
  <c r="L97" i="12"/>
  <c r="M97" i="12"/>
  <c r="M99" i="12" s="1"/>
  <c r="N97" i="12"/>
  <c r="O97" i="12"/>
  <c r="P97" i="12"/>
  <c r="R99" i="12" s="1"/>
  <c r="Q97" i="12"/>
  <c r="R97" i="12"/>
  <c r="S97" i="12"/>
  <c r="T97" i="12"/>
  <c r="U97" i="12"/>
  <c r="U98" i="12" s="1"/>
  <c r="V97" i="12"/>
  <c r="W97" i="12"/>
  <c r="W99" i="12" s="1"/>
  <c r="X97" i="12"/>
  <c r="Y97" i="12"/>
  <c r="Z97" i="12"/>
  <c r="AA97" i="12"/>
  <c r="AB97" i="12"/>
  <c r="AC97" i="12"/>
  <c r="AC98" i="12" s="1"/>
  <c r="AD97" i="12"/>
  <c r="AE97" i="12"/>
  <c r="AG97" i="12"/>
  <c r="AH97" i="12"/>
  <c r="AI97" i="12"/>
  <c r="AJ97" i="12"/>
  <c r="AK97" i="12"/>
  <c r="AL97" i="12"/>
  <c r="AM97" i="12"/>
  <c r="AN97" i="12"/>
  <c r="AO97" i="12"/>
  <c r="AP97" i="12"/>
  <c r="O98" i="12"/>
  <c r="P98" i="12"/>
  <c r="S98" i="12"/>
  <c r="T98" i="12"/>
  <c r="W98" i="12"/>
  <c r="X98" i="12"/>
  <c r="AA98" i="12"/>
  <c r="AB98" i="12"/>
  <c r="AE98" i="12"/>
  <c r="AI98" i="12"/>
  <c r="AJ98" i="12"/>
  <c r="AM98" i="12"/>
  <c r="AN98" i="12"/>
  <c r="K99" i="12"/>
  <c r="N99" i="12"/>
  <c r="O99" i="12"/>
  <c r="P99" i="12"/>
  <c r="S99" i="12"/>
  <c r="T99" i="12"/>
  <c r="U99" i="12"/>
  <c r="X99" i="12"/>
  <c r="AB99" i="12"/>
  <c r="AD99" i="12"/>
  <c r="AE99" i="12"/>
  <c r="AI99" i="12"/>
  <c r="AJ99" i="12"/>
  <c r="AL99" i="12"/>
  <c r="AM99" i="12"/>
  <c r="AN99" i="12"/>
  <c r="AO99" i="12"/>
  <c r="J100" i="12"/>
  <c r="K100" i="12"/>
  <c r="K102" i="12" s="1"/>
  <c r="L100" i="12"/>
  <c r="N100" i="12"/>
  <c r="O100" i="12"/>
  <c r="P100" i="12"/>
  <c r="R100" i="12"/>
  <c r="R102" i="12" s="1"/>
  <c r="S100" i="12"/>
  <c r="T100" i="12"/>
  <c r="T101" i="12" s="1"/>
  <c r="V100" i="12"/>
  <c r="W100" i="12"/>
  <c r="X100" i="12"/>
  <c r="Z100" i="12"/>
  <c r="AA100" i="12"/>
  <c r="AB100" i="12"/>
  <c r="AB101" i="12" s="1"/>
  <c r="AD100" i="12"/>
  <c r="AE100" i="12"/>
  <c r="AE102" i="12" s="1"/>
  <c r="AH100" i="12"/>
  <c r="AI100" i="12"/>
  <c r="AJ100" i="12"/>
  <c r="AJ101" i="12" s="1"/>
  <c r="AL100" i="12"/>
  <c r="AM100" i="12"/>
  <c r="AN100" i="12"/>
  <c r="AN101" i="12" s="1"/>
  <c r="AP100" i="12"/>
  <c r="O101" i="12"/>
  <c r="S101" i="12"/>
  <c r="W101" i="12"/>
  <c r="AA101" i="12"/>
  <c r="AE101" i="12"/>
  <c r="AI101" i="12"/>
  <c r="AM101" i="12"/>
  <c r="O102" i="12"/>
  <c r="S102" i="12"/>
  <c r="T102" i="12"/>
  <c r="AI102" i="12"/>
  <c r="AM102" i="12"/>
  <c r="AN102" i="12"/>
  <c r="I9" i="20"/>
  <c r="I14" i="20"/>
  <c r="I8" i="20"/>
  <c r="J9" i="20"/>
  <c r="J14" i="20"/>
  <c r="J8" i="20"/>
  <c r="K9" i="20"/>
  <c r="K8" i="20" s="1"/>
  <c r="K14" i="20"/>
  <c r="L9" i="20"/>
  <c r="L8" i="20" s="1"/>
  <c r="L14" i="20"/>
  <c r="M9" i="20"/>
  <c r="M14" i="20"/>
  <c r="M8" i="20"/>
  <c r="N9" i="20"/>
  <c r="N14" i="20"/>
  <c r="N8" i="20" s="1"/>
  <c r="O9" i="20"/>
  <c r="O8" i="20" s="1"/>
  <c r="O14" i="20"/>
  <c r="O53" i="20"/>
  <c r="T54" i="20"/>
  <c r="O209" i="20"/>
  <c r="T218" i="20"/>
  <c r="P218" i="20"/>
  <c r="O215" i="20"/>
  <c r="P222" i="20"/>
  <c r="P236" i="20" s="1"/>
  <c r="J53" i="20"/>
  <c r="J209" i="20"/>
  <c r="I53" i="20"/>
  <c r="I209" i="20" s="1"/>
  <c r="J211" i="20" s="1"/>
  <c r="K53" i="20"/>
  <c r="K209" i="20"/>
  <c r="K211" i="20" s="1"/>
  <c r="L53" i="20"/>
  <c r="L209" i="20"/>
  <c r="N53" i="20"/>
  <c r="N209" i="20" s="1"/>
  <c r="A223" i="20"/>
  <c r="P223" i="20" s="1"/>
  <c r="P237" i="20" s="1"/>
  <c r="O214" i="20"/>
  <c r="T216" i="20"/>
  <c r="P216" i="20"/>
  <c r="P153" i="20"/>
  <c r="Q153" i="20" s="1"/>
  <c r="R153" i="20" s="1"/>
  <c r="P154" i="20"/>
  <c r="T148" i="20"/>
  <c r="P148" i="20"/>
  <c r="P147" i="20" s="1"/>
  <c r="T131" i="20"/>
  <c r="P131" i="20" s="1"/>
  <c r="P142" i="20"/>
  <c r="Q142" i="20" s="1"/>
  <c r="T135" i="20"/>
  <c r="P135" i="20" s="1"/>
  <c r="T136" i="20"/>
  <c r="P136" i="20" s="1"/>
  <c r="O138" i="20"/>
  <c r="P138" i="20" s="1"/>
  <c r="O139" i="20"/>
  <c r="P139" i="20"/>
  <c r="Q139" i="20" s="1"/>
  <c r="R139" i="20" s="1"/>
  <c r="S139" i="20" s="1"/>
  <c r="T139" i="20" s="1"/>
  <c r="P62" i="20"/>
  <c r="P127" i="20" s="1"/>
  <c r="O57" i="20"/>
  <c r="T57" i="20"/>
  <c r="P57" i="20"/>
  <c r="P68" i="20" s="1"/>
  <c r="P101" i="20" s="1"/>
  <c r="T70" i="20"/>
  <c r="P70" i="20" s="1"/>
  <c r="T71" i="20"/>
  <c r="P71" i="20" s="1"/>
  <c r="P72" i="20" s="1"/>
  <c r="T77" i="20"/>
  <c r="P77" i="20"/>
  <c r="Q77" i="20" s="1"/>
  <c r="T78" i="20"/>
  <c r="P78" i="20" s="1"/>
  <c r="T85" i="20"/>
  <c r="T116" i="20"/>
  <c r="P116" i="20" s="1"/>
  <c r="P88" i="20" s="1"/>
  <c r="T90" i="20"/>
  <c r="T91" i="20"/>
  <c r="P91" i="20"/>
  <c r="T103" i="20"/>
  <c r="P103" i="20"/>
  <c r="Q103" i="20" s="1"/>
  <c r="R103" i="20" s="1"/>
  <c r="T104" i="20"/>
  <c r="P104" i="20"/>
  <c r="P105" i="20"/>
  <c r="T110" i="20"/>
  <c r="T113" i="20"/>
  <c r="P113" i="20"/>
  <c r="Q113" i="20" s="1"/>
  <c r="T217" i="20"/>
  <c r="P217" i="20" s="1"/>
  <c r="Q217" i="20" s="1"/>
  <c r="R217" i="20" s="1"/>
  <c r="S217" i="20" s="1"/>
  <c r="Q218" i="20"/>
  <c r="Q222" i="20"/>
  <c r="Q236" i="20" s="1"/>
  <c r="Q223" i="20"/>
  <c r="Q237" i="20" s="1"/>
  <c r="Q216" i="20"/>
  <c r="Q154" i="20"/>
  <c r="R154" i="20" s="1"/>
  <c r="S154" i="20" s="1"/>
  <c r="T154" i="20" s="1"/>
  <c r="Q131" i="20"/>
  <c r="Q135" i="20"/>
  <c r="Q138" i="20"/>
  <c r="R138" i="20" s="1"/>
  <c r="S138" i="20" s="1"/>
  <c r="T138" i="20" s="1"/>
  <c r="Q57" i="20"/>
  <c r="Q116" i="20"/>
  <c r="Q91" i="20"/>
  <c r="R91" i="20" s="1"/>
  <c r="S91" i="20" s="1"/>
  <c r="Q104" i="20"/>
  <c r="Q105" i="20"/>
  <c r="R218" i="20"/>
  <c r="S218" i="20" s="1"/>
  <c r="R222" i="20"/>
  <c r="R236" i="20" s="1"/>
  <c r="R223" i="20"/>
  <c r="R237" i="20"/>
  <c r="R216" i="20"/>
  <c r="S216" i="20" s="1"/>
  <c r="R131" i="20"/>
  <c r="S131" i="20" s="1"/>
  <c r="R135" i="20"/>
  <c r="R77" i="20"/>
  <c r="S77" i="20" s="1"/>
  <c r="R104" i="20"/>
  <c r="S104" i="20" s="1"/>
  <c r="R105" i="20"/>
  <c r="R113" i="20"/>
  <c r="S113" i="20" s="1"/>
  <c r="S222" i="20"/>
  <c r="S223" i="20"/>
  <c r="S237" i="20" s="1"/>
  <c r="S153" i="20"/>
  <c r="S135" i="20"/>
  <c r="S103" i="20"/>
  <c r="S105" i="20"/>
  <c r="T222" i="20"/>
  <c r="T236" i="20" s="1"/>
  <c r="T223" i="20"/>
  <c r="T237" i="20" s="1"/>
  <c r="T153" i="20"/>
  <c r="T147" i="20"/>
  <c r="T146" i="20" s="1"/>
  <c r="T61" i="20"/>
  <c r="T73" i="18" s="1"/>
  <c r="T137" i="20"/>
  <c r="T68" i="20"/>
  <c r="T69" i="20"/>
  <c r="T73" i="20" s="1"/>
  <c r="T74" i="20" s="1"/>
  <c r="T72" i="20"/>
  <c r="T76" i="20"/>
  <c r="T88" i="20"/>
  <c r="T101" i="20"/>
  <c r="T102" i="20"/>
  <c r="T105" i="20"/>
  <c r="T106" i="20"/>
  <c r="T107" i="20" s="1"/>
  <c r="T112" i="20"/>
  <c r="T111" i="20" s="1"/>
  <c r="O68" i="20"/>
  <c r="O72" i="20"/>
  <c r="O105" i="20"/>
  <c r="O109" i="20"/>
  <c r="O112" i="20"/>
  <c r="O111" i="20"/>
  <c r="O88" i="20"/>
  <c r="O89" i="20"/>
  <c r="O236" i="20"/>
  <c r="O237" i="20"/>
  <c r="O238" i="20"/>
  <c r="O239" i="20"/>
  <c r="O240" i="20"/>
  <c r="O241" i="20"/>
  <c r="O242" i="20"/>
  <c r="O243" i="20"/>
  <c r="O244" i="20"/>
  <c r="O245" i="20"/>
  <c r="O246" i="20"/>
  <c r="O247" i="20"/>
  <c r="O147" i="20"/>
  <c r="O129" i="20"/>
  <c r="O137" i="20"/>
  <c r="O140" i="20"/>
  <c r="O62" i="20"/>
  <c r="O127" i="20" s="1"/>
  <c r="O16" i="20"/>
  <c r="T176" i="20"/>
  <c r="T177" i="20"/>
  <c r="T178" i="20"/>
  <c r="O180" i="20"/>
  <c r="T183" i="20"/>
  <c r="T187" i="20"/>
  <c r="T195" i="20"/>
  <c r="O193" i="20"/>
  <c r="O166" i="20"/>
  <c r="O170" i="20"/>
  <c r="O165" i="20" s="1"/>
  <c r="T191" i="20"/>
  <c r="P200" i="20"/>
  <c r="P199" i="20" s="1"/>
  <c r="Q200" i="20"/>
  <c r="Q199" i="20"/>
  <c r="R199" i="20" s="1"/>
  <c r="S199" i="20" s="1"/>
  <c r="T199" i="20" s="1"/>
  <c r="R200" i="20"/>
  <c r="S200" i="20" s="1"/>
  <c r="T200" i="20" s="1"/>
  <c r="T17" i="20"/>
  <c r="O17" i="20"/>
  <c r="I19" i="20"/>
  <c r="J19" i="20"/>
  <c r="K19" i="20"/>
  <c r="L19" i="20"/>
  <c r="M19" i="20"/>
  <c r="N19" i="20"/>
  <c r="O58" i="20"/>
  <c r="O59" i="20"/>
  <c r="O19" i="20" s="1"/>
  <c r="P58" i="20"/>
  <c r="Q58" i="20"/>
  <c r="T58" i="20"/>
  <c r="O20" i="20"/>
  <c r="N50" i="20"/>
  <c r="N54" i="20" s="1"/>
  <c r="N51" i="20"/>
  <c r="T51" i="20"/>
  <c r="T88" i="18" s="1"/>
  <c r="J55" i="20"/>
  <c r="K55" i="20"/>
  <c r="L55" i="20"/>
  <c r="O55" i="20"/>
  <c r="I57" i="20"/>
  <c r="K57" i="20"/>
  <c r="K58" i="20" s="1"/>
  <c r="K59" i="20" s="1"/>
  <c r="L57" i="20"/>
  <c r="N57" i="20"/>
  <c r="N58" i="20" s="1"/>
  <c r="U57" i="20"/>
  <c r="I58" i="20"/>
  <c r="I59" i="20" s="1"/>
  <c r="L58" i="20"/>
  <c r="L59" i="20" s="1"/>
  <c r="N59" i="20"/>
  <c r="N62" i="20"/>
  <c r="N127" i="20" s="1"/>
  <c r="U68" i="20"/>
  <c r="Y91" i="20"/>
  <c r="Z91" i="20"/>
  <c r="I129" i="20"/>
  <c r="J129" i="20"/>
  <c r="K129" i="20"/>
  <c r="L129" i="20"/>
  <c r="N129" i="20"/>
  <c r="U135" i="20"/>
  <c r="I166" i="20"/>
  <c r="I165" i="20" s="1"/>
  <c r="I170" i="20"/>
  <c r="I183" i="20" s="1"/>
  <c r="J166" i="20"/>
  <c r="J170" i="20"/>
  <c r="J165" i="20" s="1"/>
  <c r="K166" i="20"/>
  <c r="K170" i="20"/>
  <c r="K165" i="20"/>
  <c r="L166" i="20"/>
  <c r="L170" i="20"/>
  <c r="L183" i="20" s="1"/>
  <c r="M166" i="20"/>
  <c r="M170" i="20"/>
  <c r="M165" i="20"/>
  <c r="N166" i="20"/>
  <c r="N170" i="20"/>
  <c r="N165" i="20" s="1"/>
  <c r="I174" i="20"/>
  <c r="I182" i="20"/>
  <c r="J174" i="20"/>
  <c r="L182" i="20"/>
  <c r="M174" i="20"/>
  <c r="O174" i="20"/>
  <c r="O182" i="20"/>
  <c r="O172" i="20"/>
  <c r="P177" i="20"/>
  <c r="Q177" i="20" s="1"/>
  <c r="R177" i="20" s="1"/>
  <c r="S177" i="20" s="1"/>
  <c r="P178" i="20"/>
  <c r="Q178" i="20" s="1"/>
  <c r="R178" i="20" s="1"/>
  <c r="S178" i="20" s="1"/>
  <c r="O183" i="20"/>
  <c r="P183" i="20" s="1"/>
  <c r="Q183" i="20" s="1"/>
  <c r="R183" i="20" s="1"/>
  <c r="S183" i="20" s="1"/>
  <c r="J175" i="20"/>
  <c r="M175" i="20"/>
  <c r="O175" i="20"/>
  <c r="O179" i="20"/>
  <c r="T210" i="20"/>
  <c r="O219" i="20"/>
  <c r="P219" i="20"/>
  <c r="Q219" i="20"/>
  <c r="R219" i="20"/>
  <c r="S219" i="20"/>
  <c r="T219" i="20"/>
  <c r="J236" i="20"/>
  <c r="K236" i="20"/>
  <c r="L236" i="20"/>
  <c r="M236" i="20"/>
  <c r="N236" i="20"/>
  <c r="A237" i="20"/>
  <c r="J237" i="20"/>
  <c r="K237" i="20"/>
  <c r="L237" i="20"/>
  <c r="M237" i="20"/>
  <c r="N237" i="20"/>
  <c r="A238" i="20"/>
  <c r="A239" i="20" s="1"/>
  <c r="A240" i="20" s="1"/>
  <c r="A241" i="20" s="1"/>
  <c r="A242" i="20" s="1"/>
  <c r="A243" i="20" s="1"/>
  <c r="A244" i="20" s="1"/>
  <c r="A245" i="20" s="1"/>
  <c r="A246" i="20" s="1"/>
  <c r="A247" i="20" s="1"/>
  <c r="J238" i="20"/>
  <c r="K238" i="20"/>
  <c r="L238" i="20"/>
  <c r="M238" i="20"/>
  <c r="N238" i="20"/>
  <c r="J239" i="20"/>
  <c r="K239" i="20"/>
  <c r="L239" i="20"/>
  <c r="M239" i="20"/>
  <c r="N239" i="20"/>
  <c r="J240" i="20"/>
  <c r="K240" i="20"/>
  <c r="L240" i="20"/>
  <c r="M240" i="20"/>
  <c r="N240" i="20"/>
  <c r="J241" i="20"/>
  <c r="K241" i="20"/>
  <c r="L241" i="20"/>
  <c r="M241" i="20"/>
  <c r="N241" i="20"/>
  <c r="J242" i="20"/>
  <c r="K242" i="20"/>
  <c r="L242" i="20"/>
  <c r="M242" i="20"/>
  <c r="N242" i="20"/>
  <c r="J243" i="20"/>
  <c r="K243" i="20"/>
  <c r="L243" i="20"/>
  <c r="M243" i="20"/>
  <c r="N243" i="20"/>
  <c r="J244" i="20"/>
  <c r="K244" i="20"/>
  <c r="L244" i="20"/>
  <c r="M244" i="20"/>
  <c r="N244" i="20"/>
  <c r="J245" i="20"/>
  <c r="K245" i="20"/>
  <c r="L245" i="20"/>
  <c r="M245" i="20"/>
  <c r="N245" i="20"/>
  <c r="J246" i="20"/>
  <c r="K246" i="20"/>
  <c r="L246" i="20"/>
  <c r="M246" i="20"/>
  <c r="N246" i="20"/>
  <c r="J247" i="20"/>
  <c r="K247" i="20"/>
  <c r="L247" i="20"/>
  <c r="M247" i="20"/>
  <c r="N247" i="20"/>
  <c r="L165" i="20" l="1"/>
  <c r="Q88" i="20"/>
  <c r="R116" i="20"/>
  <c r="AA91" i="12"/>
  <c r="AA92" i="12" s="1"/>
  <c r="AA89" i="12"/>
  <c r="X89" i="12"/>
  <c r="S89" i="12"/>
  <c r="S90" i="12"/>
  <c r="T90" i="12"/>
  <c r="I172" i="20"/>
  <c r="I173" i="20" s="1"/>
  <c r="I175" i="20"/>
  <c r="O173" i="20"/>
  <c r="O101" i="20"/>
  <c r="O69" i="20"/>
  <c r="O84" i="20"/>
  <c r="O89" i="18"/>
  <c r="P89" i="18" s="1"/>
  <c r="Q89" i="18" s="1"/>
  <c r="R89" i="18" s="1"/>
  <c r="S89" i="18" s="1"/>
  <c r="T89" i="18" s="1"/>
  <c r="R142" i="20"/>
  <c r="O21" i="20"/>
  <c r="O22" i="20" s="1"/>
  <c r="O30" i="20"/>
  <c r="T89" i="20"/>
  <c r="P90" i="20"/>
  <c r="P176" i="20"/>
  <c r="S236" i="20"/>
  <c r="P69" i="20"/>
  <c r="P73" i="20" s="1"/>
  <c r="P74" i="20" s="1"/>
  <c r="Q70" i="20"/>
  <c r="Z30" i="12"/>
  <c r="Z47" i="12"/>
  <c r="I30" i="12"/>
  <c r="I47" i="12"/>
  <c r="P85" i="20"/>
  <c r="T84" i="20"/>
  <c r="T86" i="20" s="1"/>
  <c r="P102" i="20"/>
  <c r="P106" i="20" s="1"/>
  <c r="P107" i="20" s="1"/>
  <c r="Q71" i="20"/>
  <c r="Q78" i="20"/>
  <c r="P112" i="20"/>
  <c r="P111" i="20" s="1"/>
  <c r="Q68" i="20"/>
  <c r="R57" i="20"/>
  <c r="P137" i="20"/>
  <c r="Q136" i="20"/>
  <c r="T109" i="20"/>
  <c r="P110" i="20"/>
  <c r="AN89" i="12"/>
  <c r="AI90" i="12"/>
  <c r="AJ90" i="12"/>
  <c r="AI89" i="12"/>
  <c r="AB52" i="12"/>
  <c r="Y30" i="12"/>
  <c r="Y47" i="12"/>
  <c r="L83" i="18"/>
  <c r="M83" i="18" s="1"/>
  <c r="N83" i="18" s="1"/>
  <c r="O83" i="18" s="1"/>
  <c r="P83" i="18" s="1"/>
  <c r="Q83" i="18" s="1"/>
  <c r="R83" i="18" s="1"/>
  <c r="S83" i="18" s="1"/>
  <c r="T83" i="18" s="1"/>
  <c r="K82" i="18"/>
  <c r="T126" i="20"/>
  <c r="T130" i="20" s="1"/>
  <c r="P101" i="12"/>
  <c r="P102" i="12"/>
  <c r="R93" i="12"/>
  <c r="AN81" i="12"/>
  <c r="AN82" i="12"/>
  <c r="AI81" i="12"/>
  <c r="AD81" i="12"/>
  <c r="AD82" i="12"/>
  <c r="Y81" i="12"/>
  <c r="T81" i="12"/>
  <c r="T82" i="12"/>
  <c r="Y77" i="12"/>
  <c r="Y78" i="12"/>
  <c r="Z78" i="12"/>
  <c r="AD77" i="12"/>
  <c r="Y95" i="12"/>
  <c r="Q79" i="12"/>
  <c r="Q95" i="12"/>
  <c r="N50" i="12"/>
  <c r="N52" i="12" s="1"/>
  <c r="N48" i="12"/>
  <c r="N56" i="12"/>
  <c r="N58" i="12" s="1"/>
  <c r="Q148" i="20"/>
  <c r="AG77" i="12"/>
  <c r="AG78" i="12"/>
  <c r="AH78" i="12"/>
  <c r="AG95" i="12"/>
  <c r="Z32" i="12"/>
  <c r="AA31" i="12"/>
  <c r="X102" i="12"/>
  <c r="X101" i="12"/>
  <c r="AC92" i="12"/>
  <c r="X93" i="12"/>
  <c r="Y93" i="12"/>
  <c r="X92" i="12"/>
  <c r="U92" i="12"/>
  <c r="P92" i="12"/>
  <c r="P93" i="12"/>
  <c r="AO82" i="12"/>
  <c r="U82" i="12"/>
  <c r="AO77" i="12"/>
  <c r="AO78" i="12"/>
  <c r="AO95" i="12"/>
  <c r="AB60" i="12"/>
  <c r="AN14" i="12"/>
  <c r="AN13" i="12"/>
  <c r="AN38" i="12"/>
  <c r="AN41" i="12"/>
  <c r="AN18" i="12"/>
  <c r="AN29" i="12"/>
  <c r="AN44" i="12"/>
  <c r="AN22" i="12"/>
  <c r="O211" i="20"/>
  <c r="AO93" i="12"/>
  <c r="AN92" i="12"/>
  <c r="AP79" i="12"/>
  <c r="AP95" i="12"/>
  <c r="AK67" i="12"/>
  <c r="AP67" i="12"/>
  <c r="AG60" i="12"/>
  <c r="L211" i="20"/>
  <c r="Y100" i="12"/>
  <c r="Z102" i="12" s="1"/>
  <c r="AD98" i="12"/>
  <c r="Y99" i="12"/>
  <c r="Z99" i="12"/>
  <c r="Y98" i="12"/>
  <c r="Q100" i="12"/>
  <c r="V98" i="12"/>
  <c r="Q98" i="12"/>
  <c r="I100" i="12"/>
  <c r="N98" i="12"/>
  <c r="J99" i="12"/>
  <c r="AN93" i="12"/>
  <c r="AO100" i="12"/>
  <c r="AO98" i="12"/>
  <c r="AG99" i="12"/>
  <c r="AG100" i="12"/>
  <c r="AL98" i="12"/>
  <c r="AH99" i="12"/>
  <c r="AG98" i="12"/>
  <c r="M53" i="20"/>
  <c r="AK74" i="12"/>
  <c r="AK76" i="12"/>
  <c r="AP77" i="12" s="1"/>
  <c r="AF88" i="12"/>
  <c r="AF74" i="12"/>
  <c r="AF76" i="12"/>
  <c r="AF97" i="12"/>
  <c r="AK98" i="12" s="1"/>
  <c r="AM58" i="12"/>
  <c r="AM60" i="12" s="1"/>
  <c r="AM61" i="12" s="1"/>
  <c r="AM48" i="12"/>
  <c r="AD48" i="12"/>
  <c r="AD50" i="12"/>
  <c r="AD52" i="12" s="1"/>
  <c r="AD58" i="12"/>
  <c r="AD60" i="12" s="1"/>
  <c r="AD61" i="12" s="1"/>
  <c r="AD56" i="12"/>
  <c r="A224" i="20"/>
  <c r="M48" i="12"/>
  <c r="M50" i="12"/>
  <c r="AP36" i="12"/>
  <c r="X30" i="12"/>
  <c r="X47" i="12"/>
  <c r="L24" i="12"/>
  <c r="N17" i="23"/>
  <c r="O17" i="23"/>
  <c r="N10" i="23"/>
  <c r="AL102" i="12"/>
  <c r="AB102" i="12"/>
  <c r="AC99" i="12"/>
  <c r="AP98" i="12"/>
  <c r="AH98" i="12"/>
  <c r="Z98" i="12"/>
  <c r="R98" i="12"/>
  <c r="AL93" i="12"/>
  <c r="AB93" i="12"/>
  <c r="AO92" i="12"/>
  <c r="AG92" i="12"/>
  <c r="Y92" i="12"/>
  <c r="AM90" i="12"/>
  <c r="AM82" i="12"/>
  <c r="AC82" i="12"/>
  <c r="S82" i="12"/>
  <c r="R78" i="12"/>
  <c r="M56" i="12"/>
  <c r="AJ50" i="12"/>
  <c r="AJ52" i="12" s="1"/>
  <c r="AF36" i="12"/>
  <c r="M34" i="12"/>
  <c r="Q33" i="12"/>
  <c r="AK24" i="12"/>
  <c r="M78" i="18"/>
  <c r="O19" i="18"/>
  <c r="P15" i="18"/>
  <c r="O22" i="18"/>
  <c r="O23" i="18" s="1"/>
  <c r="O31" i="18"/>
  <c r="O64" i="18"/>
  <c r="AJ102" i="12"/>
  <c r="AK100" i="12"/>
  <c r="AC100" i="12"/>
  <c r="U100" i="12"/>
  <c r="M100" i="12"/>
  <c r="AJ93" i="12"/>
  <c r="AB90" i="12"/>
  <c r="R90" i="12"/>
  <c r="AJ78" i="12"/>
  <c r="U77" i="12"/>
  <c r="AJ56" i="12"/>
  <c r="AJ58" i="12" s="1"/>
  <c r="AJ60" i="12" s="1"/>
  <c r="AJ61" i="12" s="1"/>
  <c r="U48" i="12"/>
  <c r="U50" i="12"/>
  <c r="U52" i="12" s="1"/>
  <c r="AG30" i="12"/>
  <c r="AK29" i="12"/>
  <c r="H30" i="12"/>
  <c r="H47" i="12"/>
  <c r="L29" i="12"/>
  <c r="L30" i="12" s="1"/>
  <c r="AA24" i="12"/>
  <c r="L78" i="18"/>
  <c r="P67" i="18"/>
  <c r="Q67" i="18" s="1"/>
  <c r="R67" i="18" s="1"/>
  <c r="S67" i="18" s="1"/>
  <c r="T67" i="18" s="1"/>
  <c r="O67" i="18"/>
  <c r="H18" i="12"/>
  <c r="H38" i="12"/>
  <c r="L12" i="12"/>
  <c r="I14" i="12"/>
  <c r="H41" i="12"/>
  <c r="K77" i="18"/>
  <c r="K78" i="18" s="1"/>
  <c r="K80" i="18"/>
  <c r="K81" i="18" s="1"/>
  <c r="K84" i="18" s="1"/>
  <c r="K85" i="18" s="1"/>
  <c r="K96" i="18"/>
  <c r="AG48" i="12"/>
  <c r="AK33" i="12"/>
  <c r="AB34" i="12"/>
  <c r="AF33" i="12"/>
  <c r="K30" i="12"/>
  <c r="K47" i="12"/>
  <c r="P14" i="12"/>
  <c r="R14" i="12"/>
  <c r="P18" i="12"/>
  <c r="P13" i="12"/>
  <c r="P38" i="12"/>
  <c r="P41" i="12"/>
  <c r="M97" i="18"/>
  <c r="Q72" i="18"/>
  <c r="P42" i="18"/>
  <c r="AC48" i="12"/>
  <c r="AC50" i="12"/>
  <c r="AC52" i="12" s="1"/>
  <c r="AP44" i="12"/>
  <c r="L41" i="12"/>
  <c r="W47" i="12"/>
  <c r="AA36" i="12"/>
  <c r="V33" i="12"/>
  <c r="AP29" i="12"/>
  <c r="AP30" i="12" s="1"/>
  <c r="AP20" i="12"/>
  <c r="AP22" i="12"/>
  <c r="V18" i="12"/>
  <c r="AA16" i="12"/>
  <c r="V16" i="12"/>
  <c r="AG13" i="12"/>
  <c r="AH14" i="12"/>
  <c r="AK12" i="12"/>
  <c r="AK41" i="12" s="1"/>
  <c r="AG38" i="12"/>
  <c r="AA12" i="12"/>
  <c r="X18" i="12"/>
  <c r="X38" i="12"/>
  <c r="X14" i="12"/>
  <c r="Y14" i="12"/>
  <c r="X41" i="12"/>
  <c r="L97" i="18"/>
  <c r="AC58" i="12"/>
  <c r="AC60" i="12" s="1"/>
  <c r="AC61" i="12" s="1"/>
  <c r="M58" i="12"/>
  <c r="AG52" i="12"/>
  <c r="AL47" i="12"/>
  <c r="AB48" i="12"/>
  <c r="AF47" i="12"/>
  <c r="AF48" i="12" s="1"/>
  <c r="Q47" i="12"/>
  <c r="Q36" i="12"/>
  <c r="R32" i="12"/>
  <c r="V31" i="12"/>
  <c r="P30" i="12"/>
  <c r="P47" i="12"/>
  <c r="R29" i="12"/>
  <c r="V24" i="12"/>
  <c r="H22" i="12"/>
  <c r="AO13" i="12"/>
  <c r="AO14" i="12"/>
  <c r="AO38" i="12"/>
  <c r="AF41" i="12"/>
  <c r="J67" i="18"/>
  <c r="K67" i="18"/>
  <c r="J80" i="18"/>
  <c r="J81" i="18" s="1"/>
  <c r="J84" i="18" s="1"/>
  <c r="J85" i="18" s="1"/>
  <c r="J96" i="18"/>
  <c r="J97" i="18" s="1"/>
  <c r="M33" i="18"/>
  <c r="M35" i="18" s="1"/>
  <c r="M36" i="18" s="1"/>
  <c r="V22" i="12"/>
  <c r="N22" i="12"/>
  <c r="S13" i="12"/>
  <c r="AP12" i="12"/>
  <c r="AL18" i="12"/>
  <c r="AD14" i="12"/>
  <c r="AD18" i="12"/>
  <c r="AE14" i="12"/>
  <c r="U13" i="12"/>
  <c r="U14" i="12"/>
  <c r="M13" i="12"/>
  <c r="K27" i="18"/>
  <c r="L27" i="18"/>
  <c r="AC13" i="12"/>
  <c r="T13" i="12"/>
  <c r="T14" i="12"/>
  <c r="P96" i="18"/>
  <c r="O88" i="18"/>
  <c r="O77" i="18"/>
  <c r="N67" i="18"/>
  <c r="R48" i="18"/>
  <c r="L46" i="18"/>
  <c r="M46" i="18"/>
  <c r="R45" i="18"/>
  <c r="P17" i="18"/>
  <c r="Q18" i="18"/>
  <c r="R18" i="18" s="1"/>
  <c r="S18" i="18" s="1"/>
  <c r="T18" i="18" s="1"/>
  <c r="Q18" i="12"/>
  <c r="AJ14" i="12"/>
  <c r="AJ13" i="12"/>
  <c r="M43" i="18"/>
  <c r="N43" i="18"/>
  <c r="P39" i="18"/>
  <c r="Q39" i="18" s="1"/>
  <c r="R39" i="18" s="1"/>
  <c r="S39" i="18" s="1"/>
  <c r="T39" i="18" s="1"/>
  <c r="L33" i="18"/>
  <c r="L35" i="18" s="1"/>
  <c r="M32" i="18"/>
  <c r="AK31" i="12"/>
  <c r="AA29" i="12"/>
  <c r="AA30" i="12" s="1"/>
  <c r="K92" i="18"/>
  <c r="U80" i="18"/>
  <c r="N96" i="18"/>
  <c r="N77" i="18"/>
  <c r="N78" i="18" s="1"/>
  <c r="O15" i="23"/>
  <c r="Z13" i="12"/>
  <c r="N13" i="12"/>
  <c r="Y13" i="12"/>
  <c r="Z14" i="12"/>
  <c r="Q12" i="12"/>
  <c r="Q30" i="12" s="1"/>
  <c r="P91" i="18"/>
  <c r="O92" i="18"/>
  <c r="N55" i="18"/>
  <c r="O55" i="18"/>
  <c r="K33" i="18"/>
  <c r="K35" i="18" s="1"/>
  <c r="K36" i="18" s="1"/>
  <c r="O26" i="18"/>
  <c r="O27" i="18" s="1"/>
  <c r="L25" i="18"/>
  <c r="L23" i="18"/>
  <c r="V32" i="12" l="1"/>
  <c r="K174" i="20"/>
  <c r="R52" i="18"/>
  <c r="S48" i="18"/>
  <c r="AA18" i="12"/>
  <c r="AA13" i="12"/>
  <c r="AA22" i="12"/>
  <c r="AA41" i="12"/>
  <c r="U102" i="12"/>
  <c r="U101" i="12"/>
  <c r="W102" i="12"/>
  <c r="Z101" i="12"/>
  <c r="AG102" i="12"/>
  <c r="AL101" i="12"/>
  <c r="AH102" i="12"/>
  <c r="AG101" i="12"/>
  <c r="AN30" i="12"/>
  <c r="AN47" i="12"/>
  <c r="Y50" i="12"/>
  <c r="Y52" i="12" s="1"/>
  <c r="Y56" i="12"/>
  <c r="Y58" i="12"/>
  <c r="Y60" i="12" s="1"/>
  <c r="Y61" i="12" s="1"/>
  <c r="Y48" i="12"/>
  <c r="I50" i="12"/>
  <c r="I52" i="12" s="1"/>
  <c r="I56" i="12"/>
  <c r="I58" i="12" s="1"/>
  <c r="I48" i="12"/>
  <c r="Q176" i="20"/>
  <c r="O41" i="20"/>
  <c r="R88" i="20"/>
  <c r="S116" i="20"/>
  <c r="S88" i="20" s="1"/>
  <c r="AF34" i="12"/>
  <c r="M182" i="20"/>
  <c r="N101" i="12"/>
  <c r="J102" i="12"/>
  <c r="AK32" i="12"/>
  <c r="N174" i="20"/>
  <c r="AK22" i="12"/>
  <c r="AK34" i="12"/>
  <c r="N182" i="20"/>
  <c r="N183" i="20" s="1"/>
  <c r="L22" i="12"/>
  <c r="L38" i="12"/>
  <c r="L18" i="12"/>
  <c r="L44" i="12"/>
  <c r="AC101" i="12"/>
  <c r="AH101" i="12"/>
  <c r="AC102" i="12"/>
  <c r="AD102" i="12"/>
  <c r="AF89" i="12"/>
  <c r="AK89" i="12"/>
  <c r="AF91" i="12"/>
  <c r="R78" i="20"/>
  <c r="Q112" i="20"/>
  <c r="Q111" i="20" s="1"/>
  <c r="M102" i="12"/>
  <c r="N102" i="12"/>
  <c r="R101" i="12"/>
  <c r="AF79" i="12"/>
  <c r="AF95" i="12"/>
  <c r="AF77" i="12"/>
  <c r="AF60" i="12"/>
  <c r="AB61" i="12"/>
  <c r="M62" i="18"/>
  <c r="M68" i="18" s="1"/>
  <c r="N32" i="18"/>
  <c r="P78" i="18"/>
  <c r="Q78" i="18" s="1"/>
  <c r="R78" i="18" s="1"/>
  <c r="S78" i="18" s="1"/>
  <c r="T78" i="18" s="1"/>
  <c r="O78" i="18"/>
  <c r="P77" i="18"/>
  <c r="Q48" i="12"/>
  <c r="Q56" i="12"/>
  <c r="AK13" i="12"/>
  <c r="AK18" i="12"/>
  <c r="AK38" i="12"/>
  <c r="AK44" i="12"/>
  <c r="AP101" i="12"/>
  <c r="AA44" i="12"/>
  <c r="AK95" i="12"/>
  <c r="AK77" i="12"/>
  <c r="AK79" i="12"/>
  <c r="V101" i="12"/>
  <c r="Q101" i="12"/>
  <c r="J57" i="20"/>
  <c r="J58" i="20" s="1"/>
  <c r="J59" i="20" s="1"/>
  <c r="Q110" i="20"/>
  <c r="P109" i="20"/>
  <c r="R71" i="20"/>
  <c r="Q72" i="20"/>
  <c r="Z56" i="12"/>
  <c r="Z58" i="12" s="1"/>
  <c r="Z60" i="12" s="1"/>
  <c r="Z61" i="12" s="1"/>
  <c r="Z50" i="12"/>
  <c r="Z52" i="12" s="1"/>
  <c r="Z48" i="12"/>
  <c r="P89" i="20"/>
  <c r="Q90" i="20"/>
  <c r="P61" i="18"/>
  <c r="P19" i="18"/>
  <c r="P26" i="18" s="1"/>
  <c r="P27" i="18" s="1"/>
  <c r="Q15" i="18"/>
  <c r="P22" i="18"/>
  <c r="P23" i="18" s="1"/>
  <c r="P31" i="18"/>
  <c r="P64" i="18"/>
  <c r="L36" i="18"/>
  <c r="P38" i="18"/>
  <c r="Q17" i="18"/>
  <c r="P24" i="18"/>
  <c r="P25" i="18" s="1"/>
  <c r="P40" i="18"/>
  <c r="P44" i="18" s="1"/>
  <c r="P88" i="18"/>
  <c r="O51" i="20"/>
  <c r="AP13" i="12"/>
  <c r="AP38" i="12"/>
  <c r="AP18" i="12"/>
  <c r="AP41" i="12"/>
  <c r="Q42" i="18"/>
  <c r="K97" i="18"/>
  <c r="H48" i="12"/>
  <c r="H56" i="12"/>
  <c r="H58" i="12" s="1"/>
  <c r="H50" i="12"/>
  <c r="L47" i="12"/>
  <c r="Q34" i="12"/>
  <c r="J182" i="20"/>
  <c r="M52" i="12"/>
  <c r="AO102" i="12"/>
  <c r="AO101" i="12"/>
  <c r="AK60" i="12"/>
  <c r="AG61" i="12"/>
  <c r="AF50" i="12"/>
  <c r="O86" i="20"/>
  <c r="O87" i="20" s="1"/>
  <c r="U84" i="20"/>
  <c r="Q101" i="20"/>
  <c r="Q102" i="20" s="1"/>
  <c r="Q106" i="20" s="1"/>
  <c r="Q107" i="20" s="1"/>
  <c r="Q69" i="20"/>
  <c r="Q73" i="20" s="1"/>
  <c r="Q74" i="20" s="1"/>
  <c r="Q91" i="18"/>
  <c r="S45" i="18"/>
  <c r="Q96" i="18"/>
  <c r="R30" i="12"/>
  <c r="V29" i="12"/>
  <c r="V30" i="12" s="1"/>
  <c r="R47" i="12"/>
  <c r="V34" i="12"/>
  <c r="K182" i="20"/>
  <c r="K183" i="20" s="1"/>
  <c r="R72" i="18"/>
  <c r="Q62" i="20"/>
  <c r="Q127" i="20" s="1"/>
  <c r="AK50" i="12"/>
  <c r="AK48" i="12"/>
  <c r="M209" i="20"/>
  <c r="M55" i="20"/>
  <c r="N55" i="20"/>
  <c r="AK58" i="12"/>
  <c r="AF56" i="12"/>
  <c r="R136" i="20"/>
  <c r="Q137" i="20"/>
  <c r="R70" i="20"/>
  <c r="O73" i="20"/>
  <c r="O74" i="20" s="1"/>
  <c r="O75" i="20" s="1"/>
  <c r="U69" i="20"/>
  <c r="Q13" i="12"/>
  <c r="Q38" i="12"/>
  <c r="V13" i="12"/>
  <c r="Q44" i="12"/>
  <c r="Q41" i="12"/>
  <c r="Q22" i="12"/>
  <c r="N97" i="18"/>
  <c r="O97" i="18"/>
  <c r="AF13" i="12"/>
  <c r="P48" i="12"/>
  <c r="P56" i="12"/>
  <c r="P58" i="12"/>
  <c r="Q58" i="12" s="1"/>
  <c r="P50" i="12"/>
  <c r="P52" i="12" s="1"/>
  <c r="AP47" i="12"/>
  <c r="AL48" i="12"/>
  <c r="AL50" i="12"/>
  <c r="AL56" i="12"/>
  <c r="AL58" i="12" s="1"/>
  <c r="K50" i="12"/>
  <c r="K52" i="12" s="1"/>
  <c r="K56" i="12"/>
  <c r="K58" i="12" s="1"/>
  <c r="K48" i="12"/>
  <c r="AK30" i="12"/>
  <c r="A225" i="20"/>
  <c r="Q224" i="20"/>
  <c r="Q238" i="20" s="1"/>
  <c r="P224" i="20"/>
  <c r="P238" i="20" s="1"/>
  <c r="R224" i="20"/>
  <c r="T224" i="20"/>
  <c r="T238" i="20" s="1"/>
  <c r="S224" i="20"/>
  <c r="S238" i="20" s="1"/>
  <c r="O102" i="20"/>
  <c r="U101" i="20"/>
  <c r="AD101" i="12"/>
  <c r="Y102" i="12"/>
  <c r="Y101" i="12"/>
  <c r="AA47" i="12"/>
  <c r="W58" i="12"/>
  <c r="W50" i="12"/>
  <c r="W48" i="12"/>
  <c r="W56" i="12"/>
  <c r="P66" i="18"/>
  <c r="AA38" i="12"/>
  <c r="X48" i="12"/>
  <c r="X56" i="12"/>
  <c r="X58" i="12" s="1"/>
  <c r="X60" i="12" s="1"/>
  <c r="X61" i="12" s="1"/>
  <c r="X50" i="12"/>
  <c r="X52" i="12" s="1"/>
  <c r="AF98" i="12"/>
  <c r="AF100" i="12"/>
  <c r="AF58" i="12"/>
  <c r="AA32" i="12"/>
  <c r="L174" i="20"/>
  <c r="Q147" i="20"/>
  <c r="R148" i="20"/>
  <c r="L82" i="18"/>
  <c r="S57" i="20"/>
  <c r="R68" i="20"/>
  <c r="R58" i="20"/>
  <c r="P84" i="20"/>
  <c r="P86" i="20" s="1"/>
  <c r="Q85" i="20"/>
  <c r="S142" i="20"/>
  <c r="L58" i="12" l="1"/>
  <c r="AL60" i="12"/>
  <c r="S70" i="20"/>
  <c r="T45" i="18"/>
  <c r="R42" i="18"/>
  <c r="R85" i="20"/>
  <c r="Q84" i="20"/>
  <c r="Q86" i="20" s="1"/>
  <c r="L172" i="20"/>
  <c r="L173" i="20" s="1"/>
  <c r="L175" i="20"/>
  <c r="R238" i="20"/>
  <c r="L48" i="12"/>
  <c r="L56" i="12"/>
  <c r="N172" i="20"/>
  <c r="N173" i="20" s="1"/>
  <c r="N175" i="20"/>
  <c r="Q90" i="18"/>
  <c r="R91" i="18"/>
  <c r="AK61" i="12"/>
  <c r="N189" i="20"/>
  <c r="N190" i="20" s="1"/>
  <c r="N191" i="20" s="1"/>
  <c r="Q38" i="18"/>
  <c r="Q40" i="18"/>
  <c r="Q44" i="18" s="1"/>
  <c r="R17" i="18"/>
  <c r="Q24" i="18"/>
  <c r="Q25" i="18" s="1"/>
  <c r="S71" i="20"/>
  <c r="S72" i="20" s="1"/>
  <c r="R72" i="20"/>
  <c r="AF61" i="12"/>
  <c r="M189" i="20"/>
  <c r="M190" i="20" s="1"/>
  <c r="M191" i="20" s="1"/>
  <c r="R112" i="20"/>
  <c r="R111" i="20" s="1"/>
  <c r="S78" i="20"/>
  <c r="S112" i="20" s="1"/>
  <c r="S111" i="20" s="1"/>
  <c r="Q66" i="18"/>
  <c r="P65" i="18"/>
  <c r="S136" i="20"/>
  <c r="S137" i="20" s="1"/>
  <c r="R137" i="20"/>
  <c r="M211" i="20"/>
  <c r="M129" i="20"/>
  <c r="N211" i="20"/>
  <c r="R48" i="12"/>
  <c r="R56" i="12"/>
  <c r="V47" i="12"/>
  <c r="R58" i="12"/>
  <c r="R50" i="12"/>
  <c r="P90" i="18"/>
  <c r="P93" i="18" s="1"/>
  <c r="H52" i="12"/>
  <c r="L50" i="12"/>
  <c r="Q89" i="20"/>
  <c r="R90" i="20"/>
  <c r="AK92" i="12"/>
  <c r="AF92" i="12"/>
  <c r="AF52" i="12"/>
  <c r="M185" i="20"/>
  <c r="M186" i="20" s="1"/>
  <c r="R15" i="18"/>
  <c r="Q61" i="18"/>
  <c r="Q22" i="18"/>
  <c r="Q23" i="18" s="1"/>
  <c r="Q19" i="18"/>
  <c r="Q26" i="18" s="1"/>
  <c r="Q27" i="18" s="1"/>
  <c r="Q64" i="18"/>
  <c r="Q31" i="18"/>
  <c r="R69" i="20"/>
  <c r="R73" i="20" s="1"/>
  <c r="R74" i="20" s="1"/>
  <c r="R101" i="20"/>
  <c r="R102" i="20" s="1"/>
  <c r="R106" i="20" s="1"/>
  <c r="R107" i="20" s="1"/>
  <c r="AF101" i="12"/>
  <c r="M57" i="20"/>
  <c r="M58" i="20" s="1"/>
  <c r="M59" i="20" s="1"/>
  <c r="P225" i="20"/>
  <c r="P239" i="20" s="1"/>
  <c r="A226" i="20"/>
  <c r="S225" i="20"/>
  <c r="T225" i="20"/>
  <c r="T239" i="20" s="1"/>
  <c r="AL52" i="12"/>
  <c r="Q109" i="20"/>
  <c r="R110" i="20"/>
  <c r="Q77" i="18"/>
  <c r="R176" i="20"/>
  <c r="T48" i="18"/>
  <c r="S52" i="18"/>
  <c r="S68" i="20"/>
  <c r="S58" i="20"/>
  <c r="O106" i="20"/>
  <c r="U102" i="20"/>
  <c r="AK52" i="12"/>
  <c r="N185" i="20"/>
  <c r="N186" i="20" s="1"/>
  <c r="AK101" i="12"/>
  <c r="M183" i="20"/>
  <c r="M172" i="20"/>
  <c r="M173" i="20" s="1"/>
  <c r="M82" i="18"/>
  <c r="L84" i="18"/>
  <c r="L85" i="18" s="1"/>
  <c r="AA50" i="12"/>
  <c r="W52" i="12"/>
  <c r="AP48" i="12"/>
  <c r="AP56" i="12"/>
  <c r="O80" i="20"/>
  <c r="R96" i="18"/>
  <c r="Q50" i="12"/>
  <c r="AN48" i="12"/>
  <c r="AN50" i="12"/>
  <c r="AN52" i="12" s="1"/>
  <c r="AN56" i="12"/>
  <c r="AN58" i="12"/>
  <c r="AN60" i="12" s="1"/>
  <c r="AN61" i="12" s="1"/>
  <c r="K172" i="20"/>
  <c r="K173" i="20" s="1"/>
  <c r="K175" i="20"/>
  <c r="AA56" i="12"/>
  <c r="AA48" i="12"/>
  <c r="T142" i="20"/>
  <c r="R147" i="20"/>
  <c r="S148" i="20"/>
  <c r="S147" i="20" s="1"/>
  <c r="W60" i="12"/>
  <c r="AA58" i="12"/>
  <c r="S72" i="18"/>
  <c r="R62" i="20"/>
  <c r="R127" i="20" s="1"/>
  <c r="O93" i="20"/>
  <c r="J183" i="20"/>
  <c r="J172" i="20"/>
  <c r="J173" i="20" s="1"/>
  <c r="P41" i="18"/>
  <c r="P76" i="18" s="1"/>
  <c r="Q88" i="18"/>
  <c r="P51" i="20"/>
  <c r="N62" i="18"/>
  <c r="N68" i="18" s="1"/>
  <c r="N70" i="18" s="1"/>
  <c r="N71" i="18" s="1"/>
  <c r="N73" i="18" s="1"/>
  <c r="O32" i="18"/>
  <c r="N33" i="18"/>
  <c r="N35" i="18" s="1"/>
  <c r="P95" i="18" l="1"/>
  <c r="Q225" i="20"/>
  <c r="V50" i="12"/>
  <c r="R52" i="12"/>
  <c r="W61" i="12"/>
  <c r="AA60" i="12"/>
  <c r="S96" i="18"/>
  <c r="N82" i="18"/>
  <c r="M84" i="18"/>
  <c r="M85" i="18" s="1"/>
  <c r="O107" i="20"/>
  <c r="O108" i="20" s="1"/>
  <c r="U106" i="20"/>
  <c r="R77" i="18"/>
  <c r="V58" i="12"/>
  <c r="R60" i="12"/>
  <c r="S91" i="18"/>
  <c r="AA52" i="12"/>
  <c r="L185" i="20"/>
  <c r="L186" i="20" s="1"/>
  <c r="V48" i="12"/>
  <c r="V56" i="12"/>
  <c r="Q93" i="18"/>
  <c r="R109" i="20"/>
  <c r="S110" i="20"/>
  <c r="S109" i="20" s="1"/>
  <c r="P32" i="18"/>
  <c r="O62" i="18"/>
  <c r="O68" i="18" s="1"/>
  <c r="O33" i="18"/>
  <c r="O10" i="20"/>
  <c r="O42" i="20"/>
  <c r="O37" i="20"/>
  <c r="O81" i="20"/>
  <c r="O82" i="20"/>
  <c r="S69" i="20"/>
  <c r="S73" i="20" s="1"/>
  <c r="S74" i="20" s="1"/>
  <c r="S101" i="20"/>
  <c r="S102" i="20" s="1"/>
  <c r="S106" i="20" s="1"/>
  <c r="S107" i="20" s="1"/>
  <c r="P226" i="20"/>
  <c r="P240" i="20" s="1"/>
  <c r="A227" i="20"/>
  <c r="Q226" i="20"/>
  <c r="Q240" i="20" s="1"/>
  <c r="T226" i="20"/>
  <c r="R89" i="20"/>
  <c r="S90" i="20"/>
  <c r="S89" i="20" s="1"/>
  <c r="Q65" i="18"/>
  <c r="R66" i="18"/>
  <c r="N36" i="18"/>
  <c r="O35" i="18"/>
  <c r="S17" i="18"/>
  <c r="R40" i="18"/>
  <c r="R44" i="18" s="1"/>
  <c r="R24" i="18"/>
  <c r="R25" i="18" s="1"/>
  <c r="R38" i="18"/>
  <c r="S85" i="20"/>
  <c r="S84" i="20" s="1"/>
  <c r="S86" i="20" s="1"/>
  <c r="R84" i="20"/>
  <c r="R86" i="20" s="1"/>
  <c r="AP58" i="12"/>
  <c r="O12" i="20"/>
  <c r="O32" i="20"/>
  <c r="O94" i="20"/>
  <c r="O169" i="20"/>
  <c r="O27" i="20"/>
  <c r="O95" i="20"/>
  <c r="U48" i="18"/>
  <c r="T52" i="18"/>
  <c r="U52" i="18" s="1"/>
  <c r="L52" i="12"/>
  <c r="I185" i="20"/>
  <c r="I186" i="20" s="1"/>
  <c r="Q41" i="18"/>
  <c r="Q76" i="18" s="1"/>
  <c r="AP60" i="12"/>
  <c r="AL61" i="12"/>
  <c r="Q52" i="12"/>
  <c r="J185" i="20"/>
  <c r="J186" i="20" s="1"/>
  <c r="O74" i="18"/>
  <c r="P74" i="18" s="1"/>
  <c r="Q74" i="18" s="1"/>
  <c r="R74" i="18" s="1"/>
  <c r="S74" i="18" s="1"/>
  <c r="T74" i="18" s="1"/>
  <c r="O73" i="18"/>
  <c r="N61" i="20"/>
  <c r="N126" i="20" s="1"/>
  <c r="R88" i="18"/>
  <c r="Q51" i="20"/>
  <c r="T72" i="18"/>
  <c r="S62" i="20"/>
  <c r="S127" i="20" s="1"/>
  <c r="S176" i="20"/>
  <c r="AP50" i="12"/>
  <c r="R64" i="18"/>
  <c r="R19" i="18"/>
  <c r="R26" i="18" s="1"/>
  <c r="R27" i="18" s="1"/>
  <c r="R31" i="18"/>
  <c r="S15" i="18"/>
  <c r="R22" i="18"/>
  <c r="R23" i="18" s="1"/>
  <c r="R61" i="18"/>
  <c r="R41" i="18"/>
  <c r="S42" i="18"/>
  <c r="Q95" i="18" l="1"/>
  <c r="Q239" i="20"/>
  <c r="R225" i="20"/>
  <c r="R90" i="18"/>
  <c r="R93" i="18" s="1"/>
  <c r="O115" i="20"/>
  <c r="S22" i="18"/>
  <c r="S23" i="18" s="1"/>
  <c r="S31" i="18"/>
  <c r="T15" i="18"/>
  <c r="S64" i="18"/>
  <c r="S19" i="18"/>
  <c r="S26" i="18" s="1"/>
  <c r="S27" i="18" s="1"/>
  <c r="S61" i="18"/>
  <c r="T71" i="18"/>
  <c r="T70" i="18" s="1"/>
  <c r="T62" i="20"/>
  <c r="T127" i="20" s="1"/>
  <c r="S88" i="18"/>
  <c r="R51" i="20"/>
  <c r="R61" i="12"/>
  <c r="V60" i="12"/>
  <c r="P73" i="18"/>
  <c r="O71" i="18"/>
  <c r="O70" i="18" s="1"/>
  <c r="O69" i="18" s="1"/>
  <c r="O61" i="20"/>
  <c r="Q32" i="18"/>
  <c r="P62" i="18"/>
  <c r="P68" i="18" s="1"/>
  <c r="P33" i="18"/>
  <c r="AA61" i="12"/>
  <c r="L189" i="20"/>
  <c r="L190" i="20" s="1"/>
  <c r="L191" i="20" s="1"/>
  <c r="S41" i="18"/>
  <c r="AP52" i="12"/>
  <c r="O185" i="20"/>
  <c r="S24" i="18"/>
  <c r="S25" i="18" s="1"/>
  <c r="T17" i="18"/>
  <c r="S38" i="18"/>
  <c r="S40" i="18"/>
  <c r="S44" i="18" s="1"/>
  <c r="O82" i="18"/>
  <c r="N84" i="18"/>
  <c r="N85" i="18" s="1"/>
  <c r="V52" i="12"/>
  <c r="K185" i="20"/>
  <c r="K186" i="20" s="1"/>
  <c r="AP61" i="12"/>
  <c r="O189" i="20"/>
  <c r="O34" i="18"/>
  <c r="O87" i="18" s="1"/>
  <c r="P35" i="18"/>
  <c r="R226" i="20"/>
  <c r="R65" i="18"/>
  <c r="S66" i="18"/>
  <c r="S65" i="18" s="1"/>
  <c r="P227" i="20"/>
  <c r="P241" i="20" s="1"/>
  <c r="A228" i="20"/>
  <c r="R76" i="18"/>
  <c r="S77" i="18"/>
  <c r="S51" i="20" l="1"/>
  <c r="S76" i="18"/>
  <c r="Q73" i="18"/>
  <c r="P61" i="20"/>
  <c r="P71" i="18"/>
  <c r="P70" i="18" s="1"/>
  <c r="A229" i="20"/>
  <c r="Q228" i="20"/>
  <c r="Q242" i="20" s="1"/>
  <c r="P228" i="20"/>
  <c r="P242" i="20" s="1"/>
  <c r="O126" i="20"/>
  <c r="U61" i="20"/>
  <c r="O146" i="20"/>
  <c r="R95" i="18"/>
  <c r="T24" i="18"/>
  <c r="T38" i="18"/>
  <c r="T40" i="18"/>
  <c r="V61" i="12"/>
  <c r="K189" i="20"/>
  <c r="K190" i="20" s="1"/>
  <c r="K191" i="20" s="1"/>
  <c r="U70" i="18"/>
  <c r="P82" i="18"/>
  <c r="O84" i="18"/>
  <c r="P69" i="18"/>
  <c r="O118" i="20"/>
  <c r="O38" i="20"/>
  <c r="O26" i="20"/>
  <c r="R239" i="20"/>
  <c r="S239" i="20"/>
  <c r="O190" i="20"/>
  <c r="R240" i="20"/>
  <c r="S226" i="20"/>
  <c r="Q35" i="18"/>
  <c r="P34" i="18"/>
  <c r="P87" i="18" s="1"/>
  <c r="O186" i="20"/>
  <c r="Q62" i="18"/>
  <c r="Q68" i="18" s="1"/>
  <c r="R32" i="18"/>
  <c r="Q33" i="18"/>
  <c r="S90" i="18"/>
  <c r="S93" i="18" s="1"/>
  <c r="Q227" i="20"/>
  <c r="O98" i="18"/>
  <c r="O99" i="18" s="1"/>
  <c r="O50" i="20"/>
  <c r="T22" i="18"/>
  <c r="T31" i="18"/>
  <c r="T61" i="18"/>
  <c r="U61" i="18" s="1"/>
  <c r="T19" i="18"/>
  <c r="T26" i="18" s="1"/>
  <c r="T64" i="18"/>
  <c r="R35" i="18" l="1"/>
  <c r="Q34" i="18"/>
  <c r="Q87" i="18" s="1"/>
  <c r="A230" i="20"/>
  <c r="P229" i="20"/>
  <c r="P243" i="20" s="1"/>
  <c r="R229" i="20"/>
  <c r="R243" i="20" s="1"/>
  <c r="Q229" i="20"/>
  <c r="Q243" i="20" s="1"/>
  <c r="S240" i="20"/>
  <c r="T240" i="20"/>
  <c r="O150" i="20"/>
  <c r="U146" i="20"/>
  <c r="T27" i="18"/>
  <c r="U26" i="18"/>
  <c r="O43" i="20"/>
  <c r="O120" i="20"/>
  <c r="O119" i="20"/>
  <c r="O168" i="20"/>
  <c r="O11" i="20"/>
  <c r="O31" i="20"/>
  <c r="T41" i="18"/>
  <c r="T90" i="18"/>
  <c r="U40" i="18"/>
  <c r="T44" i="18"/>
  <c r="U44" i="18" s="1"/>
  <c r="O130" i="20"/>
  <c r="U126" i="20"/>
  <c r="P126" i="20"/>
  <c r="P130" i="20" s="1"/>
  <c r="P146" i="20"/>
  <c r="R62" i="18"/>
  <c r="R68" i="18" s="1"/>
  <c r="S32" i="18"/>
  <c r="R33" i="18"/>
  <c r="R73" i="18"/>
  <c r="Q61" i="20"/>
  <c r="Q71" i="18"/>
  <c r="Q70" i="18" s="1"/>
  <c r="Q69" i="18" s="1"/>
  <c r="T25" i="18"/>
  <c r="U24" i="18"/>
  <c r="Q241" i="20"/>
  <c r="R227" i="20"/>
  <c r="T23" i="18"/>
  <c r="U22" i="18"/>
  <c r="O85" i="18"/>
  <c r="P85" i="18"/>
  <c r="Q85" i="18" s="1"/>
  <c r="R85" i="18" s="1"/>
  <c r="S85" i="18" s="1"/>
  <c r="T85" i="18" s="1"/>
  <c r="P84" i="18"/>
  <c r="Q84" i="18" s="1"/>
  <c r="R84" i="18" s="1"/>
  <c r="S84" i="18" s="1"/>
  <c r="S95" i="18"/>
  <c r="P50" i="20"/>
  <c r="P98" i="18"/>
  <c r="P99" i="18" s="1"/>
  <c r="O54" i="20"/>
  <c r="Q82" i="18"/>
  <c r="R228" i="20"/>
  <c r="S62" i="18" l="1"/>
  <c r="S68" i="18" s="1"/>
  <c r="T32" i="18"/>
  <c r="S33" i="18"/>
  <c r="T93" i="18"/>
  <c r="U90" i="18"/>
  <c r="P54" i="20"/>
  <c r="O210" i="20"/>
  <c r="T76" i="18"/>
  <c r="U41" i="18"/>
  <c r="P81" i="18"/>
  <c r="P80" i="18" s="1"/>
  <c r="P79" i="18" s="1"/>
  <c r="S229" i="20"/>
  <c r="Q126" i="20"/>
  <c r="Q130" i="20" s="1"/>
  <c r="Q146" i="20"/>
  <c r="R241" i="20"/>
  <c r="S227" i="20"/>
  <c r="S73" i="18"/>
  <c r="R61" i="20"/>
  <c r="R71" i="18"/>
  <c r="R70" i="18" s="1"/>
  <c r="R69" i="18" s="1"/>
  <c r="U130" i="20"/>
  <c r="O132" i="20"/>
  <c r="O133" i="20" s="1"/>
  <c r="P230" i="20"/>
  <c r="P244" i="20" s="1"/>
  <c r="R230" i="20"/>
  <c r="A231" i="20"/>
  <c r="S230" i="20"/>
  <c r="S244" i="20" s="1"/>
  <c r="R34" i="18"/>
  <c r="R87" i="18" s="1"/>
  <c r="S35" i="18"/>
  <c r="R242" i="20"/>
  <c r="S228" i="20"/>
  <c r="R82" i="18"/>
  <c r="Q81" i="18"/>
  <c r="Q80" i="18" s="1"/>
  <c r="Q79" i="18" s="1"/>
  <c r="Q98" i="18"/>
  <c r="Q99" i="18" s="1"/>
  <c r="Q50" i="20"/>
  <c r="T79" i="18" l="1"/>
  <c r="U79" i="18" s="1"/>
  <c r="T95" i="18"/>
  <c r="U95" i="18" s="1"/>
  <c r="U76" i="18"/>
  <c r="P231" i="20"/>
  <c r="P245" i="20" s="1"/>
  <c r="A232" i="20"/>
  <c r="S231" i="20"/>
  <c r="Q231" i="20"/>
  <c r="Q245" i="20" s="1"/>
  <c r="R126" i="20"/>
  <c r="R130" i="20" s="1"/>
  <c r="R146" i="20"/>
  <c r="S243" i="20"/>
  <c r="T229" i="20"/>
  <c r="T243" i="20" s="1"/>
  <c r="P53" i="20"/>
  <c r="Q54" i="20"/>
  <c r="P210" i="20"/>
  <c r="R98" i="18"/>
  <c r="R99" i="18" s="1"/>
  <c r="R50" i="20"/>
  <c r="S69" i="18"/>
  <c r="S61" i="20"/>
  <c r="S71" i="18"/>
  <c r="S70" i="18" s="1"/>
  <c r="S82" i="18"/>
  <c r="S81" i="18" s="1"/>
  <c r="S80" i="18" s="1"/>
  <c r="S79" i="18" s="1"/>
  <c r="R81" i="18"/>
  <c r="R80" i="18" s="1"/>
  <c r="R79" i="18" s="1"/>
  <c r="S242" i="20"/>
  <c r="T228" i="20"/>
  <c r="T242" i="20" s="1"/>
  <c r="Q230" i="20"/>
  <c r="Q244" i="20" s="1"/>
  <c r="T230" i="20"/>
  <c r="T244" i="20" s="1"/>
  <c r="S241" i="20"/>
  <c r="T227" i="20"/>
  <c r="T241" i="20" s="1"/>
  <c r="S34" i="18"/>
  <c r="S87" i="18" s="1"/>
  <c r="T35" i="18"/>
  <c r="O144" i="20"/>
  <c r="T62" i="18"/>
  <c r="T68" i="18" s="1"/>
  <c r="T69" i="18" s="1"/>
  <c r="U69" i="18" s="1"/>
  <c r="T33" i="18"/>
  <c r="Q53" i="20" l="1"/>
  <c r="R54" i="20"/>
  <c r="Q210" i="20"/>
  <c r="P209" i="20"/>
  <c r="P59" i="20"/>
  <c r="P19" i="20" s="1"/>
  <c r="P181" i="20"/>
  <c r="P180" i="20" s="1"/>
  <c r="P55" i="20"/>
  <c r="P75" i="20"/>
  <c r="P80" i="20" s="1"/>
  <c r="P87" i="20"/>
  <c r="P93" i="20" s="1"/>
  <c r="R231" i="20"/>
  <c r="R245" i="20" s="1"/>
  <c r="S98" i="18"/>
  <c r="S99" i="18" s="1"/>
  <c r="S50" i="20"/>
  <c r="A233" i="20"/>
  <c r="P232" i="20"/>
  <c r="P246" i="20" s="1"/>
  <c r="Q232" i="20"/>
  <c r="Q246" i="20" s="1"/>
  <c r="R232" i="20"/>
  <c r="R246" i="20" s="1"/>
  <c r="T232" i="20"/>
  <c r="S126" i="20"/>
  <c r="S130" i="20" s="1"/>
  <c r="S146" i="20"/>
  <c r="R244" i="20"/>
  <c r="T34" i="18"/>
  <c r="T231" i="20"/>
  <c r="T245" i="20" s="1"/>
  <c r="P233" i="20" l="1"/>
  <c r="P247" i="20" s="1"/>
  <c r="R233" i="20"/>
  <c r="R247" i="20" s="1"/>
  <c r="S233" i="20"/>
  <c r="S247" i="20" s="1"/>
  <c r="Q233" i="20"/>
  <c r="Q247" i="20" s="1"/>
  <c r="T233" i="20"/>
  <c r="T247" i="20" s="1"/>
  <c r="P179" i="20"/>
  <c r="P21" i="20"/>
  <c r="P20" i="20"/>
  <c r="P22" i="20" s="1"/>
  <c r="S232" i="20"/>
  <c r="S246" i="20" s="1"/>
  <c r="P129" i="20"/>
  <c r="P211" i="20"/>
  <c r="P108" i="20"/>
  <c r="P115" i="20" s="1"/>
  <c r="T246" i="20"/>
  <c r="S245" i="20"/>
  <c r="P27" i="20"/>
  <c r="P12" i="20"/>
  <c r="P32" i="20"/>
  <c r="P169" i="20"/>
  <c r="S54" i="20"/>
  <c r="R53" i="20"/>
  <c r="R210" i="20"/>
  <c r="U34" i="18"/>
  <c r="T87" i="18"/>
  <c r="P26" i="20"/>
  <c r="P10" i="20"/>
  <c r="P42" i="20"/>
  <c r="P37" i="20"/>
  <c r="Q209" i="20"/>
  <c r="Q181" i="20"/>
  <c r="Q180" i="20" s="1"/>
  <c r="Q55" i="20"/>
  <c r="Q59" i="20"/>
  <c r="Q19" i="20" s="1"/>
  <c r="Q75" i="20"/>
  <c r="Q80" i="20" s="1"/>
  <c r="Q87" i="20"/>
  <c r="Q93" i="20" s="1"/>
  <c r="Q179" i="20" l="1"/>
  <c r="P118" i="20"/>
  <c r="P38" i="20"/>
  <c r="Q129" i="20"/>
  <c r="Q211" i="20"/>
  <c r="Q108" i="20"/>
  <c r="Q115" i="20" s="1"/>
  <c r="T98" i="18"/>
  <c r="U87" i="18"/>
  <c r="T50" i="20"/>
  <c r="P140" i="20"/>
  <c r="P132" i="20"/>
  <c r="P133" i="20" s="1"/>
  <c r="P150" i="20"/>
  <c r="R209" i="20"/>
  <c r="R181" i="20"/>
  <c r="R180" i="20" s="1"/>
  <c r="R55" i="20"/>
  <c r="R59" i="20"/>
  <c r="R19" i="20" s="1"/>
  <c r="R75" i="20"/>
  <c r="R80" i="20" s="1"/>
  <c r="R87" i="20"/>
  <c r="R93" i="20" s="1"/>
  <c r="Q42" i="20"/>
  <c r="Q10" i="20"/>
  <c r="Q37" i="20"/>
  <c r="Q32" i="20"/>
  <c r="Q169" i="20"/>
  <c r="Q27" i="20"/>
  <c r="Q12" i="20"/>
  <c r="S53" i="20"/>
  <c r="S210" i="20"/>
  <c r="Q21" i="20"/>
  <c r="Q20" i="20"/>
  <c r="Q22" i="20" s="1"/>
  <c r="R179" i="20" l="1"/>
  <c r="R32" i="20"/>
  <c r="R12" i="20"/>
  <c r="R27" i="20"/>
  <c r="R169" i="20"/>
  <c r="P144" i="20"/>
  <c r="Q118" i="20"/>
  <c r="Q38" i="20"/>
  <c r="Q140" i="20"/>
  <c r="Q132" i="20"/>
  <c r="Q133" i="20" s="1"/>
  <c r="Q150" i="20"/>
  <c r="P43" i="20"/>
  <c r="P168" i="20"/>
  <c r="P11" i="20"/>
  <c r="P31" i="20"/>
  <c r="S209" i="20"/>
  <c r="S181" i="20"/>
  <c r="S180" i="20" s="1"/>
  <c r="S59" i="20"/>
  <c r="S19" i="20" s="1"/>
  <c r="S55" i="20"/>
  <c r="S75" i="20"/>
  <c r="S80" i="20" s="1"/>
  <c r="S87" i="20"/>
  <c r="S93" i="20" s="1"/>
  <c r="R21" i="20"/>
  <c r="R22" i="20"/>
  <c r="R20" i="20"/>
  <c r="R211" i="20"/>
  <c r="R129" i="20"/>
  <c r="R108" i="20"/>
  <c r="R115" i="20" s="1"/>
  <c r="R26" i="20" s="1"/>
  <c r="T53" i="20"/>
  <c r="U50" i="20"/>
  <c r="U98" i="18"/>
  <c r="T99" i="18"/>
  <c r="R37" i="20"/>
  <c r="R10" i="20"/>
  <c r="R42" i="20"/>
  <c r="Q26" i="20"/>
  <c r="S179" i="20" l="1"/>
  <c r="S22" i="20"/>
  <c r="S21" i="20"/>
  <c r="S20" i="20"/>
  <c r="S211" i="20"/>
  <c r="S129" i="20"/>
  <c r="S108" i="20"/>
  <c r="S115" i="20" s="1"/>
  <c r="Q11" i="20"/>
  <c r="Q43" i="20"/>
  <c r="Q168" i="20"/>
  <c r="Q31" i="20"/>
  <c r="R118" i="20"/>
  <c r="R38" i="20"/>
  <c r="R140" i="20"/>
  <c r="R132" i="20"/>
  <c r="R133" i="20" s="1"/>
  <c r="R150" i="20"/>
  <c r="S12" i="20"/>
  <c r="S27" i="20"/>
  <c r="S32" i="20"/>
  <c r="S169" i="20"/>
  <c r="T209" i="20"/>
  <c r="T181" i="20"/>
  <c r="T180" i="20" s="1"/>
  <c r="T179" i="20" s="1"/>
  <c r="T59" i="20"/>
  <c r="T55" i="20"/>
  <c r="T75" i="20"/>
  <c r="U53" i="20"/>
  <c r="T87" i="20"/>
  <c r="S10" i="20"/>
  <c r="S37" i="20"/>
  <c r="S42" i="20"/>
  <c r="Q144" i="20"/>
  <c r="T80" i="20" l="1"/>
  <c r="U75" i="20"/>
  <c r="R144" i="20"/>
  <c r="T19" i="20"/>
  <c r="U59" i="20"/>
  <c r="S140" i="20"/>
  <c r="S132" i="20"/>
  <c r="S133" i="20" s="1"/>
  <c r="S150" i="20"/>
  <c r="T211" i="20"/>
  <c r="T129" i="20"/>
  <c r="U209" i="20"/>
  <c r="T108" i="20"/>
  <c r="S118" i="20"/>
  <c r="S38" i="20"/>
  <c r="R11" i="20"/>
  <c r="R168" i="20"/>
  <c r="R43" i="20"/>
  <c r="R31" i="20"/>
  <c r="S26" i="20"/>
  <c r="S249" i="20" a="1"/>
  <c r="S249" i="20" s="1"/>
  <c r="S250" i="20" s="1"/>
  <c r="S152" i="20" s="1"/>
  <c r="S155" i="20" s="1"/>
  <c r="S252" i="20" a="1"/>
  <c r="S252" i="20" s="1"/>
  <c r="S253" i="20" s="1"/>
  <c r="Q249" i="20" a="1"/>
  <c r="Q249" i="20" s="1"/>
  <c r="Q250" i="20" s="1"/>
  <c r="Q152" i="20" s="1"/>
  <c r="Q155" i="20" s="1"/>
  <c r="P249" i="20" a="1"/>
  <c r="P249" i="20" s="1"/>
  <c r="P250" i="20" s="1"/>
  <c r="P152" i="20" s="1"/>
  <c r="P155" i="20" s="1"/>
  <c r="Q252" i="20" a="1"/>
  <c r="Q252" i="20" s="1"/>
  <c r="Q253" i="20" s="1"/>
  <c r="T93" i="20"/>
  <c r="U87" i="20"/>
  <c r="Q14" i="20" l="1"/>
  <c r="Q170" i="20" s="1"/>
  <c r="Q182" i="20" s="1"/>
  <c r="T20" i="20"/>
  <c r="T22" i="20" s="1"/>
  <c r="T21" i="20"/>
  <c r="U19" i="20"/>
  <c r="T12" i="20"/>
  <c r="U12" i="20" s="1"/>
  <c r="T169" i="20"/>
  <c r="T27" i="20"/>
  <c r="U27" i="20" s="1"/>
  <c r="T32" i="20"/>
  <c r="U32" i="20" s="1"/>
  <c r="U93" i="20"/>
  <c r="Q157" i="20"/>
  <c r="Q25" i="20"/>
  <c r="Q36" i="20" s="1"/>
  <c r="Q28" i="20"/>
  <c r="Q39" i="20"/>
  <c r="T140" i="20"/>
  <c r="U129" i="20"/>
  <c r="T132" i="20"/>
  <c r="T133" i="20" s="1"/>
  <c r="T150" i="20"/>
  <c r="U150" i="20" s="1"/>
  <c r="S14" i="20"/>
  <c r="S170" i="20" s="1"/>
  <c r="S182" i="20" s="1"/>
  <c r="T249" i="20" a="1"/>
  <c r="T249" i="20" s="1"/>
  <c r="T250" i="20" s="1"/>
  <c r="T152" i="20" s="1"/>
  <c r="T155" i="20" s="1"/>
  <c r="T252" i="20" a="1"/>
  <c r="T252" i="20" s="1"/>
  <c r="T253" i="20" s="1"/>
  <c r="R249" i="20" a="1"/>
  <c r="R249" i="20" s="1"/>
  <c r="R250" i="20" s="1"/>
  <c r="R152" i="20" s="1"/>
  <c r="R155" i="20" s="1"/>
  <c r="O249" i="20" a="1"/>
  <c r="O249" i="20" s="1"/>
  <c r="O252" i="20" a="1"/>
  <c r="O252" i="20" s="1"/>
  <c r="T26" i="20"/>
  <c r="U26" i="20" s="1"/>
  <c r="T37" i="20"/>
  <c r="U37" i="20" s="1"/>
  <c r="T42" i="20"/>
  <c r="U42" i="20" s="1"/>
  <c r="T10" i="20"/>
  <c r="U10" i="20" s="1"/>
  <c r="U80" i="20"/>
  <c r="P157" i="20"/>
  <c r="P25" i="20"/>
  <c r="P36" i="20" s="1"/>
  <c r="P28" i="20"/>
  <c r="P39" i="20"/>
  <c r="S11" i="20"/>
  <c r="S168" i="20"/>
  <c r="S43" i="20"/>
  <c r="S31" i="20"/>
  <c r="S25" i="20"/>
  <c r="S36" i="20" s="1"/>
  <c r="S28" i="20"/>
  <c r="P252" i="20" a="1"/>
  <c r="P252" i="20" s="1"/>
  <c r="P253" i="20" s="1"/>
  <c r="T115" i="20"/>
  <c r="U108" i="20"/>
  <c r="S144" i="20"/>
  <c r="S157" i="20" s="1"/>
  <c r="S39" i="20"/>
  <c r="R252" i="20" a="1"/>
  <c r="R252" i="20" s="1"/>
  <c r="R253" i="20" s="1"/>
  <c r="S9" i="20" l="1"/>
  <c r="S33" i="20"/>
  <c r="S167" i="20"/>
  <c r="S174" i="20" s="1"/>
  <c r="S13" i="20"/>
  <c r="S159" i="20"/>
  <c r="S44" i="20"/>
  <c r="Q13" i="20"/>
  <c r="Q9" i="20"/>
  <c r="Q159" i="20"/>
  <c r="Q33" i="20"/>
  <c r="Q167" i="20"/>
  <c r="Q174" i="20" s="1"/>
  <c r="Q44" i="20"/>
  <c r="U252" i="20"/>
  <c r="O253" i="20"/>
  <c r="T28" i="20"/>
  <c r="T25" i="20"/>
  <c r="T36" i="20" s="1"/>
  <c r="U133" i="20"/>
  <c r="P9" i="20"/>
  <c r="P33" i="20"/>
  <c r="P159" i="20"/>
  <c r="P167" i="20"/>
  <c r="P174" i="20" s="1"/>
  <c r="P13" i="20"/>
  <c r="P44" i="20"/>
  <c r="T118" i="20"/>
  <c r="T38" i="20"/>
  <c r="U38" i="20" s="1"/>
  <c r="U115" i="20"/>
  <c r="O250" i="20"/>
  <c r="U249" i="20"/>
  <c r="P14" i="20"/>
  <c r="P170" i="20" s="1"/>
  <c r="P182" i="20" s="1"/>
  <c r="R157" i="20"/>
  <c r="R28" i="20"/>
  <c r="R39" i="20"/>
  <c r="R25" i="20"/>
  <c r="R36" i="20" s="1"/>
  <c r="U140" i="20"/>
  <c r="T144" i="20"/>
  <c r="U144" i="20" s="1"/>
  <c r="T14" i="20"/>
  <c r="R14" i="20"/>
  <c r="R170" i="20" s="1"/>
  <c r="R182" i="20" s="1"/>
  <c r="T39" i="20"/>
  <c r="P172" i="20" l="1"/>
  <c r="P173" i="20" s="1"/>
  <c r="O152" i="20"/>
  <c r="O155" i="20" s="1"/>
  <c r="U250" i="20"/>
  <c r="P30" i="20"/>
  <c r="P41" i="20" s="1"/>
  <c r="P8" i="20"/>
  <c r="P166" i="20"/>
  <c r="P165" i="20" s="1"/>
  <c r="P82" i="20"/>
  <c r="P95" i="20"/>
  <c r="P120" i="20"/>
  <c r="Q172" i="20"/>
  <c r="S172" i="20"/>
  <c r="S173" i="20" s="1"/>
  <c r="S175" i="20"/>
  <c r="T157" i="20"/>
  <c r="U253" i="20"/>
  <c r="O254" i="20"/>
  <c r="T11" i="20"/>
  <c r="U11" i="20" s="1"/>
  <c r="T168" i="20"/>
  <c r="T43" i="20"/>
  <c r="U43" i="20" s="1"/>
  <c r="U118" i="20"/>
  <c r="T31" i="20"/>
  <c r="U31" i="20" s="1"/>
  <c r="R9" i="20"/>
  <c r="R33" i="20"/>
  <c r="R159" i="20"/>
  <c r="R13" i="20"/>
  <c r="R167" i="20"/>
  <c r="R174" i="20" s="1"/>
  <c r="R44" i="20"/>
  <c r="T170" i="20"/>
  <c r="T182" i="20" s="1"/>
  <c r="U14" i="20"/>
  <c r="Q8" i="20"/>
  <c r="Q30" i="20"/>
  <c r="Q41" i="20" s="1"/>
  <c r="Q166" i="20"/>
  <c r="Q165" i="20" s="1"/>
  <c r="Q82" i="20"/>
  <c r="Q95" i="20"/>
  <c r="Q120" i="20"/>
  <c r="S8" i="20"/>
  <c r="S166" i="20"/>
  <c r="S165" i="20" s="1"/>
  <c r="S30" i="20"/>
  <c r="S41" i="20" s="1"/>
  <c r="S95" i="20"/>
  <c r="S82" i="20"/>
  <c r="S120" i="20"/>
  <c r="T167" i="20" l="1"/>
  <c r="T174" i="20" s="1"/>
  <c r="T9" i="20"/>
  <c r="T159" i="20" s="1"/>
  <c r="T33" i="20"/>
  <c r="T13" i="20"/>
  <c r="T44" i="20"/>
  <c r="R175" i="20"/>
  <c r="R172" i="20"/>
  <c r="P94" i="20"/>
  <c r="P81" i="20"/>
  <c r="P119" i="20"/>
  <c r="P158" i="20"/>
  <c r="P254" i="20"/>
  <c r="S81" i="20"/>
  <c r="S94" i="20"/>
  <c r="S254" i="20"/>
  <c r="S119" i="20"/>
  <c r="S158" i="20"/>
  <c r="Q173" i="20"/>
  <c r="Q175" i="20"/>
  <c r="O157" i="20"/>
  <c r="U155" i="20"/>
  <c r="O25" i="20"/>
  <c r="O28" i="20"/>
  <c r="U28" i="20" s="1"/>
  <c r="O39" i="20"/>
  <c r="U39" i="20" s="1"/>
  <c r="Q81" i="20"/>
  <c r="Q94" i="20"/>
  <c r="Q119" i="20"/>
  <c r="Q254" i="20"/>
  <c r="Q158" i="20"/>
  <c r="R8" i="20"/>
  <c r="R166" i="20"/>
  <c r="R165" i="20" s="1"/>
  <c r="R30" i="20"/>
  <c r="R41" i="20" s="1"/>
  <c r="R95" i="20"/>
  <c r="R82" i="20"/>
  <c r="R120" i="20"/>
  <c r="P175" i="20"/>
  <c r="O36" i="20" l="1"/>
  <c r="U36" i="20" s="1"/>
  <c r="U25" i="20"/>
  <c r="O13" i="20"/>
  <c r="U13" i="20" s="1"/>
  <c r="U157" i="20"/>
  <c r="O167" i="20"/>
  <c r="O158" i="20"/>
  <c r="O159" i="20"/>
  <c r="O33" i="20"/>
  <c r="U33" i="20" s="1"/>
  <c r="O44" i="20"/>
  <c r="U44" i="20" s="1"/>
  <c r="R94" i="20"/>
  <c r="R81" i="20"/>
  <c r="R119" i="20"/>
  <c r="R254" i="20"/>
  <c r="R158" i="20"/>
  <c r="T8" i="20"/>
  <c r="T166" i="20"/>
  <c r="T165" i="20" s="1"/>
  <c r="U165" i="20" s="1"/>
  <c r="U9" i="20"/>
  <c r="T30" i="20"/>
  <c r="T82" i="20"/>
  <c r="T95" i="20"/>
  <c r="T120" i="20"/>
  <c r="R173" i="20"/>
  <c r="T172" i="20"/>
  <c r="T175" i="20" l="1"/>
  <c r="U8" i="20"/>
  <c r="T81" i="20"/>
  <c r="T94" i="20"/>
  <c r="T254" i="20"/>
  <c r="T119" i="20"/>
  <c r="T158" i="20"/>
  <c r="T41" i="20"/>
  <c r="U41" i="20" s="1"/>
  <c r="U30" i="20"/>
  <c r="T173" i="20"/>
  <c r="U172" i="20"/>
  <c r="T186" i="20" l="1"/>
  <c r="T190" i="20"/>
  <c r="T189" i="20" l="1"/>
  <c r="U189" i="20" s="1"/>
  <c r="P190" i="20"/>
  <c r="T185" i="20"/>
  <c r="P186" i="20"/>
  <c r="P189" i="20" l="1"/>
  <c r="P193" i="20" s="1"/>
  <c r="Q190" i="20"/>
  <c r="Q186" i="20"/>
  <c r="P185" i="20"/>
  <c r="T197" i="20"/>
  <c r="U185" i="20"/>
  <c r="R186" i="20" l="1"/>
  <c r="Q185" i="20"/>
  <c r="R190" i="20"/>
  <c r="Q189" i="20"/>
  <c r="U197" i="20"/>
  <c r="Q193" i="20"/>
  <c r="R189" i="20" l="1"/>
  <c r="R193" i="20" s="1"/>
  <c r="S193" i="20" s="1"/>
  <c r="T193" i="20" s="1"/>
  <c r="S190" i="20"/>
  <c r="S189" i="20" s="1"/>
  <c r="S186" i="20"/>
  <c r="S185" i="20" s="1"/>
  <c r="R185" i="20"/>
  <c r="U193" i="20" l="1"/>
  <c r="T198" i="20"/>
  <c r="U198" i="20" l="1"/>
  <c r="T202" i="20"/>
  <c r="U202" i="20" l="1"/>
  <c r="T16" i="20"/>
  <c r="U16" i="20"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<sst xmlns="http://schemas.openxmlformats.org/spreadsheetml/2006/main" count="593" uniqueCount="377">
  <si>
    <t>Tab</t>
  </si>
  <si>
    <t>Notes</t>
  </si>
  <si>
    <t>Financials + KPIs</t>
  </si>
  <si>
    <t>Roku Valuation</t>
  </si>
  <si>
    <t>This work is licensed under a Creative Commons Attribution-Non-Commercial 4.0 International License.</t>
  </si>
  <si>
    <t>You may not use the material for commercial purposes without first obtaining written permission.</t>
  </si>
  <si>
    <t xml:space="preserve">2022, ARK Investment Management LLC. All content is original and has been researched and produced by ARK Investment Management LLC (“ARK”) unless otherwise stated herein. </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</si>
  <si>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</si>
  <si>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 xml:space="preserve">This material is intended only to provide observations and views of the author(s) at the time of writing, both of which are subject to change at any time without prior notice. Certain of the statements contained herein are statements of future expectations and other forward-looking statements that are based on ARK's current views and assumptions and involve known and unknown risks and uncertainties that could cause actual results, performance or events to differ materially from those expressed or implied in such statements. Past performance is no guarantee of future results. Equities may decline in value due to both real and perceived general market, economic, and industry conditions. </t>
  </si>
  <si>
    <t>Table of Contents</t>
  </si>
  <si>
    <t>Directions to use this model/file:</t>
  </si>
  <si>
    <r>
      <t xml:space="preserve">Given the vast number of inputs in this model, we recommend that the reader first review the Notes section with the </t>
    </r>
    <r>
      <rPr>
        <b/>
        <sz val="10"/>
        <color theme="1"/>
        <rFont val="Arial"/>
        <family val="2"/>
      </rPr>
      <t xml:space="preserve">Roku Valuation </t>
    </r>
    <r>
      <rPr>
        <sz val="10"/>
        <color theme="1"/>
        <rFont val="Arial"/>
        <family val="2"/>
      </rPr>
      <t>tab, starting in column AB, to understand how each of the segment forecasts operate.</t>
    </r>
  </si>
  <si>
    <t>Description</t>
  </si>
  <si>
    <t>This tab provides our valuation model, which allows you to manually adjust our key five-year drivers to your liking or toggle through our base, bear, and bull cases. To manually adjust the model, please type 0 in cell H3 and directly overwrite the red cells in column W to your liking. To view the model output under our base, bear, and bull case assumptions, please type 1, 2, or 3 respectively in cell H3, filled in red for clarity. ARK assumptions for each variable under each scenario are denoted in purple. All other non-core inputs that are editable are denoted in blue. Formula outputs are denoted in black.</t>
  </si>
  <si>
    <t>This tab provides historical financial data and Key Performance Indicators (KPIs) as provided Roku's in public filings, publicly available company materials, and earnings calls. Raw inputs are denoted in blue, while formula outputs are denoted in black.</t>
  </si>
  <si>
    <t>TAM</t>
  </si>
  <si>
    <r>
      <t xml:space="preserve">This tab provides our Total Addressable Market (TAM) forecasts that directly feed into the Rokul Valuation. Please note that many of the key drivers within the </t>
    </r>
    <r>
      <rPr>
        <b/>
        <sz val="10"/>
        <color theme="1"/>
        <rFont val="Arial"/>
        <family val="2"/>
      </rPr>
      <t>Roku Valuation</t>
    </r>
    <r>
      <rPr>
        <sz val="10"/>
        <color theme="1"/>
        <rFont val="Arial"/>
        <family val="2"/>
      </rPr>
      <t xml:space="preserve"> tab directly drive our forecasts within the </t>
    </r>
    <r>
      <rPr>
        <b/>
        <sz val="10"/>
        <color theme="1"/>
        <rFont val="Arial"/>
        <family val="2"/>
      </rPr>
      <t>TAM</t>
    </r>
    <r>
      <rPr>
        <sz val="10"/>
        <color theme="1"/>
        <rFont val="Arial"/>
        <family val="2"/>
      </rPr>
      <t xml:space="preserve"> tab. We have denoted all drivers as </t>
    </r>
    <r>
      <rPr>
        <sz val="10"/>
        <color theme="6"/>
        <rFont val="Arial"/>
        <family val="2"/>
      </rPr>
      <t xml:space="preserve">red </t>
    </r>
    <r>
      <rPr>
        <sz val="10"/>
        <rFont val="Arial"/>
        <family val="2"/>
      </rPr>
      <t xml:space="preserve">within this tab for clarity, but we advise that you change inputs in the </t>
    </r>
    <r>
      <rPr>
        <b/>
        <sz val="10"/>
        <rFont val="Arial"/>
        <family val="2"/>
      </rPr>
      <t xml:space="preserve">Roku Valuation tab </t>
    </r>
    <r>
      <rPr>
        <sz val="10"/>
        <rFont val="Arial"/>
        <family val="2"/>
      </rPr>
      <t xml:space="preserve">when possible rather than in the </t>
    </r>
    <r>
      <rPr>
        <b/>
        <sz val="10"/>
        <rFont val="Arial"/>
        <family val="2"/>
      </rPr>
      <t>TAM tab</t>
    </r>
    <r>
      <rPr>
        <sz val="10"/>
        <rFont val="Arial"/>
        <family val="2"/>
      </rPr>
      <t xml:space="preserve"> to avoid potential discontinuity in the model. Finally, w</t>
    </r>
    <r>
      <rPr>
        <sz val="10"/>
        <color theme="1"/>
        <rFont val="Arial"/>
        <family val="2"/>
      </rPr>
      <t xml:space="preserve">e note that we have denoted both first-party and third-party historical estimates in </t>
    </r>
    <r>
      <rPr>
        <sz val="10"/>
        <color theme="8"/>
        <rFont val="Arial"/>
        <family val="2"/>
      </rPr>
      <t>blue</t>
    </r>
    <r>
      <rPr>
        <sz val="10"/>
        <color theme="1"/>
        <rFont val="Arial"/>
        <family val="2"/>
      </rPr>
      <t>. Formula outputs are denoted in black.</t>
    </r>
  </si>
  <si>
    <t>Content Spend</t>
  </si>
  <si>
    <r>
      <t xml:space="preserve">This tab provides information on our methodology for approximating Roku's future content amortization expense using historical third-party estimates on Amazon Prime metrics as proxy. Specifically, we plot the yearly number of Amazon Prime households against the year-over-year growth in Amazon Prime Video's content amortization expense. After fitting a linear trendline on the aforementioned scatterplot, we use the trendline to feed our projection of Roku Active Accounts into the line to approximate Roku's content amortization expense growth in that year. All data from Roku's public filings and investor materials is denoted in </t>
    </r>
    <r>
      <rPr>
        <sz val="10"/>
        <color theme="8"/>
        <rFont val="Arial"/>
        <family val="2"/>
      </rPr>
      <t>blue</t>
    </r>
    <r>
      <rPr>
        <sz val="10"/>
        <rFont val="Arial"/>
        <family val="2"/>
      </rPr>
      <t xml:space="preserve">, while any third-party estimates are denoted in </t>
    </r>
    <r>
      <rPr>
        <sz val="10"/>
        <color theme="6"/>
        <rFont val="Arial"/>
        <family val="2"/>
      </rPr>
      <t>red</t>
    </r>
    <r>
      <rPr>
        <sz val="10"/>
        <rFont val="Arial"/>
        <family val="2"/>
      </rPr>
      <t>. Formula outputs are denoted in black.</t>
    </r>
  </si>
  <si>
    <t>Glossary</t>
  </si>
  <si>
    <t>Term</t>
  </si>
  <si>
    <t>CTV</t>
  </si>
  <si>
    <t xml:space="preserve">CTV, or connected TV, refers to television devices with a built-in operating system which enables the device to connect to the internet and support streamed video content. Examples of CTVs include Roku TVs, Amazon Fire TVs, and Apple TVs. </t>
  </si>
  <si>
    <t>OTT</t>
  </si>
  <si>
    <t>OTT stands for 'over-the-top' and refers to any streaming service or platform that delivers content via the internet as opposed to broadcast, cable, or satellite connections. Moreover, subscription OTT refers to any internet-based streaming platform that charges recurring fees to its users in exchange for content delivery. Examples of subscription OTT platforms include Netflix, Disney+, and HBO Max. Non-subscription OTT platforms usually can be divided into AVOD and TVOD platforms, both of which are defined below.</t>
  </si>
  <si>
    <t>AVOD</t>
  </si>
  <si>
    <t>AVOD refers to advertising-based video on demand platforms, which are OTT platforms that monetize via digital ads as opposed to direct fees from their users. AVOD platforms are usually free to consumers but require consumers to view advertisements in exchange for video content. Examples of AVOD platforms or OTT platforms with an AVOD tier include YouTube, Hulu, Pluto TV, and Sling TV.</t>
  </si>
  <si>
    <t>TVOD</t>
  </si>
  <si>
    <t>TVOD refers to transaction-based video on demand platforms, which are OTT platforms that allow users to purchase or rent specific video content directly on the platform. The most notable example of a platform with TVOD capabilities is Amazon Prime Video.</t>
  </si>
  <si>
    <t>SVOD</t>
  </si>
  <si>
    <t xml:space="preserve">SVOD refers to subscription-based video on demand platforms and is synonymous with subscription OTT. </t>
  </si>
  <si>
    <t>Impression</t>
  </si>
  <si>
    <t>An impression refers to a discrete ad that successfully shows itself to a consumer. If a viewer on an AVOD platform watches two 30-second ads, then the viewer has experienced two ad impressions.</t>
  </si>
  <si>
    <t>CPM</t>
  </si>
  <si>
    <t>CPM, or cost per mille, refers to an industry-standard ad metric which quotes the price paid by the advertiser to successfully deliver its ad a thousand times, or for the ad to log a thousand impressions.</t>
  </si>
  <si>
    <t>Case Toggle</t>
  </si>
  <si>
    <t>Summary</t>
  </si>
  <si>
    <t>Case</t>
  </si>
  <si>
    <t>Fiscal Year</t>
  </si>
  <si>
    <t>CAGR</t>
  </si>
  <si>
    <t>Manual</t>
  </si>
  <si>
    <t>Base</t>
  </si>
  <si>
    <t>Bear</t>
  </si>
  <si>
    <t>Bull</t>
  </si>
  <si>
    <t>in millions or millions USD unless denoted otherwise.</t>
  </si>
  <si>
    <t>key editable inputs / drivers are denoted in red, and ARK assumptions are denoted in purple.</t>
  </si>
  <si>
    <t>other editable inputs are denoted in blue.</t>
  </si>
  <si>
    <t>Total Revenue</t>
  </si>
  <si>
    <t>Platform Revenue</t>
  </si>
  <si>
    <t>3P Video Advertising Revenue</t>
  </si>
  <si>
    <t>1P Video Advertising Revenue</t>
  </si>
  <si>
    <t>Display Advertising Revenue</t>
  </si>
  <si>
    <t>Content Distribution Revenue</t>
  </si>
  <si>
    <t>Player Revenue</t>
  </si>
  <si>
    <t>Implied Price per Share</t>
  </si>
  <si>
    <t>Date</t>
  </si>
  <si>
    <t>Total Hours Streamed (billions)</t>
  </si>
  <si>
    <t>Attributable to 3P AVOD Platforms</t>
  </si>
  <si>
    <t>Attributable to The Roku Channel</t>
  </si>
  <si>
    <t>Attributable to Subscription OTT + Other</t>
  </si>
  <si>
    <t>Monetization over Total Hours Streamed</t>
  </si>
  <si>
    <t>Gross Platform Monetization per Hour (0s)</t>
  </si>
  <si>
    <t>Attributable to Video Ads</t>
  </si>
  <si>
    <t>Attributable to Display Ads</t>
  </si>
  <si>
    <t>Attributable to Content Distribution</t>
  </si>
  <si>
    <t>Net Platform Monetization per Hour (0s)</t>
  </si>
  <si>
    <t>Monetization over Targeted Hours Streamed</t>
  </si>
  <si>
    <t>Attributable to 3P Video Ads</t>
  </si>
  <si>
    <t>Attributable to 1P Video Ads</t>
  </si>
  <si>
    <t>Attributable to Display Ads and Content Distribution</t>
  </si>
  <si>
    <t>TAM Drivers</t>
  </si>
  <si>
    <t>Global Households with CTV</t>
  </si>
  <si>
    <t>We estimate that connected TVs (CTVs) currently penetrates 58% of global households with access to broadband. We believe this percentage will grow to 80% in 2026 as the shift from linear TV to streamed entertainment continues both in the U.S. and internationally. Please refer to the written companion piece for further color on our rationale.</t>
  </si>
  <si>
    <t>% of Global Households with Broadband</t>
  </si>
  <si>
    <t>Roku Active Accounts</t>
  </si>
  <si>
    <t>eMarketer (https://content-na1.emarketer.com/roku-remains-on-top-of-us-ctv-device-market) estimates that at the end of 2021, Roku penetrated more than 50% of CTV households in the U.S., making it the #1 CTV operating system (OS) provider in the country. In its first quarter earnings call of 2022 (https://image.roku.com/c3VwcG9ydC1B/1Q22-Roku-Shareholder-Letter.pdf), Roku's management reiterated that Roku also maintains the position as the #1 TV OS by total hours streamed in both Canada and Mexico. We believe that Roku will continue to maintain leadership in already penetrated markets and execute similarly in future international expansion efforts.</t>
  </si>
  <si>
    <t>% of Global Households with CTV</t>
  </si>
  <si>
    <t>% Growth</t>
  </si>
  <si>
    <t>Roku Daily Hours Streamed, per Active Account (0s)</t>
  </si>
  <si>
    <t>According to ARK research using data from Nielsen and eMarketer, the average US household consumed 8 hours of linear TV per day in 2021, or more than double that of the average daily hours streamed on Roku per Active Account. With our projected decline in linear TV viewership, we forecast in our base case that the daily hours streamed on Roku will nearly reach parity with linear TV viewing in the next five years. Please refer to the written companion piece for further color on our rationale.</t>
  </si>
  <si>
    <t>Annual Hours Streamed, per Active Account (0s)</t>
  </si>
  <si>
    <t>Number of SVOD Services per OTT Household (0s)</t>
  </si>
  <si>
    <t>This forecast is derived from internal ARK research. We assume that the global average for number of SVOD services per household lags that of the U.S. by two years.</t>
  </si>
  <si>
    <t>Monthly Spend per SVOD Service (0s)</t>
  </si>
  <si>
    <t>We assume a relatively low monthly ARPU per SVOD service as constant for the next five years for conservatism, especially given the heterogeneity in SVOD pricing from country to country.</t>
  </si>
  <si>
    <t>3P AVOD Advertising Drivers</t>
  </si>
  <si>
    <t>See line 57.</t>
  </si>
  <si>
    <t>Hours Attributable to AVOD Platforms ex The Roku Channel, per Active Account (0s)</t>
  </si>
  <si>
    <t>% of Daily Hours Streamed</t>
  </si>
  <si>
    <t>We assume that Roku users are already allocating 15% of their time to third party AVOD services (excluding The Roku Channel). We assume the share of AVOD viewing will increase meaningfully to 20-30% of all time spent on Roku as competition among third party SVOD providers leads to their downstream expansion into AVOD opportunities.</t>
  </si>
  <si>
    <t>Total Ad Minutes per Hour (0s)</t>
  </si>
  <si>
    <t>We assume that AVOD platforms on average allocate 4 minutes of advertising time per 30 minutes of viewing. We assume that allocation will grow to 6 minutes per 30 minutes by 2026, lower than standard primtime cable TV ad allocation of 7.5 minutes per 30 minutes (https://www.kantar.com/north-america/inspiration/coronavirus/paid-airtime-slows-on-major-us-networks-amid-covid-19).</t>
  </si>
  <si>
    <t>Video Impressions per Hour (0s)</t>
  </si>
  <si>
    <t>We assume that 1/4 of ad time will be allocated to 15 second ads and that the remaining 3/4 of ad time will be allocated to 30 second ads. We do not include longer introductory ads (as done in the case of Hulu) for simplicity.</t>
  </si>
  <si>
    <t>Daily Delivered Video Impressions, per Active Account (0s)</t>
  </si>
  <si>
    <t>Annual Delivered Video Impressions, per Active Account (0s)</t>
  </si>
  <si>
    <t>Total Annual Delivered Video Impressions</t>
  </si>
  <si>
    <t>Roku Advertisement Inventory Share</t>
  </si>
  <si>
    <t>Roku reported that it takes 30% of all inventory from publishers of which it keeps 100% of the associated revenue (https://developer.roku.com/docs/features/monetization/video-advertisements.md). We lower the inventory share to 20% in our bear case assuming Roku faces competitive pressure and keep it at 30% in both our base and bull cases as we do not believe Roku would subject its partners to harsher terms within the next five years.</t>
  </si>
  <si>
    <t>Video Ad Sell-Through Rate</t>
  </si>
  <si>
    <t>We suggest that a healthy sell-through rate for video ad inventory exceeds 60%. While we do not know Roku's sell-through rate on third party inventory, we assume sell-through is already around 60% and will remain stable over the next five years.</t>
  </si>
  <si>
    <t>Video Ad Target CPM (0s)</t>
  </si>
  <si>
    <t>We assume that the average video ad CPM rate ranges from $20 to $25, in line with the CPM range of YouTube video ads, and that Roku charges within this range.</t>
  </si>
  <si>
    <t>3P AVOD Video Advertising Revenue</t>
  </si>
  <si>
    <t>We calculate third party AVOD video advertising revenue by multiplying lines 55 to 58. We divide this metric by 1,000 to adjust for CPM, which is reported on a per-thousand impressions basis.</t>
  </si>
  <si>
    <t>% of Total Revenue</t>
  </si>
  <si>
    <t>% of Platform Revenue</t>
  </si>
  <si>
    <t>Total Daily Display Impressions, per Active Account</t>
  </si>
  <si>
    <t>As Multiple of Total Daily Hours Streamed, per Active Account</t>
  </si>
  <si>
    <t xml:space="preserve">We assume that the average household interacts with/is exposed to display ads approximately twice per hour streamed. We project this multiple as constant in our base case, and assume a multiple deviation of one unit in our bear and bull cases. </t>
  </si>
  <si>
    <t>Annual Display Impressions, per Active Account (0s)</t>
  </si>
  <si>
    <t>Total Annual Delivered Display Impressions</t>
  </si>
  <si>
    <t>Because we look at both third party and first party display ads as one category, we assume a slightly lower (blended) inventory share to account for Roku's 30% inventory share for third party display ad inventory alongside Roku's 20% take rate on all display ad transactions occuring through OneView. Thus, a 27% blended take rate implies that 2/3 of all display ad purchases go through third party DSPs whereas the remaining 1/3 goes through OneView.</t>
  </si>
  <si>
    <t>Display Ad Sell-Through Rate</t>
  </si>
  <si>
    <t>As % of Video Ad Sell-Through Rate</t>
  </si>
  <si>
    <t>We assume that the sell-through rate of display ads is higher than that of video ads, but we assume that this disparity will decrease through the next five years as both forms of ads evolve into more interactive formats.</t>
  </si>
  <si>
    <t>Display Ad Target CPM (0s)</t>
  </si>
  <si>
    <t>Our historical estimate and base case projection for display ad CPMs reflects roughly 1.5x the average CPM of Google display ads in 2021. We believe that this premium over browser-based display ads makes sense due to premiums for 1) higher costs of advertising on CTVs than browser/mobile formats and 2) the inclusion of first party display ads, which likely would charge higher CPMs due to the leveraging of first party Roku data.  We provide a 25 percentage point margin of error for our bear and bull cases.</t>
  </si>
  <si>
    <t>Total Display Advertising Revenue</t>
  </si>
  <si>
    <t>We calculate total dislay advertising revenue by multiplying lines 87 through 89 and 91. We divide this metric by 1,000 to adjust for CPM, which is reported on a per-thousand impressions basis.</t>
  </si>
  <si>
    <t>The Roku Channel + OneView Advertising Drivers</t>
  </si>
  <si>
    <t>Hours Attributable to The Roku Channel, per Active Account (0s)</t>
  </si>
  <si>
    <t>We assume that Roku users currently allocate 10% of their time to The Roku Channel, for a combined 25% of total streamed hours dedicated to The Roku Channel and third party AVOD services (while, we assume, the majority of the remaining 70% is allocated to paid SVOD services). As The Roku Channel's content library grows via both expansion of its Premium Subscriptions network and original content releases, we assume that the time spent on TRC will increase meaningfully to 15% for a combined 35% of total streamed hours dedicated to The Roku Channel and third party AVOD services.</t>
  </si>
  <si>
    <t>We assume that the current ad load of roughly 8 minutes on The Roku Channel will slightly increase to 10 minutes in the next five years. We believe increases in ad loads will be a trend shared by most, if not all, AVOD platforms in the next five years due to monetization efforts.</t>
  </si>
  <si>
    <t>For simplicity, we assume that all ad minutes will be allocated to 30 second ads.</t>
  </si>
  <si>
    <t>While Premium Subscriptions can pay Roku either via ad inventory or cash, we do not break gross advertising spend on The Roku Channel into the mentioned segments. Instead, we provide a slightly higher sell-through rate for video ads on The Roku Channel or ads going through OneView than for third party AVOD video ads to better represent Roku's economic advantage in advertising on The Roku Channel.</t>
  </si>
  <si>
    <t>% of 3P AVOD Video Ad Sell-Through Rate</t>
  </si>
  <si>
    <t>In our base case, we assume a 15% premium on first party sell through rates, resulting in video ad sell through rates of nearly 70%.</t>
  </si>
  <si>
    <t>OneView Video Ad Target CPM (0s)</t>
  </si>
  <si>
    <t>We assume that OneView commands a higher CPM than other third party AVOD CPMs due to the availability of first party Roku data, which provides visibility across the entire OS.</t>
  </si>
  <si>
    <t>OneView Premium</t>
  </si>
  <si>
    <t>In our base case, we assume that OneView commands a 25% CPM premium over third party video advertising CPMs.</t>
  </si>
  <si>
    <t>Gross Ad Spend on OneView</t>
  </si>
  <si>
    <t>We calculate first party gross ad spend by multiplying lines 108, 109, and 111. We divide this metric by 1,000 to adjust for CPM, which is reported on a per-thousand impressions basis.</t>
  </si>
  <si>
    <t>Roku Take Rate</t>
  </si>
  <si>
    <t>The Roku Channel / OneView Video Advertising Revenue</t>
  </si>
  <si>
    <t>We apply the above take rate to gross ad spend to calculate video advertising revenue attributable to The Roku Channel and/or OneView.</t>
  </si>
  <si>
    <t>Content Distribution</t>
  </si>
  <si>
    <t>See line 61.</t>
  </si>
  <si>
    <t>See line 62.</t>
  </si>
  <si>
    <t>See line 53.</t>
  </si>
  <si>
    <t>Number of New SVOD Services Purchased via Roku, per Active Account (0s)</t>
  </si>
  <si>
    <t>% of Total SVOD Services per OTT Household</t>
  </si>
  <si>
    <t>We assume that 20% of all new SVOD purchases by Roku households are initiated directly via Roku. Note that we separate out our consumption assumptions for third party SVOD platforms from Premium Subscriptions on The Roku Channel, which can be found on line 142. We assume that the number of new SVOD services purchased on Roku will decrease in our base and bear cases as the likelihood of a newly acquired household already paying for any SVOD platform increases over time.</t>
  </si>
  <si>
    <t>Net New SVOD Subscriptions</t>
  </si>
  <si>
    <t>Gross SVOD Revenue</t>
  </si>
  <si>
    <t>We multiply the net new SVOD subscriptions intiated on Roku by our assumption of annual spend per SVOD service ($7.99 x 12). While many of the revenue share agreements, we assume, are multi-year contracts in which Roku commands revenue share for subscription revenues accrued over the entire duration of the contract, we only account for the first year's revenue share for simplicity and to avoid making additional assumptions on cohort churn after the first year. We believe the accounting of only the first year allows us to arrive at a conservative projection.</t>
  </si>
  <si>
    <t>Number of TVOD Rentals Purchased Annually, per Active Account (0s)</t>
  </si>
  <si>
    <t>For simplicity, we assume that the average Roku household currently (digitally) rents streamed videos approximately once a year. We assume purchasing will increase over time as TVOD's role as cinema substitute matures and as non-SVOD OTT households expand consumption behavior outside of AVOD.</t>
  </si>
  <si>
    <t>% Old Titles</t>
  </si>
  <si>
    <t>We assume a constant 60% to 40% split in household rental purchasing behavior between older titles and new releases.</t>
  </si>
  <si>
    <t>% New Titles</t>
  </si>
  <si>
    <t>Average Rental Price, Old Titles (0s)</t>
  </si>
  <si>
    <t>We find that most older standalone titles on Amazon Prime commands a rental price ranging between $3.99 to $4.99. We take the simple average of the mentioned range.</t>
  </si>
  <si>
    <t>Average Rental Price, New Titles (0s)</t>
  </si>
  <si>
    <t>We find that most new release standalone titles on Amazon Prime commands a rental price ranging between $19.99 to $24.99. We take the simple average of the mentioned range.</t>
  </si>
  <si>
    <t>Gross TVOD Revenue</t>
  </si>
  <si>
    <t>Roku Transactional Channel Take Rate</t>
  </si>
  <si>
    <t>In its developer documentation (https://developer.roku.com/docs/features/monetization/monetization-overview.md), Roku reports that it retains 20% of net revenues derived from transactional channels on Roku.</t>
  </si>
  <si>
    <t>Net SVOD + TVOD Revenue</t>
  </si>
  <si>
    <t>We multiply Roku's take rate on both gross SVOD revenue and gross TVOD revenue to arrive at our net estimate and forecast.</t>
  </si>
  <si>
    <t>Number of New Premium Subscriptions Purchased on The Roku Channel, per Active Account (0s)</t>
  </si>
  <si>
    <t>We estimate and forecast the number of new Premium Subscriptions that Roku households purchase in a given year by multiplying lines 131 and 148. We take this product and multiply lines 61 and 147 to determine line 146. While we forecast Premium Subscriptions to contribute meaningfully to total platform revenue, we do not believe they will represent a large part of household consumption behavior.</t>
  </si>
  <si>
    <t>As a % of Non-Premium Subscriptions New SVOD Purchases on Roku</t>
  </si>
  <si>
    <t xml:space="preserve">  </t>
  </si>
  <si>
    <t>Monthly Spend per Premium Subscription (0s)</t>
  </si>
  <si>
    <t>Notable Premium Subscriptions on The Roku Channel include Showtime, STARZ, AMC+, and BET+, which have monthly prices ranging from $8.99/mo to $10.99/mo. We keep the price at $7.99/mo throughout the forecast for conservatism, as we assume a lower ARPU internationally in comparison to ARPU within the U.S.</t>
  </si>
  <si>
    <t>Gross Premium Subscriptions Revenue</t>
  </si>
  <si>
    <t>Roku recognizes this line item on a gross revenue basis. Roku pays a fixed fee per new subscriber or a percentage of revenue with each Premium Subscription provider, and this expenditure is recognized as COGS.</t>
  </si>
  <si>
    <t>Total Roku Player Units Sold</t>
  </si>
  <si>
    <t>Our work on forecasting the number of Roku Player units sold can be found starting on line 205.</t>
  </si>
  <si>
    <t>Number of Monetizable Branded Buttons on Roku Remotes (0s)</t>
  </si>
  <si>
    <t>We assume that the number of branded buttons on Roku remotes will remain constant at four total buttons over the next five years. We assume one of the four buttons will be allocated to The Roku Channel, leaving the remaining three as monetizable by third party content platforms.</t>
  </si>
  <si>
    <t>Fee per Branded Button Sold (0s)</t>
  </si>
  <si>
    <t>We approximate the fee per button sold by solving for the mentioned variable to ensure that total content distribution revenue represents roughly 1/3 of total platform revenue. We believe that the resulting $0.50 per button sold is reasonable.</t>
  </si>
  <si>
    <t>Branded Button Revenue</t>
  </si>
  <si>
    <t>Total Content Distribution Revenue</t>
  </si>
  <si>
    <t>We sum net SVOD and TVOD revenue, gross Premium Subscriptions revenue, and branded button revenue to calculate total content distribution revenue.</t>
  </si>
  <si>
    <t>Valuation Model</t>
  </si>
  <si>
    <t>We tuned 2021 assumptions such that content distribution made up roughly 1/3 of platform revenue.</t>
  </si>
  <si>
    <t>Video Ads</t>
  </si>
  <si>
    <t>Display Ads</t>
  </si>
  <si>
    <t>Please see line 205 onwards for player revenue calculations.</t>
  </si>
  <si>
    <t>Gross Profit</t>
  </si>
  <si>
    <t>Gross Margin</t>
  </si>
  <si>
    <t>Platform Gross Profit</t>
  </si>
  <si>
    <t>With ever-increasing competition among various streaming platforms, we assume that the content distribution segment will experience constant margins at 80% for the next five years with more downside than upside in our bear and bull cases respectively to illustrate resulting margin erosions from increased constumer acquisition costs in light of increased competition and content spend.</t>
  </si>
  <si>
    <t>We assume in our base case that video advertising margins will increase as OneView scales in volume, alongside meaningful cost declines from increased ROI due to ML model improvements.</t>
  </si>
  <si>
    <t>We assume high margins within display advertising and maintain margins in the forecast.</t>
  </si>
  <si>
    <t>Content Amortization Expense</t>
  </si>
  <si>
    <t>Plotting historical third party estimates of total Amazon Prime households against year-over-year growth in Amazon's content amortization expense, we fit a linear trendline to approximate the growth in Roku's future content expenditures using projected Roku households as the input. We believe that Roku will rely more on acquisitions and partnerships with Premium Subscriptions than on development of original content, so we believe that Roku's overall content amortization will not be as large as other SVOD/TVOD platforms. Please see the "Content Spend" tab for further information.</t>
  </si>
  <si>
    <t>Player Gross Profit</t>
  </si>
  <si>
    <t>We assume that gross margins on player devices and accessories will turn positive again within the next five years as supply chain bottlenecks ease. However, we believe that Roku will continue to use player devices to drive adoption in TV households internationally and thus would be willing to operate this segment at no gross profit.</t>
  </si>
  <si>
    <t>EBITDA</t>
  </si>
  <si>
    <t>EBITDA Margin</t>
  </si>
  <si>
    <t>As % of Gross Margin</t>
  </si>
  <si>
    <t>Assuming healthy operations, we believe Roku can achieve an EBITDA margin that is at least half of gross margin at maturity.</t>
  </si>
  <si>
    <t>Unlevered FCF</t>
  </si>
  <si>
    <t>Unlevered FCF Margin</t>
  </si>
  <si>
    <t>Assuming healthy operations, we believe Roku can achieve an unlevered FCF margin that is at least a quarter of gross margin at maturity.</t>
  </si>
  <si>
    <t>Net Cash</t>
  </si>
  <si>
    <t>We take Roku's FY21 net cash position (cash and short term equivalents - total debt) and add each year's unlevered free cash flow projection to approximate its net cash position until 2026.</t>
  </si>
  <si>
    <t>EV / EBITDA Multiple</t>
  </si>
  <si>
    <t>We use the entertainment software sector's average EV / EBITDA multiple of roughly 20x as a fair valuation multiple for Roku in five years (https://pages.stern.nyu.edu/~adamodar/New_Home_Page/datafile/vebitda.html).</t>
  </si>
  <si>
    <t>Implied Enterprise Value</t>
  </si>
  <si>
    <t>Current data is as of May 27, 2022 at market close.</t>
  </si>
  <si>
    <t>Implied Market Capitalization</t>
  </si>
  <si>
    <t>Total Shares Outstanding</t>
  </si>
  <si>
    <t>Current data is as of April 29, 2022.</t>
  </si>
  <si>
    <t>Annual Dilution</t>
  </si>
  <si>
    <t>We assume both in our base and bull cases an annual share dilution of 2.5%. We do not believe available cash poses a material constraint on growth.</t>
  </si>
  <si>
    <t>Current share price is as of May 27, 2022 at market close.</t>
  </si>
  <si>
    <t>Player + TV OEM Drivers</t>
  </si>
  <si>
    <t>See line 54.</t>
  </si>
  <si>
    <t>Net New Adds</t>
  </si>
  <si>
    <t>Refresh Cycle Inputs</t>
  </si>
  <si>
    <t>Please note that the inputs in lines 214 to 218 in column O are tuned to ensure that this section of the model outputs the correct player revenue released by Roku for FY 2021 end. Changing the inputs in this column can alter 2021 player revenue.</t>
  </si>
  <si>
    <t>% of Cohort that Replaces within 1 Year</t>
  </si>
  <si>
    <t>We assume that 7.5% of a given year's net new Active Accounts will either replace an existing Roku device or add another Roku device within the next year.</t>
  </si>
  <si>
    <t>Refresh Cycle Duration (Years)</t>
  </si>
  <si>
    <t>We assume that the average lifespan of a Roku TV or Player is 7 years, or the upper bound of the average CTV lifespan according to a variety of third party opinions. Due to lack of public data, we begin the cohort analysis with 2014's account additions, meaning that any renewals from any cohort before are not captured in this exercise.</t>
  </si>
  <si>
    <t>Retention Rate</t>
  </si>
  <si>
    <t>For simplicity, we do not consider cohort expansion and instead use a more aggressive retention rate of 95% (or 5% churn) per cohort.</t>
  </si>
  <si>
    <t>Average Cost of Player</t>
  </si>
  <si>
    <t>We assume that Player ASP will stay stable around the $40 mark due to pricing pressure from competitors.</t>
  </si>
  <si>
    <t>% of Replacement via Players</t>
  </si>
  <si>
    <t>While we assume that most renewals now are done via Roku Players given the proliferation of non-Roku smart TVs as well as 'decent-enough' HD TVs, we believe that most of the renewals will take place in the form of Roku TVs (rather than Players) by 2026.</t>
  </si>
  <si>
    <t>via Smart TVs</t>
  </si>
  <si>
    <t>Total Replaced by Cohort</t>
  </si>
  <si>
    <t>YoY Difference in Total Replaced by Cohort</t>
  </si>
  <si>
    <t>Implied Units Sold</t>
  </si>
  <si>
    <t>Implied Player Revenue</t>
  </si>
  <si>
    <t>We utilize a replacement schedule for each projected year's cohort, multiplying the percent of each cohort replacing their player device in a given year by the average player device price and percentage of that cohort replacing via separate players (such as streaming sticks) rather than via CTVs. We do not include Roku's revenue from revenue share agreements with TV OEM partners as we believe Roku will absorb the costs of licensing and distributing its OS to third party manufacturers to 'land and expand' with households via its larger opportunity set within advertising.</t>
  </si>
  <si>
    <t>Financials and Key Performance Metrics</t>
  </si>
  <si>
    <t>Period</t>
  </si>
  <si>
    <t>FQ</t>
  </si>
  <si>
    <t>FY</t>
  </si>
  <si>
    <t>Ending</t>
  </si>
  <si>
    <t>all items from public filings and company materials are denoted in blue.</t>
  </si>
  <si>
    <t>all outputs are denoted in black.</t>
  </si>
  <si>
    <t>Financials</t>
  </si>
  <si>
    <t>YoY Growth</t>
  </si>
  <si>
    <t>QoQ Growth</t>
  </si>
  <si>
    <t>Total Adjusted COGS</t>
  </si>
  <si>
    <t>GAAP Platform COGS</t>
  </si>
  <si>
    <t>GAAP Player COGS</t>
  </si>
  <si>
    <t>Total Adjusted Gross Profit</t>
  </si>
  <si>
    <t>Adjusted Gross Margin</t>
  </si>
  <si>
    <t>GAAP Platform Gross Profit</t>
  </si>
  <si>
    <t>GAAP Platform Gross Margin</t>
  </si>
  <si>
    <t>GAAP Player Gross Profit</t>
  </si>
  <si>
    <t>GAAP Player Gross Margin</t>
  </si>
  <si>
    <t>Total Adjusted Operating Expenses</t>
  </si>
  <si>
    <t>GAAP Research and Development</t>
  </si>
  <si>
    <t>GAAP Sales and Marketing</t>
  </si>
  <si>
    <t>GAAP General and Administrative</t>
  </si>
  <si>
    <t>Total Adjusted EBIT</t>
  </si>
  <si>
    <t>Adjusted EBIT Margin</t>
  </si>
  <si>
    <t>Total Adjusted EBITDA</t>
  </si>
  <si>
    <t>Adjusted EBITDA Margin</t>
  </si>
  <si>
    <t>Net Interest Income (Expense)</t>
  </si>
  <si>
    <t>Income Tax Income (Expense)</t>
  </si>
  <si>
    <t>Effective Tax Rate</t>
  </si>
  <si>
    <t>Adjusted NOPAT</t>
  </si>
  <si>
    <t>Sum of Selected Cash Flows</t>
  </si>
  <si>
    <t>Expenses from Amortization of ROU Assets</t>
  </si>
  <si>
    <t>Expenses from Amortization of Content Assets</t>
  </si>
  <si>
    <t>Key Performance Metrics</t>
  </si>
  <si>
    <t>Active Accounts</t>
  </si>
  <si>
    <t>Net Adds, Trailing Twelve Months</t>
  </si>
  <si>
    <t>Net Adds, Sequential</t>
  </si>
  <si>
    <t>Hours Streamed (billions)</t>
  </si>
  <si>
    <t>Average Platform Revenue per User, Trailing Twelve Months</t>
  </si>
  <si>
    <t>Average Platform Revenue per User, Monthly</t>
  </si>
  <si>
    <t>Average Player Revenue per Net New User, Trailing Twelve Months</t>
  </si>
  <si>
    <t>Total Hours Streamed per Account</t>
  </si>
  <si>
    <t>Daily</t>
  </si>
  <si>
    <t>Total Addressable Market</t>
  </si>
  <si>
    <t>FYE</t>
  </si>
  <si>
    <t>manual inputs are denoted in blue, and drivers are denoted in red.</t>
  </si>
  <si>
    <t>all other formula outputs are denoted in black.</t>
  </si>
  <si>
    <t>Digital Advertising</t>
  </si>
  <si>
    <t>Global Digital Advertising Spend</t>
  </si>
  <si>
    <t>Both historical and forecasted numbers are based on ARK research and data from S&amp;P Global Market Intelligence. Please refer to our Big Ideas 2022 and our "Global Digital Advertising Appears Poised for Significant Growth" blog for further additional color on our thesis.</t>
  </si>
  <si>
    <t>US Digital Advertising Spend</t>
  </si>
  <si>
    <t>Both historical and forecasted numbers are based on ARK research and data from S&amp;P Global Market Intelligence. Please refer to our "The Shift To E-commerce Could Boost The Digital Advertising Market From Approximately $180 Billion To $410 Billion By 2026" blog for further color.</t>
  </si>
  <si>
    <t>% of Total</t>
  </si>
  <si>
    <t>Rest of World (RoW) Digital Advertising Spend</t>
  </si>
  <si>
    <t>Global Population</t>
  </si>
  <si>
    <t>Historical numbers are from the World Bank. Forecast is based on a simple 5-year CAGR from 2015 to 2020, projected out until 2026.</t>
  </si>
  <si>
    <t>US Population</t>
  </si>
  <si>
    <t>Historical numbers are from the US Census Bureau. Forecast is based on a simple 5-year CAGR from 2016 to 2021, projected out until 2026.</t>
  </si>
  <si>
    <t>RoW Population</t>
  </si>
  <si>
    <t>Global Digital Ad Spend per Capita</t>
  </si>
  <si>
    <t>US Digital Ad Spend per Capita</t>
  </si>
  <si>
    <t>RoW Digital Ad Spend per Capita</t>
  </si>
  <si>
    <t>Linear TV</t>
  </si>
  <si>
    <t>See line 15.</t>
  </si>
  <si>
    <t>Average Household Size</t>
  </si>
  <si>
    <t>Pew Research suggests that the average person lives in a household of 4.9 members under a study of data from 2010 to 2018 (https://www.pewresearch.org/religion/2019/12/12/religion-and-living-arrangements-around-the-world/). We keep this number as constant to 2026 for simplicity.</t>
  </si>
  <si>
    <t>Global Households</t>
  </si>
  <si>
    <t>Global Households with Broadband</t>
  </si>
  <si>
    <t>Historical numbers are from the International Telecommunication Union. We project that the share of global households with access to broadband will grow at a CAGR of 3% to exceed 90% penetration by 2026.</t>
  </si>
  <si>
    <t>% of Global Households</t>
  </si>
  <si>
    <t>Delta</t>
  </si>
  <si>
    <t>Forecast is based on the simple average household size from 2015 to 2021 and remains constant out to 2026.</t>
  </si>
  <si>
    <t>US Households</t>
  </si>
  <si>
    <t>Historical numbers are from the US Census Bureau.</t>
  </si>
  <si>
    <t>US Households with Broadband</t>
  </si>
  <si>
    <t>Historical numbers are from Kagan Research. We project that 95% of US households will have access to a broadband connection by 2026.</t>
  </si>
  <si>
    <t>% of US Households</t>
  </si>
  <si>
    <t>US Households with Linear TV</t>
  </si>
  <si>
    <t>Both historical estimates and forecasts are based on ARK research. For further color on the topic, please refer to our "The Cable Box Is a Relic of the Past" blog. While forecasted point estimates have changed with updated data, the rationale for our thesis regarding the decline of linear TV remains consistent.</t>
  </si>
  <si>
    <t>Global Linear TV Ad Spend</t>
  </si>
  <si>
    <t>Historical estimates are from Kagan Research. Forecast is based on ARK research.</t>
  </si>
  <si>
    <t>US Linear TV Ad Spend</t>
  </si>
  <si>
    <t>Rest of World Linear TV Ad Spend</t>
  </si>
  <si>
    <t>US Average Time Spent on Linear TV per Day (per Person)</t>
  </si>
  <si>
    <t>Historical estimates from 2018 to 2020 are derived from Nielsen's Total Audience Report, published in Mar 2021 (https://www.nielsen.com/us/en/insights/report/2021/total-audience-advertising-across-todays-media/). The estimate for 2021 is derived from eMarketer (https://www.emarketer.com/content/disney-s-earnings-show-company-transition).</t>
  </si>
  <si>
    <t>Per Household</t>
  </si>
  <si>
    <t>Used Web Plot Digitizer to approximate points for the specified years from (https://www.theatlantic.com/technology/archive/2018/05/when-did-tv-watching-peak/561464/).</t>
  </si>
  <si>
    <t>Implied Indirect Monetization Rate</t>
  </si>
  <si>
    <t>OTT and CTV</t>
  </si>
  <si>
    <t>See line 32.</t>
  </si>
  <si>
    <t>Global Internet Users</t>
  </si>
  <si>
    <t>Both historical and forecasted numbers are based on ARK research.</t>
  </si>
  <si>
    <t>% of Global Population</t>
  </si>
  <si>
    <t>Global OTT Users</t>
  </si>
  <si>
    <t>Historical estimates are from eMarketer. We base our projection on a flat 13% year-over-year increase in penetration to more than 2/3 of the global internet poluation by 2026 as an update to a compilation of various internal models.</t>
  </si>
  <si>
    <t>% of Global Internet Users</t>
  </si>
  <si>
    <t>Implied OTT Households</t>
  </si>
  <si>
    <t>We divide our OTT user estimate and forecast by the global average household size to approximate the number of households with access to OTT.</t>
  </si>
  <si>
    <t>Global Subscription OTT Revenue</t>
  </si>
  <si>
    <t>Based on ARK research, we estimate global subscription OTT revenue as $60 billion in 2020. We grow the forecast bottom-up with lines 69, 74, and 75 as core drivers.</t>
  </si>
  <si>
    <t>Global OTT Revenue per Household</t>
  </si>
  <si>
    <t>Implied Monthly Spend</t>
  </si>
  <si>
    <t>Assumed Monthly ARPU per OTT Service</t>
  </si>
  <si>
    <t>We assume lower monthly ARPU on a global basis than on a US basis.</t>
  </si>
  <si>
    <t>Services per Household</t>
  </si>
  <si>
    <t>We assume that the global average for number of SVOD services per household lags that of the U.S. by two years.</t>
  </si>
  <si>
    <t>US OTT Households</t>
  </si>
  <si>
    <t>Historical numbers are from Kagan Research. We estimate that 95% of US broadband households will engage with paid OTT platforms by 2026.</t>
  </si>
  <si>
    <t>% of US Broadband Households</t>
  </si>
  <si>
    <t>US Subscription OTT Revenue</t>
  </si>
  <si>
    <t>Historical estimates are from Kagan Research. We forecast using lines 77, 83, and 85 as primary drivers.</t>
  </si>
  <si>
    <t>US OTT Revenue per Household</t>
  </si>
  <si>
    <t>We project that in 2026, the average cost of a OTT subscription service will amount to $12 a month in the United States. We believe that this projection is very conservative.</t>
  </si>
  <si>
    <t>We project that the average US household with OTT subscription services will subscribe to 5 different platforms by 2026.</t>
  </si>
  <si>
    <t>Strategy Analytics estimated 665mm households worldwide with CTV access at the end of 2020 (https://news.strategyanalytics.com/press-releases/press-release-details/2021/Strategy-Analytics-Global-Smart-TV-Household-Ownership-to-Exceed-50-by-2026/default.aspx).</t>
  </si>
  <si>
    <t>% of Households with Broadband</t>
  </si>
  <si>
    <t>We grow the growth in share of CTV households over global households with broadband at a 7% CAGR to reach 80% penetration by 2026.</t>
  </si>
  <si>
    <t>US Households with CTV</t>
  </si>
  <si>
    <t>Both historical estimates and forecasts are based on ARK research. We assume some households will have both linear and connected TVs.</t>
  </si>
  <si>
    <t>Net Adds</t>
  </si>
  <si>
    <t>Hybrid (Pay TV + CTV) Households</t>
  </si>
  <si>
    <t>Both historical estimates and forecasts are based on ARK research.</t>
  </si>
  <si>
    <t>Pure CTV Households (Cordcutters)</t>
  </si>
  <si>
    <t>% of US OTT Households</t>
  </si>
  <si>
    <t>Rest of World Households with CTV</t>
  </si>
  <si>
    <t>Amazon Prime Video Content Amortization Spend Comps</t>
  </si>
  <si>
    <t>Calendar Year</t>
  </si>
  <si>
    <t>all items from public filings or historical 3rd party estimates are denoted in blue.</t>
  </si>
  <si>
    <t>all forecasts made by 3rd party sources are denoted in red.</t>
  </si>
  <si>
    <t>Amazon Prime</t>
  </si>
  <si>
    <t>Estimates from 2014 to 2020 are sourced from S&amp;P Global.</t>
  </si>
  <si>
    <t>Originals</t>
  </si>
  <si>
    <t>Acquisitions</t>
  </si>
  <si>
    <t>Total Amazon Prime Households</t>
  </si>
  <si>
    <t>Estimates from 2016 to 2021 are sourced from eMarketer and capture total Amazon Prime households regardless of Prime Video usage.</t>
  </si>
  <si>
    <t>As % of Previous Year's Content Spend</t>
  </si>
  <si>
    <t>Average Spend per Incremental Subscriber</t>
  </si>
  <si>
    <t>Average Spend per Incremental Subscriber, Acquisitions Only</t>
  </si>
  <si>
    <t>In the chart to the left, we plot line 22 on the x axis against line 19 on the y axis and fit a linear trendline onto the mentioned scatterplot.</t>
  </si>
  <si>
    <t>We assume a flat 20% take rate, as has been the case with The Trade Desk, a demand side platform. We lower the take rate to 10% in our bear case assuming Roku faces competitive pressure and keep it at 20% in both our base and bull cases as we do not believe Roku would subject its partners to harsher terms within the next five years.</t>
  </si>
  <si>
    <r>
      <t xml:space="preserve">ARK's statements are not an endorsement of any company or a recommendation to buy, sell, or hold any security. For a list of all purchases and sales made by ARK for client accounts during the past year that could be considered by the SEC as recommendations, please contact ARK at info@ark-invest.com. It should not be assumed that recommendations made in the future will be profitable or will equal the performance of the securities in this list. For full disclosures, please go to </t>
    </r>
    <r>
      <rPr>
        <b/>
        <u/>
        <sz val="11"/>
        <color theme="1"/>
        <rFont val="Brother 1816"/>
        <family val="2"/>
        <scheme val="minor"/>
      </rPr>
      <t>https://ark-invest.com/terms-of-use</t>
    </r>
    <r>
      <rPr>
        <b/>
        <sz val="11"/>
        <color theme="1"/>
        <rFont val="Brother 1816"/>
        <family val="2"/>
        <scheme val="minor"/>
      </rPr>
      <t>.</t>
    </r>
  </si>
  <si>
    <t>While ARK’s current assessment of the subject company may be positive, please note that it may be necessary for ARK to liquidate or reduce position sizes prior to the company attaining any indicated valuation prices due to a variety of conditions including, but not limited to, client specific guidelines, changing market conditions, investor activity, fundamental changes in the company’s business model and competitive landscape, headline risk, and government/regulatory activity.  Additionally, ARK does not have investment banking or consulting relationship with the subject company.</t>
  </si>
  <si>
    <r>
      <t xml:space="preserve">In this file, you can investigate the assumptions (e.g., values in red), criteria and methodology used in this valuation model to determine the value of a single security in five years. The model is inherently limited by its nature, including the assumption of perfectly efficient markets. ARK has used its research to determine what it believes are reasonable ranges for variables modelled as well as which business lines will have the biggest determination on the security’s future value. The model is designed to forecast the price of a single security over time. Please refer to the [Roku blog] for additional information on the assumptions, criteria and methodology used, and the limitations of this model. This model relies on historical information of the modelled security, including publicly available financial data sources, and analysis of that data by ARK and by third-parties, combined with ARK’s research to forecast over a five year time horizon. Please note that key inputs are included in the Roku Valuation and TAM tabs of this GitHub document. </t>
    </r>
    <r>
      <rPr>
        <b/>
        <u/>
        <sz val="11"/>
        <color rgb="FF000000"/>
        <rFont val="Brother 1816"/>
        <scheme val="minor"/>
      </rPr>
      <t>The reader is urged to use extreme caution when considering the forecasted performance, as it is inherently subjective and reflects ARK’s long term positive view of the company. There is no guarantee that any results will align with the forecasted performance, and they might not be predictive. This model is intended to analyze a single security, and we note that other investments were not considered that may have characteristics similar or superior to those being analyzed. This model generates outcomes that are hypothetical in nature.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</si>
</sst>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2" formatCode="_(&quot;$&quot;* #,##0_);_(&quot;$&quot;* \(#,##0\);_(&quot;$&quot;* &quot;-&quot;_);_(@_)"/>
    <numFmt numFmtId="44" formatCode="_(&quot;$&quot;* #,##0.00_);_(&quot;$&quot;* \(#,##0.00\);_(&quot;$&quot;* &quot;-&quot;??_);_(@_)"/>
    <numFmt numFmtId="164" formatCode="0.0%"/>
    <numFmt numFmtId="165" formatCode="0.0\x"/>
    <numFmt numFmtId="166" formatCode="0.000%"/>
    <numFmt numFmtId="167" formatCode="#,##0.0_);\(#,##0.0\)"/>
    <numFmt numFmtId="168" formatCode="[$-409]mmm\-yy;@"/>
    <numFmt numFmtId="169" formatCode="#,##0.000_);\(#,##0.000\)"/>
    <numFmt numFmtId="170" formatCode="#,##0.0\x"/>
  </numFmts>
  <fonts count="31">
    <font>
      <sz val="11"/>
      <color theme="1"/>
      <name val="Brother 1816"/>
      <family val="2"/>
      <scheme val="minor"/>
    </font>
    <font>
      <sz val="12"/>
      <color theme="1"/>
      <name val="Brother 1816"/>
      <family val="2"/>
      <scheme val="minor"/>
    </font>
    <font>
      <sz val="11"/>
      <color theme="1"/>
      <name val="Brother 1816"/>
      <family val="2"/>
      <scheme val="minor"/>
    </font>
    <font>
      <b/>
      <sz val="10"/>
      <color theme="0"/>
      <name val="Arial"/>
      <family val="2"/>
    </font>
    <font>
      <i/>
      <sz val="10"/>
      <color theme="1"/>
      <name val="Arial"/>
      <family val="2"/>
    </font>
    <font>
      <sz val="10"/>
      <color theme="1"/>
      <name val="Arial"/>
      <family val="2"/>
    </font>
    <font>
      <sz val="10"/>
      <color theme="8"/>
      <name val="Arial"/>
      <family val="2"/>
    </font>
    <font>
      <i/>
      <sz val="10"/>
      <color theme="8"/>
      <name val="Arial"/>
      <family val="2"/>
    </font>
    <font>
      <sz val="10"/>
      <name val="Arial"/>
      <family val="2"/>
    </font>
    <font>
      <sz val="10"/>
      <color theme="0"/>
      <name val="Arial"/>
      <family val="2"/>
    </font>
    <font>
      <b/>
      <i/>
      <sz val="10"/>
      <color theme="0"/>
      <name val="Arial"/>
      <family val="2"/>
    </font>
    <font>
      <b/>
      <i/>
      <sz val="10"/>
      <color theme="1"/>
      <name val="Arial"/>
      <family val="2"/>
    </font>
    <font>
      <b/>
      <sz val="10"/>
      <color theme="1"/>
      <name val="Arial"/>
      <family val="2"/>
    </font>
    <font>
      <i/>
      <sz val="10"/>
      <color theme="6"/>
      <name val="Arial"/>
      <family val="2"/>
    </font>
    <font>
      <sz val="10"/>
      <color theme="6"/>
      <name val="Arial"/>
      <family val="2"/>
    </font>
    <font>
      <b/>
      <sz val="10"/>
      <color rgb="FFC00000"/>
      <name val="Arial"/>
      <family val="2"/>
    </font>
    <font>
      <b/>
      <i/>
      <sz val="10"/>
      <color theme="6"/>
      <name val="Arial"/>
      <family val="2"/>
    </font>
    <font>
      <b/>
      <sz val="11"/>
      <color theme="1"/>
      <name val="Brother 1816"/>
      <family val="2"/>
      <scheme val="minor"/>
    </font>
    <font>
      <u/>
      <sz val="12"/>
      <color theme="10"/>
      <name val="Brother 1816"/>
      <family val="2"/>
      <scheme val="minor"/>
    </font>
    <font>
      <sz val="11"/>
      <color rgb="FF000000"/>
      <name val="Brother 1816"/>
      <family val="2"/>
      <scheme val="minor"/>
    </font>
    <font>
      <sz val="11"/>
      <color rgb="FF000000"/>
      <name val="Calibri"/>
      <family val="2"/>
    </font>
    <font>
      <b/>
      <sz val="11"/>
      <color rgb="FF000000"/>
      <name val="Brother 1816"/>
      <family val="2"/>
      <scheme val="minor"/>
    </font>
    <font>
      <b/>
      <sz val="11"/>
      <color rgb="FF000000"/>
      <name val="Calibri"/>
      <family val="2"/>
    </font>
    <font>
      <b/>
      <u/>
      <sz val="11"/>
      <color theme="1"/>
      <name val="Brother 1816"/>
      <family val="2"/>
      <scheme val="minor"/>
    </font>
    <font>
      <sz val="12"/>
      <color indexed="8"/>
      <name val="Verdana"/>
      <family val="2"/>
    </font>
    <font>
      <b/>
      <sz val="10"/>
      <name val="Arial"/>
      <family val="2"/>
    </font>
    <font>
      <i/>
      <sz val="10"/>
      <color theme="4"/>
      <name val="Arial"/>
      <family val="2"/>
    </font>
    <font>
      <sz val="10"/>
      <color theme="4"/>
      <name val="Arial"/>
      <family val="2"/>
    </font>
    <font>
      <b/>
      <i/>
      <sz val="10"/>
      <color theme="4"/>
      <name val="Arial"/>
      <family val="2"/>
    </font>
    <font>
      <i/>
      <sz val="10"/>
      <name val="Arial"/>
      <family val="2"/>
    </font>
    <font>
      <b/>
      <u/>
      <sz val="11"/>
      <color rgb="FF000000"/>
      <name val="Brother 1816"/>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0" fontId="1" fillId="0" borderId="0"/>
    <xf numFmtId="9" fontId="2" fillId="0" borderId="0" applyFont="0" applyFill="0" applyBorder="0" applyAlignment="0" applyProtection="0"/>
    <xf numFmtId="0" fontId="8" fillId="0" borderId="0"/>
    <xf numFmtId="0" fontId="18" fillId="0" borderId="0" applyNumberFormat="0" applyFill="0" applyBorder="0" applyAlignment="0" applyProtection="0"/>
    <xf numFmtId="9" fontId="24" fillId="0" borderId="0" applyFont="0" applyFill="0" applyBorder="0" applyAlignment="0" applyProtection="0"/>
  </cellStyleXfs>
  <cellXfs count="166">
    <xf numFmtId="0" fontId="0" fillId="0" borderId="0" xfId="0"/>
    <xf numFmtId="0" fontId="3" fillId="3" borderId="0" xfId="0" applyFont="1" applyFill="1"/>
    <xf numFmtId="0" fontId="4" fillId="2" borderId="0" xfId="0" applyFont="1" applyFill="1"/>
    <xf numFmtId="0" fontId="5" fillId="2" borderId="0" xfId="0" applyFont="1" applyFill="1"/>
    <xf numFmtId="37" fontId="5" fillId="2" borderId="0" xfId="0" applyNumberFormat="1" applyFont="1" applyFill="1"/>
    <xf numFmtId="0" fontId="5" fillId="2" borderId="0" xfId="0" applyFont="1" applyFill="1" applyAlignment="1">
      <alignment horizontal="left" indent="1"/>
    </xf>
    <xf numFmtId="0" fontId="4" fillId="2" borderId="0" xfId="0" applyFont="1" applyFill="1" applyAlignment="1">
      <alignment horizontal="left" indent="2"/>
    </xf>
    <xf numFmtId="9" fontId="4" fillId="2" borderId="0" xfId="0" applyNumberFormat="1" applyFont="1" applyFill="1"/>
    <xf numFmtId="0" fontId="4" fillId="2" borderId="0" xfId="0" applyFont="1" applyFill="1" applyAlignment="1">
      <alignment horizontal="left" indent="1"/>
    </xf>
    <xf numFmtId="0" fontId="5" fillId="2" borderId="0" xfId="0" applyFont="1" applyFill="1" applyAlignment="1">
      <alignment horizontal="left" indent="2"/>
    </xf>
    <xf numFmtId="37" fontId="6" fillId="2" borderId="0" xfId="0" applyNumberFormat="1" applyFont="1" applyFill="1"/>
    <xf numFmtId="0" fontId="5" fillId="3" borderId="0" xfId="0" applyFont="1" applyFill="1"/>
    <xf numFmtId="0" fontId="12" fillId="2" borderId="0" xfId="0" applyFont="1" applyFill="1"/>
    <xf numFmtId="42" fontId="5" fillId="2" borderId="0" xfId="0" applyNumberFormat="1" applyFont="1" applyFill="1"/>
    <xf numFmtId="37" fontId="14" fillId="2" borderId="0" xfId="0" applyNumberFormat="1" applyFont="1" applyFill="1"/>
    <xf numFmtId="0" fontId="4" fillId="2" borderId="0" xfId="0" applyFont="1" applyFill="1" applyAlignment="1">
      <alignment horizontal="left" indent="3"/>
    </xf>
    <xf numFmtId="0" fontId="12" fillId="2" borderId="1" xfId="0" applyFont="1" applyFill="1" applyBorder="1" applyAlignment="1">
      <alignment vertical="center"/>
    </xf>
    <xf numFmtId="0" fontId="3" fillId="2" borderId="1" xfId="0" applyFont="1" applyFill="1" applyBorder="1" applyAlignment="1">
      <alignment horizontal="left" vertical="center"/>
    </xf>
    <xf numFmtId="0" fontId="12" fillId="2" borderId="2" xfId="0" applyFont="1" applyFill="1" applyBorder="1" applyAlignment="1">
      <alignment vertical="center"/>
    </xf>
    <xf numFmtId="0" fontId="5" fillId="2" borderId="2" xfId="0" applyFont="1" applyFill="1" applyBorder="1"/>
    <xf numFmtId="0" fontId="5" fillId="2" borderId="2" xfId="0" applyFont="1" applyFill="1" applyBorder="1" applyAlignment="1">
      <alignment vertical="center"/>
    </xf>
    <xf numFmtId="0" fontId="1" fillId="0" borderId="0" xfId="1"/>
    <xf numFmtId="0" fontId="18" fillId="0" borderId="0" xfId="4" applyAlignment="1">
      <alignment horizontal="justify" vertical="center"/>
    </xf>
    <xf numFmtId="0" fontId="2" fillId="0" borderId="0" xfId="1" applyFont="1" applyAlignment="1">
      <alignment horizontal="justify" vertical="center"/>
    </xf>
    <xf numFmtId="0" fontId="1" fillId="0" borderId="0" xfId="1" applyAlignment="1">
      <alignment vertical="center"/>
    </xf>
    <xf numFmtId="0" fontId="19" fillId="0" borderId="0" xfId="1" applyFont="1" applyAlignment="1">
      <alignment horizontal="justify" vertical="center"/>
    </xf>
    <xf numFmtId="0" fontId="20" fillId="0" borderId="0" xfId="1" applyFont="1" applyAlignment="1">
      <alignment vertical="center" wrapText="1"/>
    </xf>
    <xf numFmtId="0" fontId="21" fillId="0" borderId="0" xfId="1" applyFont="1" applyAlignment="1">
      <alignment horizontal="justify" vertical="center"/>
    </xf>
    <xf numFmtId="0" fontId="22" fillId="0" borderId="0" xfId="1" applyFont="1" applyAlignment="1">
      <alignment vertical="center" wrapText="1"/>
    </xf>
    <xf numFmtId="0" fontId="17" fillId="0" borderId="0" xfId="1" applyFont="1" applyAlignment="1">
      <alignment horizontal="justify" vertical="center"/>
    </xf>
    <xf numFmtId="9" fontId="1" fillId="0" borderId="0" xfId="5" applyFont="1"/>
    <xf numFmtId="0" fontId="3" fillId="3" borderId="0" xfId="0" applyFont="1" applyFill="1" applyProtection="1">
      <protection locked="0"/>
    </xf>
    <xf numFmtId="0" fontId="3" fillId="5" borderId="0" xfId="0" applyFont="1" applyFill="1" applyProtection="1">
      <protection locked="0"/>
    </xf>
    <xf numFmtId="0" fontId="3" fillId="5" borderId="0" xfId="0" applyFont="1" applyFill="1" applyAlignment="1" applyProtection="1">
      <alignment horizontal="center"/>
      <protection locked="0"/>
    </xf>
    <xf numFmtId="0" fontId="3" fillId="6" borderId="0" xfId="0" applyFont="1" applyFill="1" applyAlignment="1" applyProtection="1">
      <alignment horizontal="center"/>
      <protection locked="0"/>
    </xf>
    <xf numFmtId="0" fontId="10" fillId="3" borderId="0" xfId="0" applyFont="1" applyFill="1" applyAlignment="1" applyProtection="1">
      <alignment horizontal="right"/>
      <protection locked="0"/>
    </xf>
    <xf numFmtId="0" fontId="4" fillId="2" borderId="0" xfId="0" applyFont="1" applyFill="1" applyProtection="1">
      <protection locked="0"/>
    </xf>
    <xf numFmtId="0" fontId="5" fillId="2" borderId="0" xfId="0" applyFont="1" applyFill="1" applyProtection="1">
      <protection locked="0"/>
    </xf>
    <xf numFmtId="9" fontId="5" fillId="2" borderId="0" xfId="0" applyNumberFormat="1" applyFont="1" applyFill="1" applyProtection="1">
      <protection locked="0"/>
    </xf>
    <xf numFmtId="0" fontId="12" fillId="2" borderId="0" xfId="0" applyFont="1" applyFill="1" applyProtection="1">
      <protection locked="0"/>
    </xf>
    <xf numFmtId="169" fontId="5" fillId="2" borderId="0" xfId="0" applyNumberFormat="1" applyFont="1" applyFill="1" applyProtection="1">
      <protection locked="0"/>
    </xf>
    <xf numFmtId="0" fontId="12" fillId="4" borderId="0" xfId="0" applyFont="1" applyFill="1" applyProtection="1">
      <protection locked="0"/>
    </xf>
    <xf numFmtId="37" fontId="12" fillId="4" borderId="0" xfId="0" applyNumberFormat="1" applyFont="1" applyFill="1" applyProtection="1">
      <protection locked="0"/>
    </xf>
    <xf numFmtId="9" fontId="11" fillId="4" borderId="0" xfId="0" applyNumberFormat="1" applyFont="1" applyFill="1" applyProtection="1">
      <protection locked="0"/>
    </xf>
    <xf numFmtId="0" fontId="5" fillId="2" borderId="0" xfId="0" applyFont="1" applyFill="1" applyAlignment="1" applyProtection="1">
      <alignment horizontal="left" indent="1"/>
      <protection locked="0"/>
    </xf>
    <xf numFmtId="37" fontId="5" fillId="2" borderId="0" xfId="0" applyNumberFormat="1" applyFont="1" applyFill="1" applyProtection="1">
      <protection locked="0"/>
    </xf>
    <xf numFmtId="9" fontId="11" fillId="2" borderId="0" xfId="0" applyNumberFormat="1" applyFont="1" applyFill="1" applyProtection="1">
      <protection locked="0"/>
    </xf>
    <xf numFmtId="0" fontId="5" fillId="2" borderId="0" xfId="0" applyFont="1" applyFill="1" applyAlignment="1" applyProtection="1">
      <alignment horizontal="left" indent="2"/>
      <protection locked="0"/>
    </xf>
    <xf numFmtId="42" fontId="12" fillId="4" borderId="0" xfId="0" applyNumberFormat="1" applyFont="1" applyFill="1" applyProtection="1">
      <protection locked="0"/>
    </xf>
    <xf numFmtId="14" fontId="5" fillId="2" borderId="0" xfId="0" applyNumberFormat="1" applyFont="1" applyFill="1" applyProtection="1">
      <protection locked="0"/>
    </xf>
    <xf numFmtId="0" fontId="12" fillId="4" borderId="0" xfId="0" applyFont="1" applyFill="1" applyAlignment="1" applyProtection="1">
      <alignment horizontal="left"/>
      <protection locked="0"/>
    </xf>
    <xf numFmtId="0" fontId="5" fillId="4" borderId="0" xfId="0" applyFont="1" applyFill="1" applyProtection="1">
      <protection locked="0"/>
    </xf>
    <xf numFmtId="37" fontId="5" fillId="4" borderId="0" xfId="0" applyNumberFormat="1" applyFont="1" applyFill="1" applyProtection="1">
      <protection locked="0"/>
    </xf>
    <xf numFmtId="44" fontId="5" fillId="2" borderId="0" xfId="0" applyNumberFormat="1" applyFont="1" applyFill="1" applyProtection="1">
      <protection locked="0"/>
    </xf>
    <xf numFmtId="44" fontId="5" fillId="4" borderId="0" xfId="0" applyNumberFormat="1" applyFont="1" applyFill="1" applyProtection="1">
      <protection locked="0"/>
    </xf>
    <xf numFmtId="37" fontId="8" fillId="2" borderId="0" xfId="0" applyNumberFormat="1" applyFont="1" applyFill="1" applyProtection="1">
      <protection locked="0"/>
    </xf>
    <xf numFmtId="0" fontId="4" fillId="2" borderId="0" xfId="0" applyFont="1" applyFill="1" applyAlignment="1" applyProtection="1">
      <alignment horizontal="left" indent="1"/>
      <protection locked="0"/>
    </xf>
    <xf numFmtId="9" fontId="4" fillId="2" borderId="0" xfId="0" applyNumberFormat="1" applyFont="1" applyFill="1" applyProtection="1">
      <protection locked="0"/>
    </xf>
    <xf numFmtId="9" fontId="29" fillId="2" borderId="0" xfId="0" applyNumberFormat="1" applyFont="1" applyFill="1" applyProtection="1">
      <protection locked="0"/>
    </xf>
    <xf numFmtId="9" fontId="13" fillId="2" borderId="0" xfId="0" applyNumberFormat="1" applyFont="1" applyFill="1" applyProtection="1">
      <protection locked="0"/>
    </xf>
    <xf numFmtId="9" fontId="26" fillId="2" borderId="0" xfId="0" applyNumberFormat="1" applyFont="1" applyFill="1" applyProtection="1">
      <protection locked="0"/>
    </xf>
    <xf numFmtId="0" fontId="27" fillId="2" borderId="0" xfId="0" applyFont="1" applyFill="1" applyProtection="1">
      <protection locked="0"/>
    </xf>
    <xf numFmtId="167" fontId="5" fillId="2" borderId="0" xfId="0" applyNumberFormat="1" applyFont="1" applyFill="1" applyProtection="1">
      <protection locked="0"/>
    </xf>
    <xf numFmtId="167" fontId="8" fillId="2" borderId="0" xfId="0" applyNumberFormat="1" applyFont="1" applyFill="1" applyProtection="1">
      <protection locked="0"/>
    </xf>
    <xf numFmtId="167" fontId="14" fillId="2" borderId="0" xfId="0" applyNumberFormat="1" applyFont="1" applyFill="1" applyProtection="1">
      <protection locked="0"/>
    </xf>
    <xf numFmtId="167" fontId="27" fillId="2" borderId="0" xfId="0" applyNumberFormat="1" applyFont="1" applyFill="1" applyProtection="1">
      <protection locked="0"/>
    </xf>
    <xf numFmtId="0" fontId="5" fillId="2" borderId="0" xfId="0" applyFont="1" applyFill="1" applyAlignment="1" applyProtection="1">
      <alignment horizontal="left"/>
      <protection locked="0"/>
    </xf>
    <xf numFmtId="44" fontId="8" fillId="2" borderId="0" xfId="0" applyNumberFormat="1" applyFont="1" applyFill="1" applyProtection="1">
      <protection locked="0"/>
    </xf>
    <xf numFmtId="44" fontId="12" fillId="2" borderId="0" xfId="0" applyNumberFormat="1" applyFont="1" applyFill="1" applyProtection="1">
      <protection locked="0"/>
    </xf>
    <xf numFmtId="0" fontId="4" fillId="2" borderId="0" xfId="0" applyFont="1" applyFill="1" applyAlignment="1" applyProtection="1">
      <alignment horizontal="left" indent="2"/>
      <protection locked="0"/>
    </xf>
    <xf numFmtId="37" fontId="14" fillId="2" borderId="0" xfId="0" applyNumberFormat="1" applyFont="1" applyFill="1" applyProtection="1">
      <protection locked="0"/>
    </xf>
    <xf numFmtId="37" fontId="27" fillId="2" borderId="0" xfId="0" applyNumberFormat="1" applyFont="1" applyFill="1" applyProtection="1">
      <protection locked="0"/>
    </xf>
    <xf numFmtId="9" fontId="14" fillId="2" borderId="0" xfId="0" applyNumberFormat="1" applyFont="1" applyFill="1" applyProtection="1">
      <protection locked="0"/>
    </xf>
    <xf numFmtId="9" fontId="27" fillId="2" borderId="0" xfId="0" applyNumberFormat="1" applyFont="1" applyFill="1" applyProtection="1">
      <protection locked="0"/>
    </xf>
    <xf numFmtId="44" fontId="14" fillId="2" borderId="0" xfId="0" applyNumberFormat="1" applyFont="1" applyFill="1" applyProtection="1">
      <protection locked="0"/>
    </xf>
    <xf numFmtId="44" fontId="27" fillId="2" borderId="0" xfId="0" applyNumberFormat="1" applyFont="1" applyFill="1" applyProtection="1">
      <protection locked="0"/>
    </xf>
    <xf numFmtId="0" fontId="12" fillId="4" borderId="0" xfId="0" applyFont="1" applyFill="1" applyAlignment="1" applyProtection="1">
      <alignment horizontal="left" indent="1"/>
      <protection locked="0"/>
    </xf>
    <xf numFmtId="37" fontId="25" fillId="4" borderId="0" xfId="0" applyNumberFormat="1" applyFont="1" applyFill="1" applyProtection="1">
      <protection locked="0"/>
    </xf>
    <xf numFmtId="170" fontId="5" fillId="2" borderId="0" xfId="0" applyNumberFormat="1" applyFont="1" applyFill="1" applyProtection="1">
      <protection locked="0"/>
    </xf>
    <xf numFmtId="170" fontId="8" fillId="2" borderId="0" xfId="0" applyNumberFormat="1" applyFont="1" applyFill="1" applyProtection="1">
      <protection locked="0"/>
    </xf>
    <xf numFmtId="8" fontId="5" fillId="2" borderId="0" xfId="0" applyNumberFormat="1" applyFont="1" applyFill="1" applyProtection="1">
      <protection locked="0"/>
    </xf>
    <xf numFmtId="0" fontId="8" fillId="2" borderId="0" xfId="0" applyFont="1" applyFill="1" applyProtection="1">
      <protection locked="0"/>
    </xf>
    <xf numFmtId="0" fontId="4" fillId="2" borderId="0" xfId="0" applyFont="1" applyFill="1" applyAlignment="1" applyProtection="1">
      <alignment horizontal="left" indent="3"/>
      <protection locked="0"/>
    </xf>
    <xf numFmtId="39" fontId="5" fillId="2" borderId="0" xfId="0" applyNumberFormat="1" applyFont="1" applyFill="1" applyProtection="1">
      <protection locked="0"/>
    </xf>
    <xf numFmtId="37" fontId="8" fillId="4" borderId="0" xfId="0" applyNumberFormat="1" applyFont="1" applyFill="1" applyProtection="1">
      <protection locked="0"/>
    </xf>
    <xf numFmtId="9" fontId="16" fillId="2" borderId="0" xfId="0" applyNumberFormat="1" applyFont="1" applyFill="1" applyProtection="1">
      <protection locked="0"/>
    </xf>
    <xf numFmtId="9" fontId="28" fillId="2" borderId="0" xfId="0" applyNumberFormat="1" applyFont="1" applyFill="1" applyProtection="1">
      <protection locked="0"/>
    </xf>
    <xf numFmtId="0" fontId="5" fillId="4" borderId="0" xfId="0" applyFont="1" applyFill="1" applyAlignment="1" applyProtection="1">
      <alignment horizontal="left"/>
      <protection locked="0"/>
    </xf>
    <xf numFmtId="37" fontId="6" fillId="4" borderId="0" xfId="0" applyNumberFormat="1" applyFont="1" applyFill="1" applyProtection="1">
      <protection locked="0"/>
    </xf>
    <xf numFmtId="165" fontId="8" fillId="2" borderId="0" xfId="0" applyNumberFormat="1" applyFont="1" applyFill="1" applyProtection="1">
      <protection locked="0"/>
    </xf>
    <xf numFmtId="165" fontId="14" fillId="2" borderId="0" xfId="0" applyNumberFormat="1" applyFont="1" applyFill="1" applyProtection="1">
      <protection locked="0"/>
    </xf>
    <xf numFmtId="165" fontId="27" fillId="2" borderId="0" xfId="0" applyNumberFormat="1" applyFont="1" applyFill="1" applyProtection="1">
      <protection locked="0"/>
    </xf>
    <xf numFmtId="37" fontId="6" fillId="2" borderId="0" xfId="0" applyNumberFormat="1" applyFont="1" applyFill="1" applyProtection="1">
      <protection locked="0"/>
    </xf>
    <xf numFmtId="42" fontId="6" fillId="4" borderId="0" xfId="0" applyNumberFormat="1" applyFont="1" applyFill="1" applyProtection="1">
      <protection locked="0"/>
    </xf>
    <xf numFmtId="42" fontId="8" fillId="4" borderId="0" xfId="0" applyNumberFormat="1" applyFont="1" applyFill="1" applyProtection="1">
      <protection locked="0"/>
    </xf>
    <xf numFmtId="0" fontId="5" fillId="4" borderId="0" xfId="0" applyFont="1" applyFill="1" applyAlignment="1" applyProtection="1">
      <alignment horizontal="left" indent="1"/>
      <protection locked="0"/>
    </xf>
    <xf numFmtId="14" fontId="6" fillId="4" borderId="0" xfId="0" applyNumberFormat="1" applyFont="1" applyFill="1" applyProtection="1">
      <protection locked="0"/>
    </xf>
    <xf numFmtId="14" fontId="8" fillId="4" borderId="0" xfId="0" applyNumberFormat="1" applyFont="1" applyFill="1" applyProtection="1">
      <protection locked="0"/>
    </xf>
    <xf numFmtId="42" fontId="6" fillId="2" borderId="0" xfId="0" applyNumberFormat="1" applyFont="1" applyFill="1" applyProtection="1">
      <protection locked="0"/>
    </xf>
    <xf numFmtId="42" fontId="5" fillId="2" borderId="0" xfId="0" applyNumberFormat="1" applyFont="1" applyFill="1" applyProtection="1">
      <protection locked="0"/>
    </xf>
    <xf numFmtId="42" fontId="14" fillId="2" borderId="0" xfId="0" applyNumberFormat="1" applyFont="1" applyFill="1" applyProtection="1">
      <protection locked="0"/>
    </xf>
    <xf numFmtId="42" fontId="8" fillId="2" borderId="0" xfId="0" applyNumberFormat="1" applyFont="1" applyFill="1" applyProtection="1">
      <protection locked="0"/>
    </xf>
    <xf numFmtId="42" fontId="27" fillId="2" borderId="0" xfId="0" applyNumberFormat="1" applyFont="1" applyFill="1" applyProtection="1">
      <protection locked="0"/>
    </xf>
    <xf numFmtId="0" fontId="5" fillId="3" borderId="0" xfId="0" applyFont="1" applyFill="1" applyProtection="1">
      <protection locked="0"/>
    </xf>
    <xf numFmtId="0" fontId="12" fillId="3" borderId="0" xfId="0" applyFont="1" applyFill="1" applyProtection="1">
      <protection locked="0"/>
    </xf>
    <xf numFmtId="0" fontId="3" fillId="3" borderId="0" xfId="0" applyFont="1" applyFill="1" applyProtection="1"/>
    <xf numFmtId="0" fontId="5" fillId="2" borderId="0" xfId="0" applyFont="1" applyFill="1" applyProtection="1"/>
    <xf numFmtId="37" fontId="12" fillId="4" borderId="0" xfId="0" applyNumberFormat="1" applyFont="1" applyFill="1" applyProtection="1"/>
    <xf numFmtId="37" fontId="5" fillId="2" borderId="0" xfId="0" applyNumberFormat="1" applyFont="1" applyFill="1" applyProtection="1"/>
    <xf numFmtId="37" fontId="5" fillId="4" borderId="0" xfId="0" applyNumberFormat="1" applyFont="1" applyFill="1" applyProtection="1"/>
    <xf numFmtId="44" fontId="5" fillId="2" borderId="0" xfId="0" applyNumberFormat="1" applyFont="1" applyFill="1" applyProtection="1"/>
    <xf numFmtId="9" fontId="4" fillId="2" borderId="0" xfId="0" applyNumberFormat="1" applyFont="1" applyFill="1" applyProtection="1"/>
    <xf numFmtId="167" fontId="5" fillId="2" borderId="0" xfId="0" applyNumberFormat="1" applyFont="1" applyFill="1" applyProtection="1"/>
    <xf numFmtId="0" fontId="12" fillId="4" borderId="0" xfId="0" applyFont="1" applyFill="1" applyProtection="1"/>
    <xf numFmtId="0" fontId="5" fillId="4" borderId="0" xfId="0" applyFont="1" applyFill="1" applyProtection="1"/>
    <xf numFmtId="0" fontId="5" fillId="3" borderId="0" xfId="0" applyFont="1" applyFill="1" applyProtection="1"/>
    <xf numFmtId="42" fontId="12" fillId="4" borderId="0" xfId="0" applyNumberFormat="1" applyFont="1" applyFill="1" applyProtection="1"/>
    <xf numFmtId="14" fontId="5" fillId="2" borderId="0" xfId="0" applyNumberFormat="1" applyFont="1" applyFill="1" applyProtection="1"/>
    <xf numFmtId="169" fontId="5" fillId="2" borderId="0" xfId="0" applyNumberFormat="1" applyFont="1" applyFill="1" applyProtection="1"/>
    <xf numFmtId="44" fontId="5" fillId="4" borderId="0" xfId="0" applyNumberFormat="1" applyFont="1" applyFill="1" applyProtection="1"/>
    <xf numFmtId="170" fontId="5" fillId="2" borderId="0" xfId="0" applyNumberFormat="1" applyFont="1" applyFill="1" applyProtection="1"/>
    <xf numFmtId="9" fontId="5" fillId="2" borderId="0" xfId="0" applyNumberFormat="1" applyFont="1" applyFill="1" applyProtection="1"/>
    <xf numFmtId="9" fontId="29" fillId="2" borderId="0" xfId="0" applyNumberFormat="1" applyFont="1" applyFill="1" applyProtection="1"/>
    <xf numFmtId="42" fontId="5" fillId="4" borderId="0" xfId="0" applyNumberFormat="1" applyFont="1" applyFill="1" applyProtection="1"/>
    <xf numFmtId="42" fontId="5" fillId="2" borderId="0" xfId="0" applyNumberFormat="1" applyFont="1" applyFill="1" applyProtection="1"/>
    <xf numFmtId="0" fontId="3" fillId="3" borderId="0" xfId="0" applyFont="1" applyFill="1" applyAlignment="1" applyProtection="1">
      <alignment horizontal="right"/>
      <protection locked="0"/>
    </xf>
    <xf numFmtId="168" fontId="3" fillId="3" borderId="0" xfId="0" applyNumberFormat="1" applyFont="1" applyFill="1" applyProtection="1">
      <protection locked="0"/>
    </xf>
    <xf numFmtId="0" fontId="3" fillId="2" borderId="0" xfId="0" applyFont="1" applyFill="1" applyProtection="1">
      <protection locked="0"/>
    </xf>
    <xf numFmtId="37" fontId="5" fillId="2" borderId="0" xfId="0" applyNumberFormat="1" applyFont="1" applyFill="1" applyAlignment="1" applyProtection="1">
      <alignment horizontal="left" indent="1"/>
      <protection locked="0"/>
    </xf>
    <xf numFmtId="9" fontId="4" fillId="2" borderId="0" xfId="0" applyNumberFormat="1" applyFont="1" applyFill="1" applyAlignment="1" applyProtection="1">
      <alignment horizontal="left" indent="1"/>
      <protection locked="0"/>
    </xf>
    <xf numFmtId="0" fontId="3" fillId="3" borderId="0" xfId="0" applyFont="1" applyFill="1" applyAlignment="1" applyProtection="1">
      <alignment horizontal="right"/>
    </xf>
    <xf numFmtId="168" fontId="3" fillId="3" borderId="0" xfId="0" applyNumberFormat="1" applyFont="1" applyFill="1" applyProtection="1"/>
    <xf numFmtId="0" fontId="3" fillId="2" borderId="0" xfId="0" applyFont="1" applyFill="1" applyProtection="1"/>
    <xf numFmtId="37" fontId="6" fillId="2" borderId="0" xfId="0" applyNumberFormat="1" applyFont="1" applyFill="1" applyProtection="1"/>
    <xf numFmtId="0" fontId="5" fillId="2" borderId="0" xfId="0" applyFont="1" applyFill="1" applyAlignment="1" applyProtection="1">
      <alignment horizontal="left" indent="1"/>
    </xf>
    <xf numFmtId="37" fontId="5" fillId="2" borderId="0" xfId="0" applyNumberFormat="1" applyFont="1" applyFill="1" applyAlignment="1" applyProtection="1">
      <alignment horizontal="left" indent="1"/>
    </xf>
    <xf numFmtId="9" fontId="4" fillId="2" borderId="0" xfId="0" applyNumberFormat="1" applyFont="1" applyFill="1" applyAlignment="1" applyProtection="1">
      <alignment horizontal="left" indent="1"/>
    </xf>
    <xf numFmtId="44" fontId="6" fillId="2" borderId="0" xfId="0" applyNumberFormat="1" applyFont="1" applyFill="1" applyProtection="1"/>
    <xf numFmtId="0" fontId="4" fillId="2" borderId="0" xfId="0" applyFont="1" applyFill="1" applyProtection="1"/>
    <xf numFmtId="0" fontId="9" fillId="3" borderId="0" xfId="0" applyFont="1" applyFill="1" applyProtection="1">
      <protection locked="0"/>
    </xf>
    <xf numFmtId="0" fontId="10" fillId="3" borderId="0" xfId="0" applyFont="1" applyFill="1" applyProtection="1">
      <protection locked="0"/>
    </xf>
    <xf numFmtId="0" fontId="11" fillId="2" borderId="0" xfId="0" applyFont="1" applyFill="1" applyProtection="1">
      <protection locked="0"/>
    </xf>
    <xf numFmtId="10" fontId="5" fillId="2" borderId="0" xfId="0" applyNumberFormat="1" applyFont="1" applyFill="1" applyProtection="1">
      <protection locked="0"/>
    </xf>
    <xf numFmtId="164" fontId="11" fillId="2" borderId="0" xfId="2" applyNumberFormat="1" applyFont="1" applyFill="1" applyProtection="1">
      <protection locked="0"/>
    </xf>
    <xf numFmtId="164" fontId="4" fillId="2" borderId="0" xfId="2" applyNumberFormat="1" applyFont="1" applyFill="1" applyProtection="1">
      <protection locked="0"/>
    </xf>
    <xf numFmtId="0" fontId="15" fillId="2" borderId="0" xfId="0" applyFont="1" applyFill="1" applyProtection="1">
      <protection locked="0"/>
    </xf>
    <xf numFmtId="167" fontId="6" fillId="2" borderId="0" xfId="0" applyNumberFormat="1" applyFont="1" applyFill="1" applyProtection="1">
      <protection locked="0"/>
    </xf>
    <xf numFmtId="9" fontId="7" fillId="2" borderId="0" xfId="0" applyNumberFormat="1" applyFont="1" applyFill="1" applyProtection="1">
      <protection locked="0"/>
    </xf>
    <xf numFmtId="0" fontId="5" fillId="2" borderId="0" xfId="0" applyFont="1" applyFill="1" applyAlignment="1" applyProtection="1">
      <alignment horizontal="left" indent="3"/>
      <protection locked="0"/>
    </xf>
    <xf numFmtId="0" fontId="4" fillId="2" borderId="0" xfId="0" applyFont="1" applyFill="1" applyAlignment="1" applyProtection="1">
      <alignment horizontal="left" indent="4"/>
      <protection locked="0"/>
    </xf>
    <xf numFmtId="2" fontId="4" fillId="2" borderId="0" xfId="0" applyNumberFormat="1" applyFont="1" applyFill="1" applyProtection="1">
      <protection locked="0"/>
    </xf>
    <xf numFmtId="0" fontId="9" fillId="3" borderId="0" xfId="0" applyFont="1" applyFill="1" applyProtection="1"/>
    <xf numFmtId="37" fontId="14" fillId="2" borderId="0" xfId="0" applyNumberFormat="1" applyFont="1" applyFill="1" applyProtection="1"/>
    <xf numFmtId="167" fontId="6" fillId="2" borderId="0" xfId="0" applyNumberFormat="1" applyFont="1" applyFill="1" applyProtection="1"/>
    <xf numFmtId="44" fontId="14" fillId="2" borderId="0" xfId="0" applyNumberFormat="1" applyFont="1" applyFill="1" applyProtection="1"/>
    <xf numFmtId="9" fontId="13" fillId="2" borderId="0" xfId="0" applyNumberFormat="1" applyFont="1" applyFill="1" applyProtection="1"/>
    <xf numFmtId="2" fontId="4" fillId="2" borderId="0" xfId="0" applyNumberFormat="1" applyFont="1" applyFill="1" applyProtection="1"/>
    <xf numFmtId="166" fontId="4" fillId="2" borderId="0" xfId="0" applyNumberFormat="1" applyFont="1" applyFill="1" applyProtection="1"/>
    <xf numFmtId="10" fontId="5" fillId="2" borderId="0" xfId="0" applyNumberFormat="1" applyFont="1" applyFill="1" applyProtection="1"/>
    <xf numFmtId="9" fontId="7" fillId="2" borderId="0" xfId="0" applyNumberFormat="1" applyFont="1" applyFill="1" applyProtection="1"/>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3" fillId="5" borderId="0" xfId="0" applyFont="1" applyFill="1" applyAlignment="1">
      <alignment horizontal="left" vertical="center"/>
    </xf>
    <xf numFmtId="0" fontId="5" fillId="2" borderId="2" xfId="0" applyFont="1" applyFill="1" applyBorder="1" applyAlignment="1">
      <alignment vertical="center" wrapText="1"/>
    </xf>
    <xf numFmtId="0" fontId="3" fillId="5" borderId="0" xfId="0" applyFont="1" applyFill="1" applyAlignment="1">
      <alignment horizontal="center" vertical="center"/>
    </xf>
    <xf numFmtId="0" fontId="3" fillId="5" borderId="0" xfId="0" applyFont="1" applyFill="1" applyAlignment="1" applyProtection="1">
      <alignment horizontal="center"/>
      <protection locked="0"/>
    </xf>
  </cellXfs>
  <cellStyles count="6">
    <cellStyle name="Hyperlink 2" xfId="4" xr:uid="{7089EEE2-7FB5-4B2B-BCD6-1C8C42917605}"/>
    <cellStyle name="Normal" xfId="0" builtinId="0"/>
    <cellStyle name="Normal 2" xfId="1" xr:uid="{4DC8D6CC-2F6D-437B-B135-3F1103AB99BE}"/>
    <cellStyle name="Normal 3" xfId="3" xr:uid="{209366A1-B7E8-42A7-AF03-093663A94CDD}"/>
    <cellStyle name="Percent" xfId="2" builtinId="5"/>
    <cellStyle name="Percent 2" xfId="5" xr:uid="{1E837849-135A-4B55-AF46-5E35E78171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Prime Content Amortization Expense</a:t>
            </a:r>
            <a:r>
              <a:rPr lang="en-US" baseline="0"/>
              <a:t> </a:t>
            </a:r>
            <a:endParaRPr lang="en-US"/>
          </a:p>
        </c:rich>
      </c:tx>
      <c:layout>
        <c:manualLayout>
          <c:xMode val="edge"/>
          <c:yMode val="edge"/>
          <c:x val="0.17815676157623644"/>
          <c:y val="3.9389459371663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930602537498697"/>
                  <c:y val="-0.226510737117978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'Content Spend'!$J$13:$O$13</c:f>
              <c:numCache>
                <c:formatCode>#,##0_);\(#,##0\)</c:formatCode>
                <c:ptCount val="6"/>
                <c:pt idx="0">
                  <c:v>66.291018510000001</c:v>
                </c:pt>
                <c:pt idx="1">
                  <c:v>97.511235810000002</c:v>
                </c:pt>
                <c:pt idx="2">
                  <c:v>126.70638932999999</c:v>
                </c:pt>
                <c:pt idx="3">
                  <c:v>149.2754927</c:v>
                </c:pt>
                <c:pt idx="4">
                  <c:v>196.44654840000001</c:v>
                </c:pt>
                <c:pt idx="5">
                  <c:v>226.89576339999999</c:v>
                </c:pt>
              </c:numCache>
            </c:numRef>
          </c:xVal>
          <c:yVal>
            <c:numRef>
              <c:f>'Content Spend'!$J$10:$O$10</c:f>
              <c:numCache>
                <c:formatCode>0%</c:formatCode>
                <c:ptCount val="6"/>
                <c:pt idx="0">
                  <c:v>0.57426420260095834</c:v>
                </c:pt>
                <c:pt idx="1">
                  <c:v>0.47217391304347833</c:v>
                </c:pt>
                <c:pt idx="2">
                  <c:v>0.35174246898995865</c:v>
                </c:pt>
                <c:pt idx="3">
                  <c:v>0.24448328599519331</c:v>
                </c:pt>
                <c:pt idx="4">
                  <c:v>0.229810393258427</c:v>
                </c:pt>
                <c:pt idx="5">
                  <c:v>0.16716630977872948</c:v>
                </c:pt>
              </c:numCache>
            </c:numRef>
          </c:yVal>
          <c:smooth val="0"/>
          <c:extLst>
            <c:ext xmlns:c16="http://schemas.microsoft.com/office/drawing/2014/chart" uri="{C3380CC4-5D6E-409C-BE32-E72D297353CC}">
              <c16:uniqueId val="{00000001-A18A-499F-A9C9-08295089F68E}"/>
            </c:ext>
          </c:extLst>
        </c:ser>
        <c:dLbls>
          <c:showLegendKey val="0"/>
          <c:showVal val="0"/>
          <c:showCatName val="0"/>
          <c:showSerName val="0"/>
          <c:showPercent val="0"/>
          <c:showBubbleSize val="0"/>
        </c:dLbls>
        <c:axId val="1830710095"/>
        <c:axId val="1830695535"/>
      </c:scatterChart>
      <c:valAx>
        <c:axId val="1830710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Households</a:t>
                </a:r>
                <a:r>
                  <a:rPr lang="en-US" baseline="0"/>
                  <a:t> with Amazon Prime (millions)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95535"/>
        <c:crosses val="autoZero"/>
        <c:crossBetween val="midCat"/>
      </c:valAx>
      <c:valAx>
        <c:axId val="18306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in Total Content</a:t>
                </a:r>
                <a:r>
                  <a:rPr lang="en-US" baseline="0"/>
                  <a:t> Amrotization</a:t>
                </a:r>
                <a:endParaRPr lang="en-US"/>
              </a:p>
            </c:rich>
          </c:tx>
          <c:layout>
            <c:manualLayout>
              <c:xMode val="edge"/>
              <c:yMode val="edge"/>
              <c:x val="2.5960539979231569E-2"/>
              <c:y val="0.11861152141802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10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ark-invest.com/" TargetMode="External"/><Relationship Id="rId2" Type="http://schemas.openxmlformats.org/officeDocument/2006/relationships/image" Target="../media/image1.img"/><Relationship Id="rId1" Type="http://schemas.openxmlformats.org/officeDocument/2006/relationships/hyperlink" Target="http://creativecommons.org/licenses/by-nc/4.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4533900</xdr:colOff>
      <xdr:row>0</xdr:row>
      <xdr:rowOff>152400</xdr:rowOff>
    </xdr:from>
    <xdr:ext cx="1308100" cy="464988"/>
    <xdr:pic>
      <xdr:nvPicPr>
        <xdr:cNvPr id="2" name="Picture 1">
          <a:hlinkClick xmlns:r="http://schemas.openxmlformats.org/officeDocument/2006/relationships" r:id="rId1"/>
          <a:extLst>
            <a:ext uri="{FF2B5EF4-FFF2-40B4-BE49-F238E27FC236}">
              <a16:creationId xmlns:a16="http://schemas.microsoft.com/office/drawing/2014/main" id="{EC2AFA93-7E87-4273-A7EA-397E2E6B11EF}"/>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a:ext>
          </a:extLst>
        </a:blip>
        <a:stretch>
          <a:fillRect/>
        </a:stretch>
      </xdr:blipFill>
      <xdr:spPr>
        <a:xfrm>
          <a:off x="4533900" y="152400"/>
          <a:ext cx="1308100" cy="464988"/>
        </a:xfrm>
        <a:prstGeom prst="rect">
          <a:avLst/>
        </a:prstGeom>
      </xdr:spPr>
    </xdr:pic>
    <xdr:clientData/>
  </xdr:oneCellAnchor>
  <xdr:twoCellAnchor editAs="oneCell">
    <xdr:from>
      <xdr:col>0</xdr:col>
      <xdr:colOff>63500</xdr:colOff>
      <xdr:row>0</xdr:row>
      <xdr:rowOff>76200</xdr:rowOff>
    </xdr:from>
    <xdr:to>
      <xdr:col>0</xdr:col>
      <xdr:colOff>1638300</xdr:colOff>
      <xdr:row>0</xdr:row>
      <xdr:rowOff>593513</xdr:rowOff>
    </xdr:to>
    <xdr:pic>
      <xdr:nvPicPr>
        <xdr:cNvPr id="3" name="Picture 2" descr="ARK Investment Management">
          <a:hlinkClick xmlns:r="http://schemas.openxmlformats.org/officeDocument/2006/relationships" r:id="rId3"/>
          <a:extLst>
            <a:ext uri="{FF2B5EF4-FFF2-40B4-BE49-F238E27FC236}">
              <a16:creationId xmlns:a16="http://schemas.microsoft.com/office/drawing/2014/main" id="{5BCB4648-CEAB-4C57-B61F-57C6ABF480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59690" y="76200"/>
          <a:ext cx="1578610" cy="52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20</xdr:row>
      <xdr:rowOff>0</xdr:rowOff>
    </xdr:from>
    <xdr:to>
      <xdr:col>14</xdr:col>
      <xdr:colOff>207645</xdr:colOff>
      <xdr:row>35</xdr:row>
      <xdr:rowOff>53340</xdr:rowOff>
    </xdr:to>
    <xdr:graphicFrame macro="">
      <xdr:nvGraphicFramePr>
        <xdr:cNvPr id="4" name="Chart 3">
          <a:extLst>
            <a:ext uri="{FF2B5EF4-FFF2-40B4-BE49-F238E27FC236}">
              <a16:creationId xmlns:a16="http://schemas.microsoft.com/office/drawing/2014/main" id="{2057E9FA-84C7-4446-BF5C-0E4344B3D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 val="Sales Graphs"/>
    </sheetNames>
    <sheetDataSet>
      <sheetData sheetId="0"/>
      <sheetData sheetId="1"/>
      <sheetData sheetId="2" refreshError="1"/>
    </sheetDataSet>
  </externalBook>
</externalLink>
</file>

<file path=xl/theme/theme1.xml><?xml version="1.0" encoding="utf-8"?>
<a:theme xmlns:a="http://schemas.openxmlformats.org/drawingml/2006/main" name="ARK2022">
  <a:themeElements>
    <a:clrScheme name="ARK Invest Template Colors">
      <a:dk1>
        <a:sysClr val="windowText" lastClr="000000"/>
      </a:dk1>
      <a:lt1>
        <a:sysClr val="window" lastClr="FFFFFF"/>
      </a:lt1>
      <a:dk2>
        <a:srgbClr val="000000"/>
      </a:dk2>
      <a:lt2>
        <a:srgbClr val="E7E6E6"/>
      </a:lt2>
      <a:accent1>
        <a:srgbClr val="8264FF"/>
      </a:accent1>
      <a:accent2>
        <a:srgbClr val="38D996"/>
      </a:accent2>
      <a:accent3>
        <a:srgbClr val="F74870"/>
      </a:accent3>
      <a:accent4>
        <a:srgbClr val="FCC049"/>
      </a:accent4>
      <a:accent5>
        <a:srgbClr val="4598AB"/>
      </a:accent5>
      <a:accent6>
        <a:srgbClr val="88BF57"/>
      </a:accent6>
      <a:hlink>
        <a:srgbClr val="737887"/>
      </a:hlink>
      <a:folHlink>
        <a:srgbClr val="737887"/>
      </a:folHlink>
    </a:clrScheme>
    <a:fontScheme name="ARK Invest Template Fonts (Option 1)">
      <a:majorFont>
        <a:latin typeface="Brother 1816"/>
        <a:ea typeface=""/>
        <a:cs typeface=""/>
      </a:majorFont>
      <a:minorFont>
        <a:latin typeface="Brother 1816"/>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noFill/>
      </a:spPr>
      <a:bodyPr wrap="square" rtlCol="0">
        <a:spAutoFit/>
      </a:bodyPr>
      <a:lstStyle>
        <a:defPPr>
          <a:defRPr sz="2400" dirty="0" smtClean="0">
            <a:latin typeface="Tw Cen MT" charset="0"/>
            <a:ea typeface="Tw Cen MT" charset="0"/>
            <a:cs typeface="Tw Cen MT" charset="0"/>
          </a:defRPr>
        </a:defPPr>
      </a:lstStyle>
    </a:txDef>
  </a:objectDefaults>
  <a:extraClrSchemeLst/>
  <a:extLst>
    <a:ext uri="{05A4C25C-085E-4340-85A3-A5531E510DB2}">
      <thm15:themeFamily xmlns:thm15="http://schemas.microsoft.com/office/thememl/2012/main" name="ARK2020" id="{8BF9F1BA-DD73-FF45-85C4-E41F37B82A27}" vid="{760CB7DB-6F04-A547-86B6-ED9297FECE6C}"/>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nc/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9B55-A5F1-4F3C-BF43-8795B3F85DAA}">
  <dimension ref="A1:H15"/>
  <sheetViews>
    <sheetView tabSelected="1" zoomScale="85" zoomScaleNormal="85" workbookViewId="0">
      <selection activeCell="A15" sqref="A15"/>
    </sheetView>
  </sheetViews>
  <sheetFormatPr defaultColWidth="10.69921875" defaultRowHeight="15"/>
  <cols>
    <col min="1" max="1" width="189" style="21" customWidth="1"/>
    <col min="2" max="16384" width="10.69921875" style="21"/>
  </cols>
  <sheetData>
    <row r="1" spans="1:8" ht="56.1" customHeight="1"/>
    <row r="2" spans="1:8">
      <c r="A2" s="22" t="s">
        <v>4</v>
      </c>
    </row>
    <row r="3" spans="1:8">
      <c r="A3" s="23" t="s">
        <v>5</v>
      </c>
    </row>
    <row r="4" spans="1:8">
      <c r="A4" s="24"/>
    </row>
    <row r="5" spans="1:8">
      <c r="A5" s="25" t="s">
        <v>6</v>
      </c>
    </row>
    <row r="6" spans="1:8">
      <c r="A6" s="26"/>
    </row>
    <row r="7" spans="1:8" ht="141.6" customHeight="1">
      <c r="A7" s="27" t="s">
        <v>376</v>
      </c>
    </row>
    <row r="8" spans="1:8">
      <c r="A8" s="26"/>
    </row>
    <row r="9" spans="1:8" ht="41.4">
      <c r="A9" s="27" t="s">
        <v>7</v>
      </c>
    </row>
    <row r="10" spans="1:8">
      <c r="A10" s="28"/>
    </row>
    <row r="11" spans="1:8" ht="55.2">
      <c r="A11" s="29" t="s">
        <v>8</v>
      </c>
    </row>
    <row r="12" spans="1:8">
      <c r="A12" s="26"/>
    </row>
    <row r="13" spans="1:8" ht="41.4">
      <c r="A13" s="29" t="s">
        <v>374</v>
      </c>
      <c r="H13" s="30"/>
    </row>
    <row r="15" spans="1:8" ht="41.4">
      <c r="A15" s="29" t="s">
        <v>375</v>
      </c>
    </row>
  </sheetData>
  <sheetProtection selectLockedCells="1" selectUnlockedCells="1"/>
  <hyperlinks>
    <hyperlink ref="A2" r:id="rId1" display="http://creativecommons.org/licenses/by-nc/4.0/" xr:uid="{3661F132-DC0B-4581-8B52-4B916CF22A1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3819D-6B71-4224-A391-319C057F9C09}">
  <dimension ref="A1:K19"/>
  <sheetViews>
    <sheetView zoomScale="85" zoomScaleNormal="85" workbookViewId="0">
      <selection activeCell="D6" sqref="D6:K6"/>
    </sheetView>
  </sheetViews>
  <sheetFormatPr defaultColWidth="8.59765625" defaultRowHeight="13.2"/>
  <cols>
    <col min="1" max="1" width="8.59765625" style="3" customWidth="1"/>
    <col min="2" max="16384" width="8.59765625" style="3"/>
  </cols>
  <sheetData>
    <row r="1" spans="1:11" s="11" customFormat="1">
      <c r="A1" s="1" t="s">
        <v>9</v>
      </c>
    </row>
    <row r="3" spans="1:11">
      <c r="A3" s="12" t="s">
        <v>10</v>
      </c>
    </row>
    <row r="4" spans="1:11" ht="66.599999999999994" customHeight="1">
      <c r="A4" s="161" t="s">
        <v>11</v>
      </c>
      <c r="B4" s="161"/>
      <c r="C4" s="161"/>
      <c r="D4" s="161"/>
      <c r="E4" s="161"/>
      <c r="F4" s="161"/>
      <c r="G4" s="161"/>
      <c r="H4" s="161"/>
      <c r="I4" s="161"/>
    </row>
    <row r="5" spans="1:11">
      <c r="A5" s="162" t="s">
        <v>0</v>
      </c>
      <c r="B5" s="162"/>
      <c r="C5" s="162"/>
      <c r="D5" s="162" t="s">
        <v>12</v>
      </c>
      <c r="E5" s="162"/>
      <c r="F5" s="162"/>
      <c r="G5" s="162"/>
      <c r="H5" s="162"/>
      <c r="I5" s="162"/>
      <c r="J5" s="162"/>
      <c r="K5" s="162"/>
    </row>
    <row r="6" spans="1:11" ht="108" customHeight="1">
      <c r="A6" s="16" t="s">
        <v>3</v>
      </c>
      <c r="B6" s="17"/>
      <c r="C6" s="17"/>
      <c r="D6" s="160" t="s">
        <v>13</v>
      </c>
      <c r="E6" s="160"/>
      <c r="F6" s="160"/>
      <c r="G6" s="160"/>
      <c r="H6" s="160"/>
      <c r="I6" s="160"/>
      <c r="J6" s="160"/>
      <c r="K6" s="160"/>
    </row>
    <row r="7" spans="1:11" ht="59.85" customHeight="1">
      <c r="A7" s="16" t="s">
        <v>2</v>
      </c>
      <c r="B7" s="17"/>
      <c r="C7" s="17"/>
      <c r="D7" s="160" t="s">
        <v>14</v>
      </c>
      <c r="E7" s="160"/>
      <c r="F7" s="160"/>
      <c r="G7" s="160"/>
      <c r="H7" s="160"/>
      <c r="I7" s="160"/>
      <c r="J7" s="160"/>
      <c r="K7" s="160"/>
    </row>
    <row r="8" spans="1:11" ht="116.4" customHeight="1">
      <c r="A8" s="18" t="s">
        <v>15</v>
      </c>
      <c r="B8" s="19"/>
      <c r="C8" s="19"/>
      <c r="D8" s="163" t="s">
        <v>16</v>
      </c>
      <c r="E8" s="163"/>
      <c r="F8" s="163"/>
      <c r="G8" s="163"/>
      <c r="H8" s="163"/>
      <c r="I8" s="163"/>
      <c r="J8" s="163"/>
      <c r="K8" s="163"/>
    </row>
    <row r="9" spans="1:11" ht="136.94999999999999" customHeight="1">
      <c r="A9" s="18" t="s">
        <v>17</v>
      </c>
      <c r="B9" s="20"/>
      <c r="C9" s="20"/>
      <c r="D9" s="163" t="s">
        <v>18</v>
      </c>
      <c r="E9" s="163"/>
      <c r="F9" s="163"/>
      <c r="G9" s="163"/>
      <c r="H9" s="163"/>
      <c r="I9" s="163"/>
      <c r="J9" s="163"/>
      <c r="K9" s="163"/>
    </row>
    <row r="11" spans="1:11">
      <c r="A11" s="162" t="s">
        <v>19</v>
      </c>
      <c r="B11" s="162"/>
      <c r="C11" s="162"/>
      <c r="D11" s="164"/>
      <c r="E11" s="164"/>
      <c r="F11" s="164"/>
      <c r="G11" s="164"/>
      <c r="H11" s="164"/>
      <c r="I11" s="164"/>
      <c r="J11" s="164"/>
      <c r="K11" s="164"/>
    </row>
    <row r="12" spans="1:11">
      <c r="A12" s="162" t="s">
        <v>20</v>
      </c>
      <c r="B12" s="162"/>
      <c r="C12" s="162"/>
      <c r="D12" s="162" t="s">
        <v>12</v>
      </c>
      <c r="E12" s="162"/>
      <c r="F12" s="162"/>
      <c r="G12" s="162"/>
      <c r="H12" s="162"/>
      <c r="I12" s="162"/>
      <c r="J12" s="162"/>
      <c r="K12" s="162"/>
    </row>
    <row r="13" spans="1:11" ht="51.6" customHeight="1">
      <c r="A13" s="16" t="s">
        <v>21</v>
      </c>
      <c r="B13" s="17"/>
      <c r="C13" s="17"/>
      <c r="D13" s="160" t="s">
        <v>22</v>
      </c>
      <c r="E13" s="160"/>
      <c r="F13" s="160"/>
      <c r="G13" s="160"/>
      <c r="H13" s="160"/>
      <c r="I13" s="160"/>
      <c r="J13" s="160"/>
      <c r="K13" s="160"/>
    </row>
    <row r="14" spans="1:11" ht="94.2" customHeight="1">
      <c r="A14" s="16" t="s">
        <v>23</v>
      </c>
      <c r="B14" s="17"/>
      <c r="C14" s="17"/>
      <c r="D14" s="160" t="s">
        <v>24</v>
      </c>
      <c r="E14" s="160"/>
      <c r="F14" s="160"/>
      <c r="G14" s="160"/>
      <c r="H14" s="160"/>
      <c r="I14" s="160"/>
      <c r="J14" s="160"/>
      <c r="K14" s="160"/>
    </row>
    <row r="15" spans="1:11" ht="77.400000000000006" customHeight="1">
      <c r="A15" s="16" t="s">
        <v>25</v>
      </c>
      <c r="B15" s="17"/>
      <c r="C15" s="17"/>
      <c r="D15" s="160" t="s">
        <v>26</v>
      </c>
      <c r="E15" s="160"/>
      <c r="F15" s="160"/>
      <c r="G15" s="160"/>
      <c r="H15" s="160"/>
      <c r="I15" s="160"/>
      <c r="J15" s="160"/>
      <c r="K15" s="160"/>
    </row>
    <row r="16" spans="1:11" ht="47.4" customHeight="1">
      <c r="A16" s="16" t="s">
        <v>27</v>
      </c>
      <c r="B16" s="17"/>
      <c r="C16" s="17"/>
      <c r="D16" s="160" t="s">
        <v>28</v>
      </c>
      <c r="E16" s="160"/>
      <c r="F16" s="160"/>
      <c r="G16" s="160"/>
      <c r="H16" s="160"/>
      <c r="I16" s="160"/>
      <c r="J16" s="160"/>
      <c r="K16" s="160"/>
    </row>
    <row r="17" spans="1:11" ht="32.4" customHeight="1">
      <c r="A17" s="16" t="s">
        <v>29</v>
      </c>
      <c r="B17" s="17"/>
      <c r="C17" s="17"/>
      <c r="D17" s="160" t="s">
        <v>30</v>
      </c>
      <c r="E17" s="160"/>
      <c r="F17" s="160"/>
      <c r="G17" s="160"/>
      <c r="H17" s="160"/>
      <c r="I17" s="160"/>
      <c r="J17" s="160"/>
      <c r="K17" s="160"/>
    </row>
    <row r="18" spans="1:11" ht="48.6" customHeight="1">
      <c r="A18" s="16" t="s">
        <v>31</v>
      </c>
      <c r="B18" s="17"/>
      <c r="C18" s="17"/>
      <c r="D18" s="160" t="s">
        <v>32</v>
      </c>
      <c r="E18" s="160"/>
      <c r="F18" s="160"/>
      <c r="G18" s="160"/>
      <c r="H18" s="160"/>
      <c r="I18" s="160"/>
      <c r="J18" s="160"/>
      <c r="K18" s="160"/>
    </row>
    <row r="19" spans="1:11" ht="50.4" customHeight="1">
      <c r="A19" s="16" t="s">
        <v>33</v>
      </c>
      <c r="B19" s="17"/>
      <c r="C19" s="17"/>
      <c r="D19" s="160" t="s">
        <v>34</v>
      </c>
      <c r="E19" s="160"/>
      <c r="F19" s="160"/>
      <c r="G19" s="160"/>
      <c r="H19" s="160"/>
      <c r="I19" s="160"/>
      <c r="J19" s="160"/>
      <c r="K19" s="160"/>
    </row>
  </sheetData>
  <mergeCells count="18">
    <mergeCell ref="A4:I4"/>
    <mergeCell ref="A5:C5"/>
    <mergeCell ref="D5:K5"/>
    <mergeCell ref="D8:K8"/>
    <mergeCell ref="A12:C12"/>
    <mergeCell ref="D12:K12"/>
    <mergeCell ref="A11:C11"/>
    <mergeCell ref="D11:K11"/>
    <mergeCell ref="D9:K9"/>
    <mergeCell ref="D18:K18"/>
    <mergeCell ref="D19:K19"/>
    <mergeCell ref="D6:K6"/>
    <mergeCell ref="D7:K7"/>
    <mergeCell ref="D13:K13"/>
    <mergeCell ref="D14:K14"/>
    <mergeCell ref="D15:K15"/>
    <mergeCell ref="D16:K16"/>
    <mergeCell ref="D17:K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C5219-51E5-4895-B48D-A4DAE67D7E01}">
  <sheetPr codeName="Sheet1"/>
  <dimension ref="A1:AC256"/>
  <sheetViews>
    <sheetView topLeftCell="A131" zoomScale="85" zoomScaleNormal="85" workbookViewId="0">
      <selection activeCell="H4" sqref="H4"/>
    </sheetView>
  </sheetViews>
  <sheetFormatPr defaultColWidth="10" defaultRowHeight="13.2" outlineLevelRow="1" outlineLevelCol="1"/>
  <cols>
    <col min="1" max="8" width="10" style="37"/>
    <col min="9" max="14" width="10" style="106" hidden="1" customWidth="1" outlineLevel="1"/>
    <col min="15" max="15" width="10.59765625" style="37" bestFit="1" customWidth="1" collapsed="1"/>
    <col min="16" max="19" width="10" style="106" hidden="1" customWidth="1" outlineLevel="1"/>
    <col min="20" max="20" width="10" style="37" collapsed="1"/>
    <col min="21" max="21" width="10" style="39"/>
    <col min="22" max="27" width="10" style="37"/>
    <col min="28" max="28" width="255.69921875" style="37" customWidth="1"/>
    <col min="29" max="16384" width="10" style="37"/>
  </cols>
  <sheetData>
    <row r="1" spans="1:26" s="31" customFormat="1">
      <c r="A1" s="31" t="s">
        <v>3</v>
      </c>
      <c r="H1" s="32"/>
      <c r="I1" s="105"/>
      <c r="J1" s="105"/>
      <c r="K1" s="105"/>
      <c r="L1" s="105"/>
      <c r="M1" s="105"/>
      <c r="N1" s="105"/>
      <c r="P1" s="105"/>
      <c r="Q1" s="105"/>
      <c r="R1" s="105"/>
      <c r="S1" s="105"/>
      <c r="W1" s="165" t="s">
        <v>35</v>
      </c>
      <c r="X1" s="165"/>
      <c r="Y1" s="165"/>
      <c r="Z1" s="165"/>
    </row>
    <row r="2" spans="1:26" s="31" customFormat="1">
      <c r="A2" s="31" t="s">
        <v>36</v>
      </c>
      <c r="H2" s="33" t="s">
        <v>37</v>
      </c>
      <c r="I2" s="105"/>
      <c r="J2" s="105"/>
      <c r="K2" s="105"/>
      <c r="L2" s="105"/>
      <c r="M2" s="105"/>
      <c r="N2" s="105"/>
      <c r="P2" s="105"/>
      <c r="Q2" s="105"/>
      <c r="R2" s="105"/>
      <c r="S2" s="105"/>
      <c r="W2" s="33">
        <v>0</v>
      </c>
      <c r="X2" s="33">
        <v>1</v>
      </c>
      <c r="Y2" s="33">
        <v>2</v>
      </c>
      <c r="Z2" s="33">
        <v>3</v>
      </c>
    </row>
    <row r="3" spans="1:26" s="31" customFormat="1">
      <c r="A3" s="31" t="s">
        <v>38</v>
      </c>
      <c r="H3" s="34">
        <v>1</v>
      </c>
      <c r="I3" s="105">
        <v>2015</v>
      </c>
      <c r="J3" s="105">
        <v>2016</v>
      </c>
      <c r="K3" s="105">
        <v>2017</v>
      </c>
      <c r="L3" s="105">
        <v>2018</v>
      </c>
      <c r="M3" s="105">
        <v>2019</v>
      </c>
      <c r="N3" s="105">
        <v>2020</v>
      </c>
      <c r="O3" s="31">
        <v>2021</v>
      </c>
      <c r="P3" s="105">
        <v>2022</v>
      </c>
      <c r="Q3" s="105">
        <v>2023</v>
      </c>
      <c r="R3" s="105">
        <v>2024</v>
      </c>
      <c r="S3" s="105">
        <v>2025</v>
      </c>
      <c r="T3" s="31">
        <v>2026</v>
      </c>
      <c r="U3" s="35" t="s">
        <v>39</v>
      </c>
      <c r="W3" s="33" t="s">
        <v>40</v>
      </c>
      <c r="X3" s="33" t="s">
        <v>41</v>
      </c>
      <c r="Y3" s="33" t="s">
        <v>42</v>
      </c>
      <c r="Z3" s="33" t="s">
        <v>43</v>
      </c>
    </row>
    <row r="4" spans="1:26">
      <c r="A4" s="36" t="s">
        <v>44</v>
      </c>
      <c r="O4" s="38"/>
      <c r="T4" s="38"/>
      <c r="V4" s="38"/>
    </row>
    <row r="5" spans="1:26">
      <c r="A5" s="36" t="s">
        <v>45</v>
      </c>
      <c r="O5" s="40"/>
    </row>
    <row r="6" spans="1:26">
      <c r="A6" s="36" t="s">
        <v>46</v>
      </c>
      <c r="O6" s="40"/>
    </row>
    <row r="7" spans="1:26">
      <c r="A7" s="36"/>
      <c r="O7" s="40"/>
    </row>
    <row r="8" spans="1:26">
      <c r="A8" s="41" t="s">
        <v>47</v>
      </c>
      <c r="B8" s="41"/>
      <c r="C8" s="41"/>
      <c r="D8" s="41"/>
      <c r="E8" s="41"/>
      <c r="F8" s="41"/>
      <c r="G8" s="41"/>
      <c r="H8" s="41"/>
      <c r="I8" s="107">
        <f t="shared" ref="I8:T8" si="0">SUM(I9,I14)</f>
        <v>319.85699999999997</v>
      </c>
      <c r="J8" s="107">
        <f t="shared" si="0"/>
        <v>398.649</v>
      </c>
      <c r="K8" s="107">
        <f t="shared" si="0"/>
        <v>512.77</v>
      </c>
      <c r="L8" s="107">
        <f t="shared" si="0"/>
        <v>742.50600000000009</v>
      </c>
      <c r="M8" s="107">
        <f t="shared" si="0"/>
        <v>1128.921</v>
      </c>
      <c r="N8" s="107">
        <f t="shared" si="0"/>
        <v>1778.4289999999999</v>
      </c>
      <c r="O8" s="42">
        <f t="shared" si="0"/>
        <v>2764.5839999999998</v>
      </c>
      <c r="P8" s="107">
        <f t="shared" si="0"/>
        <v>3743.9368746167461</v>
      </c>
      <c r="Q8" s="107">
        <f t="shared" si="0"/>
        <v>5154.2466438163956</v>
      </c>
      <c r="R8" s="107">
        <f t="shared" si="0"/>
        <v>7188.3062934655291</v>
      </c>
      <c r="S8" s="107">
        <f t="shared" si="0"/>
        <v>10129.605127767665</v>
      </c>
      <c r="T8" s="42">
        <f t="shared" si="0"/>
        <v>14409.474300082938</v>
      </c>
      <c r="U8" s="43">
        <f>_xlfn.RRI(5,O8,T8)</f>
        <v>0.39124516906749029</v>
      </c>
    </row>
    <row r="9" spans="1:26">
      <c r="A9" s="44" t="s">
        <v>48</v>
      </c>
      <c r="I9" s="108">
        <f>'Financials + KPIs'!L15</f>
        <v>49.88</v>
      </c>
      <c r="J9" s="108">
        <f>'Financials + KPIs'!Q15</f>
        <v>104.72</v>
      </c>
      <c r="K9" s="108">
        <f>'Financials + KPIs'!V15</f>
        <v>225.34100000000001</v>
      </c>
      <c r="L9" s="108">
        <f>'Financials + KPIs'!AA15</f>
        <v>416.86300000000006</v>
      </c>
      <c r="M9" s="108">
        <f>'Financials + KPIs'!AF15</f>
        <v>740.77600000000007</v>
      </c>
      <c r="N9" s="108">
        <f>'Financials + KPIs'!AK15</f>
        <v>1267.8009999999999</v>
      </c>
      <c r="O9" s="45">
        <f>'Financials + KPIs'!AP15</f>
        <v>2284.9249999999997</v>
      </c>
      <c r="P9" s="108">
        <f>P157+P80+P93+P118</f>
        <v>3237.8470331497051</v>
      </c>
      <c r="Q9" s="108">
        <f>Q157+Q80+Q93+Q118</f>
        <v>4615.3429049432298</v>
      </c>
      <c r="R9" s="108">
        <f>R157+R80+R93+R118</f>
        <v>6614.5792341041561</v>
      </c>
      <c r="S9" s="108">
        <f>S157+S80+S93+S118</f>
        <v>9527.0173348669232</v>
      </c>
      <c r="T9" s="45">
        <f>T157+T80+T93+T118</f>
        <v>13784.752372350384</v>
      </c>
      <c r="U9" s="46">
        <f>_xlfn.RRI(5,O9,T9)</f>
        <v>0.4325355355147964</v>
      </c>
    </row>
    <row r="10" spans="1:26">
      <c r="A10" s="47" t="s">
        <v>49</v>
      </c>
      <c r="I10" s="108"/>
      <c r="J10" s="108"/>
      <c r="K10" s="108"/>
      <c r="L10" s="108"/>
      <c r="M10" s="108"/>
      <c r="N10" s="108"/>
      <c r="O10" s="45">
        <f t="shared" ref="O10:T10" si="1">O80</f>
        <v>889.38</v>
      </c>
      <c r="P10" s="108">
        <f t="shared" si="1"/>
        <v>1341.5433827752172</v>
      </c>
      <c r="Q10" s="108">
        <f t="shared" si="1"/>
        <v>2023.587946511022</v>
      </c>
      <c r="R10" s="108">
        <f t="shared" si="1"/>
        <v>3052.3859532545721</v>
      </c>
      <c r="S10" s="108">
        <f t="shared" si="1"/>
        <v>4604.22786352818</v>
      </c>
      <c r="T10" s="45">
        <f t="shared" si="1"/>
        <v>6945.0307215200628</v>
      </c>
      <c r="U10" s="46">
        <f t="shared" ref="U10:U12" si="2">_xlfn.RRI(5,O10,T10)</f>
        <v>0.50840291301267992</v>
      </c>
    </row>
    <row r="11" spans="1:26">
      <c r="A11" s="47" t="s">
        <v>50</v>
      </c>
      <c r="I11" s="108"/>
      <c r="J11" s="108"/>
      <c r="K11" s="108"/>
      <c r="L11" s="108"/>
      <c r="M11" s="108"/>
      <c r="N11" s="108"/>
      <c r="O11" s="45">
        <f t="shared" ref="O11:T11" si="3">O118</f>
        <v>454.57200000000006</v>
      </c>
      <c r="P11" s="108">
        <f t="shared" si="3"/>
        <v>676.88407866296632</v>
      </c>
      <c r="Q11" s="108">
        <f t="shared" si="3"/>
        <v>1007.9196605761305</v>
      </c>
      <c r="R11" s="108">
        <f t="shared" si="3"/>
        <v>1500.8508461043884</v>
      </c>
      <c r="S11" s="108">
        <f t="shared" si="3"/>
        <v>2234.853977314709</v>
      </c>
      <c r="T11" s="45">
        <f t="shared" si="3"/>
        <v>3327.8272207283626</v>
      </c>
      <c r="U11" s="46">
        <f t="shared" si="2"/>
        <v>0.48905801207062116</v>
      </c>
    </row>
    <row r="12" spans="1:26">
      <c r="A12" s="47" t="s">
        <v>51</v>
      </c>
      <c r="I12" s="108"/>
      <c r="J12" s="108"/>
      <c r="K12" s="108"/>
      <c r="L12" s="108"/>
      <c r="M12" s="108"/>
      <c r="N12" s="108"/>
      <c r="O12" s="45">
        <f t="shared" ref="O12:T12" si="4">O93</f>
        <v>179.31004440272341</v>
      </c>
      <c r="P12" s="108">
        <f t="shared" si="4"/>
        <v>220.48674224866252</v>
      </c>
      <c r="Q12" s="108">
        <f t="shared" si="4"/>
        <v>271.1192430371724</v>
      </c>
      <c r="R12" s="108">
        <f t="shared" si="4"/>
        <v>333.37897415233471</v>
      </c>
      <c r="S12" s="108">
        <f t="shared" si="4"/>
        <v>409.93600882702657</v>
      </c>
      <c r="T12" s="45">
        <f t="shared" si="4"/>
        <v>504.07357500669519</v>
      </c>
      <c r="U12" s="46">
        <f t="shared" si="2"/>
        <v>0.22963966119743873</v>
      </c>
    </row>
    <row r="13" spans="1:26">
      <c r="A13" s="47" t="s">
        <v>52</v>
      </c>
      <c r="I13" s="108"/>
      <c r="J13" s="108"/>
      <c r="K13" s="108"/>
      <c r="L13" s="108"/>
      <c r="M13" s="108"/>
      <c r="N13" s="108"/>
      <c r="O13" s="45">
        <f t="shared" ref="O13:T13" si="5">O157</f>
        <v>761.64109499765209</v>
      </c>
      <c r="P13" s="108">
        <f t="shared" si="5"/>
        <v>998.9328294628591</v>
      </c>
      <c r="Q13" s="108">
        <f t="shared" si="5"/>
        <v>1312.7160548189049</v>
      </c>
      <c r="R13" s="108">
        <f t="shared" si="5"/>
        <v>1727.9634605928604</v>
      </c>
      <c r="S13" s="108">
        <f t="shared" si="5"/>
        <v>2277.9994851970077</v>
      </c>
      <c r="T13" s="45">
        <f t="shared" si="5"/>
        <v>3007.8208550952631</v>
      </c>
      <c r="U13" s="46">
        <f>_xlfn.RRI(5,O13,T13)</f>
        <v>0.31613463943510478</v>
      </c>
    </row>
    <row r="14" spans="1:26">
      <c r="A14" s="44" t="s">
        <v>53</v>
      </c>
      <c r="I14" s="108">
        <f>'Financials + KPIs'!L19</f>
        <v>269.97699999999998</v>
      </c>
      <c r="J14" s="108">
        <f>'Financials + KPIs'!Q19</f>
        <v>293.92900000000003</v>
      </c>
      <c r="K14" s="108">
        <f>'Financials + KPIs'!V19</f>
        <v>287.42900000000003</v>
      </c>
      <c r="L14" s="108">
        <f>'Financials + KPIs'!AA19</f>
        <v>325.64299999999997</v>
      </c>
      <c r="M14" s="108">
        <f>'Financials + KPIs'!AF19</f>
        <v>388.14499999999998</v>
      </c>
      <c r="N14" s="108">
        <f>'Financials + KPIs'!AK19</f>
        <v>510.62799999999999</v>
      </c>
      <c r="O14" s="45">
        <f>'Financials + KPIs'!AP19</f>
        <v>479.65900000000005</v>
      </c>
      <c r="P14" s="108">
        <f>P253</f>
        <v>506.08984146704108</v>
      </c>
      <c r="Q14" s="108">
        <f>Q253</f>
        <v>538.90373887316605</v>
      </c>
      <c r="R14" s="108">
        <f>R253</f>
        <v>573.72705936137299</v>
      </c>
      <c r="S14" s="108">
        <f>S253</f>
        <v>602.58779290074187</v>
      </c>
      <c r="T14" s="45">
        <f>T253</f>
        <v>624.72192773255438</v>
      </c>
      <c r="U14" s="46">
        <f>_xlfn.RRI(5,O14,T14)</f>
        <v>5.4267528551476429E-2</v>
      </c>
    </row>
    <row r="15" spans="1:26">
      <c r="A15" s="44"/>
      <c r="I15" s="108"/>
      <c r="J15" s="108"/>
      <c r="K15" s="108"/>
      <c r="L15" s="108"/>
      <c r="M15" s="108"/>
      <c r="N15" s="108"/>
      <c r="O15" s="45"/>
      <c r="P15" s="108"/>
      <c r="Q15" s="108"/>
      <c r="R15" s="108"/>
      <c r="S15" s="108"/>
      <c r="T15" s="45"/>
      <c r="U15" s="46"/>
    </row>
    <row r="16" spans="1:26">
      <c r="A16" s="41" t="s">
        <v>54</v>
      </c>
      <c r="B16" s="41"/>
      <c r="C16" s="41"/>
      <c r="D16" s="41"/>
      <c r="E16" s="41"/>
      <c r="F16" s="41"/>
      <c r="G16" s="41"/>
      <c r="H16" s="41"/>
      <c r="I16" s="107"/>
      <c r="J16" s="107"/>
      <c r="K16" s="107"/>
      <c r="L16" s="107"/>
      <c r="M16" s="107"/>
      <c r="N16" s="107"/>
      <c r="O16" s="48">
        <f>O202</f>
        <v>88.53</v>
      </c>
      <c r="P16" s="116"/>
      <c r="Q16" s="116"/>
      <c r="R16" s="116"/>
      <c r="S16" s="116"/>
      <c r="T16" s="48">
        <f>T202</f>
        <v>604.5436458850902</v>
      </c>
      <c r="U16" s="43">
        <f>_xlfn.RRI(($T$17-$O$17)/365,O16,T16)</f>
        <v>0.53392524740339709</v>
      </c>
    </row>
    <row r="17" spans="1:21">
      <c r="A17" s="44" t="s">
        <v>55</v>
      </c>
      <c r="I17" s="108"/>
      <c r="J17" s="108"/>
      <c r="K17" s="108"/>
      <c r="L17" s="108"/>
      <c r="M17" s="108"/>
      <c r="N17" s="108"/>
      <c r="O17" s="49">
        <f>O203</f>
        <v>44748</v>
      </c>
      <c r="P17" s="117"/>
      <c r="Q17" s="117"/>
      <c r="R17" s="117"/>
      <c r="S17" s="117"/>
      <c r="T17" s="49">
        <f>T203</f>
        <v>46387</v>
      </c>
      <c r="U17" s="46"/>
    </row>
    <row r="18" spans="1:21">
      <c r="A18" s="44"/>
      <c r="I18" s="108"/>
      <c r="J18" s="108"/>
      <c r="K18" s="108"/>
      <c r="L18" s="108"/>
      <c r="M18" s="108"/>
      <c r="N18" s="108"/>
      <c r="O18" s="45"/>
      <c r="P18" s="108"/>
      <c r="Q18" s="108"/>
      <c r="R18" s="108"/>
      <c r="S18" s="108"/>
      <c r="T18" s="45"/>
      <c r="U18" s="46"/>
    </row>
    <row r="19" spans="1:21">
      <c r="A19" s="41" t="s">
        <v>56</v>
      </c>
      <c r="B19" s="41"/>
      <c r="C19" s="41"/>
      <c r="D19" s="41"/>
      <c r="E19" s="41"/>
      <c r="F19" s="41"/>
      <c r="G19" s="41"/>
      <c r="H19" s="41"/>
      <c r="I19" s="107">
        <f>'Financials + KPIs'!L84</f>
        <v>5.4979999999999993</v>
      </c>
      <c r="J19" s="107">
        <f>'Financials + KPIs'!Q84</f>
        <v>9.3679999999999986</v>
      </c>
      <c r="K19" s="107">
        <f>'Financials + KPIs'!V84</f>
        <v>14.8</v>
      </c>
      <c r="L19" s="107">
        <f>'Financials + KPIs'!AA84</f>
        <v>23.700000000000003</v>
      </c>
      <c r="M19" s="107">
        <f>'Financials + KPIs'!AF84</f>
        <v>37.700000000000003</v>
      </c>
      <c r="N19" s="107">
        <f>'Financials + KPIs'!AK84</f>
        <v>58.7</v>
      </c>
      <c r="O19" s="42">
        <f>O59</f>
        <v>73.2</v>
      </c>
      <c r="P19" s="107">
        <f t="shared" ref="P19:T19" si="6">P59</f>
        <v>94.117622131393759</v>
      </c>
      <c r="Q19" s="107">
        <f t="shared" si="6"/>
        <v>121.01266114300297</v>
      </c>
      <c r="R19" s="107">
        <f t="shared" si="6"/>
        <v>155.59322287666049</v>
      </c>
      <c r="S19" s="107">
        <f t="shared" si="6"/>
        <v>200.0555212692795</v>
      </c>
      <c r="T19" s="42">
        <f t="shared" si="6"/>
        <v>257.22336005629859</v>
      </c>
      <c r="U19" s="43">
        <f>_xlfn.RRI(5,O19,T19)</f>
        <v>0.28575986518297469</v>
      </c>
    </row>
    <row r="20" spans="1:21" hidden="1" outlineLevel="1">
      <c r="A20" s="44" t="s">
        <v>57</v>
      </c>
      <c r="I20" s="108"/>
      <c r="J20" s="108"/>
      <c r="K20" s="108"/>
      <c r="L20" s="108"/>
      <c r="M20" s="108"/>
      <c r="N20" s="108"/>
      <c r="O20" s="45">
        <f t="shared" ref="O20:T20" si="7">O70*O19</f>
        <v>10.98</v>
      </c>
      <c r="P20" s="108">
        <f t="shared" si="7"/>
        <v>14.953744383659338</v>
      </c>
      <c r="Q20" s="108">
        <f t="shared" si="7"/>
        <v>20.365616675029429</v>
      </c>
      <c r="R20" s="108">
        <f t="shared" si="7"/>
        <v>27.736086154278706</v>
      </c>
      <c r="S20" s="108">
        <f t="shared" si="7"/>
        <v>37.773983839183664</v>
      </c>
      <c r="T20" s="45">
        <f t="shared" si="7"/>
        <v>51.444672011259719</v>
      </c>
      <c r="U20" s="46"/>
    </row>
    <row r="21" spans="1:21" hidden="1" outlineLevel="1">
      <c r="A21" s="44" t="s">
        <v>58</v>
      </c>
      <c r="I21" s="108"/>
      <c r="J21" s="108"/>
      <c r="K21" s="108"/>
      <c r="L21" s="108"/>
      <c r="M21" s="108"/>
      <c r="N21" s="108"/>
      <c r="O21" s="45">
        <f t="shared" ref="O21:T21" si="8">O19*O103</f>
        <v>7.32</v>
      </c>
      <c r="P21" s="108">
        <f t="shared" si="8"/>
        <v>10.206790437374831</v>
      </c>
      <c r="Q21" s="108">
        <f t="shared" si="8"/>
        <v>14.232045223017249</v>
      </c>
      <c r="R21" s="108">
        <f t="shared" si="8"/>
        <v>19.84474085882221</v>
      </c>
      <c r="S21" s="108">
        <f t="shared" si="8"/>
        <v>27.670916834700549</v>
      </c>
      <c r="T21" s="45">
        <f t="shared" si="8"/>
        <v>38.583504008444784</v>
      </c>
      <c r="U21" s="46"/>
    </row>
    <row r="22" spans="1:21" hidden="1" outlineLevel="1">
      <c r="A22" s="44" t="s">
        <v>59</v>
      </c>
      <c r="I22" s="108"/>
      <c r="J22" s="108"/>
      <c r="K22" s="108"/>
      <c r="L22" s="108"/>
      <c r="M22" s="108"/>
      <c r="N22" s="108"/>
      <c r="O22" s="45">
        <f>O19-O20-O21</f>
        <v>54.9</v>
      </c>
      <c r="P22" s="108">
        <f t="shared" ref="P22:T22" si="9">P19-P20-P21</f>
        <v>68.957087310359583</v>
      </c>
      <c r="Q22" s="108">
        <f t="shared" si="9"/>
        <v>86.414999244956292</v>
      </c>
      <c r="R22" s="108">
        <f t="shared" si="9"/>
        <v>108.01239586355958</v>
      </c>
      <c r="S22" s="108">
        <f t="shared" si="9"/>
        <v>134.61062059539529</v>
      </c>
      <c r="T22" s="45">
        <f t="shared" si="9"/>
        <v>167.1951840365941</v>
      </c>
      <c r="U22" s="46"/>
    </row>
    <row r="23" spans="1:21" collapsed="1">
      <c r="A23" s="44"/>
      <c r="I23" s="108"/>
      <c r="J23" s="108"/>
      <c r="K23" s="108"/>
      <c r="L23" s="108"/>
      <c r="M23" s="108"/>
      <c r="N23" s="108"/>
      <c r="O23" s="45"/>
      <c r="P23" s="108"/>
      <c r="Q23" s="108"/>
      <c r="R23" s="108"/>
      <c r="S23" s="108"/>
      <c r="T23" s="45"/>
      <c r="U23" s="46"/>
    </row>
    <row r="24" spans="1:21">
      <c r="A24" s="50" t="s">
        <v>60</v>
      </c>
      <c r="B24" s="51"/>
      <c r="C24" s="51"/>
      <c r="D24" s="51"/>
      <c r="E24" s="51"/>
      <c r="F24" s="51"/>
      <c r="G24" s="51"/>
      <c r="H24" s="51"/>
      <c r="I24" s="109"/>
      <c r="J24" s="109"/>
      <c r="K24" s="109"/>
      <c r="L24" s="109"/>
      <c r="M24" s="109"/>
      <c r="N24" s="109"/>
      <c r="O24" s="52"/>
      <c r="P24" s="109"/>
      <c r="Q24" s="109"/>
      <c r="R24" s="109"/>
      <c r="S24" s="109"/>
      <c r="T24" s="52"/>
      <c r="U24" s="43"/>
    </row>
    <row r="25" spans="1:21">
      <c r="A25" s="44" t="s">
        <v>61</v>
      </c>
      <c r="I25" s="108"/>
      <c r="J25" s="108"/>
      <c r="K25" s="108"/>
      <c r="L25" s="108"/>
      <c r="M25" s="108"/>
      <c r="N25" s="110"/>
      <c r="O25" s="53">
        <f t="shared" ref="O25:T25" si="10">(O133+O140+O150+O155+(O80/(O76))+(O93/(O88))+O115)/(O19*10^3)</f>
        <v>0.12514477669709984</v>
      </c>
      <c r="P25" s="110">
        <f t="shared" si="10"/>
        <v>0.13780478201884119</v>
      </c>
      <c r="Q25" s="110">
        <f t="shared" si="10"/>
        <v>0.15256701447689575</v>
      </c>
      <c r="R25" s="110">
        <f t="shared" si="10"/>
        <v>0.16976859459486598</v>
      </c>
      <c r="S25" s="110">
        <f t="shared" si="10"/>
        <v>0.18980418409211353</v>
      </c>
      <c r="T25" s="53">
        <f t="shared" si="10"/>
        <v>0.21313693764533845</v>
      </c>
      <c r="U25" s="46">
        <f>_xlfn.RRI(5,O25,T25)</f>
        <v>0.11236982351705826</v>
      </c>
    </row>
    <row r="26" spans="1:21">
      <c r="A26" s="47" t="s">
        <v>62</v>
      </c>
      <c r="I26" s="108"/>
      <c r="J26" s="108"/>
      <c r="K26" s="108"/>
      <c r="L26" s="108"/>
      <c r="M26" s="108"/>
      <c r="N26" s="110"/>
      <c r="O26" s="53">
        <f t="shared" ref="O26:T26" si="11">((O80/(O76))+O115)/(O19*10^3)</f>
        <v>7.1550000000000002E-2</v>
      </c>
      <c r="P26" s="110">
        <f t="shared" si="11"/>
        <v>8.3472483593608635E-2</v>
      </c>
      <c r="Q26" s="110">
        <f t="shared" si="11"/>
        <v>9.7385606981991418E-2</v>
      </c>
      <c r="R26" s="110">
        <f t="shared" si="11"/>
        <v>0.11362239143743413</v>
      </c>
      <c r="S26" s="110">
        <f t="shared" si="11"/>
        <v>0.13257167775257406</v>
      </c>
      <c r="T26" s="53">
        <f t="shared" si="11"/>
        <v>0.15468750000000001</v>
      </c>
      <c r="U26" s="46">
        <f>_xlfn.RRI(5,O26,T26)</f>
        <v>0.16672664598740128</v>
      </c>
    </row>
    <row r="27" spans="1:21">
      <c r="A27" s="47" t="s">
        <v>63</v>
      </c>
      <c r="I27" s="108"/>
      <c r="J27" s="108"/>
      <c r="K27" s="108"/>
      <c r="L27" s="108"/>
      <c r="M27" s="108"/>
      <c r="N27" s="110"/>
      <c r="O27" s="53">
        <f t="shared" ref="O27:T27" si="12">(O93/(O88))/(O19*10^3)</f>
        <v>9.1859653894837811E-3</v>
      </c>
      <c r="P27" s="110">
        <f t="shared" si="12"/>
        <v>8.7850209632175744E-3</v>
      </c>
      <c r="Q27" s="110">
        <f t="shared" si="12"/>
        <v>8.4015767588810075E-3</v>
      </c>
      <c r="R27" s="110">
        <f t="shared" si="12"/>
        <v>8.0348689355337292E-3</v>
      </c>
      <c r="S27" s="110">
        <f t="shared" si="12"/>
        <v>7.684166991982995E-3</v>
      </c>
      <c r="T27" s="53">
        <f t="shared" si="12"/>
        <v>7.3487723115870252E-3</v>
      </c>
      <c r="U27" s="46">
        <f>_xlfn.RRI(5,O27,T27)</f>
        <v>-4.3647500209962997E-2</v>
      </c>
    </row>
    <row r="28" spans="1:21">
      <c r="A28" s="47" t="s">
        <v>64</v>
      </c>
      <c r="I28" s="108"/>
      <c r="J28" s="108"/>
      <c r="K28" s="108"/>
      <c r="L28" s="108"/>
      <c r="M28" s="108"/>
      <c r="N28" s="110"/>
      <c r="O28" s="53">
        <f t="shared" ref="O28:T28" si="13">(O133+O140+O150+O155)/(O19*10^3)</f>
        <v>4.440881130761605E-2</v>
      </c>
      <c r="P28" s="110">
        <f t="shared" si="13"/>
        <v>4.5547277462014986E-2</v>
      </c>
      <c r="Q28" s="110">
        <f t="shared" si="13"/>
        <v>4.677983073602332E-2</v>
      </c>
      <c r="R28" s="110">
        <f t="shared" si="13"/>
        <v>4.8111334221898117E-2</v>
      </c>
      <c r="S28" s="110">
        <f t="shared" si="13"/>
        <v>4.9548339347556508E-2</v>
      </c>
      <c r="T28" s="53">
        <f t="shared" si="13"/>
        <v>5.1100665333751412E-2</v>
      </c>
      <c r="U28" s="46">
        <f>_xlfn.RRI(5,O28,T28)</f>
        <v>2.8469652328998007E-2</v>
      </c>
    </row>
    <row r="29" spans="1:21">
      <c r="I29" s="108"/>
      <c r="J29" s="108"/>
      <c r="K29" s="108"/>
      <c r="L29" s="108"/>
      <c r="M29" s="108"/>
      <c r="N29" s="108"/>
      <c r="O29" s="40"/>
      <c r="P29" s="118"/>
      <c r="Q29" s="118"/>
      <c r="R29" s="118"/>
      <c r="S29" s="118"/>
      <c r="T29" s="40"/>
      <c r="U29" s="46"/>
    </row>
    <row r="30" spans="1:21">
      <c r="A30" s="44" t="s">
        <v>65</v>
      </c>
      <c r="O30" s="53">
        <f>O9/(O$19*10^3)</f>
        <v>3.1214822404371581E-2</v>
      </c>
      <c r="P30" s="110">
        <f t="shared" ref="P30:S30" si="14">P9/(P$19*10^3)</f>
        <v>3.4402133838756357E-2</v>
      </c>
      <c r="Q30" s="110">
        <f t="shared" si="14"/>
        <v>3.8139338986101549E-2</v>
      </c>
      <c r="R30" s="110">
        <f t="shared" si="14"/>
        <v>4.251200092016582E-2</v>
      </c>
      <c r="S30" s="110">
        <f t="shared" si="14"/>
        <v>4.7621866541955271E-2</v>
      </c>
      <c r="T30" s="53">
        <f>T9/(T$19*10^3)</f>
        <v>5.359059289690217E-2</v>
      </c>
      <c r="U30" s="46">
        <f>_xlfn.RRI(5,O30,T30)</f>
        <v>0.11415480783492504</v>
      </c>
    </row>
    <row r="31" spans="1:21">
      <c r="A31" s="47" t="s">
        <v>62</v>
      </c>
      <c r="O31" s="53">
        <f t="shared" ref="O31:T31" si="15">(O80+O118)/(O$19*10^3)</f>
        <v>1.8360000000000001E-2</v>
      </c>
      <c r="P31" s="110">
        <f t="shared" si="15"/>
        <v>2.1445797457784681E-2</v>
      </c>
      <c r="Q31" s="110">
        <f t="shared" si="15"/>
        <v>2.5051160584798327E-2</v>
      </c>
      <c r="R31" s="110">
        <f t="shared" si="15"/>
        <v>2.9263721871538927E-2</v>
      </c>
      <c r="S31" s="110">
        <f t="shared" si="15"/>
        <v>3.418591897614924E-2</v>
      </c>
      <c r="T31" s="53">
        <f t="shared" si="15"/>
        <v>3.9937500000000001E-2</v>
      </c>
      <c r="U31" s="46">
        <f>_xlfn.RRI(5,O31,T31)</f>
        <v>0.1681581403648722</v>
      </c>
    </row>
    <row r="32" spans="1:21">
      <c r="A32" s="47" t="s">
        <v>63</v>
      </c>
      <c r="O32" s="53">
        <f t="shared" ref="O32:T32" si="16">(O93)/(O$19*10^3)</f>
        <v>2.4495907705290084E-3</v>
      </c>
      <c r="P32" s="110">
        <f t="shared" si="16"/>
        <v>2.3426722568580197E-3</v>
      </c>
      <c r="Q32" s="110">
        <f t="shared" si="16"/>
        <v>2.2404204690349354E-3</v>
      </c>
      <c r="R32" s="110">
        <f t="shared" si="16"/>
        <v>2.1426317161423272E-3</v>
      </c>
      <c r="S32" s="110">
        <f t="shared" si="16"/>
        <v>2.0491111978621322E-3</v>
      </c>
      <c r="T32" s="53">
        <f t="shared" si="16"/>
        <v>1.9596726164232067E-3</v>
      </c>
      <c r="U32" s="46">
        <f>_xlfn.RRI(5,O32,T32)</f>
        <v>-4.3647500209962997E-2</v>
      </c>
    </row>
    <row r="33" spans="1:28">
      <c r="A33" s="47" t="s">
        <v>64</v>
      </c>
      <c r="I33" s="108"/>
      <c r="J33" s="108"/>
      <c r="K33" s="108"/>
      <c r="L33" s="108"/>
      <c r="M33" s="108"/>
      <c r="N33" s="108"/>
      <c r="O33" s="53">
        <f t="shared" ref="O33:T33" si="17">O157/(O$19*10^3)</f>
        <v>1.0404932991771204E-2</v>
      </c>
      <c r="P33" s="110">
        <f t="shared" si="17"/>
        <v>1.0613664124113653E-2</v>
      </c>
      <c r="Q33" s="110">
        <f t="shared" si="17"/>
        <v>1.0847757932268288E-2</v>
      </c>
      <c r="R33" s="110">
        <f t="shared" si="17"/>
        <v>1.110564733248456E-2</v>
      </c>
      <c r="S33" s="110">
        <f t="shared" si="17"/>
        <v>1.1386836367943907E-2</v>
      </c>
      <c r="T33" s="53">
        <f t="shared" si="17"/>
        <v>1.1693420280478959E-2</v>
      </c>
      <c r="U33" s="46">
        <f>_xlfn.RRI(5,O33,T33)</f>
        <v>2.3623986931500252E-2</v>
      </c>
      <c r="W33" s="53"/>
    </row>
    <row r="34" spans="1:28">
      <c r="A34" s="47"/>
      <c r="I34" s="108"/>
      <c r="J34" s="108"/>
      <c r="K34" s="108"/>
      <c r="L34" s="108"/>
      <c r="M34" s="108"/>
      <c r="N34" s="108"/>
      <c r="O34" s="53"/>
      <c r="P34" s="110"/>
      <c r="Q34" s="110"/>
      <c r="R34" s="110"/>
      <c r="S34" s="110"/>
      <c r="T34" s="53"/>
      <c r="U34" s="46"/>
      <c r="W34" s="53"/>
    </row>
    <row r="35" spans="1:28" hidden="1" outlineLevel="1">
      <c r="A35" s="50" t="s">
        <v>66</v>
      </c>
      <c r="B35" s="51"/>
      <c r="C35" s="51"/>
      <c r="D35" s="51"/>
      <c r="E35" s="51"/>
      <c r="F35" s="51"/>
      <c r="G35" s="51"/>
      <c r="H35" s="51"/>
      <c r="I35" s="109"/>
      <c r="J35" s="109"/>
      <c r="K35" s="109"/>
      <c r="L35" s="109"/>
      <c r="M35" s="109"/>
      <c r="N35" s="109"/>
      <c r="O35" s="54"/>
      <c r="P35" s="119"/>
      <c r="Q35" s="119"/>
      <c r="R35" s="119"/>
      <c r="S35" s="119"/>
      <c r="T35" s="54"/>
      <c r="U35" s="43"/>
      <c r="W35" s="53"/>
    </row>
    <row r="36" spans="1:28" hidden="1" outlineLevel="1">
      <c r="A36" s="44" t="s">
        <v>61</v>
      </c>
      <c r="I36" s="108"/>
      <c r="J36" s="108"/>
      <c r="K36" s="108"/>
      <c r="L36" s="108"/>
      <c r="M36" s="108"/>
      <c r="N36" s="108"/>
      <c r="O36" s="53">
        <f>O25</f>
        <v>0.12514477669709984</v>
      </c>
      <c r="P36" s="110">
        <f t="shared" ref="P36:T36" si="18">P25</f>
        <v>0.13780478201884119</v>
      </c>
      <c r="Q36" s="110">
        <f t="shared" si="18"/>
        <v>0.15256701447689575</v>
      </c>
      <c r="R36" s="110">
        <f t="shared" si="18"/>
        <v>0.16976859459486598</v>
      </c>
      <c r="S36" s="110">
        <f t="shared" si="18"/>
        <v>0.18980418409211353</v>
      </c>
      <c r="T36" s="53">
        <f t="shared" si="18"/>
        <v>0.21313693764533845</v>
      </c>
      <c r="U36" s="46">
        <f t="shared" ref="U36:U44" si="19">_xlfn.RRI(5,O36,T36)</f>
        <v>0.11236982351705826</v>
      </c>
      <c r="W36" s="53"/>
    </row>
    <row r="37" spans="1:28" hidden="1" outlineLevel="1">
      <c r="A37" s="47" t="s">
        <v>67</v>
      </c>
      <c r="I37" s="108"/>
      <c r="J37" s="108"/>
      <c r="K37" s="108"/>
      <c r="L37" s="108"/>
      <c r="M37" s="108"/>
      <c r="N37" s="108"/>
      <c r="O37" s="53">
        <f>(O80/O76)/(O20*10^3)</f>
        <v>0.27</v>
      </c>
      <c r="P37" s="110">
        <f t="shared" ref="P37:T37" si="20">(P80/P76)/(P20*10^3)</f>
        <v>0.29904291267703831</v>
      </c>
      <c r="Q37" s="110">
        <f t="shared" si="20"/>
        <v>0.33120986526802498</v>
      </c>
      <c r="R37" s="110">
        <f t="shared" si="20"/>
        <v>0.36683689932266522</v>
      </c>
      <c r="S37" s="110">
        <f t="shared" si="20"/>
        <v>0.40629620315134529</v>
      </c>
      <c r="T37" s="53">
        <f t="shared" si="20"/>
        <v>0.45000000000000012</v>
      </c>
      <c r="U37" s="46">
        <f t="shared" si="19"/>
        <v>0.10756634324829006</v>
      </c>
      <c r="W37" s="53"/>
    </row>
    <row r="38" spans="1:28" hidden="1" outlineLevel="1">
      <c r="A38" s="47" t="s">
        <v>68</v>
      </c>
      <c r="I38" s="108"/>
      <c r="J38" s="108"/>
      <c r="K38" s="108"/>
      <c r="L38" s="108"/>
      <c r="M38" s="108"/>
      <c r="N38" s="108"/>
      <c r="O38" s="53">
        <f>O115/(O21*10^3)</f>
        <v>0.3105</v>
      </c>
      <c r="P38" s="110">
        <f t="shared" ref="P38:T38" si="21">P115/(P21*10^3)</f>
        <v>0.3315851749950593</v>
      </c>
      <c r="Q38" s="110">
        <f t="shared" si="21"/>
        <v>0.35410218446539182</v>
      </c>
      <c r="R38" s="110">
        <f t="shared" si="21"/>
        <v>0.37814826023217324</v>
      </c>
      <c r="S38" s="110">
        <f t="shared" si="21"/>
        <v>0.40382723685398519</v>
      </c>
      <c r="T38" s="53">
        <f t="shared" si="21"/>
        <v>0.43125000000000002</v>
      </c>
      <c r="U38" s="46">
        <f t="shared" si="19"/>
        <v>6.790716584560208E-2</v>
      </c>
      <c r="W38" s="53"/>
    </row>
    <row r="39" spans="1:28" hidden="1" outlineLevel="1">
      <c r="A39" s="47" t="s">
        <v>69</v>
      </c>
      <c r="I39" s="108"/>
      <c r="J39" s="108"/>
      <c r="K39" s="108"/>
      <c r="L39" s="108"/>
      <c r="M39" s="108"/>
      <c r="N39" s="108"/>
      <c r="O39" s="53">
        <f>((O93/O88)+O140+O133+O150+O155)/(O22*10^3)</f>
        <v>7.1459702262799782E-2</v>
      </c>
      <c r="P39" s="110">
        <f t="shared" ref="P39:T39" si="22">((P93/P88)+P140+P133+P150+P155)/(P22*10^3)</f>
        <v>7.4156652088579814E-2</v>
      </c>
      <c r="Q39" s="110">
        <f t="shared" si="22"/>
        <v>7.7274188797317747E-2</v>
      </c>
      <c r="R39" s="110">
        <f t="shared" si="22"/>
        <v>8.0879316042463872E-2</v>
      </c>
      <c r="S39" s="110">
        <f t="shared" si="22"/>
        <v>8.5057767646125715E-2</v>
      </c>
      <c r="T39" s="53">
        <f t="shared" si="22"/>
        <v>8.992221176205914E-2</v>
      </c>
      <c r="U39" s="46">
        <f t="shared" si="19"/>
        <v>4.7034894432053331E-2</v>
      </c>
      <c r="W39" s="53"/>
    </row>
    <row r="40" spans="1:28" hidden="1" outlineLevel="1">
      <c r="A40" s="47"/>
      <c r="I40" s="108"/>
      <c r="J40" s="108"/>
      <c r="K40" s="108"/>
      <c r="L40" s="108"/>
      <c r="M40" s="108"/>
      <c r="N40" s="108"/>
      <c r="O40" s="53"/>
      <c r="P40" s="110"/>
      <c r="Q40" s="110"/>
      <c r="R40" s="110"/>
      <c r="S40" s="110"/>
      <c r="T40" s="53"/>
      <c r="U40" s="46"/>
      <c r="W40" s="53"/>
    </row>
    <row r="41" spans="1:28" hidden="1" outlineLevel="1">
      <c r="A41" s="44" t="s">
        <v>65</v>
      </c>
      <c r="I41" s="108"/>
      <c r="J41" s="108"/>
      <c r="K41" s="108"/>
      <c r="L41" s="108"/>
      <c r="M41" s="108"/>
      <c r="N41" s="108"/>
      <c r="O41" s="53">
        <f>O30</f>
        <v>3.1214822404371581E-2</v>
      </c>
      <c r="P41" s="110">
        <f t="shared" ref="P41:T41" si="23">P30</f>
        <v>3.4402133838756357E-2</v>
      </c>
      <c r="Q41" s="110">
        <f t="shared" si="23"/>
        <v>3.8139338986101549E-2</v>
      </c>
      <c r="R41" s="110">
        <f t="shared" si="23"/>
        <v>4.251200092016582E-2</v>
      </c>
      <c r="S41" s="110">
        <f t="shared" si="23"/>
        <v>4.7621866541955271E-2</v>
      </c>
      <c r="T41" s="53">
        <f t="shared" si="23"/>
        <v>5.359059289690217E-2</v>
      </c>
      <c r="U41" s="46">
        <f t="shared" si="19"/>
        <v>0.11415480783492504</v>
      </c>
      <c r="W41" s="53"/>
    </row>
    <row r="42" spans="1:28" hidden="1" outlineLevel="1">
      <c r="A42" s="47" t="s">
        <v>67</v>
      </c>
      <c r="I42" s="108"/>
      <c r="J42" s="108"/>
      <c r="K42" s="108"/>
      <c r="L42" s="108"/>
      <c r="M42" s="108"/>
      <c r="N42" s="108"/>
      <c r="O42" s="53">
        <f>O80/(O20*10^3)</f>
        <v>8.1000000000000003E-2</v>
      </c>
      <c r="P42" s="110">
        <f t="shared" ref="P42:T42" si="24">P80/(P20*10^3)</f>
        <v>8.9712873803111479E-2</v>
      </c>
      <c r="Q42" s="110">
        <f t="shared" si="24"/>
        <v>9.9362959580407501E-2</v>
      </c>
      <c r="R42" s="110">
        <f t="shared" si="24"/>
        <v>0.11005106979679957</v>
      </c>
      <c r="S42" s="110">
        <f t="shared" si="24"/>
        <v>0.12188886094540358</v>
      </c>
      <c r="T42" s="53">
        <f t="shared" si="24"/>
        <v>0.13500000000000001</v>
      </c>
      <c r="U42" s="46">
        <f t="shared" si="19"/>
        <v>0.10756634324829006</v>
      </c>
      <c r="W42" s="53"/>
    </row>
    <row r="43" spans="1:28" hidden="1" outlineLevel="1">
      <c r="A43" s="47" t="s">
        <v>68</v>
      </c>
      <c r="I43" s="108"/>
      <c r="J43" s="108"/>
      <c r="K43" s="108"/>
      <c r="L43" s="108"/>
      <c r="M43" s="108"/>
      <c r="N43" s="108"/>
      <c r="O43" s="53">
        <f>O118/(O21*10^3)</f>
        <v>6.2100000000000009E-2</v>
      </c>
      <c r="P43" s="110">
        <f t="shared" ref="P43:T43" si="25">P118/(P21*10^3)</f>
        <v>6.631703499901187E-2</v>
      </c>
      <c r="Q43" s="110">
        <f t="shared" si="25"/>
        <v>7.0820436893078362E-2</v>
      </c>
      <c r="R43" s="110">
        <f t="shared" si="25"/>
        <v>7.5629652046434653E-2</v>
      </c>
      <c r="S43" s="110">
        <f t="shared" si="25"/>
        <v>8.076544737079705E-2</v>
      </c>
      <c r="T43" s="53">
        <f t="shared" si="25"/>
        <v>8.6250000000000007E-2</v>
      </c>
      <c r="U43" s="46">
        <f t="shared" si="19"/>
        <v>6.790716584560208E-2</v>
      </c>
      <c r="W43" s="53"/>
    </row>
    <row r="44" spans="1:28" hidden="1" outlineLevel="1">
      <c r="A44" s="47" t="s">
        <v>69</v>
      </c>
      <c r="I44" s="108"/>
      <c r="J44" s="108"/>
      <c r="K44" s="108"/>
      <c r="L44" s="108"/>
      <c r="M44" s="108"/>
      <c r="N44" s="108"/>
      <c r="O44" s="53">
        <f>(O93+O157)/(O22*10^3)</f>
        <v>1.7139365016400281E-2</v>
      </c>
      <c r="P44" s="110">
        <f t="shared" ref="P44:T44" si="26">(P93+P157)/(P22*10^3)</f>
        <v>1.768374534474175E-2</v>
      </c>
      <c r="Q44" s="110">
        <f t="shared" si="26"/>
        <v>1.8328245231669316E-2</v>
      </c>
      <c r="R44" s="110">
        <f t="shared" si="26"/>
        <v>1.9084313594423617E-2</v>
      </c>
      <c r="S44" s="110">
        <f t="shared" si="26"/>
        <v>1.9968227485580598E-2</v>
      </c>
      <c r="T44" s="53">
        <f t="shared" si="26"/>
        <v>2.1004758302926408E-2</v>
      </c>
      <c r="U44" s="46">
        <f t="shared" si="19"/>
        <v>4.1512752978329237E-2</v>
      </c>
      <c r="W44" s="53"/>
    </row>
    <row r="45" spans="1:28" hidden="1" outlineLevel="1">
      <c r="A45" s="44"/>
      <c r="O45" s="45"/>
      <c r="P45" s="108"/>
      <c r="Q45" s="108"/>
      <c r="R45" s="108"/>
      <c r="S45" s="108"/>
      <c r="T45" s="45"/>
      <c r="U45" s="46"/>
    </row>
    <row r="46" spans="1:28" s="31" customFormat="1" collapsed="1">
      <c r="A46" s="31" t="s">
        <v>70</v>
      </c>
      <c r="I46" s="105"/>
      <c r="J46" s="105"/>
      <c r="K46" s="105"/>
      <c r="L46" s="105"/>
      <c r="M46" s="105"/>
      <c r="N46" s="105"/>
      <c r="P46" s="105"/>
      <c r="Q46" s="105"/>
      <c r="R46" s="105"/>
      <c r="S46" s="105"/>
      <c r="W46" s="165" t="s">
        <v>35</v>
      </c>
      <c r="X46" s="165"/>
      <c r="Y46" s="165"/>
      <c r="Z46" s="165"/>
    </row>
    <row r="47" spans="1:28" s="31" customFormat="1">
      <c r="A47" s="31" t="s">
        <v>38</v>
      </c>
      <c r="I47" s="105">
        <v>2015</v>
      </c>
      <c r="J47" s="105">
        <v>2016</v>
      </c>
      <c r="K47" s="105">
        <v>2017</v>
      </c>
      <c r="L47" s="105">
        <v>2018</v>
      </c>
      <c r="M47" s="105">
        <v>2019</v>
      </c>
      <c r="N47" s="105">
        <v>2020</v>
      </c>
      <c r="O47" s="31">
        <v>2021</v>
      </c>
      <c r="P47" s="105">
        <v>2022</v>
      </c>
      <c r="Q47" s="105">
        <v>2023</v>
      </c>
      <c r="R47" s="105">
        <v>2024</v>
      </c>
      <c r="S47" s="105">
        <v>2025</v>
      </c>
      <c r="T47" s="31">
        <v>2026</v>
      </c>
      <c r="U47" s="35" t="s">
        <v>39</v>
      </c>
      <c r="W47" s="33" t="s">
        <v>40</v>
      </c>
      <c r="X47" s="33" t="s">
        <v>41</v>
      </c>
      <c r="Y47" s="33" t="s">
        <v>42</v>
      </c>
      <c r="Z47" s="33" t="s">
        <v>43</v>
      </c>
      <c r="AB47" s="31" t="s">
        <v>1</v>
      </c>
    </row>
    <row r="48" spans="1:28">
      <c r="A48" s="36" t="s">
        <v>44</v>
      </c>
    </row>
    <row r="49" spans="1:28">
      <c r="A49" s="36"/>
    </row>
    <row r="50" spans="1:28">
      <c r="A50" s="37" t="s">
        <v>71</v>
      </c>
      <c r="N50" s="108">
        <f>TAM!N87</f>
        <v>665</v>
      </c>
      <c r="O50" s="45">
        <f>TAM!O87</f>
        <v>739.03874439773199</v>
      </c>
      <c r="P50" s="108">
        <f>TAM!P87</f>
        <v>821.32070033229513</v>
      </c>
      <c r="Q50" s="108">
        <f>TAM!Q87</f>
        <v>912.76363777660958</v>
      </c>
      <c r="R50" s="108">
        <f>TAM!R87</f>
        <v>1014.3875079614013</v>
      </c>
      <c r="S50" s="108">
        <f>TAM!S87</f>
        <v>1127.3258198744936</v>
      </c>
      <c r="T50" s="55">
        <f>TAM!T87</f>
        <v>1252.8382833792321</v>
      </c>
      <c r="U50" s="46">
        <f>_xlfn.RRI(5,O50,T50)</f>
        <v>0.11133645774095036</v>
      </c>
      <c r="AB50" s="37" t="s">
        <v>72</v>
      </c>
    </row>
    <row r="51" spans="1:28">
      <c r="A51" s="56" t="s">
        <v>73</v>
      </c>
      <c r="N51" s="111">
        <f>TAM!N88</f>
        <v>0.54153094462540718</v>
      </c>
      <c r="O51" s="57">
        <f>TAM!O88</f>
        <v>0.57792000747356997</v>
      </c>
      <c r="P51" s="111">
        <f>TAM!P88</f>
        <v>0.61675429327364273</v>
      </c>
      <c r="Q51" s="111">
        <f>TAM!Q88</f>
        <v>0.65819811280519946</v>
      </c>
      <c r="R51" s="111">
        <f>TAM!R88</f>
        <v>0.70242681798100115</v>
      </c>
      <c r="S51" s="111">
        <f>TAM!S88</f>
        <v>0.74962754377410734</v>
      </c>
      <c r="T51" s="58">
        <f>IF($H$3=0,$W51,IF($H$3=1,$X51,IF($H$3=2,$Y51,IF($H$3=3,$Z51,""))))</f>
        <v>0.8</v>
      </c>
      <c r="W51" s="59">
        <v>0.8</v>
      </c>
      <c r="X51" s="60">
        <v>0.8</v>
      </c>
      <c r="Y51" s="60">
        <v>0.75</v>
      </c>
      <c r="Z51" s="60">
        <v>0.85</v>
      </c>
    </row>
    <row r="52" spans="1:28">
      <c r="A52" s="56"/>
      <c r="O52" s="57"/>
      <c r="P52" s="111"/>
      <c r="Q52" s="111"/>
      <c r="R52" s="111"/>
      <c r="S52" s="111"/>
      <c r="T52" s="58"/>
      <c r="X52" s="61"/>
      <c r="Y52" s="61"/>
      <c r="Z52" s="61"/>
    </row>
    <row r="53" spans="1:28">
      <c r="A53" s="37" t="s">
        <v>74</v>
      </c>
      <c r="I53" s="108">
        <f>'Financials + KPIs'!L73</f>
        <v>7.7200000000000006</v>
      </c>
      <c r="J53" s="108">
        <f>'Financials + KPIs'!Q73</f>
        <v>11.308999999999999</v>
      </c>
      <c r="K53" s="108">
        <f>'Financials + KPIs'!V73</f>
        <v>16.324999999999999</v>
      </c>
      <c r="L53" s="108">
        <f>'Financials + KPIs'!AA73</f>
        <v>23.424999999999997</v>
      </c>
      <c r="M53" s="108">
        <f>'Financials + KPIs'!AF73</f>
        <v>32.200000000000003</v>
      </c>
      <c r="N53" s="108">
        <f>'Financials + KPIs'!AK73</f>
        <v>45</v>
      </c>
      <c r="O53" s="45">
        <f>'Financials + KPIs'!AP73</f>
        <v>56.3</v>
      </c>
      <c r="P53" s="108">
        <f>P54*P50</f>
        <v>69.082448453192654</v>
      </c>
      <c r="Q53" s="108">
        <f>Q54*Q50</f>
        <v>84.767045902096271</v>
      </c>
      <c r="R53" s="108">
        <f>R54*R50</f>
        <v>104.01270122666041</v>
      </c>
      <c r="S53" s="108">
        <f>S54*S50</f>
        <v>127.62792310778143</v>
      </c>
      <c r="T53" s="55">
        <f>T54*T50</f>
        <v>156.60478542240401</v>
      </c>
      <c r="U53" s="46">
        <f>_xlfn.RRI(5,O53,T53)</f>
        <v>0.22704171320057998</v>
      </c>
      <c r="X53" s="61"/>
      <c r="Y53" s="61"/>
      <c r="Z53" s="61"/>
      <c r="AB53" s="37" t="s">
        <v>75</v>
      </c>
    </row>
    <row r="54" spans="1:28">
      <c r="A54" s="56" t="s">
        <v>76</v>
      </c>
      <c r="N54" s="111">
        <f>N53/N50</f>
        <v>6.7669172932330823E-2</v>
      </c>
      <c r="O54" s="57">
        <f>O53/O50</f>
        <v>7.6180038498361538E-2</v>
      </c>
      <c r="P54" s="111">
        <f>O54*(1+_xlfn.RRI(5,$O54,$T54))</f>
        <v>8.4111417653594797E-2</v>
      </c>
      <c r="Q54" s="111">
        <f>P54*(1+_xlfn.RRI(5,$O54,$T54))</f>
        <v>9.2868561360068352E-2</v>
      </c>
      <c r="R54" s="111">
        <f>Q54*(1+_xlfn.RRI(5,$O54,$T54))</f>
        <v>0.10253744294987732</v>
      </c>
      <c r="S54" s="111">
        <f>R54*(1+_xlfn.RRI(5,$O54,$T54))</f>
        <v>0.11321298674946555</v>
      </c>
      <c r="T54" s="58">
        <f>IF($H$3=0,$W54,IF($H$3=1,$X54,IF($H$3=2,$Y54,IF($H$3=3,$Z54,""))))</f>
        <v>0.125</v>
      </c>
      <c r="W54" s="59">
        <v>0.125</v>
      </c>
      <c r="X54" s="60">
        <v>0.125</v>
      </c>
      <c r="Y54" s="60">
        <v>0.1</v>
      </c>
      <c r="Z54" s="60">
        <v>0.14000000000000001</v>
      </c>
    </row>
    <row r="55" spans="1:28">
      <c r="A55" s="56" t="s">
        <v>77</v>
      </c>
      <c r="J55" s="111">
        <f>J53/I53-1</f>
        <v>0.46489637305699461</v>
      </c>
      <c r="K55" s="111">
        <f t="shared" ref="K55:T55" si="27">K53/J53-1</f>
        <v>0.44354054293040934</v>
      </c>
      <c r="L55" s="111">
        <f t="shared" si="27"/>
        <v>0.43491577335375187</v>
      </c>
      <c r="M55" s="111">
        <f t="shared" si="27"/>
        <v>0.37459978655282855</v>
      </c>
      <c r="N55" s="111">
        <f t="shared" si="27"/>
        <v>0.39751552795031042</v>
      </c>
      <c r="O55" s="57">
        <f t="shared" si="27"/>
        <v>0.25111111111111106</v>
      </c>
      <c r="P55" s="111">
        <f t="shared" si="27"/>
        <v>0.22704171320057998</v>
      </c>
      <c r="Q55" s="111">
        <f t="shared" si="27"/>
        <v>0.22704171320057998</v>
      </c>
      <c r="R55" s="111">
        <f t="shared" si="27"/>
        <v>0.22704171320057998</v>
      </c>
      <c r="S55" s="111">
        <f t="shared" si="27"/>
        <v>0.22704171320057975</v>
      </c>
      <c r="T55" s="58">
        <f t="shared" si="27"/>
        <v>0.22704171320057998</v>
      </c>
      <c r="W55" s="59"/>
      <c r="X55" s="60"/>
      <c r="Y55" s="60"/>
      <c r="Z55" s="60"/>
    </row>
    <row r="56" spans="1:28">
      <c r="A56" s="56"/>
      <c r="O56" s="57"/>
      <c r="P56" s="111"/>
      <c r="Q56" s="111"/>
      <c r="R56" s="111"/>
      <c r="S56" s="111"/>
      <c r="T56" s="58"/>
      <c r="X56" s="61"/>
      <c r="Y56" s="61"/>
      <c r="Z56" s="61"/>
    </row>
    <row r="57" spans="1:28">
      <c r="A57" s="37" t="s">
        <v>78</v>
      </c>
      <c r="I57" s="112">
        <f>'Financials + KPIs'!L100</f>
        <v>1.9511675775427635</v>
      </c>
      <c r="J57" s="112">
        <f>'Financials + KPIs'!Q100</f>
        <v>2.2694980479845723</v>
      </c>
      <c r="K57" s="112">
        <f>'Financials + KPIs'!V100</f>
        <v>2.4837944995699512</v>
      </c>
      <c r="L57" s="112">
        <f>'Financials + KPIs'!AA100</f>
        <v>2.7718892998640379</v>
      </c>
      <c r="M57" s="112">
        <f>'Financials + KPIs'!AF100</f>
        <v>3.2076916531949289</v>
      </c>
      <c r="N57" s="112">
        <f>'Financials + KPIs'!AP100</f>
        <v>3.562130465461447</v>
      </c>
      <c r="O57" s="62">
        <f>'Financials + KPIs'!AP100</f>
        <v>3.562130465461447</v>
      </c>
      <c r="P57" s="112">
        <f>O57*(1+_xlfn.RRI(5,$O57,$T57))</f>
        <v>3.7325906183657129</v>
      </c>
      <c r="Q57" s="112">
        <f>P57*(1+_xlfn.RRI(5,$O57,$T57))</f>
        <v>3.9112078738831149</v>
      </c>
      <c r="R57" s="112">
        <f>Q57*(1+_xlfn.RRI(5,$O57,$T57))</f>
        <v>4.0983725773342892</v>
      </c>
      <c r="S57" s="112">
        <f>R57*(1+_xlfn.RRI(5,$O57,$T57))</f>
        <v>4.2944937534014755</v>
      </c>
      <c r="T57" s="63">
        <f>IF($H$3=0,$W57,IF($H$3=1,$X57,IF($H$3=2,$Y57,IF($H$3=3,$Z57,""))))</f>
        <v>4.5</v>
      </c>
      <c r="U57" s="46">
        <f>_xlfn.RRI(5,O57,T57)</f>
        <v>4.7853427761013867E-2</v>
      </c>
      <c r="W57" s="64">
        <v>4.5</v>
      </c>
      <c r="X57" s="65">
        <v>4.5</v>
      </c>
      <c r="Y57" s="65">
        <v>4</v>
      </c>
      <c r="Z57" s="65">
        <v>4.75</v>
      </c>
      <c r="AB57" s="37" t="s">
        <v>79</v>
      </c>
    </row>
    <row r="58" spans="1:28">
      <c r="A58" s="44" t="s">
        <v>80</v>
      </c>
      <c r="I58" s="108">
        <f t="shared" ref="I58:N58" si="28">I57*365</f>
        <v>712.17616580310869</v>
      </c>
      <c r="J58" s="108">
        <f t="shared" si="28"/>
        <v>828.36678751436887</v>
      </c>
      <c r="K58" s="108">
        <f t="shared" si="28"/>
        <v>906.58499234303224</v>
      </c>
      <c r="L58" s="108">
        <f t="shared" si="28"/>
        <v>1011.7395944503738</v>
      </c>
      <c r="M58" s="108">
        <f t="shared" si="28"/>
        <v>1170.807453416149</v>
      </c>
      <c r="N58" s="108">
        <f t="shared" si="28"/>
        <v>1300.1776198934281</v>
      </c>
      <c r="O58" s="45">
        <f>O57*365</f>
        <v>1300.1776198934281</v>
      </c>
      <c r="P58" s="108">
        <f t="shared" ref="P58:T58" si="29">P57*365</f>
        <v>1362.3955757034853</v>
      </c>
      <c r="Q58" s="108">
        <f t="shared" si="29"/>
        <v>1427.5908739673368</v>
      </c>
      <c r="R58" s="108">
        <f t="shared" si="29"/>
        <v>1495.9059907270155</v>
      </c>
      <c r="S58" s="108">
        <f t="shared" si="29"/>
        <v>1567.4902199915387</v>
      </c>
      <c r="T58" s="55">
        <f t="shared" si="29"/>
        <v>1642.5</v>
      </c>
      <c r="X58" s="61"/>
      <c r="Y58" s="61"/>
      <c r="Z58" s="61"/>
    </row>
    <row r="59" spans="1:28">
      <c r="A59" s="66" t="s">
        <v>56</v>
      </c>
      <c r="I59" s="108">
        <f t="shared" ref="I59:T59" si="30">I53*I58/10^3</f>
        <v>5.4979999999999993</v>
      </c>
      <c r="J59" s="108">
        <f t="shared" si="30"/>
        <v>9.3679999999999968</v>
      </c>
      <c r="K59" s="108">
        <f t="shared" si="30"/>
        <v>14.8</v>
      </c>
      <c r="L59" s="108">
        <f t="shared" si="30"/>
        <v>23.700000000000003</v>
      </c>
      <c r="M59" s="108">
        <f t="shared" si="30"/>
        <v>37.700000000000003</v>
      </c>
      <c r="N59" s="108">
        <f t="shared" si="30"/>
        <v>58.507992895204261</v>
      </c>
      <c r="O59" s="45">
        <f t="shared" si="30"/>
        <v>73.2</v>
      </c>
      <c r="P59" s="108">
        <f t="shared" si="30"/>
        <v>94.117622131393759</v>
      </c>
      <c r="Q59" s="108">
        <f t="shared" si="30"/>
        <v>121.01266114300297</v>
      </c>
      <c r="R59" s="108">
        <f t="shared" si="30"/>
        <v>155.59322287666049</v>
      </c>
      <c r="S59" s="108">
        <f t="shared" si="30"/>
        <v>200.0555212692795</v>
      </c>
      <c r="T59" s="55">
        <f t="shared" si="30"/>
        <v>257.22336005629859</v>
      </c>
      <c r="U59" s="46">
        <f>_xlfn.RRI(5,O59,T59)</f>
        <v>0.28575986518297469</v>
      </c>
      <c r="X59" s="61"/>
      <c r="Y59" s="61"/>
      <c r="Z59" s="61"/>
    </row>
    <row r="60" spans="1:28">
      <c r="A60" s="56"/>
      <c r="O60" s="57"/>
      <c r="P60" s="111"/>
      <c r="Q60" s="111"/>
      <c r="R60" s="111"/>
      <c r="S60" s="111"/>
      <c r="T60" s="58"/>
      <c r="X60" s="61"/>
      <c r="Y60" s="61"/>
      <c r="Z60" s="61"/>
    </row>
    <row r="61" spans="1:28">
      <c r="A61" s="66" t="s">
        <v>81</v>
      </c>
      <c r="I61" s="112"/>
      <c r="J61" s="112"/>
      <c r="K61" s="112"/>
      <c r="L61" s="112"/>
      <c r="M61" s="112"/>
      <c r="N61" s="112">
        <f>TAM!N73</f>
        <v>2.029315258766053</v>
      </c>
      <c r="O61" s="62">
        <f>TAM!O73</f>
        <v>2.2723118465686865</v>
      </c>
      <c r="P61" s="112">
        <f>TAM!P73</f>
        <v>2.5444056096025491</v>
      </c>
      <c r="Q61" s="112">
        <f>TAM!Q73</f>
        <v>2.8490807350905683</v>
      </c>
      <c r="R61" s="112">
        <f>TAM!R73</f>
        <v>3.1902386177855409</v>
      </c>
      <c r="S61" s="112">
        <f>TAM!S73</f>
        <v>3.5722478177111627</v>
      </c>
      <c r="T61" s="63">
        <f>IF($H$3=0,$W61,IF($H$3=1,$X61,IF($H$3=2,$Y61,IF($H$3=3,$Z61,""))))</f>
        <v>4</v>
      </c>
      <c r="U61" s="46">
        <f>_xlfn.RRI(5,O61,T61)</f>
        <v>0.11974314328587377</v>
      </c>
      <c r="W61" s="64">
        <v>4</v>
      </c>
      <c r="X61" s="65">
        <v>4</v>
      </c>
      <c r="Y61" s="65">
        <v>3.5</v>
      </c>
      <c r="Z61" s="65">
        <v>4.5</v>
      </c>
      <c r="AB61" s="37" t="s">
        <v>82</v>
      </c>
    </row>
    <row r="62" spans="1:28">
      <c r="A62" s="44" t="s">
        <v>83</v>
      </c>
      <c r="N62" s="110">
        <f>TAM!N72</f>
        <v>7.99</v>
      </c>
      <c r="O62" s="53">
        <f>TAM!O72</f>
        <v>7.99</v>
      </c>
      <c r="P62" s="110">
        <f>TAM!P72</f>
        <v>7.99</v>
      </c>
      <c r="Q62" s="110">
        <f>TAM!Q72</f>
        <v>7.99</v>
      </c>
      <c r="R62" s="110">
        <f>TAM!R72</f>
        <v>7.99</v>
      </c>
      <c r="S62" s="110">
        <f>TAM!S72</f>
        <v>7.99</v>
      </c>
      <c r="T62" s="67">
        <f>TAM!T72</f>
        <v>7.99</v>
      </c>
      <c r="U62" s="68"/>
      <c r="V62" s="53"/>
      <c r="W62" s="53"/>
      <c r="X62" s="53"/>
      <c r="Y62" s="53"/>
      <c r="Z62" s="53"/>
      <c r="AA62" s="53"/>
      <c r="AB62" s="37" t="s">
        <v>84</v>
      </c>
    </row>
    <row r="63" spans="1:28">
      <c r="A63" s="44"/>
      <c r="N63" s="110"/>
      <c r="O63" s="53"/>
      <c r="P63" s="110"/>
      <c r="Q63" s="110"/>
      <c r="R63" s="110"/>
      <c r="S63" s="110"/>
      <c r="T63" s="53"/>
      <c r="U63" s="68"/>
      <c r="V63" s="53"/>
      <c r="W63" s="53"/>
      <c r="X63" s="53"/>
      <c r="Y63" s="53"/>
      <c r="Z63" s="53"/>
      <c r="AA63" s="53"/>
    </row>
    <row r="64" spans="1:28" s="31" customFormat="1">
      <c r="A64" s="31" t="s">
        <v>85</v>
      </c>
      <c r="I64" s="105"/>
      <c r="J64" s="105"/>
      <c r="K64" s="105"/>
      <c r="L64" s="105"/>
      <c r="M64" s="105"/>
      <c r="N64" s="105"/>
      <c r="P64" s="105"/>
      <c r="Q64" s="105"/>
      <c r="R64" s="105"/>
      <c r="S64" s="105"/>
      <c r="W64" s="165" t="s">
        <v>35</v>
      </c>
      <c r="X64" s="165"/>
      <c r="Y64" s="165"/>
      <c r="Z64" s="165"/>
    </row>
    <row r="65" spans="1:28" s="31" customFormat="1">
      <c r="A65" s="31" t="s">
        <v>38</v>
      </c>
      <c r="I65" s="105">
        <v>2015</v>
      </c>
      <c r="J65" s="105">
        <v>2016</v>
      </c>
      <c r="K65" s="105">
        <v>2017</v>
      </c>
      <c r="L65" s="105">
        <v>2018</v>
      </c>
      <c r="M65" s="105">
        <v>2019</v>
      </c>
      <c r="N65" s="105">
        <v>2020</v>
      </c>
      <c r="O65" s="31">
        <v>2021</v>
      </c>
      <c r="P65" s="105">
        <v>2022</v>
      </c>
      <c r="Q65" s="105">
        <v>2023</v>
      </c>
      <c r="R65" s="105">
        <v>2024</v>
      </c>
      <c r="S65" s="105">
        <v>2025</v>
      </c>
      <c r="T65" s="31">
        <v>2026</v>
      </c>
      <c r="U65" s="35" t="s">
        <v>39</v>
      </c>
      <c r="W65" s="33" t="s">
        <v>40</v>
      </c>
      <c r="X65" s="33" t="s">
        <v>41</v>
      </c>
      <c r="Y65" s="33" t="s">
        <v>42</v>
      </c>
      <c r="Z65" s="33" t="s">
        <v>43</v>
      </c>
      <c r="AB65" s="31" t="s">
        <v>1</v>
      </c>
    </row>
    <row r="66" spans="1:28">
      <c r="A66" s="36" t="s">
        <v>44</v>
      </c>
    </row>
    <row r="67" spans="1:28">
      <c r="O67" s="45"/>
    </row>
    <row r="68" spans="1:28">
      <c r="A68" s="37" t="s">
        <v>78</v>
      </c>
      <c r="O68" s="62">
        <f t="shared" ref="O68:T68" si="31">O57</f>
        <v>3.562130465461447</v>
      </c>
      <c r="P68" s="112">
        <f t="shared" si="31"/>
        <v>3.7325906183657129</v>
      </c>
      <c r="Q68" s="112">
        <f t="shared" si="31"/>
        <v>3.9112078738831149</v>
      </c>
      <c r="R68" s="112">
        <f t="shared" si="31"/>
        <v>4.0983725773342892</v>
      </c>
      <c r="S68" s="112">
        <f t="shared" si="31"/>
        <v>4.2944937534014755</v>
      </c>
      <c r="T68" s="63">
        <f t="shared" si="31"/>
        <v>4.5</v>
      </c>
      <c r="U68" s="46">
        <f>_xlfn.RRI(5,O68,T68)</f>
        <v>4.7853427761013867E-2</v>
      </c>
      <c r="AB68" s="37" t="s">
        <v>86</v>
      </c>
    </row>
    <row r="69" spans="1:28">
      <c r="A69" s="44" t="s">
        <v>87</v>
      </c>
      <c r="O69" s="62">
        <f t="shared" ref="O69:T69" si="32">O68*O70</f>
        <v>0.53431956981921702</v>
      </c>
      <c r="P69" s="112">
        <f t="shared" si="32"/>
        <v>0.59304734577721374</v>
      </c>
      <c r="Q69" s="112">
        <f t="shared" si="32"/>
        <v>0.6582299698519275</v>
      </c>
      <c r="R69" s="112">
        <f t="shared" si="32"/>
        <v>0.73057690300165656</v>
      </c>
      <c r="S69" s="112">
        <f t="shared" si="32"/>
        <v>0.8108755839840599</v>
      </c>
      <c r="T69" s="63">
        <f t="shared" si="32"/>
        <v>0.9</v>
      </c>
      <c r="U69" s="46">
        <f>_xlfn.RRI(5,O69,T69)</f>
        <v>0.1099113326091854</v>
      </c>
    </row>
    <row r="70" spans="1:28">
      <c r="A70" s="69" t="s">
        <v>88</v>
      </c>
      <c r="O70" s="57">
        <v>0.15</v>
      </c>
      <c r="P70" s="111">
        <f t="shared" ref="P70:S71" si="33">O70*(1+_xlfn.RRI(5,$O70,$T70))</f>
        <v>0.15888357615732182</v>
      </c>
      <c r="Q70" s="111">
        <f t="shared" si="33"/>
        <v>0.16829327181692988</v>
      </c>
      <c r="R70" s="111">
        <f t="shared" si="33"/>
        <v>0.17826024579660027</v>
      </c>
      <c r="S70" s="111">
        <f t="shared" si="33"/>
        <v>0.18881750225898031</v>
      </c>
      <c r="T70" s="58">
        <f>IF($H$3=0,$W70,IF($H$3=1,$X70,IF($H$3=2,$Y70,IF($H$3=3,$Z70,""))))</f>
        <v>0.2</v>
      </c>
      <c r="W70" s="59">
        <v>0.2</v>
      </c>
      <c r="X70" s="60">
        <v>0.2</v>
      </c>
      <c r="Y70" s="60">
        <v>0.15</v>
      </c>
      <c r="Z70" s="60">
        <v>0.25</v>
      </c>
      <c r="AB70" s="37" t="s">
        <v>89</v>
      </c>
    </row>
    <row r="71" spans="1:28">
      <c r="A71" s="44" t="s">
        <v>90</v>
      </c>
      <c r="O71" s="45">
        <v>8</v>
      </c>
      <c r="P71" s="108">
        <f t="shared" si="33"/>
        <v>8.6757741695815884</v>
      </c>
      <c r="Q71" s="108">
        <f t="shared" si="33"/>
        <v>9.4086321801973867</v>
      </c>
      <c r="R71" s="108">
        <f t="shared" si="33"/>
        <v>10.203396005006324</v>
      </c>
      <c r="S71" s="108">
        <f t="shared" si="33"/>
        <v>11.065294937780729</v>
      </c>
      <c r="T71" s="55">
        <f>IF($H$3=0,$W71,IF($H$3=1,$X71,IF($H$3=2,$Y71,IF($H$3=3,$Z71,""))))</f>
        <v>12</v>
      </c>
      <c r="W71" s="70">
        <v>12</v>
      </c>
      <c r="X71" s="71">
        <v>12</v>
      </c>
      <c r="Y71" s="71">
        <v>10</v>
      </c>
      <c r="Z71" s="71">
        <v>14</v>
      </c>
      <c r="AB71" s="37" t="s">
        <v>91</v>
      </c>
    </row>
    <row r="72" spans="1:28">
      <c r="A72" s="47" t="s">
        <v>92</v>
      </c>
      <c r="O72" s="45">
        <f>(3/4)*O71/0.5 + (1/4)*O71/0.25</f>
        <v>20</v>
      </c>
      <c r="P72" s="108">
        <f t="shared" ref="P72:T72" si="34">(1/4)*P71 +  (3/8)*P71/0.5 + (3/8)*P71/0.25</f>
        <v>21.689435423953974</v>
      </c>
      <c r="Q72" s="108">
        <f t="shared" si="34"/>
        <v>23.521580450493467</v>
      </c>
      <c r="R72" s="108">
        <f t="shared" si="34"/>
        <v>25.508490012515807</v>
      </c>
      <c r="S72" s="108">
        <f t="shared" si="34"/>
        <v>27.663237344451822</v>
      </c>
      <c r="T72" s="55">
        <f t="shared" si="34"/>
        <v>30</v>
      </c>
      <c r="X72" s="61"/>
      <c r="Y72" s="61"/>
      <c r="Z72" s="61"/>
      <c r="AB72" s="37" t="s">
        <v>93</v>
      </c>
    </row>
    <row r="73" spans="1:28">
      <c r="A73" s="44" t="s">
        <v>94</v>
      </c>
      <c r="O73" s="45">
        <f t="shared" ref="O73:T73" si="35">O69*O72</f>
        <v>10.686391396384341</v>
      </c>
      <c r="P73" s="108">
        <f t="shared" si="35"/>
        <v>12.862862109582181</v>
      </c>
      <c r="Q73" s="108">
        <f t="shared" si="35"/>
        <v>15.482609190798001</v>
      </c>
      <c r="R73" s="108">
        <f t="shared" si="35"/>
        <v>18.635913633592487</v>
      </c>
      <c r="S73" s="108">
        <f t="shared" si="35"/>
        <v>22.431443736572025</v>
      </c>
      <c r="T73" s="55">
        <f t="shared" si="35"/>
        <v>27</v>
      </c>
      <c r="X73" s="61"/>
      <c r="Y73" s="61"/>
      <c r="Z73" s="61"/>
    </row>
    <row r="74" spans="1:28">
      <c r="A74" s="47" t="s">
        <v>95</v>
      </c>
      <c r="O74" s="45">
        <f>O73*365</f>
        <v>3900.5328596802842</v>
      </c>
      <c r="P74" s="108">
        <f t="shared" ref="P74:T74" si="36">P73*365</f>
        <v>4694.944669997496</v>
      </c>
      <c r="Q74" s="108">
        <f t="shared" si="36"/>
        <v>5651.1523546412709</v>
      </c>
      <c r="R74" s="108">
        <f t="shared" si="36"/>
        <v>6802.1084762612581</v>
      </c>
      <c r="S74" s="108">
        <f t="shared" si="36"/>
        <v>8187.4769638487887</v>
      </c>
      <c r="T74" s="55">
        <f t="shared" si="36"/>
        <v>9855</v>
      </c>
      <c r="U74" s="46"/>
      <c r="X74" s="61"/>
      <c r="Y74" s="61"/>
      <c r="Z74" s="61"/>
    </row>
    <row r="75" spans="1:28">
      <c r="A75" s="44" t="s">
        <v>96</v>
      </c>
      <c r="O75" s="45">
        <f t="shared" ref="O75:T75" si="37">O74*O$53</f>
        <v>219600</v>
      </c>
      <c r="P75" s="108">
        <f t="shared" si="37"/>
        <v>324338.27315569361</v>
      </c>
      <c r="Q75" s="108">
        <f t="shared" si="37"/>
        <v>479031.49104561604</v>
      </c>
      <c r="R75" s="108">
        <f t="shared" si="37"/>
        <v>707505.67665269657</v>
      </c>
      <c r="S75" s="108">
        <f t="shared" si="37"/>
        <v>1044950.6803888249</v>
      </c>
      <c r="T75" s="55">
        <f t="shared" si="37"/>
        <v>1543340.1603377915</v>
      </c>
      <c r="U75" s="46">
        <f>_xlfn.RRI(5,O75,T75)</f>
        <v>0.47695024205689251</v>
      </c>
      <c r="X75" s="61"/>
      <c r="Y75" s="61"/>
      <c r="Z75" s="61"/>
    </row>
    <row r="76" spans="1:28">
      <c r="A76" s="56" t="s">
        <v>97</v>
      </c>
      <c r="O76" s="57">
        <v>0.3</v>
      </c>
      <c r="P76" s="111">
        <v>0.3</v>
      </c>
      <c r="Q76" s="111">
        <v>0.3</v>
      </c>
      <c r="R76" s="111">
        <v>0.3</v>
      </c>
      <c r="S76" s="111">
        <v>0.3</v>
      </c>
      <c r="T76" s="58">
        <f>IF($H$3=0,$W76,IF($H$3=1,$X76,IF($H$3=2,$Y76,IF($H$3=3,$Z76,""))))</f>
        <v>0.3</v>
      </c>
      <c r="W76" s="72">
        <v>0.3</v>
      </c>
      <c r="X76" s="73">
        <v>0.3</v>
      </c>
      <c r="Y76" s="73">
        <v>0.2</v>
      </c>
      <c r="Z76" s="73">
        <v>0.3</v>
      </c>
      <c r="AB76" s="37" t="s">
        <v>98</v>
      </c>
    </row>
    <row r="77" spans="1:28">
      <c r="A77" s="56" t="s">
        <v>99</v>
      </c>
      <c r="O77" s="57">
        <v>0.6</v>
      </c>
      <c r="P77" s="111">
        <f t="shared" ref="P77:S78" si="38">O77*(1+_xlfn.RRI(5,$O77,$T77))</f>
        <v>0.6</v>
      </c>
      <c r="Q77" s="111">
        <f t="shared" si="38"/>
        <v>0.6</v>
      </c>
      <c r="R77" s="111">
        <f t="shared" si="38"/>
        <v>0.6</v>
      </c>
      <c r="S77" s="111">
        <f t="shared" si="38"/>
        <v>0.6</v>
      </c>
      <c r="T77" s="58">
        <f>IF($H$3=0,$W77,IF($H$3=1,$X77,IF($H$3=2,$Y77,IF($H$3=3,$Z77,""))))</f>
        <v>0.6</v>
      </c>
      <c r="W77" s="72">
        <v>0.6</v>
      </c>
      <c r="X77" s="73">
        <v>0.6</v>
      </c>
      <c r="Y77" s="73">
        <v>0.55000000000000004</v>
      </c>
      <c r="Z77" s="73">
        <v>0.65</v>
      </c>
      <c r="AB77" s="37" t="s">
        <v>100</v>
      </c>
    </row>
    <row r="78" spans="1:28">
      <c r="A78" s="44" t="s">
        <v>101</v>
      </c>
      <c r="O78" s="53">
        <v>22.5</v>
      </c>
      <c r="P78" s="110">
        <f t="shared" si="38"/>
        <v>22.979152971003039</v>
      </c>
      <c r="Q78" s="110">
        <f t="shared" si="38"/>
        <v>23.468509833989238</v>
      </c>
      <c r="R78" s="110">
        <f t="shared" si="38"/>
        <v>23.968287887854572</v>
      </c>
      <c r="S78" s="110">
        <f t="shared" si="38"/>
        <v>24.478709059024425</v>
      </c>
      <c r="T78" s="67">
        <f>IF($H$3=0,$W78,IF($H$3=1,$X78,IF($H$3=2,$Y78,IF($H$3=3,$Z78,""))))</f>
        <v>25</v>
      </c>
      <c r="W78" s="74">
        <v>25</v>
      </c>
      <c r="X78" s="75">
        <v>25</v>
      </c>
      <c r="Y78" s="75">
        <v>22.5</v>
      </c>
      <c r="Z78" s="75">
        <v>27.5</v>
      </c>
      <c r="AB78" s="37" t="s">
        <v>102</v>
      </c>
    </row>
    <row r="79" spans="1:28">
      <c r="A79" s="44"/>
      <c r="O79" s="45"/>
      <c r="P79" s="108"/>
      <c r="Q79" s="108"/>
      <c r="R79" s="108"/>
      <c r="S79" s="108"/>
      <c r="T79" s="55"/>
      <c r="U79" s="46"/>
      <c r="X79" s="61"/>
      <c r="Y79" s="61"/>
      <c r="Z79" s="61"/>
    </row>
    <row r="80" spans="1:28">
      <c r="A80" s="76" t="s">
        <v>103</v>
      </c>
      <c r="B80" s="41"/>
      <c r="C80" s="41"/>
      <c r="D80" s="41"/>
      <c r="E80" s="41"/>
      <c r="F80" s="41"/>
      <c r="G80" s="41"/>
      <c r="H80" s="41"/>
      <c r="I80" s="113"/>
      <c r="J80" s="113"/>
      <c r="K80" s="113"/>
      <c r="L80" s="113"/>
      <c r="M80" s="113"/>
      <c r="N80" s="113"/>
      <c r="O80" s="42">
        <f>(O75*O76*O77)*(O78/10^3)</f>
        <v>889.38</v>
      </c>
      <c r="P80" s="107">
        <f t="shared" ref="P80:T80" si="39">(P75*P76*P77)*(P78/10^3)</f>
        <v>1341.5433827752172</v>
      </c>
      <c r="Q80" s="107">
        <f t="shared" si="39"/>
        <v>2023.587946511022</v>
      </c>
      <c r="R80" s="107">
        <f t="shared" si="39"/>
        <v>3052.3859532545721</v>
      </c>
      <c r="S80" s="107">
        <f t="shared" si="39"/>
        <v>4604.22786352818</v>
      </c>
      <c r="T80" s="77">
        <f t="shared" si="39"/>
        <v>6945.0307215200628</v>
      </c>
      <c r="U80" s="43">
        <f>_xlfn.RRI(5,O80,T80)</f>
        <v>0.50840291301267992</v>
      </c>
      <c r="X80" s="61"/>
      <c r="Y80" s="61"/>
      <c r="Z80" s="61"/>
      <c r="AB80" s="37" t="s">
        <v>104</v>
      </c>
    </row>
    <row r="81" spans="1:28">
      <c r="A81" s="69" t="s">
        <v>105</v>
      </c>
      <c r="O81" s="57">
        <f t="shared" ref="O81:T81" si="40">O80/O$8</f>
        <v>0.32170482068911638</v>
      </c>
      <c r="P81" s="111">
        <f t="shared" si="40"/>
        <v>0.35832425270592905</v>
      </c>
      <c r="Q81" s="111">
        <f t="shared" si="40"/>
        <v>0.3926059589986331</v>
      </c>
      <c r="R81" s="111">
        <f t="shared" si="40"/>
        <v>0.42463214958290224</v>
      </c>
      <c r="S81" s="111">
        <f t="shared" si="40"/>
        <v>0.45453182088084487</v>
      </c>
      <c r="T81" s="58">
        <f t="shared" si="40"/>
        <v>0.4819766895645935</v>
      </c>
      <c r="X81" s="61"/>
      <c r="Y81" s="61"/>
      <c r="Z81" s="61"/>
      <c r="AB81" s="39"/>
    </row>
    <row r="82" spans="1:28">
      <c r="A82" s="69" t="s">
        <v>106</v>
      </c>
      <c r="O82" s="57">
        <f t="shared" ref="O82:T82" si="41">O80/O$9</f>
        <v>0.38923815880171125</v>
      </c>
      <c r="P82" s="111">
        <f t="shared" si="41"/>
        <v>0.41433192150223164</v>
      </c>
      <c r="Q82" s="111">
        <f t="shared" si="41"/>
        <v>0.4384480174471268</v>
      </c>
      <c r="R82" s="111">
        <f t="shared" si="41"/>
        <v>0.46146335922877052</v>
      </c>
      <c r="S82" s="111">
        <f t="shared" si="41"/>
        <v>0.48328114683676004</v>
      </c>
      <c r="T82" s="58">
        <f t="shared" si="41"/>
        <v>0.50381976650160842</v>
      </c>
      <c r="X82" s="61"/>
      <c r="Y82" s="61"/>
      <c r="Z82" s="61"/>
    </row>
    <row r="83" spans="1:28">
      <c r="A83" s="44"/>
      <c r="O83" s="45"/>
      <c r="P83" s="108"/>
      <c r="Q83" s="108"/>
      <c r="R83" s="108"/>
      <c r="S83" s="108"/>
      <c r="T83" s="55"/>
      <c r="U83" s="46"/>
      <c r="X83" s="61"/>
      <c r="Y83" s="61"/>
      <c r="Z83" s="61"/>
    </row>
    <row r="84" spans="1:28">
      <c r="A84" s="44" t="s">
        <v>107</v>
      </c>
      <c r="N84" s="108"/>
      <c r="O84" s="45">
        <f t="shared" ref="O84:T84" si="42">O85*O68</f>
        <v>7.1242609309228939</v>
      </c>
      <c r="P84" s="108">
        <f t="shared" si="42"/>
        <v>7.4651812367314259</v>
      </c>
      <c r="Q84" s="108">
        <f t="shared" si="42"/>
        <v>7.8224157477662297</v>
      </c>
      <c r="R84" s="108">
        <f t="shared" si="42"/>
        <v>8.1967451546685783</v>
      </c>
      <c r="S84" s="108">
        <f>S85*S68</f>
        <v>8.5889875068029511</v>
      </c>
      <c r="T84" s="55">
        <f t="shared" si="42"/>
        <v>9</v>
      </c>
      <c r="U84" s="46">
        <f>_xlfn.RRI(5,O84,T84)</f>
        <v>4.7853427761013867E-2</v>
      </c>
      <c r="X84" s="61"/>
      <c r="Y84" s="61"/>
      <c r="Z84" s="61"/>
    </row>
    <row r="85" spans="1:28">
      <c r="A85" s="69" t="s">
        <v>108</v>
      </c>
      <c r="O85" s="78">
        <v>2</v>
      </c>
      <c r="P85" s="120">
        <f>O85*(1+_xlfn.RRI(5,$O85,$T85))</f>
        <v>2</v>
      </c>
      <c r="Q85" s="120">
        <f>P85*(1+_xlfn.RRI(5,$O85,$T85))</f>
        <v>2</v>
      </c>
      <c r="R85" s="120">
        <f>Q85*(1+_xlfn.RRI(5,$O85,$T85))</f>
        <v>2</v>
      </c>
      <c r="S85" s="120">
        <f>R85*(1+_xlfn.RRI(5,$O85,$T85))</f>
        <v>2</v>
      </c>
      <c r="T85" s="79">
        <f>IF($H$3=0,$W85,IF($H$3=1,$X85,IF($H$3=2,$Y85,IF($H$3=3,$Z85,""))))</f>
        <v>2</v>
      </c>
      <c r="W85" s="70">
        <v>2</v>
      </c>
      <c r="X85" s="71">
        <v>2</v>
      </c>
      <c r="Y85" s="71">
        <v>1</v>
      </c>
      <c r="Z85" s="71">
        <v>3</v>
      </c>
      <c r="AB85" s="37" t="s">
        <v>109</v>
      </c>
    </row>
    <row r="86" spans="1:28">
      <c r="A86" s="47" t="s">
        <v>110</v>
      </c>
      <c r="O86" s="45">
        <f>O84*365</f>
        <v>2600.3552397868561</v>
      </c>
      <c r="P86" s="108">
        <f t="shared" ref="P86:T86" si="43">P84*365</f>
        <v>2724.7911514069706</v>
      </c>
      <c r="Q86" s="108">
        <f t="shared" si="43"/>
        <v>2855.1817479346737</v>
      </c>
      <c r="R86" s="108">
        <f t="shared" si="43"/>
        <v>2991.811981454031</v>
      </c>
      <c r="S86" s="108">
        <f t="shared" si="43"/>
        <v>3134.9804399830773</v>
      </c>
      <c r="T86" s="55">
        <f t="shared" si="43"/>
        <v>3285</v>
      </c>
      <c r="W86" s="59"/>
      <c r="X86" s="60"/>
      <c r="Y86" s="60"/>
      <c r="Z86" s="60"/>
    </row>
    <row r="87" spans="1:28">
      <c r="A87" s="44" t="s">
        <v>111</v>
      </c>
      <c r="O87" s="45">
        <f t="shared" ref="O87:T87" si="44">O86*O$53</f>
        <v>146400</v>
      </c>
      <c r="P87" s="108">
        <f t="shared" si="44"/>
        <v>188235.24426278751</v>
      </c>
      <c r="Q87" s="108">
        <f t="shared" si="44"/>
        <v>242025.32228600595</v>
      </c>
      <c r="R87" s="108">
        <f t="shared" si="44"/>
        <v>311186.44575332099</v>
      </c>
      <c r="S87" s="108">
        <f t="shared" si="44"/>
        <v>400111.04253855901</v>
      </c>
      <c r="T87" s="55">
        <f t="shared" si="44"/>
        <v>514446.72011259716</v>
      </c>
      <c r="U87" s="46">
        <f>_xlfn.RRI(5,O87,T87)</f>
        <v>0.28575986518297469</v>
      </c>
      <c r="W87" s="59"/>
      <c r="X87" s="60"/>
      <c r="Y87" s="60"/>
      <c r="Z87" s="60"/>
    </row>
    <row r="88" spans="1:28">
      <c r="A88" s="56" t="s">
        <v>97</v>
      </c>
      <c r="O88" s="57">
        <f t="shared" ref="O88:T88" si="45">(2/3)*O76+(1/3)*O116</f>
        <v>0.26666666666666666</v>
      </c>
      <c r="P88" s="111">
        <f t="shared" si="45"/>
        <v>0.26666666666666666</v>
      </c>
      <c r="Q88" s="111">
        <f t="shared" si="45"/>
        <v>0.26666666666666666</v>
      </c>
      <c r="R88" s="111">
        <f t="shared" si="45"/>
        <v>0.26666666666666666</v>
      </c>
      <c r="S88" s="111">
        <f t="shared" si="45"/>
        <v>0.26666666666666666</v>
      </c>
      <c r="T88" s="57">
        <f t="shared" si="45"/>
        <v>0.26666666666666666</v>
      </c>
      <c r="W88" s="59"/>
      <c r="X88" s="60"/>
      <c r="Y88" s="60"/>
      <c r="Z88" s="60"/>
      <c r="AB88" s="37" t="s">
        <v>112</v>
      </c>
    </row>
    <row r="89" spans="1:28">
      <c r="A89" s="56" t="s">
        <v>113</v>
      </c>
      <c r="O89" s="57">
        <f>O90*O77</f>
        <v>0.75</v>
      </c>
      <c r="P89" s="111">
        <f t="shared" ref="P89:T89" si="46">P90*P77</f>
        <v>0.7172643748425277</v>
      </c>
      <c r="Q89" s="111">
        <f t="shared" si="46"/>
        <v>0.68595757789098954</v>
      </c>
      <c r="R89" s="111">
        <f t="shared" si="46"/>
        <v>0.65601724436596687</v>
      </c>
      <c r="S89" s="111">
        <f t="shared" si="46"/>
        <v>0.62738373155476401</v>
      </c>
      <c r="T89" s="58">
        <f t="shared" si="46"/>
        <v>0.6</v>
      </c>
      <c r="W89" s="72"/>
      <c r="X89" s="73"/>
      <c r="Y89" s="73"/>
      <c r="Z89" s="73"/>
    </row>
    <row r="90" spans="1:28">
      <c r="A90" s="69" t="s">
        <v>114</v>
      </c>
      <c r="O90" s="57">
        <v>1.25</v>
      </c>
      <c r="P90" s="111">
        <f t="shared" ref="P90:S91" si="47">O90*(1+_xlfn.RRI(5,$O90,$T90))</f>
        <v>1.1954406247375462</v>
      </c>
      <c r="Q90" s="111">
        <f t="shared" si="47"/>
        <v>1.1432626298183159</v>
      </c>
      <c r="R90" s="111">
        <f t="shared" si="47"/>
        <v>1.0933620739432781</v>
      </c>
      <c r="S90" s="111">
        <f t="shared" si="47"/>
        <v>1.0456395525912734</v>
      </c>
      <c r="T90" s="58">
        <f>IF($H$3=0,$W90,IF($H$3=1,$X90,IF($H$3=2,$Y90,IF($H$3=3,$Z90,""))))</f>
        <v>1</v>
      </c>
      <c r="W90" s="72">
        <v>1</v>
      </c>
      <c r="X90" s="73">
        <v>1</v>
      </c>
      <c r="Y90" s="73">
        <v>0.75</v>
      </c>
      <c r="Z90" s="73">
        <v>1.25</v>
      </c>
      <c r="AB90" s="37" t="s">
        <v>115</v>
      </c>
    </row>
    <row r="91" spans="1:28">
      <c r="A91" s="44" t="s">
        <v>116</v>
      </c>
      <c r="O91" s="80">
        <v>6.1239769263225208</v>
      </c>
      <c r="P91" s="110">
        <f t="shared" si="47"/>
        <v>6.1239769263225208</v>
      </c>
      <c r="Q91" s="110">
        <f t="shared" si="47"/>
        <v>6.1239769263225208</v>
      </c>
      <c r="R91" s="110">
        <f t="shared" si="47"/>
        <v>6.1239769263225208</v>
      </c>
      <c r="S91" s="110">
        <f t="shared" si="47"/>
        <v>6.1239769263225208</v>
      </c>
      <c r="T91" s="67">
        <f>IF($H$3=0,$W91,IF($H$3=1,$X91,IF($H$3=2,$Y91,IF($H$3=3,$Z91,""))))</f>
        <v>6.1239769263225208</v>
      </c>
      <c r="W91" s="74">
        <v>6.1239769263225208</v>
      </c>
      <c r="X91" s="75">
        <v>6.1239769263225208</v>
      </c>
      <c r="Y91" s="75">
        <f>X91*0.75</f>
        <v>4.5929826947418908</v>
      </c>
      <c r="Z91" s="75">
        <f>X91*1.25</f>
        <v>7.6549711579031507</v>
      </c>
      <c r="AB91" s="37" t="s">
        <v>117</v>
      </c>
    </row>
    <row r="92" spans="1:28">
      <c r="A92" s="44"/>
      <c r="O92" s="80"/>
      <c r="P92" s="110"/>
      <c r="Q92" s="110"/>
      <c r="R92" s="110"/>
      <c r="S92" s="110"/>
      <c r="T92" s="67"/>
      <c r="W92" s="74"/>
      <c r="X92" s="74"/>
      <c r="Y92" s="74"/>
      <c r="Z92" s="74"/>
    </row>
    <row r="93" spans="1:28">
      <c r="A93" s="76" t="s">
        <v>118</v>
      </c>
      <c r="B93" s="41"/>
      <c r="C93" s="41"/>
      <c r="D93" s="41"/>
      <c r="E93" s="41"/>
      <c r="F93" s="41"/>
      <c r="G93" s="41"/>
      <c r="H93" s="41"/>
      <c r="I93" s="113"/>
      <c r="J93" s="113"/>
      <c r="K93" s="113"/>
      <c r="L93" s="113"/>
      <c r="M93" s="113"/>
      <c r="N93" s="113"/>
      <c r="O93" s="42">
        <f>(O87*O88*O89)*(O91/10^3)</f>
        <v>179.31004440272341</v>
      </c>
      <c r="P93" s="107">
        <f t="shared" ref="P93:S93" si="48">(P87*P88*P89)*(P91/10^3)</f>
        <v>220.48674224866252</v>
      </c>
      <c r="Q93" s="107">
        <f t="shared" si="48"/>
        <v>271.1192430371724</v>
      </c>
      <c r="R93" s="107">
        <f t="shared" si="48"/>
        <v>333.37897415233471</v>
      </c>
      <c r="S93" s="107">
        <f t="shared" si="48"/>
        <v>409.93600882702657</v>
      </c>
      <c r="T93" s="77">
        <f>(T87*T88*T89)*(T91/10^3)</f>
        <v>504.07357500669519</v>
      </c>
      <c r="U93" s="43">
        <f>_xlfn.RRI(5,O93,T93)</f>
        <v>0.22963966119743873</v>
      </c>
      <c r="AB93" s="37" t="s">
        <v>119</v>
      </c>
    </row>
    <row r="94" spans="1:28">
      <c r="A94" s="69" t="s">
        <v>105</v>
      </c>
      <c r="O94" s="57">
        <f t="shared" ref="O94:T94" si="49">O93/O$8</f>
        <v>6.4859683917263294E-2</v>
      </c>
      <c r="P94" s="111">
        <f t="shared" si="49"/>
        <v>5.8891682641212528E-2</v>
      </c>
      <c r="Q94" s="111">
        <f t="shared" si="49"/>
        <v>5.2601138783771054E-2</v>
      </c>
      <c r="R94" s="111">
        <f t="shared" si="49"/>
        <v>4.6377958943595678E-2</v>
      </c>
      <c r="S94" s="111">
        <f t="shared" si="49"/>
        <v>4.0469100587474445E-2</v>
      </c>
      <c r="T94" s="58">
        <f t="shared" si="49"/>
        <v>3.4982093344223794E-2</v>
      </c>
      <c r="AB94" s="39"/>
    </row>
    <row r="95" spans="1:28">
      <c r="A95" s="69" t="s">
        <v>106</v>
      </c>
      <c r="O95" s="57">
        <f t="shared" ref="O95:T95" si="50">O93/O$9</f>
        <v>7.8475242908508339E-2</v>
      </c>
      <c r="P95" s="111">
        <f t="shared" si="50"/>
        <v>6.8096713646838947E-2</v>
      </c>
      <c r="Q95" s="111">
        <f t="shared" si="50"/>
        <v>5.8743033534256375E-2</v>
      </c>
      <c r="R95" s="111">
        <f t="shared" si="50"/>
        <v>5.0400632051312302E-2</v>
      </c>
      <c r="S95" s="111">
        <f t="shared" si="50"/>
        <v>4.3028787963547116E-2</v>
      </c>
      <c r="T95" s="58">
        <f t="shared" si="50"/>
        <v>3.6567474075034662E-2</v>
      </c>
    </row>
    <row r="97" spans="1:28" s="31" customFormat="1">
      <c r="A97" s="31" t="s">
        <v>120</v>
      </c>
      <c r="I97" s="105"/>
      <c r="J97" s="105"/>
      <c r="K97" s="105"/>
      <c r="L97" s="105"/>
      <c r="M97" s="105"/>
      <c r="N97" s="105"/>
      <c r="P97" s="105"/>
      <c r="Q97" s="105"/>
      <c r="R97" s="105"/>
      <c r="S97" s="105"/>
      <c r="W97" s="165" t="s">
        <v>35</v>
      </c>
      <c r="X97" s="165"/>
      <c r="Y97" s="165"/>
      <c r="Z97" s="165"/>
    </row>
    <row r="98" spans="1:28" s="31" customFormat="1">
      <c r="A98" s="31" t="s">
        <v>38</v>
      </c>
      <c r="I98" s="105">
        <v>2015</v>
      </c>
      <c r="J98" s="105">
        <v>2016</v>
      </c>
      <c r="K98" s="105">
        <v>2017</v>
      </c>
      <c r="L98" s="105">
        <v>2018</v>
      </c>
      <c r="M98" s="105">
        <v>2019</v>
      </c>
      <c r="N98" s="105">
        <v>2020</v>
      </c>
      <c r="O98" s="31">
        <v>2021</v>
      </c>
      <c r="P98" s="105">
        <v>2022</v>
      </c>
      <c r="Q98" s="105">
        <v>2023</v>
      </c>
      <c r="R98" s="105">
        <v>2024</v>
      </c>
      <c r="S98" s="105">
        <v>2025</v>
      </c>
      <c r="T98" s="31">
        <v>2026</v>
      </c>
      <c r="U98" s="35" t="s">
        <v>39</v>
      </c>
      <c r="W98" s="33" t="s">
        <v>40</v>
      </c>
      <c r="X98" s="33" t="s">
        <v>41</v>
      </c>
      <c r="Y98" s="33" t="s">
        <v>42</v>
      </c>
      <c r="Z98" s="33" t="s">
        <v>43</v>
      </c>
      <c r="AB98" s="31" t="s">
        <v>1</v>
      </c>
    </row>
    <row r="99" spans="1:28">
      <c r="A99" s="36" t="s">
        <v>44</v>
      </c>
    </row>
    <row r="101" spans="1:28">
      <c r="A101" s="37" t="s">
        <v>78</v>
      </c>
      <c r="O101" s="62">
        <f t="shared" ref="O101:T101" si="51">O68</f>
        <v>3.562130465461447</v>
      </c>
      <c r="P101" s="112">
        <f t="shared" si="51"/>
        <v>3.7325906183657129</v>
      </c>
      <c r="Q101" s="112">
        <f t="shared" si="51"/>
        <v>3.9112078738831149</v>
      </c>
      <c r="R101" s="112">
        <f t="shared" si="51"/>
        <v>4.0983725773342892</v>
      </c>
      <c r="S101" s="112">
        <f t="shared" si="51"/>
        <v>4.2944937534014755</v>
      </c>
      <c r="T101" s="63">
        <f t="shared" si="51"/>
        <v>4.5</v>
      </c>
      <c r="U101" s="46">
        <f>_xlfn.RRI(5,O101,T101)</f>
        <v>4.7853427761013867E-2</v>
      </c>
      <c r="AB101" s="37" t="s">
        <v>86</v>
      </c>
    </row>
    <row r="102" spans="1:28">
      <c r="A102" s="44" t="s">
        <v>121</v>
      </c>
      <c r="O102" s="62">
        <f t="shared" ref="O102:T102" si="52">O101*O103</f>
        <v>0.35621304654614472</v>
      </c>
      <c r="P102" s="112">
        <f t="shared" si="52"/>
        <v>0.40478891590549781</v>
      </c>
      <c r="Q102" s="112">
        <f t="shared" si="52"/>
        <v>0.45998895332072604</v>
      </c>
      <c r="R102" s="112">
        <f t="shared" si="52"/>
        <v>0.52271647978250213</v>
      </c>
      <c r="S102" s="112">
        <f t="shared" si="52"/>
        <v>0.59399799987305402</v>
      </c>
      <c r="T102" s="63">
        <f t="shared" si="52"/>
        <v>0.67499999999999993</v>
      </c>
      <c r="U102" s="46">
        <f>_xlfn.RRI(5,O102,T102)</f>
        <v>0.13636746275956657</v>
      </c>
    </row>
    <row r="103" spans="1:28">
      <c r="A103" s="69" t="s">
        <v>88</v>
      </c>
      <c r="O103" s="57">
        <v>0.1</v>
      </c>
      <c r="P103" s="111">
        <f t="shared" ref="P103:S104" si="53">O103*(1+_xlfn.RRI(5,$O103,$T103))</f>
        <v>0.10844717711976987</v>
      </c>
      <c r="Q103" s="111">
        <f t="shared" si="53"/>
        <v>0.11760790225246735</v>
      </c>
      <c r="R103" s="111">
        <f t="shared" si="53"/>
        <v>0.12754245006257908</v>
      </c>
      <c r="S103" s="111">
        <f t="shared" si="53"/>
        <v>0.13831618672225915</v>
      </c>
      <c r="T103" s="58">
        <f>IF($H$3=0,$W103,IF($H$3=1,$X103,IF($H$3=2,$Y103,IF($H$3=3,$Z103,""))))</f>
        <v>0.15</v>
      </c>
      <c r="W103" s="59">
        <v>0.15</v>
      </c>
      <c r="X103" s="60">
        <v>0.15</v>
      </c>
      <c r="Y103" s="60">
        <v>0.125</v>
      </c>
      <c r="Z103" s="60">
        <v>0.17499999999999999</v>
      </c>
      <c r="AB103" s="37" t="s">
        <v>122</v>
      </c>
    </row>
    <row r="104" spans="1:28">
      <c r="A104" s="44" t="s">
        <v>90</v>
      </c>
      <c r="O104" s="45">
        <v>8</v>
      </c>
      <c r="P104" s="108">
        <f t="shared" si="53"/>
        <v>8.3651164207301854</v>
      </c>
      <c r="Q104" s="108">
        <f t="shared" si="53"/>
        <v>8.7468965915462231</v>
      </c>
      <c r="R104" s="108">
        <f t="shared" si="53"/>
        <v>9.1461010385465258</v>
      </c>
      <c r="S104" s="108">
        <f t="shared" si="53"/>
        <v>9.5635249979003678</v>
      </c>
      <c r="T104" s="55">
        <f>IF($H$3=0,$W104,IF($H$3=1,$X104,IF($H$3=2,$Y104,IF($H$3=3,$Z104,""))))</f>
        <v>10</v>
      </c>
      <c r="W104" s="70">
        <v>10</v>
      </c>
      <c r="X104" s="71">
        <v>10</v>
      </c>
      <c r="Y104" s="71">
        <v>8</v>
      </c>
      <c r="Z104" s="71">
        <v>12</v>
      </c>
      <c r="AB104" s="37" t="s">
        <v>123</v>
      </c>
    </row>
    <row r="105" spans="1:28">
      <c r="A105" s="47" t="s">
        <v>92</v>
      </c>
      <c r="O105" s="45">
        <f t="shared" ref="O105:T105" si="54">O104/0.5</f>
        <v>16</v>
      </c>
      <c r="P105" s="108">
        <f t="shared" si="54"/>
        <v>16.730232841460371</v>
      </c>
      <c r="Q105" s="108">
        <f t="shared" si="54"/>
        <v>17.493793183092446</v>
      </c>
      <c r="R105" s="108">
        <f t="shared" si="54"/>
        <v>18.292202077093052</v>
      </c>
      <c r="S105" s="108">
        <f t="shared" si="54"/>
        <v>19.127049995800736</v>
      </c>
      <c r="T105" s="55">
        <f t="shared" si="54"/>
        <v>20</v>
      </c>
      <c r="X105" s="61"/>
      <c r="Y105" s="61"/>
      <c r="Z105" s="61"/>
      <c r="AB105" s="37" t="s">
        <v>124</v>
      </c>
    </row>
    <row r="106" spans="1:28">
      <c r="A106" s="44" t="s">
        <v>94</v>
      </c>
      <c r="O106" s="45">
        <f t="shared" ref="O106:T106" si="55">O102*O105</f>
        <v>5.6994087447383155</v>
      </c>
      <c r="P106" s="108">
        <f t="shared" si="55"/>
        <v>6.7722128147412999</v>
      </c>
      <c r="Q106" s="108">
        <f t="shared" si="55"/>
        <v>8.0469516158999461</v>
      </c>
      <c r="R106" s="108">
        <f t="shared" si="55"/>
        <v>9.5616354772082541</v>
      </c>
      <c r="S106" s="108">
        <f t="shared" si="55"/>
        <v>11.361429440977544</v>
      </c>
      <c r="T106" s="55">
        <f t="shared" si="55"/>
        <v>13.499999999999998</v>
      </c>
      <c r="U106" s="46">
        <f>_xlfn.RRI(5,O106,T106)</f>
        <v>0.18823076533919347</v>
      </c>
      <c r="X106" s="61"/>
      <c r="Y106" s="61"/>
      <c r="Z106" s="61"/>
    </row>
    <row r="107" spans="1:28">
      <c r="A107" s="47" t="s">
        <v>95</v>
      </c>
      <c r="O107" s="45">
        <f t="shared" ref="O107:T107" si="56">O106*365</f>
        <v>2080.2841918294853</v>
      </c>
      <c r="P107" s="108">
        <f t="shared" si="56"/>
        <v>2471.8576773805744</v>
      </c>
      <c r="Q107" s="108">
        <f t="shared" si="56"/>
        <v>2937.1373398034802</v>
      </c>
      <c r="R107" s="108">
        <f t="shared" si="56"/>
        <v>3489.996949181013</v>
      </c>
      <c r="S107" s="108">
        <f t="shared" si="56"/>
        <v>4146.9217459568035</v>
      </c>
      <c r="T107" s="55">
        <f t="shared" si="56"/>
        <v>4927.4999999999991</v>
      </c>
      <c r="X107" s="61"/>
      <c r="Y107" s="61"/>
      <c r="Z107" s="61"/>
    </row>
    <row r="108" spans="1:28">
      <c r="A108" s="44" t="s">
        <v>96</v>
      </c>
      <c r="O108" s="45">
        <f t="shared" ref="O108:T108" si="57">O107*O$209</f>
        <v>117120.00000000001</v>
      </c>
      <c r="P108" s="108">
        <f t="shared" si="57"/>
        <v>170761.98058127204</v>
      </c>
      <c r="Q108" s="108">
        <f t="shared" si="57"/>
        <v>248972.45570388253</v>
      </c>
      <c r="R108" s="108">
        <f t="shared" si="57"/>
        <v>363004.00995712104</v>
      </c>
      <c r="S108" s="108">
        <f t="shared" si="57"/>
        <v>529263.00972696161</v>
      </c>
      <c r="T108" s="55">
        <f t="shared" si="57"/>
        <v>771670.08016889566</v>
      </c>
      <c r="U108" s="46">
        <f>_xlfn.RRI(5,O108,T108)</f>
        <v>0.45800871397944021</v>
      </c>
      <c r="X108" s="61"/>
      <c r="Y108" s="61"/>
      <c r="Z108" s="61"/>
    </row>
    <row r="109" spans="1:28">
      <c r="A109" s="56" t="s">
        <v>99</v>
      </c>
      <c r="O109" s="57">
        <f t="shared" ref="O109:T109" si="58">O110*O77</f>
        <v>0.69</v>
      </c>
      <c r="P109" s="111">
        <f t="shared" si="58"/>
        <v>0.69</v>
      </c>
      <c r="Q109" s="111">
        <f t="shared" si="58"/>
        <v>0.69</v>
      </c>
      <c r="R109" s="111">
        <f t="shared" si="58"/>
        <v>0.69</v>
      </c>
      <c r="S109" s="111">
        <f t="shared" si="58"/>
        <v>0.69</v>
      </c>
      <c r="T109" s="58">
        <f t="shared" si="58"/>
        <v>0.69</v>
      </c>
      <c r="W109" s="72"/>
      <c r="X109" s="73"/>
      <c r="Y109" s="73"/>
      <c r="Z109" s="73"/>
      <c r="AB109" s="37" t="s">
        <v>125</v>
      </c>
    </row>
    <row r="110" spans="1:28">
      <c r="A110" s="69" t="s">
        <v>126</v>
      </c>
      <c r="O110" s="57">
        <v>1.1499999999999999</v>
      </c>
      <c r="P110" s="111">
        <f>O110*(1+_xlfn.RRI(5,$O110,$T110))</f>
        <v>1.1499999999999999</v>
      </c>
      <c r="Q110" s="111">
        <f>P110*(1+_xlfn.RRI(5,$O110,$T110))</f>
        <v>1.1499999999999999</v>
      </c>
      <c r="R110" s="111">
        <f>Q110*(1+_xlfn.RRI(5,$O110,$T110))</f>
        <v>1.1499999999999999</v>
      </c>
      <c r="S110" s="111">
        <f>R110*(1+_xlfn.RRI(5,$O110,$T110))</f>
        <v>1.1499999999999999</v>
      </c>
      <c r="T110" s="58">
        <f>IF($H$3=0,$W110,IF($H$3=1,$X110,IF($H$3=2,$Y110,IF($H$3=3,$Z110,""))))</f>
        <v>1.1499999999999999</v>
      </c>
      <c r="W110" s="59">
        <v>1.1499999999999999</v>
      </c>
      <c r="X110" s="60">
        <v>1.1499999999999999</v>
      </c>
      <c r="Y110" s="60">
        <v>1.05</v>
      </c>
      <c r="Z110" s="60">
        <v>1.25</v>
      </c>
      <c r="AB110" s="37" t="s">
        <v>127</v>
      </c>
    </row>
    <row r="111" spans="1:28">
      <c r="A111" s="44" t="s">
        <v>128</v>
      </c>
      <c r="O111" s="53">
        <f>O112*O113</f>
        <v>28.125</v>
      </c>
      <c r="P111" s="110">
        <f t="shared" ref="P111:T111" si="59">P112*P113</f>
        <v>28.723941213753797</v>
      </c>
      <c r="Q111" s="110">
        <f t="shared" si="59"/>
        <v>29.335637292486545</v>
      </c>
      <c r="R111" s="110">
        <f t="shared" si="59"/>
        <v>29.960359859818215</v>
      </c>
      <c r="S111" s="110">
        <f t="shared" si="59"/>
        <v>30.598386323780531</v>
      </c>
      <c r="T111" s="67">
        <f t="shared" si="59"/>
        <v>31.25</v>
      </c>
      <c r="W111" s="72"/>
      <c r="X111" s="73"/>
      <c r="Y111" s="73"/>
      <c r="Z111" s="73"/>
      <c r="AB111" s="37" t="s">
        <v>129</v>
      </c>
    </row>
    <row r="112" spans="1:28">
      <c r="A112" s="47" t="s">
        <v>101</v>
      </c>
      <c r="O112" s="53">
        <f t="shared" ref="O112:T112" si="60">O78</f>
        <v>22.5</v>
      </c>
      <c r="P112" s="110">
        <f t="shared" si="60"/>
        <v>22.979152971003039</v>
      </c>
      <c r="Q112" s="110">
        <f t="shared" si="60"/>
        <v>23.468509833989238</v>
      </c>
      <c r="R112" s="110">
        <f t="shared" si="60"/>
        <v>23.968287887854572</v>
      </c>
      <c r="S112" s="110">
        <f t="shared" si="60"/>
        <v>24.478709059024425</v>
      </c>
      <c r="T112" s="67">
        <f t="shared" si="60"/>
        <v>25</v>
      </c>
      <c r="X112" s="61"/>
      <c r="Y112" s="61"/>
      <c r="Z112" s="61"/>
    </row>
    <row r="113" spans="1:28">
      <c r="A113" s="69" t="s">
        <v>130</v>
      </c>
      <c r="O113" s="57">
        <v>1.25</v>
      </c>
      <c r="P113" s="111">
        <f>O113*(1+_xlfn.RRI(5,$O113,$T113))</f>
        <v>1.25</v>
      </c>
      <c r="Q113" s="111">
        <f>P113*(1+_xlfn.RRI(5,$O113,$T113))</f>
        <v>1.25</v>
      </c>
      <c r="R113" s="111">
        <f>Q113*(1+_xlfn.RRI(5,$O113,$T113))</f>
        <v>1.25</v>
      </c>
      <c r="S113" s="111">
        <f>R113*(1+_xlfn.RRI(5,$O113,$T113))</f>
        <v>1.25</v>
      </c>
      <c r="T113" s="58">
        <f>IF($H$3=0,$W113,IF($H$3=1,$X113,IF($H$3=2,$Y113,IF($H$3=3,$Z113,""))))</f>
        <v>1.25</v>
      </c>
      <c r="W113" s="59">
        <v>1.25</v>
      </c>
      <c r="X113" s="60">
        <v>1.25</v>
      </c>
      <c r="Y113" s="60">
        <v>1.1499999999999999</v>
      </c>
      <c r="Z113" s="60">
        <v>1.35</v>
      </c>
      <c r="AB113" s="37" t="s">
        <v>131</v>
      </c>
    </row>
    <row r="114" spans="1:28">
      <c r="T114" s="81"/>
      <c r="X114" s="61"/>
      <c r="Y114" s="61"/>
      <c r="Z114" s="61"/>
    </row>
    <row r="115" spans="1:28">
      <c r="A115" s="66" t="s">
        <v>132</v>
      </c>
      <c r="O115" s="45">
        <f>(O108*O109)*(O111/10^3)</f>
        <v>2272.86</v>
      </c>
      <c r="P115" s="108">
        <f t="shared" ref="P115:T115" si="61">(P108*P109)*(P111/10^3)</f>
        <v>3384.4203933148315</v>
      </c>
      <c r="Q115" s="108">
        <f t="shared" si="61"/>
        <v>5039.5983028806522</v>
      </c>
      <c r="R115" s="108">
        <f t="shared" si="61"/>
        <v>7504.2542305219422</v>
      </c>
      <c r="S115" s="108">
        <f t="shared" si="61"/>
        <v>11174.269886573544</v>
      </c>
      <c r="T115" s="55">
        <f t="shared" si="61"/>
        <v>16639.136103641813</v>
      </c>
      <c r="U115" s="46">
        <f>_xlfn.RRI(5,O115,T115)</f>
        <v>0.48905801207062116</v>
      </c>
      <c r="W115" s="72"/>
      <c r="X115" s="73"/>
      <c r="Y115" s="73"/>
      <c r="Z115" s="73"/>
      <c r="AB115" s="37" t="s">
        <v>133</v>
      </c>
    </row>
    <row r="116" spans="1:28">
      <c r="A116" s="56" t="s">
        <v>134</v>
      </c>
      <c r="O116" s="57">
        <v>0.2</v>
      </c>
      <c r="P116" s="111">
        <f>O116*(1+_xlfn.RRI(5,$O116,$T116))</f>
        <v>0.2</v>
      </c>
      <c r="Q116" s="111">
        <f>P116*(1+_xlfn.RRI(5,$O116,$T116))</f>
        <v>0.2</v>
      </c>
      <c r="R116" s="111">
        <f>Q116*(1+_xlfn.RRI(5,$O116,$T116))</f>
        <v>0.2</v>
      </c>
      <c r="S116" s="111">
        <f>R116*(1+_xlfn.RRI(5,$O116,$T116))</f>
        <v>0.2</v>
      </c>
      <c r="T116" s="58">
        <f>IF($H$3=0,$W116,IF($H$3=1,$X116,IF($H$3=2,$Y116,IF($H$3=3,$Z116,""))))</f>
        <v>0.2</v>
      </c>
      <c r="W116" s="59">
        <v>0.2</v>
      </c>
      <c r="X116" s="60">
        <v>0.2</v>
      </c>
      <c r="Y116" s="60">
        <v>0.1</v>
      </c>
      <c r="Z116" s="60">
        <v>0.2</v>
      </c>
      <c r="AB116" s="37" t="s">
        <v>373</v>
      </c>
    </row>
    <row r="117" spans="1:28">
      <c r="A117" s="56"/>
      <c r="O117" s="38"/>
      <c r="P117" s="121"/>
      <c r="Q117" s="121"/>
      <c r="R117" s="121"/>
      <c r="S117" s="121"/>
      <c r="T117" s="58"/>
      <c r="W117" s="72"/>
      <c r="X117" s="72"/>
      <c r="Y117" s="72"/>
      <c r="Z117" s="72"/>
    </row>
    <row r="118" spans="1:28">
      <c r="A118" s="76" t="s">
        <v>135</v>
      </c>
      <c r="B118" s="41"/>
      <c r="C118" s="41"/>
      <c r="D118" s="41"/>
      <c r="E118" s="41"/>
      <c r="F118" s="41"/>
      <c r="G118" s="41"/>
      <c r="H118" s="41"/>
      <c r="I118" s="113"/>
      <c r="J118" s="113"/>
      <c r="K118" s="113"/>
      <c r="L118" s="113"/>
      <c r="M118" s="113"/>
      <c r="N118" s="113"/>
      <c r="O118" s="42">
        <f>O115*O116</f>
        <v>454.57200000000006</v>
      </c>
      <c r="P118" s="107">
        <f t="shared" ref="P118:T118" si="62">P115*P116</f>
        <v>676.88407866296632</v>
      </c>
      <c r="Q118" s="107">
        <f t="shared" si="62"/>
        <v>1007.9196605761305</v>
      </c>
      <c r="R118" s="107">
        <f t="shared" si="62"/>
        <v>1500.8508461043884</v>
      </c>
      <c r="S118" s="107">
        <f t="shared" si="62"/>
        <v>2234.853977314709</v>
      </c>
      <c r="T118" s="77">
        <f t="shared" si="62"/>
        <v>3327.8272207283626</v>
      </c>
      <c r="U118" s="43">
        <f>_xlfn.RRI(5,O118,T118)</f>
        <v>0.48905801207062116</v>
      </c>
      <c r="AB118" s="37" t="s">
        <v>136</v>
      </c>
    </row>
    <row r="119" spans="1:28">
      <c r="A119" s="69" t="s">
        <v>105</v>
      </c>
      <c r="O119" s="57">
        <f t="shared" ref="O119:T119" si="63">O118/O$8</f>
        <v>0.16442690835221505</v>
      </c>
      <c r="P119" s="111">
        <f t="shared" si="63"/>
        <v>0.18079473595084494</v>
      </c>
      <c r="Q119" s="111">
        <f t="shared" si="63"/>
        <v>0.19555130559872264</v>
      </c>
      <c r="R119" s="111">
        <f t="shared" si="63"/>
        <v>0.20879060864013607</v>
      </c>
      <c r="S119" s="111">
        <f t="shared" si="63"/>
        <v>0.22062597200244666</v>
      </c>
      <c r="T119" s="58">
        <f t="shared" si="63"/>
        <v>0.23094716374970101</v>
      </c>
      <c r="AB119" s="39"/>
    </row>
    <row r="120" spans="1:28">
      <c r="A120" s="69" t="s">
        <v>106</v>
      </c>
      <c r="O120" s="57">
        <f t="shared" ref="O120:T120" si="64">O118/O$9</f>
        <v>0.1989439478319858</v>
      </c>
      <c r="P120" s="111">
        <f t="shared" si="64"/>
        <v>0.20905375446489474</v>
      </c>
      <c r="Q120" s="111">
        <f t="shared" si="64"/>
        <v>0.21838456672344006</v>
      </c>
      <c r="R120" s="111">
        <f t="shared" si="64"/>
        <v>0.22690042601139931</v>
      </c>
      <c r="S120" s="111">
        <f t="shared" si="64"/>
        <v>0.23458065612367507</v>
      </c>
      <c r="T120" s="58">
        <f t="shared" si="64"/>
        <v>0.24141363811535396</v>
      </c>
    </row>
    <row r="121" spans="1:28">
      <c r="A121" s="69"/>
    </row>
    <row r="122" spans="1:28" s="31" customFormat="1">
      <c r="A122" s="31" t="s">
        <v>137</v>
      </c>
      <c r="I122" s="105"/>
      <c r="J122" s="105"/>
      <c r="K122" s="105"/>
      <c r="L122" s="105"/>
      <c r="M122" s="105"/>
      <c r="N122" s="105"/>
      <c r="P122" s="105"/>
      <c r="Q122" s="105"/>
      <c r="R122" s="105"/>
      <c r="S122" s="105"/>
      <c r="W122" s="165" t="s">
        <v>35</v>
      </c>
      <c r="X122" s="165"/>
      <c r="Y122" s="165"/>
      <c r="Z122" s="165"/>
    </row>
    <row r="123" spans="1:28" s="31" customFormat="1">
      <c r="A123" s="31" t="s">
        <v>38</v>
      </c>
      <c r="I123" s="105">
        <v>2015</v>
      </c>
      <c r="J123" s="105">
        <v>2016</v>
      </c>
      <c r="K123" s="105">
        <v>2017</v>
      </c>
      <c r="L123" s="105">
        <v>2018</v>
      </c>
      <c r="M123" s="105">
        <v>2019</v>
      </c>
      <c r="N123" s="105">
        <v>2020</v>
      </c>
      <c r="O123" s="31">
        <v>2021</v>
      </c>
      <c r="P123" s="105">
        <v>2022</v>
      </c>
      <c r="Q123" s="105">
        <v>2023</v>
      </c>
      <c r="R123" s="105">
        <v>2024</v>
      </c>
      <c r="S123" s="105">
        <v>2025</v>
      </c>
      <c r="T123" s="31">
        <v>2026</v>
      </c>
      <c r="U123" s="35" t="s">
        <v>39</v>
      </c>
      <c r="W123" s="33" t="s">
        <v>40</v>
      </c>
      <c r="X123" s="33" t="s">
        <v>41</v>
      </c>
      <c r="Y123" s="33" t="s">
        <v>42</v>
      </c>
      <c r="Z123" s="33" t="s">
        <v>43</v>
      </c>
      <c r="AB123" s="31" t="s">
        <v>1</v>
      </c>
    </row>
    <row r="124" spans="1:28">
      <c r="A124" s="36" t="s">
        <v>44</v>
      </c>
    </row>
    <row r="125" spans="1:28">
      <c r="O125" s="38"/>
    </row>
    <row r="126" spans="1:28">
      <c r="A126" s="66" t="s">
        <v>81</v>
      </c>
      <c r="I126" s="112"/>
      <c r="J126" s="112"/>
      <c r="K126" s="112"/>
      <c r="L126" s="112"/>
      <c r="M126" s="112"/>
      <c r="N126" s="112">
        <f t="shared" ref="N126:T127" si="65">N61</f>
        <v>2.029315258766053</v>
      </c>
      <c r="O126" s="62">
        <f t="shared" si="65"/>
        <v>2.2723118465686865</v>
      </c>
      <c r="P126" s="112">
        <f t="shared" si="65"/>
        <v>2.5444056096025491</v>
      </c>
      <c r="Q126" s="112">
        <f t="shared" si="65"/>
        <v>2.8490807350905683</v>
      </c>
      <c r="R126" s="112">
        <f t="shared" si="65"/>
        <v>3.1902386177855409</v>
      </c>
      <c r="S126" s="112">
        <f t="shared" si="65"/>
        <v>3.5722478177111627</v>
      </c>
      <c r="T126" s="63">
        <f t="shared" si="65"/>
        <v>4</v>
      </c>
      <c r="U126" s="46">
        <f>_xlfn.RRI(5,O126,T126)</f>
        <v>0.11974314328587377</v>
      </c>
      <c r="AB126" s="37" t="s">
        <v>138</v>
      </c>
    </row>
    <row r="127" spans="1:28">
      <c r="A127" s="44" t="s">
        <v>83</v>
      </c>
      <c r="I127" s="110"/>
      <c r="J127" s="110"/>
      <c r="K127" s="110"/>
      <c r="L127" s="110"/>
      <c r="M127" s="110"/>
      <c r="N127" s="110">
        <f t="shared" si="65"/>
        <v>7.99</v>
      </c>
      <c r="O127" s="53">
        <f t="shared" si="65"/>
        <v>7.99</v>
      </c>
      <c r="P127" s="110">
        <f t="shared" si="65"/>
        <v>7.99</v>
      </c>
      <c r="Q127" s="110">
        <f t="shared" si="65"/>
        <v>7.99</v>
      </c>
      <c r="R127" s="110">
        <f t="shared" si="65"/>
        <v>7.99</v>
      </c>
      <c r="S127" s="110">
        <f t="shared" si="65"/>
        <v>7.99</v>
      </c>
      <c r="T127" s="67">
        <f t="shared" si="65"/>
        <v>7.99</v>
      </c>
      <c r="AB127" s="37" t="s">
        <v>139</v>
      </c>
    </row>
    <row r="128" spans="1:28">
      <c r="T128" s="81"/>
    </row>
    <row r="129" spans="1:28">
      <c r="A129" s="37" t="s">
        <v>74</v>
      </c>
      <c r="I129" s="108">
        <f t="shared" ref="I129:T129" si="66">I209</f>
        <v>7.7200000000000006</v>
      </c>
      <c r="J129" s="108">
        <f t="shared" si="66"/>
        <v>11.308999999999999</v>
      </c>
      <c r="K129" s="108">
        <f t="shared" si="66"/>
        <v>16.324999999999999</v>
      </c>
      <c r="L129" s="108">
        <f t="shared" si="66"/>
        <v>23.424999999999997</v>
      </c>
      <c r="M129" s="108">
        <f t="shared" si="66"/>
        <v>32.200000000000003</v>
      </c>
      <c r="N129" s="108">
        <f t="shared" si="66"/>
        <v>45</v>
      </c>
      <c r="O129" s="45">
        <f t="shared" si="66"/>
        <v>56.3</v>
      </c>
      <c r="P129" s="108">
        <f t="shared" si="66"/>
        <v>69.082448453192654</v>
      </c>
      <c r="Q129" s="108">
        <f t="shared" si="66"/>
        <v>84.767045902096271</v>
      </c>
      <c r="R129" s="108">
        <f t="shared" si="66"/>
        <v>104.01270122666041</v>
      </c>
      <c r="S129" s="108">
        <f t="shared" si="66"/>
        <v>127.62792310778143</v>
      </c>
      <c r="T129" s="55">
        <f t="shared" si="66"/>
        <v>156.60478542240401</v>
      </c>
      <c r="U129" s="46">
        <f>_xlfn.RRI(5,O129,T129)</f>
        <v>0.22704171320057998</v>
      </c>
      <c r="AB129" s="37" t="s">
        <v>140</v>
      </c>
    </row>
    <row r="130" spans="1:28">
      <c r="A130" s="44" t="s">
        <v>141</v>
      </c>
      <c r="N130" s="112"/>
      <c r="O130" s="62">
        <f>O131*O126</f>
        <v>0.45446236931373729</v>
      </c>
      <c r="P130" s="112">
        <f>P131*P126</f>
        <v>0.48042831193889179</v>
      </c>
      <c r="Q130" s="112">
        <f t="shared" ref="Q130:S130" si="67">Q131*Q126</f>
        <v>0.50787783213160353</v>
      </c>
      <c r="R130" s="112">
        <f t="shared" si="67"/>
        <v>0.53689569486384892</v>
      </c>
      <c r="S130" s="112">
        <f t="shared" si="67"/>
        <v>0.56757150819813829</v>
      </c>
      <c r="T130" s="63">
        <f>T131*T126</f>
        <v>0.6</v>
      </c>
      <c r="U130" s="46">
        <f>_xlfn.RRI(5,O130,T130)</f>
        <v>5.713551743429135E-2</v>
      </c>
    </row>
    <row r="131" spans="1:28">
      <c r="A131" s="69" t="s">
        <v>142</v>
      </c>
      <c r="N131" s="111"/>
      <c r="O131" s="57">
        <v>0.2</v>
      </c>
      <c r="P131" s="111">
        <f>O131*(1+_xlfn.RRI(5,$O131,$T131))</f>
        <v>0.18881750225898042</v>
      </c>
      <c r="Q131" s="111">
        <f>P131*(1+_xlfn.RRI(5,$O131,$T131))</f>
        <v>0.17826024579660035</v>
      </c>
      <c r="R131" s="111">
        <f>Q131*(1+_xlfn.RRI(5,$O131,$T131))</f>
        <v>0.16829327181692993</v>
      </c>
      <c r="S131" s="111">
        <f>R131*(1+_xlfn.RRI(5,$O131,$T131))</f>
        <v>0.15888357615732185</v>
      </c>
      <c r="T131" s="58">
        <f>IF($H$3=0,$W131,IF($H$3=1,$X131,IF($H$3=2,$Y131,IF($H$3=3,$Z131,""))))</f>
        <v>0.15</v>
      </c>
      <c r="W131" s="59">
        <v>0.15</v>
      </c>
      <c r="X131" s="60">
        <v>0.15</v>
      </c>
      <c r="Y131" s="60">
        <v>0.1</v>
      </c>
      <c r="Z131" s="60">
        <v>0.2</v>
      </c>
      <c r="AB131" s="37" t="s">
        <v>143</v>
      </c>
    </row>
    <row r="132" spans="1:28">
      <c r="A132" s="44" t="s">
        <v>144</v>
      </c>
      <c r="O132" s="45">
        <f>O129*O130</f>
        <v>25.586231392363409</v>
      </c>
      <c r="P132" s="108">
        <f t="shared" ref="P132:T132" si="68">P129*P130</f>
        <v>33.189164094972853</v>
      </c>
      <c r="Q132" s="108">
        <f t="shared" si="68"/>
        <v>43.051303508956778</v>
      </c>
      <c r="R132" s="108">
        <f t="shared" si="68"/>
        <v>55.843971499753749</v>
      </c>
      <c r="S132" s="108">
        <f t="shared" si="68"/>
        <v>72.437972806479536</v>
      </c>
      <c r="T132" s="55">
        <f t="shared" si="68"/>
        <v>93.962871253442401</v>
      </c>
      <c r="U132" s="46"/>
      <c r="X132" s="61"/>
      <c r="Y132" s="61"/>
      <c r="Z132" s="61"/>
    </row>
    <row r="133" spans="1:28">
      <c r="A133" s="44" t="s">
        <v>145</v>
      </c>
      <c r="O133" s="45">
        <f>O132*O127*12</f>
        <v>2453.2078658998039</v>
      </c>
      <c r="P133" s="108">
        <f t="shared" ref="P133:T133" si="69">P132*P127*12</f>
        <v>3182.1770534259972</v>
      </c>
      <c r="Q133" s="108">
        <f t="shared" si="69"/>
        <v>4127.7589804387753</v>
      </c>
      <c r="R133" s="108">
        <f t="shared" si="69"/>
        <v>5354.3199873963895</v>
      </c>
      <c r="S133" s="108">
        <f t="shared" si="69"/>
        <v>6945.3528326852575</v>
      </c>
      <c r="T133" s="55">
        <f t="shared" si="69"/>
        <v>9009.1600957800583</v>
      </c>
      <c r="U133" s="46">
        <f>_xlfn.RRI(5,O133,T133)</f>
        <v>0.29714937639775441</v>
      </c>
      <c r="X133" s="61"/>
      <c r="Y133" s="61"/>
      <c r="Z133" s="61"/>
      <c r="AB133" s="37" t="s">
        <v>146</v>
      </c>
    </row>
    <row r="134" spans="1:28">
      <c r="A134" s="47"/>
      <c r="O134" s="45"/>
      <c r="P134" s="108"/>
      <c r="Q134" s="108"/>
      <c r="R134" s="108"/>
      <c r="S134" s="108"/>
      <c r="T134" s="55"/>
      <c r="X134" s="61"/>
      <c r="Y134" s="61"/>
      <c r="Z134" s="61"/>
    </row>
    <row r="135" spans="1:28">
      <c r="A135" s="44" t="s">
        <v>147</v>
      </c>
      <c r="O135" s="45">
        <v>1</v>
      </c>
      <c r="P135" s="108">
        <f>O135*(1+_xlfn.RRI(5,$O135,$T135))</f>
        <v>1.1486983549970351</v>
      </c>
      <c r="Q135" s="108">
        <f t="shared" ref="Q135:S135" si="70">P135*(1+_xlfn.RRI(5,$O135,$T135))</f>
        <v>1.3195079107728944</v>
      </c>
      <c r="R135" s="108">
        <f t="shared" si="70"/>
        <v>1.5157165665103984</v>
      </c>
      <c r="S135" s="108">
        <f t="shared" si="70"/>
        <v>1.7411011265922489</v>
      </c>
      <c r="T135" s="55">
        <f>IF($H$3=0,$W135,IF($H$3=1,$X135,IF($H$3=2,$Y135,IF($H$3=3,$Z135,""))))</f>
        <v>2</v>
      </c>
      <c r="U135" s="46">
        <f>_xlfn.RRI(5,O135,T135)</f>
        <v>0.1486983549970351</v>
      </c>
      <c r="W135" s="70">
        <v>2</v>
      </c>
      <c r="X135" s="71">
        <v>2</v>
      </c>
      <c r="Y135" s="71">
        <v>1</v>
      </c>
      <c r="Z135" s="71">
        <v>3</v>
      </c>
      <c r="AB135" s="37" t="s">
        <v>148</v>
      </c>
    </row>
    <row r="136" spans="1:28">
      <c r="A136" s="69" t="s">
        <v>149</v>
      </c>
      <c r="O136" s="57">
        <v>0.6</v>
      </c>
      <c r="P136" s="111">
        <f>O136*(1+_xlfn.RRI(5,$O136,$T136))</f>
        <v>0.6</v>
      </c>
      <c r="Q136" s="111">
        <f>P136*(1+_xlfn.RRI(5,$O136,$T136))</f>
        <v>0.6</v>
      </c>
      <c r="R136" s="111">
        <f>Q136*(1+_xlfn.RRI(5,$O136,$T136))</f>
        <v>0.6</v>
      </c>
      <c r="S136" s="111">
        <f>R136*(1+_xlfn.RRI(5,$O136,$T136))</f>
        <v>0.6</v>
      </c>
      <c r="T136" s="58">
        <f>IF($H$3=0,$W136,IF($H$3=1,$X136,IF($H$3=2,$Y136,IF($H$3=3,$Z136,""))))</f>
        <v>0.6</v>
      </c>
      <c r="W136" s="59">
        <v>0.6</v>
      </c>
      <c r="X136" s="60">
        <v>0.6</v>
      </c>
      <c r="Y136" s="60">
        <v>0.6</v>
      </c>
      <c r="Z136" s="60">
        <v>0.6</v>
      </c>
      <c r="AB136" s="37" t="s">
        <v>150</v>
      </c>
    </row>
    <row r="137" spans="1:28">
      <c r="A137" s="69" t="s">
        <v>151</v>
      </c>
      <c r="O137" s="57">
        <f>1-O136</f>
        <v>0.4</v>
      </c>
      <c r="P137" s="111">
        <f t="shared" ref="P137:S137" si="71">1-P136</f>
        <v>0.4</v>
      </c>
      <c r="Q137" s="111">
        <f t="shared" si="71"/>
        <v>0.4</v>
      </c>
      <c r="R137" s="111">
        <f t="shared" si="71"/>
        <v>0.4</v>
      </c>
      <c r="S137" s="111">
        <f t="shared" si="71"/>
        <v>0.4</v>
      </c>
      <c r="T137" s="58">
        <f>1-T136</f>
        <v>0.4</v>
      </c>
      <c r="W137" s="59"/>
      <c r="X137" s="60"/>
      <c r="Y137" s="60"/>
      <c r="Z137" s="60"/>
    </row>
    <row r="138" spans="1:28">
      <c r="A138" s="47" t="s">
        <v>152</v>
      </c>
      <c r="O138" s="53">
        <f>AVERAGE(3.99,4.99)</f>
        <v>4.49</v>
      </c>
      <c r="P138" s="110">
        <f>O138</f>
        <v>4.49</v>
      </c>
      <c r="Q138" s="110">
        <f t="shared" ref="Q138:T139" si="72">P138</f>
        <v>4.49</v>
      </c>
      <c r="R138" s="110">
        <f t="shared" si="72"/>
        <v>4.49</v>
      </c>
      <c r="S138" s="110">
        <f t="shared" si="72"/>
        <v>4.49</v>
      </c>
      <c r="T138" s="67">
        <f t="shared" si="72"/>
        <v>4.49</v>
      </c>
      <c r="X138" s="61"/>
      <c r="Y138" s="61"/>
      <c r="Z138" s="61"/>
      <c r="AB138" s="37" t="s">
        <v>153</v>
      </c>
    </row>
    <row r="139" spans="1:28">
      <c r="A139" s="47" t="s">
        <v>154</v>
      </c>
      <c r="O139" s="53">
        <f>AVERAGE(19.99,24.99)</f>
        <v>22.49</v>
      </c>
      <c r="P139" s="110">
        <f>O139</f>
        <v>22.49</v>
      </c>
      <c r="Q139" s="110">
        <f t="shared" si="72"/>
        <v>22.49</v>
      </c>
      <c r="R139" s="110">
        <f t="shared" si="72"/>
        <v>22.49</v>
      </c>
      <c r="S139" s="110">
        <f t="shared" si="72"/>
        <v>22.49</v>
      </c>
      <c r="T139" s="67">
        <f t="shared" si="72"/>
        <v>22.49</v>
      </c>
      <c r="X139" s="61"/>
      <c r="Y139" s="61"/>
      <c r="Z139" s="61"/>
      <c r="AB139" s="37" t="s">
        <v>155</v>
      </c>
    </row>
    <row r="140" spans="1:28">
      <c r="A140" s="44" t="s">
        <v>156</v>
      </c>
      <c r="O140" s="45">
        <f t="shared" ref="O140:T140" si="73">O129*O135*(O136*O138+O137*O139)</f>
        <v>658.14700000000005</v>
      </c>
      <c r="P140" s="108">
        <f t="shared" si="73"/>
        <v>927.65872135002019</v>
      </c>
      <c r="Q140" s="108">
        <f t="shared" si="73"/>
        <v>1307.5357075193751</v>
      </c>
      <c r="R140" s="108">
        <f t="shared" si="73"/>
        <v>1842.9726224641565</v>
      </c>
      <c r="S140" s="108">
        <f t="shared" si="73"/>
        <v>2597.6713810716942</v>
      </c>
      <c r="T140" s="55">
        <f t="shared" si="73"/>
        <v>3661.4198831758063</v>
      </c>
      <c r="U140" s="46">
        <f>_xlfn.RRI(5,O140,T140)</f>
        <v>0.4095007974662499</v>
      </c>
      <c r="X140" s="61"/>
      <c r="Y140" s="61"/>
      <c r="Z140" s="61"/>
    </row>
    <row r="141" spans="1:28">
      <c r="A141" s="44"/>
      <c r="O141" s="45"/>
      <c r="P141" s="108"/>
      <c r="Q141" s="108"/>
      <c r="R141" s="108"/>
      <c r="S141" s="108"/>
      <c r="T141" s="55"/>
      <c r="U141" s="46"/>
      <c r="X141" s="61"/>
      <c r="Y141" s="61"/>
      <c r="Z141" s="61"/>
    </row>
    <row r="142" spans="1:28">
      <c r="A142" s="56" t="s">
        <v>157</v>
      </c>
      <c r="O142" s="57">
        <v>0.2</v>
      </c>
      <c r="P142" s="111">
        <f>O142</f>
        <v>0.2</v>
      </c>
      <c r="Q142" s="111">
        <f t="shared" ref="Q142:T142" si="74">P142</f>
        <v>0.2</v>
      </c>
      <c r="R142" s="111">
        <f t="shared" si="74"/>
        <v>0.2</v>
      </c>
      <c r="S142" s="111">
        <f t="shared" si="74"/>
        <v>0.2</v>
      </c>
      <c r="T142" s="58">
        <f t="shared" si="74"/>
        <v>0.2</v>
      </c>
      <c r="X142" s="61"/>
      <c r="Y142" s="61"/>
      <c r="Z142" s="61"/>
      <c r="AB142" s="37" t="s">
        <v>158</v>
      </c>
    </row>
    <row r="143" spans="1:28">
      <c r="T143" s="81"/>
      <c r="X143" s="61"/>
      <c r="Y143" s="61"/>
      <c r="Z143" s="61"/>
    </row>
    <row r="144" spans="1:28">
      <c r="A144" s="76" t="s">
        <v>159</v>
      </c>
      <c r="B144" s="41"/>
      <c r="C144" s="41"/>
      <c r="D144" s="41"/>
      <c r="E144" s="41"/>
      <c r="F144" s="41"/>
      <c r="G144" s="41"/>
      <c r="H144" s="41"/>
      <c r="I144" s="113"/>
      <c r="J144" s="113"/>
      <c r="K144" s="113"/>
      <c r="L144" s="113"/>
      <c r="M144" s="113"/>
      <c r="N144" s="113"/>
      <c r="O144" s="42">
        <f t="shared" ref="O144:S144" si="75">O142*(O140+O133)</f>
        <v>622.27097317996083</v>
      </c>
      <c r="P144" s="107">
        <f t="shared" si="75"/>
        <v>821.96715495520357</v>
      </c>
      <c r="Q144" s="107">
        <f t="shared" si="75"/>
        <v>1087.0589375916302</v>
      </c>
      <c r="R144" s="107">
        <f t="shared" si="75"/>
        <v>1439.4585219721093</v>
      </c>
      <c r="S144" s="107">
        <f t="shared" si="75"/>
        <v>1908.6048427513904</v>
      </c>
      <c r="T144" s="77">
        <f>T142*(T140+T133)</f>
        <v>2534.1159957911732</v>
      </c>
      <c r="U144" s="43">
        <f>_xlfn.RRI(5,O144,T144)</f>
        <v>0.32424819433752128</v>
      </c>
      <c r="X144" s="61"/>
      <c r="Y144" s="61"/>
      <c r="Z144" s="61"/>
      <c r="AB144" s="37" t="s">
        <v>160</v>
      </c>
    </row>
    <row r="145" spans="1:28">
      <c r="T145" s="81"/>
      <c r="X145" s="61"/>
      <c r="Y145" s="61"/>
      <c r="Z145" s="61"/>
    </row>
    <row r="146" spans="1:28">
      <c r="A146" s="44" t="s">
        <v>161</v>
      </c>
      <c r="O146" s="62">
        <f t="shared" ref="O146:T146" si="76">O147*O61</f>
        <v>2.2723118465686868E-2</v>
      </c>
      <c r="P146" s="112">
        <f t="shared" si="76"/>
        <v>2.4021415596944588E-2</v>
      </c>
      <c r="Q146" s="112">
        <f t="shared" si="76"/>
        <v>2.5393891606580173E-2</v>
      </c>
      <c r="R146" s="112">
        <f t="shared" si="76"/>
        <v>2.6844784743192449E-2</v>
      </c>
      <c r="S146" s="112">
        <f t="shared" si="76"/>
        <v>2.8378575409906917E-2</v>
      </c>
      <c r="T146" s="63">
        <f t="shared" si="76"/>
        <v>0.03</v>
      </c>
      <c r="U146" s="46">
        <f>_xlfn.RRI(5,O146,T146)</f>
        <v>5.713551743429135E-2</v>
      </c>
      <c r="X146" s="61"/>
      <c r="Y146" s="61"/>
      <c r="Z146" s="61"/>
    </row>
    <row r="147" spans="1:28">
      <c r="A147" s="69" t="s">
        <v>142</v>
      </c>
      <c r="O147" s="57">
        <f t="shared" ref="O147:T147" si="77">O148*O131</f>
        <v>1.0000000000000002E-2</v>
      </c>
      <c r="P147" s="111">
        <f t="shared" si="77"/>
        <v>9.4408751129490213E-3</v>
      </c>
      <c r="Q147" s="111">
        <f t="shared" si="77"/>
        <v>8.9130122898300173E-3</v>
      </c>
      <c r="R147" s="111">
        <f t="shared" si="77"/>
        <v>8.4146635908464978E-3</v>
      </c>
      <c r="S147" s="111">
        <f t="shared" si="77"/>
        <v>7.9441788078660931E-3</v>
      </c>
      <c r="T147" s="58">
        <f t="shared" si="77"/>
        <v>7.4999999999999997E-3</v>
      </c>
      <c r="X147" s="61"/>
      <c r="Y147" s="61"/>
      <c r="Z147" s="61"/>
      <c r="AB147" s="37" t="s">
        <v>162</v>
      </c>
    </row>
    <row r="148" spans="1:28">
      <c r="A148" s="82" t="s">
        <v>163</v>
      </c>
      <c r="O148" s="57">
        <v>0.05</v>
      </c>
      <c r="P148" s="111">
        <f>O148*(1+_xlfn.RRI(5,$O148,$T148))</f>
        <v>0.05</v>
      </c>
      <c r="Q148" s="111">
        <f>P148*(1+_xlfn.RRI(5,$O148,$T148))</f>
        <v>0.05</v>
      </c>
      <c r="R148" s="111">
        <f>Q148*(1+_xlfn.RRI(5,$O148,$T148))</f>
        <v>0.05</v>
      </c>
      <c r="S148" s="111">
        <f>R148*(1+_xlfn.RRI(5,$O148,$T148))</f>
        <v>0.05</v>
      </c>
      <c r="T148" s="58">
        <f>IF($H$3=0,$W148,IF($H$3=1,$X148,IF($H$3=2,$Y148,IF($H$3=3,$Z148,""))))</f>
        <v>0.05</v>
      </c>
      <c r="W148" s="59">
        <v>0.05</v>
      </c>
      <c r="X148" s="60">
        <v>0.05</v>
      </c>
      <c r="Y148" s="60">
        <v>2.5000000000000001E-2</v>
      </c>
      <c r="Z148" s="60">
        <v>0.1</v>
      </c>
      <c r="AB148" s="37" t="s">
        <v>164</v>
      </c>
    </row>
    <row r="149" spans="1:28">
      <c r="A149" s="47" t="s">
        <v>165</v>
      </c>
      <c r="N149" s="110"/>
      <c r="O149" s="53">
        <v>7.99</v>
      </c>
      <c r="P149" s="110">
        <v>7.99</v>
      </c>
      <c r="Q149" s="110">
        <v>7.99</v>
      </c>
      <c r="R149" s="110">
        <v>7.99</v>
      </c>
      <c r="S149" s="110">
        <v>7.99</v>
      </c>
      <c r="T149" s="67">
        <v>7.99</v>
      </c>
      <c r="U149" s="46"/>
      <c r="AB149" s="37" t="s">
        <v>166</v>
      </c>
    </row>
    <row r="150" spans="1:28">
      <c r="A150" s="76" t="s">
        <v>167</v>
      </c>
      <c r="B150" s="41"/>
      <c r="C150" s="41"/>
      <c r="D150" s="41"/>
      <c r="E150" s="41"/>
      <c r="F150" s="41"/>
      <c r="G150" s="41"/>
      <c r="H150" s="41"/>
      <c r="I150" s="113"/>
      <c r="J150" s="113"/>
      <c r="K150" s="113"/>
      <c r="L150" s="113"/>
      <c r="M150" s="113"/>
      <c r="N150" s="113"/>
      <c r="O150" s="42">
        <f t="shared" ref="O150:T150" si="78">O149*O146*O129*12</f>
        <v>122.6603932949902</v>
      </c>
      <c r="P150" s="107">
        <f t="shared" si="78"/>
        <v>159.10885267129984</v>
      </c>
      <c r="Q150" s="107">
        <f t="shared" si="78"/>
        <v>206.38794902193877</v>
      </c>
      <c r="R150" s="107">
        <f t="shared" si="78"/>
        <v>267.71599936981954</v>
      </c>
      <c r="S150" s="107">
        <f t="shared" si="78"/>
        <v>347.26764163426293</v>
      </c>
      <c r="T150" s="77">
        <f t="shared" si="78"/>
        <v>450.45800478900287</v>
      </c>
      <c r="U150" s="43">
        <f>_xlfn.RRI(5,O150,T150)</f>
        <v>0.29714937639775441</v>
      </c>
      <c r="AB150" s="37" t="s">
        <v>168</v>
      </c>
    </row>
    <row r="151" spans="1:28">
      <c r="T151" s="81"/>
    </row>
    <row r="152" spans="1:28">
      <c r="A152" s="44" t="s">
        <v>169</v>
      </c>
      <c r="O152" s="45">
        <f t="shared" ref="O152:T152" si="79">O250</f>
        <v>11.226178801754207</v>
      </c>
      <c r="P152" s="108">
        <f t="shared" si="79"/>
        <v>11.996836124157129</v>
      </c>
      <c r="Q152" s="108">
        <f t="shared" si="79"/>
        <v>12.94569970662894</v>
      </c>
      <c r="R152" s="108">
        <f t="shared" si="79"/>
        <v>13.966734936040588</v>
      </c>
      <c r="S152" s="108">
        <f t="shared" si="79"/>
        <v>14.86569139153643</v>
      </c>
      <c r="T152" s="55">
        <f t="shared" si="79"/>
        <v>15.618048193313859</v>
      </c>
      <c r="AB152" s="37" t="s">
        <v>170</v>
      </c>
    </row>
    <row r="153" spans="1:28">
      <c r="A153" s="47" t="s">
        <v>171</v>
      </c>
      <c r="O153" s="45">
        <v>3</v>
      </c>
      <c r="P153" s="108">
        <f>O153</f>
        <v>3</v>
      </c>
      <c r="Q153" s="108">
        <f t="shared" ref="Q153:T153" si="80">P153</f>
        <v>3</v>
      </c>
      <c r="R153" s="108">
        <f t="shared" si="80"/>
        <v>3</v>
      </c>
      <c r="S153" s="108">
        <f t="shared" si="80"/>
        <v>3</v>
      </c>
      <c r="T153" s="55">
        <f t="shared" si="80"/>
        <v>3</v>
      </c>
      <c r="AB153" s="37" t="s">
        <v>172</v>
      </c>
    </row>
    <row r="154" spans="1:28">
      <c r="A154" s="47" t="s">
        <v>173</v>
      </c>
      <c r="O154" s="53">
        <v>0.49615364283140129</v>
      </c>
      <c r="P154" s="110">
        <f>O154</f>
        <v>0.49615364283140129</v>
      </c>
      <c r="Q154" s="110">
        <f t="shared" ref="Q154:T154" si="81">P154</f>
        <v>0.49615364283140129</v>
      </c>
      <c r="R154" s="110">
        <f t="shared" si="81"/>
        <v>0.49615364283140129</v>
      </c>
      <c r="S154" s="110">
        <f t="shared" si="81"/>
        <v>0.49615364283140129</v>
      </c>
      <c r="T154" s="67">
        <f t="shared" si="81"/>
        <v>0.49615364283140129</v>
      </c>
      <c r="AB154" s="37" t="s">
        <v>174</v>
      </c>
    </row>
    <row r="155" spans="1:28">
      <c r="A155" s="76" t="s">
        <v>175</v>
      </c>
      <c r="B155" s="41"/>
      <c r="C155" s="41"/>
      <c r="D155" s="41"/>
      <c r="E155" s="41"/>
      <c r="F155" s="41"/>
      <c r="G155" s="41"/>
      <c r="H155" s="41"/>
      <c r="I155" s="113"/>
      <c r="J155" s="113"/>
      <c r="K155" s="113"/>
      <c r="L155" s="113"/>
      <c r="M155" s="113"/>
      <c r="N155" s="113"/>
      <c r="O155" s="42">
        <f>O152*O153*O154</f>
        <v>16.709728522701013</v>
      </c>
      <c r="P155" s="107">
        <f t="shared" ref="P155:T155" si="82">P152*P153*P154</f>
        <v>17.856821836355728</v>
      </c>
      <c r="Q155" s="107">
        <f t="shared" si="82"/>
        <v>19.269168205336051</v>
      </c>
      <c r="R155" s="107">
        <f t="shared" si="82"/>
        <v>20.78893925093141</v>
      </c>
      <c r="S155" s="107">
        <f t="shared" si="82"/>
        <v>22.127000811354609</v>
      </c>
      <c r="T155" s="77">
        <f t="shared" si="82"/>
        <v>23.246854515087168</v>
      </c>
      <c r="U155" s="43">
        <f>_xlfn.RRI(5,O155,T155)</f>
        <v>6.8264904203885646E-2</v>
      </c>
      <c r="AB155" s="39"/>
    </row>
    <row r="156" spans="1:28">
      <c r="A156" s="44"/>
      <c r="O156" s="45"/>
      <c r="P156" s="108"/>
      <c r="Q156" s="108"/>
      <c r="R156" s="108"/>
      <c r="S156" s="108"/>
      <c r="T156" s="55"/>
      <c r="AB156" s="39"/>
    </row>
    <row r="157" spans="1:28">
      <c r="A157" s="50" t="s">
        <v>176</v>
      </c>
      <c r="B157" s="41"/>
      <c r="C157" s="41"/>
      <c r="D157" s="41"/>
      <c r="E157" s="41"/>
      <c r="F157" s="41"/>
      <c r="G157" s="41"/>
      <c r="H157" s="41"/>
      <c r="I157" s="113"/>
      <c r="J157" s="113"/>
      <c r="K157" s="113"/>
      <c r="L157" s="113"/>
      <c r="M157" s="113"/>
      <c r="N157" s="113"/>
      <c r="O157" s="42">
        <f>SUM(O155,O150,O144)</f>
        <v>761.64109499765209</v>
      </c>
      <c r="P157" s="107">
        <f t="shared" ref="P157:T157" si="83">SUM(P155,P150,P144)</f>
        <v>998.9328294628591</v>
      </c>
      <c r="Q157" s="107">
        <f t="shared" si="83"/>
        <v>1312.7160548189049</v>
      </c>
      <c r="R157" s="107">
        <f t="shared" si="83"/>
        <v>1727.9634605928604</v>
      </c>
      <c r="S157" s="107">
        <f t="shared" si="83"/>
        <v>2277.9994851970077</v>
      </c>
      <c r="T157" s="77">
        <f t="shared" si="83"/>
        <v>3007.8208550952631</v>
      </c>
      <c r="U157" s="43">
        <f>_xlfn.RRI(5,O157,T157)</f>
        <v>0.31613463943510478</v>
      </c>
      <c r="AB157" s="37" t="s">
        <v>177</v>
      </c>
    </row>
    <row r="158" spans="1:28">
      <c r="A158" s="56" t="s">
        <v>105</v>
      </c>
      <c r="O158" s="57">
        <f>O157/O$8</f>
        <v>0.27549934999177167</v>
      </c>
      <c r="P158" s="111">
        <f t="shared" ref="P158:T158" si="84">P157/P$8</f>
        <v>0.26681348081359313</v>
      </c>
      <c r="Q158" s="111">
        <f t="shared" si="84"/>
        <v>0.25468630927737701</v>
      </c>
      <c r="R158" s="111">
        <f t="shared" si="84"/>
        <v>0.24038534114269053</v>
      </c>
      <c r="S158" s="111">
        <f t="shared" si="84"/>
        <v>0.22488531946348703</v>
      </c>
      <c r="T158" s="58">
        <f t="shared" si="84"/>
        <v>0.2087391109804714</v>
      </c>
      <c r="AB158" s="39"/>
    </row>
    <row r="159" spans="1:28">
      <c r="A159" s="56" t="s">
        <v>106</v>
      </c>
      <c r="O159" s="57">
        <f>O157/O$9</f>
        <v>0.3333330831417452</v>
      </c>
      <c r="P159" s="111">
        <f t="shared" ref="P159:T159" si="85">P157/P$9</f>
        <v>0.3085176103860347</v>
      </c>
      <c r="Q159" s="111">
        <f t="shared" si="85"/>
        <v>0.2844243822951768</v>
      </c>
      <c r="R159" s="111">
        <f t="shared" si="85"/>
        <v>0.26123558270851777</v>
      </c>
      <c r="S159" s="111">
        <f t="shared" si="85"/>
        <v>0.23910940907601777</v>
      </c>
      <c r="T159" s="58">
        <f t="shared" si="85"/>
        <v>0.21819912130800298</v>
      </c>
    </row>
    <row r="161" spans="1:28" s="31" customFormat="1">
      <c r="A161" s="31" t="s">
        <v>178</v>
      </c>
      <c r="I161" s="105"/>
      <c r="J161" s="105"/>
      <c r="K161" s="105"/>
      <c r="L161" s="105"/>
      <c r="M161" s="105"/>
      <c r="N161" s="105"/>
      <c r="P161" s="105"/>
      <c r="Q161" s="105"/>
      <c r="R161" s="105"/>
      <c r="S161" s="105"/>
      <c r="W161" s="165" t="s">
        <v>35</v>
      </c>
      <c r="X161" s="165"/>
      <c r="Y161" s="165"/>
      <c r="Z161" s="165"/>
    </row>
    <row r="162" spans="1:28" s="31" customFormat="1">
      <c r="A162" s="31" t="s">
        <v>38</v>
      </c>
      <c r="I162" s="105">
        <v>2015</v>
      </c>
      <c r="J162" s="105">
        <v>2016</v>
      </c>
      <c r="K162" s="105">
        <v>2017</v>
      </c>
      <c r="L162" s="105">
        <v>2018</v>
      </c>
      <c r="M162" s="105">
        <v>2019</v>
      </c>
      <c r="N162" s="105">
        <v>2020</v>
      </c>
      <c r="O162" s="31">
        <v>2021</v>
      </c>
      <c r="P162" s="105">
        <v>2022</v>
      </c>
      <c r="Q162" s="105">
        <v>2023</v>
      </c>
      <c r="R162" s="105">
        <v>2024</v>
      </c>
      <c r="S162" s="105">
        <v>2025</v>
      </c>
      <c r="T162" s="31">
        <v>2026</v>
      </c>
      <c r="U162" s="35" t="s">
        <v>39</v>
      </c>
      <c r="W162" s="33" t="s">
        <v>40</v>
      </c>
      <c r="X162" s="33" t="s">
        <v>41</v>
      </c>
      <c r="Y162" s="33" t="s">
        <v>42</v>
      </c>
      <c r="Z162" s="33" t="s">
        <v>43</v>
      </c>
      <c r="AB162" s="31" t="s">
        <v>1</v>
      </c>
    </row>
    <row r="163" spans="1:28">
      <c r="A163" s="36" t="s">
        <v>44</v>
      </c>
      <c r="O163" s="83"/>
    </row>
    <row r="164" spans="1:28">
      <c r="A164" s="36"/>
      <c r="O164" s="83"/>
    </row>
    <row r="165" spans="1:28">
      <c r="A165" s="51" t="s">
        <v>47</v>
      </c>
      <c r="B165" s="51"/>
      <c r="C165" s="51"/>
      <c r="D165" s="51"/>
      <c r="E165" s="51"/>
      <c r="F165" s="51"/>
      <c r="G165" s="51"/>
      <c r="H165" s="51"/>
      <c r="I165" s="109">
        <f t="shared" ref="I165:T165" si="86">SUM(I166,I170)</f>
        <v>319.85699999999997</v>
      </c>
      <c r="J165" s="109">
        <f t="shared" si="86"/>
        <v>398.649</v>
      </c>
      <c r="K165" s="109">
        <f t="shared" si="86"/>
        <v>512.77</v>
      </c>
      <c r="L165" s="109">
        <f t="shared" si="86"/>
        <v>742.50600000000009</v>
      </c>
      <c r="M165" s="109">
        <f t="shared" si="86"/>
        <v>1128.921</v>
      </c>
      <c r="N165" s="109">
        <f t="shared" si="86"/>
        <v>1778.4289999999999</v>
      </c>
      <c r="O165" s="52">
        <f t="shared" si="86"/>
        <v>2764.5839999999998</v>
      </c>
      <c r="P165" s="109">
        <f t="shared" si="86"/>
        <v>3743.9368746167461</v>
      </c>
      <c r="Q165" s="109">
        <f t="shared" si="86"/>
        <v>5154.2466438163956</v>
      </c>
      <c r="R165" s="109">
        <f t="shared" si="86"/>
        <v>7188.3062934655291</v>
      </c>
      <c r="S165" s="109">
        <f t="shared" si="86"/>
        <v>10129.605127767665</v>
      </c>
      <c r="T165" s="52">
        <f t="shared" si="86"/>
        <v>14409.474300082938</v>
      </c>
      <c r="U165" s="43">
        <f>_xlfn.RRI(5,O165,T165)</f>
        <v>0.39124516906749029</v>
      </c>
    </row>
    <row r="166" spans="1:28">
      <c r="A166" s="44" t="s">
        <v>48</v>
      </c>
      <c r="I166" s="108">
        <f>'Financials + KPIs'!L15</f>
        <v>49.88</v>
      </c>
      <c r="J166" s="108">
        <f>'Financials + KPIs'!Q15</f>
        <v>104.72</v>
      </c>
      <c r="K166" s="108">
        <f>'Financials + KPIs'!V15</f>
        <v>225.34100000000001</v>
      </c>
      <c r="L166" s="108">
        <f>'Financials + KPIs'!AA15</f>
        <v>416.86300000000006</v>
      </c>
      <c r="M166" s="108">
        <f>'Financials + KPIs'!AF15</f>
        <v>740.77600000000007</v>
      </c>
      <c r="N166" s="108">
        <f>'Financials + KPIs'!AK15</f>
        <v>1267.8009999999999</v>
      </c>
      <c r="O166" s="45">
        <f>'Financials + KPIs'!AP15</f>
        <v>2284.9249999999997</v>
      </c>
      <c r="P166" s="108">
        <f>P9</f>
        <v>3237.8470331497051</v>
      </c>
      <c r="Q166" s="108">
        <f>Q9</f>
        <v>4615.3429049432298</v>
      </c>
      <c r="R166" s="108">
        <f>R9</f>
        <v>6614.5792341041561</v>
      </c>
      <c r="S166" s="108">
        <f>S9</f>
        <v>9527.0173348669232</v>
      </c>
      <c r="T166" s="45">
        <f>T9</f>
        <v>13784.752372350384</v>
      </c>
    </row>
    <row r="167" spans="1:28">
      <c r="A167" s="47" t="s">
        <v>137</v>
      </c>
      <c r="I167" s="108"/>
      <c r="J167" s="108"/>
      <c r="K167" s="108"/>
      <c r="L167" s="108"/>
      <c r="M167" s="108"/>
      <c r="N167" s="108"/>
      <c r="O167" s="45">
        <f t="shared" ref="O167:T167" si="87">O157</f>
        <v>761.64109499765209</v>
      </c>
      <c r="P167" s="108">
        <f t="shared" si="87"/>
        <v>998.9328294628591</v>
      </c>
      <c r="Q167" s="108">
        <f t="shared" si="87"/>
        <v>1312.7160548189049</v>
      </c>
      <c r="R167" s="108">
        <f t="shared" si="87"/>
        <v>1727.9634605928604</v>
      </c>
      <c r="S167" s="108">
        <f t="shared" si="87"/>
        <v>2277.9994851970077</v>
      </c>
      <c r="T167" s="45">
        <f t="shared" si="87"/>
        <v>3007.8208550952631</v>
      </c>
      <c r="AB167" s="37" t="s">
        <v>179</v>
      </c>
    </row>
    <row r="168" spans="1:28">
      <c r="A168" s="47" t="s">
        <v>180</v>
      </c>
      <c r="I168" s="108"/>
      <c r="J168" s="108"/>
      <c r="K168" s="108"/>
      <c r="L168" s="108"/>
      <c r="M168" s="108"/>
      <c r="N168" s="108"/>
      <c r="O168" s="45">
        <f t="shared" ref="O168:T168" si="88">O118+O80</f>
        <v>1343.952</v>
      </c>
      <c r="P168" s="108">
        <f t="shared" si="88"/>
        <v>2018.4274614381834</v>
      </c>
      <c r="Q168" s="108">
        <f t="shared" si="88"/>
        <v>3031.5076070871523</v>
      </c>
      <c r="R168" s="108">
        <f t="shared" si="88"/>
        <v>4553.2367993589605</v>
      </c>
      <c r="S168" s="108">
        <f t="shared" si="88"/>
        <v>6839.0818408428895</v>
      </c>
      <c r="T168" s="45">
        <f t="shared" si="88"/>
        <v>10272.857942248425</v>
      </c>
    </row>
    <row r="169" spans="1:28">
      <c r="A169" s="47" t="s">
        <v>181</v>
      </c>
      <c r="I169" s="108"/>
      <c r="J169" s="108"/>
      <c r="K169" s="108"/>
      <c r="L169" s="108"/>
      <c r="M169" s="108"/>
      <c r="N169" s="108"/>
      <c r="O169" s="45">
        <f t="shared" ref="O169:T169" si="89">O93</f>
        <v>179.31004440272341</v>
      </c>
      <c r="P169" s="108">
        <f t="shared" si="89"/>
        <v>220.48674224866252</v>
      </c>
      <c r="Q169" s="108">
        <f t="shared" si="89"/>
        <v>271.1192430371724</v>
      </c>
      <c r="R169" s="108">
        <f t="shared" si="89"/>
        <v>333.37897415233471</v>
      </c>
      <c r="S169" s="108">
        <f t="shared" si="89"/>
        <v>409.93600882702657</v>
      </c>
      <c r="T169" s="45">
        <f t="shared" si="89"/>
        <v>504.07357500669519</v>
      </c>
    </row>
    <row r="170" spans="1:28">
      <c r="A170" s="44" t="s">
        <v>53</v>
      </c>
      <c r="I170" s="108">
        <f>'Financials + KPIs'!L19</f>
        <v>269.97699999999998</v>
      </c>
      <c r="J170" s="108">
        <f>'Financials + KPIs'!Q19</f>
        <v>293.92900000000003</v>
      </c>
      <c r="K170" s="108">
        <f>'Financials + KPIs'!V19</f>
        <v>287.42900000000003</v>
      </c>
      <c r="L170" s="108">
        <f>'Financials + KPIs'!AA19</f>
        <v>325.64299999999997</v>
      </c>
      <c r="M170" s="108">
        <f>'Financials + KPIs'!AF19</f>
        <v>388.14499999999998</v>
      </c>
      <c r="N170" s="108">
        <f>'Financials + KPIs'!AK19</f>
        <v>510.62799999999999</v>
      </c>
      <c r="O170" s="45">
        <f>'Financials + KPIs'!AP19</f>
        <v>479.65900000000005</v>
      </c>
      <c r="P170" s="108">
        <f>P14</f>
        <v>506.08984146704108</v>
      </c>
      <c r="Q170" s="108">
        <f>Q14</f>
        <v>538.90373887316605</v>
      </c>
      <c r="R170" s="108">
        <f>R14</f>
        <v>573.72705936137299</v>
      </c>
      <c r="S170" s="108">
        <f>S14</f>
        <v>602.58779290074187</v>
      </c>
      <c r="T170" s="45">
        <f>T14</f>
        <v>624.72192773255438</v>
      </c>
      <c r="AB170" s="37" t="s">
        <v>182</v>
      </c>
    </row>
    <row r="171" spans="1:28">
      <c r="I171" s="108"/>
      <c r="J171" s="108"/>
      <c r="K171" s="108"/>
      <c r="L171" s="108"/>
      <c r="M171" s="108"/>
      <c r="N171" s="108"/>
      <c r="O171" s="45"/>
    </row>
    <row r="172" spans="1:28">
      <c r="A172" s="51" t="s">
        <v>183</v>
      </c>
      <c r="B172" s="51"/>
      <c r="C172" s="51"/>
      <c r="D172" s="51"/>
      <c r="E172" s="51"/>
      <c r="F172" s="51"/>
      <c r="G172" s="51"/>
      <c r="H172" s="51"/>
      <c r="I172" s="109">
        <f t="shared" ref="I172:T172" si="90">SUM(I174,I182)</f>
        <v>89.777999999999992</v>
      </c>
      <c r="J172" s="109">
        <f t="shared" si="90"/>
        <v>121.045</v>
      </c>
      <c r="K172" s="109">
        <f t="shared" si="90"/>
        <v>199.84</v>
      </c>
      <c r="L172" s="109">
        <f t="shared" si="90"/>
        <v>332.14799999999997</v>
      </c>
      <c r="M172" s="109">
        <f t="shared" si="90"/>
        <v>495.22399999999999</v>
      </c>
      <c r="N172" s="109">
        <f t="shared" si="90"/>
        <v>808.28800000000001</v>
      </c>
      <c r="O172" s="52">
        <f t="shared" si="90"/>
        <v>1408.6000000000001</v>
      </c>
      <c r="P172" s="109">
        <f t="shared" si="90"/>
        <v>1900.0769820049936</v>
      </c>
      <c r="Q172" s="109">
        <f t="shared" si="90"/>
        <v>2734.1037046432725</v>
      </c>
      <c r="R172" s="109">
        <f t="shared" si="90"/>
        <v>3955.868698637225</v>
      </c>
      <c r="S172" s="109">
        <f t="shared" si="90"/>
        <v>5765.9288547646329</v>
      </c>
      <c r="T172" s="84">
        <f t="shared" si="90"/>
        <v>8474.7031325598182</v>
      </c>
      <c r="U172" s="43">
        <f>_xlfn.RRI(5,O172,T172)</f>
        <v>0.43175056103368581</v>
      </c>
    </row>
    <row r="173" spans="1:28">
      <c r="A173" s="56" t="s">
        <v>184</v>
      </c>
      <c r="I173" s="111">
        <f t="shared" ref="I173:T173" si="91">I172/I165</f>
        <v>0.28068167962558266</v>
      </c>
      <c r="J173" s="111">
        <f t="shared" si="91"/>
        <v>0.30363803747156021</v>
      </c>
      <c r="K173" s="111">
        <f t="shared" si="91"/>
        <v>0.38972638804922288</v>
      </c>
      <c r="L173" s="111">
        <f t="shared" si="91"/>
        <v>0.44733375891911975</v>
      </c>
      <c r="M173" s="111">
        <f t="shared" si="91"/>
        <v>0.43867019924334827</v>
      </c>
      <c r="N173" s="111">
        <f t="shared" si="91"/>
        <v>0.45449551261253618</v>
      </c>
      <c r="O173" s="57">
        <f t="shared" si="91"/>
        <v>0.50951607909182728</v>
      </c>
      <c r="P173" s="111">
        <f t="shared" si="91"/>
        <v>0.50750775070145859</v>
      </c>
      <c r="Q173" s="111">
        <f t="shared" si="91"/>
        <v>0.5304565135476017</v>
      </c>
      <c r="R173" s="111">
        <f t="shared" si="91"/>
        <v>0.55031999710881474</v>
      </c>
      <c r="S173" s="111">
        <f t="shared" si="91"/>
        <v>0.56921555993913775</v>
      </c>
      <c r="T173" s="58">
        <f t="shared" si="91"/>
        <v>0.58813409539243489</v>
      </c>
      <c r="X173" s="57"/>
      <c r="Y173" s="57"/>
      <c r="Z173" s="57"/>
    </row>
    <row r="174" spans="1:28">
      <c r="A174" s="44" t="s">
        <v>185</v>
      </c>
      <c r="I174" s="108">
        <f>'Financials + KPIs'!L31</f>
        <v>41.216999999999999</v>
      </c>
      <c r="J174" s="108">
        <f>'Financials + KPIs'!Q31</f>
        <v>76.936999999999998</v>
      </c>
      <c r="K174" s="108">
        <f>'Financials + KPIs'!V31</f>
        <v>170.51499999999999</v>
      </c>
      <c r="L174" s="108">
        <f>'Financials + KPIs'!AA31</f>
        <v>296.32</v>
      </c>
      <c r="M174" s="108">
        <f>'Financials + KPIs'!AF31</f>
        <v>478.12100000000004</v>
      </c>
      <c r="N174" s="108">
        <f>'Financials + KPIs'!AK31</f>
        <v>764.673</v>
      </c>
      <c r="O174" s="45">
        <f>'Financials + KPIs'!AP31</f>
        <v>1461.0010000000002</v>
      </c>
      <c r="P174" s="108">
        <f>(P176*P167+P177*P168+P178*P169+P179)</f>
        <v>1934.1859637624646</v>
      </c>
      <c r="Q174" s="108">
        <f t="shared" ref="Q174:T174" si="92">(Q176*Q167+Q177*Q168+Q178*Q169+Q179)</f>
        <v>2747.8715183464433</v>
      </c>
      <c r="R174" s="108">
        <f t="shared" si="92"/>
        <v>3946.5161123229163</v>
      </c>
      <c r="S174" s="108">
        <f t="shared" si="92"/>
        <v>5730.887935975994</v>
      </c>
      <c r="T174" s="55">
        <f t="shared" si="92"/>
        <v>8412.2309397865629</v>
      </c>
      <c r="AB174" s="39"/>
    </row>
    <row r="175" spans="1:28">
      <c r="A175" s="69" t="s">
        <v>184</v>
      </c>
      <c r="I175" s="111">
        <f t="shared" ref="I175:O175" si="93">I174/I166</f>
        <v>0.82632317562149149</v>
      </c>
      <c r="J175" s="111">
        <f t="shared" si="93"/>
        <v>0.73469251336898389</v>
      </c>
      <c r="K175" s="111">
        <f t="shared" si="93"/>
        <v>0.75669762715173883</v>
      </c>
      <c r="L175" s="111">
        <f t="shared" si="93"/>
        <v>0.71083305546426512</v>
      </c>
      <c r="M175" s="111">
        <f t="shared" si="93"/>
        <v>0.64543262740693541</v>
      </c>
      <c r="N175" s="111">
        <f t="shared" si="93"/>
        <v>0.60314907465761591</v>
      </c>
      <c r="O175" s="57">
        <f t="shared" si="93"/>
        <v>0.63940873332822756</v>
      </c>
      <c r="P175" s="111">
        <f t="shared" ref="P175:T175" si="94">P174/P166</f>
        <v>0.59736792503163183</v>
      </c>
      <c r="Q175" s="111">
        <f t="shared" si="94"/>
        <v>0.59537754289141886</v>
      </c>
      <c r="R175" s="111">
        <f t="shared" si="94"/>
        <v>0.59663902610388975</v>
      </c>
      <c r="S175" s="111">
        <f t="shared" si="94"/>
        <v>0.60154062226822269</v>
      </c>
      <c r="T175" s="58">
        <f t="shared" si="94"/>
        <v>0.61025622459928353</v>
      </c>
      <c r="W175" s="59"/>
      <c r="Y175" s="59"/>
      <c r="Z175" s="59"/>
    </row>
    <row r="176" spans="1:28">
      <c r="A176" s="82" t="s">
        <v>137</v>
      </c>
      <c r="I176" s="111"/>
      <c r="J176" s="111"/>
      <c r="K176" s="111"/>
      <c r="L176" s="111"/>
      <c r="M176" s="111"/>
      <c r="N176" s="111"/>
      <c r="O176" s="57">
        <v>0.8</v>
      </c>
      <c r="P176" s="111">
        <f>O176*(1+_xlfn.RRI(5,$O176,$T176))</f>
        <v>0.8</v>
      </c>
      <c r="Q176" s="111">
        <f t="shared" ref="Q176:Q178" si="95">P176*(1+_xlfn.RRI(5,$O176,$T176))</f>
        <v>0.8</v>
      </c>
      <c r="R176" s="111">
        <f t="shared" ref="R176:R178" si="96">Q176*(1+_xlfn.RRI(5,$O176,$T176))</f>
        <v>0.8</v>
      </c>
      <c r="S176" s="111">
        <f t="shared" ref="S176:S178" si="97">R176*(1+_xlfn.RRI(5,$O176,$T176))</f>
        <v>0.8</v>
      </c>
      <c r="T176" s="58">
        <f>IF($H$3=0,$W176,IF($H$3=1,$X176,IF($H$3=2,$Y176,IF($H$3=3,$Z176,""))))</f>
        <v>0.8</v>
      </c>
      <c r="W176" s="59">
        <v>0.8</v>
      </c>
      <c r="X176" s="60">
        <v>0.8</v>
      </c>
      <c r="Y176" s="60">
        <v>0.7</v>
      </c>
      <c r="Z176" s="60">
        <v>0.85</v>
      </c>
      <c r="AB176" s="37" t="s">
        <v>186</v>
      </c>
    </row>
    <row r="177" spans="1:28">
      <c r="A177" s="82" t="s">
        <v>180</v>
      </c>
      <c r="I177" s="111"/>
      <c r="J177" s="111"/>
      <c r="K177" s="111"/>
      <c r="L177" s="111"/>
      <c r="M177" s="111"/>
      <c r="N177" s="111"/>
      <c r="O177" s="57">
        <v>0.53469999999999995</v>
      </c>
      <c r="P177" s="111">
        <f>O177*(1+_xlfn.RRI(5,$O177,$T177))</f>
        <v>0.54716511070932627</v>
      </c>
      <c r="Q177" s="111">
        <f t="shared" si="95"/>
        <v>0.55992081237619096</v>
      </c>
      <c r="R177" s="111">
        <f t="shared" si="96"/>
        <v>0.57297387935716193</v>
      </c>
      <c r="S177" s="111">
        <f t="shared" si="97"/>
        <v>0.5863312439349424</v>
      </c>
      <c r="T177" s="58">
        <f>IF($H$3=0,$W177,IF($H$3=1,$X177,IF($H$3=2,$Y177,IF($H$3=3,$Z177,""))))</f>
        <v>0.6</v>
      </c>
      <c r="W177" s="59">
        <v>0.6</v>
      </c>
      <c r="X177" s="60">
        <v>0.6</v>
      </c>
      <c r="Y177" s="60">
        <v>0.55000000000000004</v>
      </c>
      <c r="Z177" s="60">
        <v>0.65</v>
      </c>
      <c r="AB177" s="37" t="s">
        <v>187</v>
      </c>
    </row>
    <row r="178" spans="1:28">
      <c r="A178" s="82" t="s">
        <v>181</v>
      </c>
      <c r="I178" s="111"/>
      <c r="J178" s="111"/>
      <c r="K178" s="111"/>
      <c r="L178" s="111"/>
      <c r="M178" s="111"/>
      <c r="N178" s="111"/>
      <c r="O178" s="57">
        <v>0.8</v>
      </c>
      <c r="P178" s="111">
        <f>O178*(1+_xlfn.RRI(5,$O178,$T178))</f>
        <v>0.8</v>
      </c>
      <c r="Q178" s="111">
        <f t="shared" si="95"/>
        <v>0.8</v>
      </c>
      <c r="R178" s="111">
        <f t="shared" si="96"/>
        <v>0.8</v>
      </c>
      <c r="S178" s="111">
        <f t="shared" si="97"/>
        <v>0.8</v>
      </c>
      <c r="T178" s="58">
        <f>IF($H$3=0,$W178,IF($H$3=1,$X178,IF($H$3=2,$Y178,IF($H$3=3,$Z178,""))))</f>
        <v>0.8</v>
      </c>
      <c r="W178" s="59">
        <v>0.8</v>
      </c>
      <c r="X178" s="60">
        <v>0.8</v>
      </c>
      <c r="Y178" s="60">
        <v>0.7</v>
      </c>
      <c r="Z178" s="60">
        <v>0.85</v>
      </c>
      <c r="AB178" s="37" t="s">
        <v>188</v>
      </c>
    </row>
    <row r="179" spans="1:28">
      <c r="A179" s="44" t="s">
        <v>189</v>
      </c>
      <c r="I179" s="111"/>
      <c r="J179" s="111"/>
      <c r="K179" s="111"/>
      <c r="L179" s="111"/>
      <c r="M179" s="111"/>
      <c r="N179" s="111"/>
      <c r="O179" s="45">
        <f>-O180</f>
        <v>-95.57</v>
      </c>
      <c r="P179" s="108">
        <f t="shared" ref="P179:T179" si="98">-P180</f>
        <v>-145.76277900332093</v>
      </c>
      <c r="Q179" s="108">
        <f t="shared" si="98"/>
        <v>-216.60092202325956</v>
      </c>
      <c r="R179" s="108">
        <f t="shared" si="98"/>
        <v>-311.4435880337312</v>
      </c>
      <c r="S179" s="108">
        <f t="shared" si="98"/>
        <v>-429.42782235752071</v>
      </c>
      <c r="T179" s="55">
        <f t="shared" si="98"/>
        <v>-560.99936964406004</v>
      </c>
      <c r="W179" s="59"/>
      <c r="X179" s="60"/>
      <c r="Y179" s="60"/>
      <c r="Z179" s="60"/>
      <c r="AB179" s="37" t="s">
        <v>190</v>
      </c>
    </row>
    <row r="180" spans="1:28" s="39" customFormat="1" hidden="1" outlineLevel="1">
      <c r="A180" s="44" t="s">
        <v>189</v>
      </c>
      <c r="B180" s="37"/>
      <c r="C180" s="37"/>
      <c r="D180" s="37"/>
      <c r="E180" s="37"/>
      <c r="F180" s="37"/>
      <c r="G180" s="37"/>
      <c r="H180" s="37"/>
      <c r="I180" s="111"/>
      <c r="J180" s="111"/>
      <c r="K180" s="111"/>
      <c r="L180" s="111"/>
      <c r="M180" s="111"/>
      <c r="N180" s="111"/>
      <c r="O180" s="45">
        <f>'Financials + KPIs'!AP69</f>
        <v>95.57</v>
      </c>
      <c r="P180" s="108">
        <f>O180*(1+P181)</f>
        <v>145.76277900332093</v>
      </c>
      <c r="Q180" s="108">
        <f t="shared" ref="Q180:T180" si="99">P180*(1+Q181)</f>
        <v>216.60092202325956</v>
      </c>
      <c r="R180" s="108">
        <f t="shared" si="99"/>
        <v>311.4435880337312</v>
      </c>
      <c r="S180" s="108">
        <f t="shared" si="99"/>
        <v>429.42782235752071</v>
      </c>
      <c r="T180" s="55">
        <f t="shared" si="99"/>
        <v>560.99936964406004</v>
      </c>
      <c r="W180" s="85"/>
      <c r="X180" s="86"/>
      <c r="Y180" s="86"/>
      <c r="Z180" s="86"/>
    </row>
    <row r="181" spans="1:28" hidden="1" outlineLevel="1">
      <c r="A181" s="69" t="s">
        <v>77</v>
      </c>
      <c r="I181" s="111"/>
      <c r="J181" s="111"/>
      <c r="K181" s="111"/>
      <c r="L181" s="111"/>
      <c r="M181" s="111"/>
      <c r="N181" s="111"/>
      <c r="O181" s="45"/>
      <c r="P181" s="111">
        <f>-0.0025*P53+0.6979</f>
        <v>0.52519387886701829</v>
      </c>
      <c r="Q181" s="111">
        <f>-0.0025*Q53+0.6979</f>
        <v>0.48598238524475929</v>
      </c>
      <c r="R181" s="111">
        <f>-0.0025*R53+0.6979</f>
        <v>0.43786824693334891</v>
      </c>
      <c r="S181" s="111">
        <f>-0.0025*S53+0.6979</f>
        <v>0.37883019223054637</v>
      </c>
      <c r="T181" s="58">
        <f>-0.0025*T53+0.6979</f>
        <v>0.30638803644398993</v>
      </c>
      <c r="W181" s="59"/>
      <c r="X181" s="60"/>
      <c r="Y181" s="60"/>
      <c r="Z181" s="60"/>
    </row>
    <row r="182" spans="1:28" collapsed="1">
      <c r="A182" s="44" t="s">
        <v>191</v>
      </c>
      <c r="I182" s="108">
        <f>'Financials + KPIs'!L33</f>
        <v>48.561</v>
      </c>
      <c r="J182" s="108">
        <f>'Financials + KPIs'!Q33</f>
        <v>44.108000000000004</v>
      </c>
      <c r="K182" s="108">
        <f>'Financials + KPIs'!V33</f>
        <v>29.32500000000001</v>
      </c>
      <c r="L182" s="108">
        <f>'Financials + KPIs'!AA33</f>
        <v>35.827999999999989</v>
      </c>
      <c r="M182" s="108">
        <f>'Financials + KPIs'!AF33</f>
        <v>17.102999999999966</v>
      </c>
      <c r="N182" s="108">
        <f>'Financials + KPIs'!AK33</f>
        <v>43.614999999999995</v>
      </c>
      <c r="O182" s="45">
        <f>'Financials + KPIs'!AP33</f>
        <v>-52.40100000000001</v>
      </c>
      <c r="P182" s="108">
        <f>P183*P170</f>
        <v>-34.108981757470936</v>
      </c>
      <c r="Q182" s="108">
        <f>Q183*Q170</f>
        <v>-13.767813703170603</v>
      </c>
      <c r="R182" s="108">
        <f>R183*R170</f>
        <v>9.3525863143084678</v>
      </c>
      <c r="S182" s="108">
        <f>S183*S170</f>
        <v>35.040918788639011</v>
      </c>
      <c r="T182" s="55">
        <f>T183*T170</f>
        <v>62.472192773255443</v>
      </c>
      <c r="X182" s="61"/>
      <c r="Y182" s="61"/>
      <c r="Z182" s="61"/>
      <c r="AB182" s="37" t="s">
        <v>192</v>
      </c>
    </row>
    <row r="183" spans="1:28">
      <c r="A183" s="69" t="s">
        <v>184</v>
      </c>
      <c r="I183" s="111">
        <f t="shared" ref="I183:O183" si="100">I182/I170</f>
        <v>0.17987087788959802</v>
      </c>
      <c r="J183" s="111">
        <f t="shared" si="100"/>
        <v>0.15006345069727722</v>
      </c>
      <c r="K183" s="111">
        <f t="shared" si="100"/>
        <v>0.10202519578748145</v>
      </c>
      <c r="L183" s="111">
        <f t="shared" si="100"/>
        <v>0.1100223250614937</v>
      </c>
      <c r="M183" s="111">
        <f t="shared" si="100"/>
        <v>4.4063429903772988E-2</v>
      </c>
      <c r="N183" s="111">
        <f t="shared" si="100"/>
        <v>8.5414430857688961E-2</v>
      </c>
      <c r="O183" s="57">
        <f t="shared" si="100"/>
        <v>-0.10924636043522587</v>
      </c>
      <c r="P183" s="111">
        <f>O183+($T$183-$O$183)/5</f>
        <v>-6.73970883481807E-2</v>
      </c>
      <c r="Q183" s="111">
        <f t="shared" ref="Q183:S183" si="101">P183+($T$183-$O$183)/5</f>
        <v>-2.5547816261135524E-2</v>
      </c>
      <c r="R183" s="111">
        <f t="shared" si="101"/>
        <v>1.6301455825909653E-2</v>
      </c>
      <c r="S183" s="111">
        <f t="shared" si="101"/>
        <v>5.8150727912954829E-2</v>
      </c>
      <c r="T183" s="58">
        <f>IF($H$3=0,$W183,IF($H$3=1,$X183,IF($H$3=2,$Y183,IF($H$3=3,$Z183,""))))</f>
        <v>0.1</v>
      </c>
      <c r="W183" s="59">
        <v>0.1</v>
      </c>
      <c r="X183" s="60">
        <v>0.1</v>
      </c>
      <c r="Y183" s="60">
        <v>7.4999999999999997E-2</v>
      </c>
      <c r="Z183" s="60">
        <v>0.15</v>
      </c>
    </row>
    <row r="184" spans="1:28">
      <c r="I184" s="108"/>
      <c r="J184" s="108"/>
      <c r="K184" s="108"/>
      <c r="L184" s="108"/>
      <c r="M184" s="108"/>
      <c r="N184" s="108"/>
      <c r="O184" s="45"/>
      <c r="T184" s="81"/>
      <c r="X184" s="61"/>
      <c r="Y184" s="61"/>
      <c r="Z184" s="61"/>
    </row>
    <row r="185" spans="1:28">
      <c r="A185" s="51" t="s">
        <v>193</v>
      </c>
      <c r="B185" s="51"/>
      <c r="C185" s="51"/>
      <c r="D185" s="51"/>
      <c r="E185" s="51"/>
      <c r="F185" s="51"/>
      <c r="G185" s="51"/>
      <c r="H185" s="51"/>
      <c r="I185" s="109">
        <f>'Financials + KPIs'!L50</f>
        <v>-29.712999999999987</v>
      </c>
      <c r="J185" s="109">
        <f>'Financials + KPIs'!Q50</f>
        <v>-29.853000000000016</v>
      </c>
      <c r="K185" s="109">
        <f>'Financials + KPIs'!V50</f>
        <v>-3.3199999999999932</v>
      </c>
      <c r="L185" s="109">
        <f>'Financials + KPIs'!AA50</f>
        <v>32.767000000000024</v>
      </c>
      <c r="M185" s="109">
        <f>'Financials + KPIs'!AF50</f>
        <v>35.784999999999997</v>
      </c>
      <c r="N185" s="109">
        <f>'Financials + KPIs'!AK50</f>
        <v>150.10500000000008</v>
      </c>
      <c r="O185" s="52">
        <f>'Financials + KPIs'!AP50</f>
        <v>465.25299999999993</v>
      </c>
      <c r="P185" s="109">
        <f>P186*P165</f>
        <v>724.24865726954999</v>
      </c>
      <c r="Q185" s="109">
        <f>Q186*Q165</f>
        <v>1126.7238341608509</v>
      </c>
      <c r="R185" s="109">
        <f>R186*R165</f>
        <v>1752.195637294881</v>
      </c>
      <c r="S185" s="109">
        <f>S186*S165</f>
        <v>2723.9695578568735</v>
      </c>
      <c r="T185" s="84">
        <f>T186*T165</f>
        <v>4237.3515662799091</v>
      </c>
      <c r="U185" s="43">
        <f>_xlfn.RRI(5,O185,T185)</f>
        <v>0.55553956994792841</v>
      </c>
      <c r="X185" s="61"/>
      <c r="Y185" s="61"/>
      <c r="Z185" s="61"/>
    </row>
    <row r="186" spans="1:28">
      <c r="A186" s="56" t="s">
        <v>194</v>
      </c>
      <c r="I186" s="111">
        <f t="shared" ref="I186:O186" si="102">I185/I165</f>
        <v>-9.2894637291039403E-2</v>
      </c>
      <c r="J186" s="111">
        <f t="shared" si="102"/>
        <v>-7.4885425524709739E-2</v>
      </c>
      <c r="K186" s="111">
        <f t="shared" si="102"/>
        <v>-6.4746377518185407E-3</v>
      </c>
      <c r="L186" s="111">
        <f t="shared" si="102"/>
        <v>4.4130283122291294E-2</v>
      </c>
      <c r="M186" s="111">
        <f t="shared" si="102"/>
        <v>3.1698409366111534E-2</v>
      </c>
      <c r="N186" s="111">
        <f t="shared" si="102"/>
        <v>8.440314457310362E-2</v>
      </c>
      <c r="O186" s="57">
        <f t="shared" si="102"/>
        <v>0.16829041910102929</v>
      </c>
      <c r="P186" s="111">
        <f>O186+($T186-$O186)/5</f>
        <v>0.19344574482006693</v>
      </c>
      <c r="Q186" s="111">
        <f t="shared" ref="Q186:S186" si="103">P186+($T$186-$O$186)/5</f>
        <v>0.21860107053910457</v>
      </c>
      <c r="R186" s="111">
        <f t="shared" si="103"/>
        <v>0.24375639625814222</v>
      </c>
      <c r="S186" s="111">
        <f t="shared" si="103"/>
        <v>0.26891172197717983</v>
      </c>
      <c r="T186" s="58">
        <f>IF($T$173&lt;0, $T$173*(1/T187),T187*$T173)</f>
        <v>0.29406704769621744</v>
      </c>
      <c r="W186" s="59"/>
      <c r="X186" s="60"/>
      <c r="Y186" s="60"/>
      <c r="Z186" s="60"/>
      <c r="AA186" s="59"/>
    </row>
    <row r="187" spans="1:28">
      <c r="A187" s="69" t="s">
        <v>195</v>
      </c>
      <c r="I187" s="111"/>
      <c r="J187" s="111"/>
      <c r="K187" s="111"/>
      <c r="L187" s="111"/>
      <c r="M187" s="111"/>
      <c r="N187" s="111"/>
      <c r="O187" s="57"/>
      <c r="P187" s="111"/>
      <c r="Q187" s="111"/>
      <c r="R187" s="111"/>
      <c r="S187" s="111"/>
      <c r="T187" s="58">
        <f>IF($H$3=0,$W187,IF($H$3=1,$X187,IF($H$3=2,$Y187,IF($H$3=3,$Z187,""))))</f>
        <v>0.5</v>
      </c>
      <c r="W187" s="59">
        <v>0.5</v>
      </c>
      <c r="X187" s="60">
        <v>0.5</v>
      </c>
      <c r="Y187" s="60">
        <v>0.5</v>
      </c>
      <c r="Z187" s="60">
        <v>0.5</v>
      </c>
      <c r="AA187" s="59"/>
      <c r="AB187" s="37" t="s">
        <v>196</v>
      </c>
    </row>
    <row r="188" spans="1:28">
      <c r="I188" s="108"/>
      <c r="J188" s="108"/>
      <c r="K188" s="108"/>
      <c r="L188" s="108"/>
      <c r="M188" s="108"/>
      <c r="N188" s="108"/>
      <c r="O188" s="45"/>
      <c r="T188" s="81"/>
      <c r="X188" s="61"/>
      <c r="Y188" s="61"/>
      <c r="Z188" s="61"/>
    </row>
    <row r="189" spans="1:28">
      <c r="A189" s="87" t="s">
        <v>197</v>
      </c>
      <c r="B189" s="51"/>
      <c r="C189" s="51"/>
      <c r="D189" s="51"/>
      <c r="E189" s="51"/>
      <c r="F189" s="51"/>
      <c r="G189" s="51"/>
      <c r="H189" s="51"/>
      <c r="I189" s="109"/>
      <c r="J189" s="109"/>
      <c r="K189" s="109">
        <f>'Financials + KPIs'!V60</f>
        <v>11.864153509258216</v>
      </c>
      <c r="L189" s="109">
        <f>'Financials + KPIs'!AA60</f>
        <v>-22.016211229727265</v>
      </c>
      <c r="M189" s="109">
        <f>'Financials + KPIs'!AF60</f>
        <v>-73.746512736358213</v>
      </c>
      <c r="N189" s="109">
        <f>'Financials + KPIs'!AK60</f>
        <v>18.395312078236266</v>
      </c>
      <c r="O189" s="52">
        <f>'Financials + KPIs'!AP60</f>
        <v>330.25013238438817</v>
      </c>
      <c r="P189" s="109">
        <f>P190*P165</f>
        <v>467.88974350165995</v>
      </c>
      <c r="Q189" s="109">
        <f>Q190*Q165</f>
        <v>773.79665746110356</v>
      </c>
      <c r="R189" s="109">
        <f>R190*R165</f>
        <v>1259.9901180946272</v>
      </c>
      <c r="S189" s="109">
        <f>S190*S165</f>
        <v>2030.3642289160659</v>
      </c>
      <c r="T189" s="84">
        <f>T190*T165</f>
        <v>2118.6757831399545</v>
      </c>
      <c r="U189" s="43">
        <f>_xlfn.RRI(5,O189,T189)</f>
        <v>0.45025476286813126</v>
      </c>
      <c r="X189" s="61"/>
      <c r="Y189" s="61"/>
      <c r="Z189" s="61"/>
    </row>
    <row r="190" spans="1:28">
      <c r="A190" s="56" t="s">
        <v>198</v>
      </c>
      <c r="I190" s="108"/>
      <c r="J190" s="108"/>
      <c r="K190" s="111">
        <f>K189/K165</f>
        <v>2.3137378374823443E-2</v>
      </c>
      <c r="L190" s="111">
        <f>L189/L165</f>
        <v>-2.9651223329814524E-2</v>
      </c>
      <c r="M190" s="111">
        <f>M189/M165</f>
        <v>-6.5324777142384813E-2</v>
      </c>
      <c r="N190" s="111">
        <f>N189/N165</f>
        <v>1.0343574063533752E-2</v>
      </c>
      <c r="O190" s="57">
        <f>O189/O165</f>
        <v>0.11945744183732097</v>
      </c>
      <c r="P190" s="111">
        <f>O190+($T190-$O190)/5</f>
        <v>0.12497265823947852</v>
      </c>
      <c r="Q190" s="111">
        <f t="shared" ref="Q190:S190" si="104">P190+($T$186-$O$186)/5</f>
        <v>0.15012798395851615</v>
      </c>
      <c r="R190" s="111">
        <f t="shared" si="104"/>
        <v>0.17528330967755379</v>
      </c>
      <c r="S190" s="111">
        <f t="shared" si="104"/>
        <v>0.20043863539659143</v>
      </c>
      <c r="T190" s="58">
        <f>IF($T$173&lt;0, $T$173*(1/T191),T191*$T$173)</f>
        <v>0.14703352384810872</v>
      </c>
      <c r="W190" s="59"/>
      <c r="X190" s="60"/>
      <c r="Y190" s="60"/>
      <c r="Z190" s="60"/>
    </row>
    <row r="191" spans="1:28">
      <c r="A191" s="69" t="s">
        <v>195</v>
      </c>
      <c r="I191" s="108"/>
      <c r="J191" s="108"/>
      <c r="K191" s="111">
        <f>K190/K173</f>
        <v>5.9368262156015893E-2</v>
      </c>
      <c r="L191" s="111">
        <f>L190/L173</f>
        <v>-6.6284340805084677E-2</v>
      </c>
      <c r="M191" s="111">
        <f>M190/M173</f>
        <v>-0.1489154660039865</v>
      </c>
      <c r="N191" s="111">
        <f>N190/N173</f>
        <v>2.2758363452428175E-2</v>
      </c>
      <c r="O191" s="57"/>
      <c r="P191" s="111"/>
      <c r="Q191" s="111"/>
      <c r="R191" s="111"/>
      <c r="S191" s="111"/>
      <c r="T191" s="58">
        <f>IF($H$3=0,$W191,IF($H$3=1,$X191,IF($H$3=2,$Y191,IF($H$3=3,$Z191,""))))</f>
        <v>0.25</v>
      </c>
      <c r="W191" s="59">
        <v>0.25</v>
      </c>
      <c r="X191" s="60">
        <v>0.25</v>
      </c>
      <c r="Y191" s="60">
        <v>0.25</v>
      </c>
      <c r="Z191" s="60">
        <v>0.25</v>
      </c>
      <c r="AB191" s="37" t="s">
        <v>199</v>
      </c>
    </row>
    <row r="192" spans="1:28">
      <c r="A192" s="56"/>
      <c r="I192" s="108"/>
      <c r="J192" s="108"/>
      <c r="K192" s="108"/>
      <c r="L192" s="108"/>
      <c r="M192" s="108"/>
      <c r="N192" s="111"/>
      <c r="O192" s="57"/>
      <c r="T192" s="81"/>
      <c r="X192" s="61"/>
      <c r="Y192" s="61"/>
      <c r="Z192" s="61"/>
    </row>
    <row r="193" spans="1:28">
      <c r="A193" s="51" t="s">
        <v>200</v>
      </c>
      <c r="B193" s="51"/>
      <c r="C193" s="51"/>
      <c r="D193" s="51"/>
      <c r="E193" s="51"/>
      <c r="F193" s="51"/>
      <c r="G193" s="51"/>
      <c r="H193" s="51"/>
      <c r="I193" s="109"/>
      <c r="J193" s="109"/>
      <c r="K193" s="109"/>
      <c r="L193" s="109"/>
      <c r="M193" s="109"/>
      <c r="N193" s="109"/>
      <c r="O193" s="88">
        <f>2146-521.7</f>
        <v>1624.3</v>
      </c>
      <c r="P193" s="109">
        <f>O193+P189</f>
        <v>2092.1897435016599</v>
      </c>
      <c r="Q193" s="109">
        <f t="shared" ref="Q193:S193" si="105">P193+Q189</f>
        <v>2865.9864009627636</v>
      </c>
      <c r="R193" s="109">
        <f t="shared" si="105"/>
        <v>4125.9765190573908</v>
      </c>
      <c r="S193" s="109">
        <f t="shared" si="105"/>
        <v>6156.3407479734569</v>
      </c>
      <c r="T193" s="84">
        <f>S193+T189</f>
        <v>8275.0165311134115</v>
      </c>
      <c r="U193" s="43">
        <f>_xlfn.RRI(5,O193,T193)</f>
        <v>0.38490672811062177</v>
      </c>
      <c r="X193" s="61"/>
      <c r="Y193" s="61"/>
      <c r="Z193" s="61"/>
      <c r="AB193" s="37" t="s">
        <v>201</v>
      </c>
    </row>
    <row r="194" spans="1:28">
      <c r="I194" s="108"/>
      <c r="J194" s="108"/>
      <c r="K194" s="108"/>
      <c r="L194" s="108"/>
      <c r="M194" s="108"/>
      <c r="N194" s="108"/>
      <c r="O194" s="45"/>
      <c r="T194" s="89"/>
      <c r="X194" s="61"/>
      <c r="Y194" s="61"/>
      <c r="Z194" s="61"/>
    </row>
    <row r="195" spans="1:28">
      <c r="A195" s="37" t="s">
        <v>202</v>
      </c>
      <c r="I195" s="108"/>
      <c r="J195" s="108"/>
      <c r="K195" s="108"/>
      <c r="L195" s="108"/>
      <c r="M195" s="108"/>
      <c r="N195" s="108"/>
      <c r="O195" s="45"/>
      <c r="T195" s="89">
        <f>IF($H$3=0,$W195,IF($H$3=1,$X195,IF($H$3=2,$Y195,IF($H$3=3,$Z195,""))))</f>
        <v>20</v>
      </c>
      <c r="W195" s="90">
        <v>20</v>
      </c>
      <c r="X195" s="91">
        <v>20</v>
      </c>
      <c r="Y195" s="91">
        <v>20</v>
      </c>
      <c r="Z195" s="91">
        <v>20</v>
      </c>
      <c r="AB195" s="37" t="s">
        <v>203</v>
      </c>
    </row>
    <row r="196" spans="1:28">
      <c r="I196" s="108"/>
      <c r="J196" s="108"/>
      <c r="K196" s="108"/>
      <c r="L196" s="108"/>
      <c r="M196" s="108"/>
      <c r="N196" s="108"/>
      <c r="O196" s="45"/>
      <c r="T196" s="81"/>
      <c r="X196" s="61"/>
      <c r="Y196" s="61"/>
      <c r="Z196" s="61"/>
    </row>
    <row r="197" spans="1:28">
      <c r="A197" s="51" t="s">
        <v>204</v>
      </c>
      <c r="B197" s="51"/>
      <c r="C197" s="51"/>
      <c r="D197" s="51"/>
      <c r="E197" s="51"/>
      <c r="F197" s="51"/>
      <c r="G197" s="51"/>
      <c r="H197" s="51"/>
      <c r="I197" s="114"/>
      <c r="J197" s="114"/>
      <c r="K197" s="114"/>
      <c r="L197" s="114"/>
      <c r="M197" s="114"/>
      <c r="N197" s="114"/>
      <c r="O197" s="52">
        <v>11460</v>
      </c>
      <c r="P197" s="114"/>
      <c r="Q197" s="114"/>
      <c r="R197" s="114"/>
      <c r="S197" s="114"/>
      <c r="T197" s="84">
        <f>IF(T185*T195&lt;0, 0, T185*T195)</f>
        <v>84747.031325598189</v>
      </c>
      <c r="U197" s="43">
        <f>_xlfn.RRI(5,O197,T197)</f>
        <v>0.49206579770968251</v>
      </c>
      <c r="X197" s="61"/>
      <c r="Y197" s="61"/>
      <c r="Z197" s="61"/>
      <c r="AB197" s="37" t="s">
        <v>205</v>
      </c>
    </row>
    <row r="198" spans="1:28">
      <c r="A198" s="51" t="s">
        <v>206</v>
      </c>
      <c r="B198" s="51"/>
      <c r="C198" s="51"/>
      <c r="D198" s="51"/>
      <c r="E198" s="51"/>
      <c r="F198" s="51"/>
      <c r="G198" s="51"/>
      <c r="H198" s="51"/>
      <c r="I198" s="109"/>
      <c r="J198" s="109"/>
      <c r="K198" s="109"/>
      <c r="L198" s="109"/>
      <c r="M198" s="109"/>
      <c r="N198" s="109"/>
      <c r="O198" s="52">
        <v>13120</v>
      </c>
      <c r="P198" s="114"/>
      <c r="Q198" s="114"/>
      <c r="R198" s="114"/>
      <c r="S198" s="114"/>
      <c r="T198" s="84">
        <f>IF(T197+T193&lt;0, 0, T197+T193)</f>
        <v>93022.047856711608</v>
      </c>
      <c r="U198" s="43">
        <f>_xlfn.RRI(5,O198,T198)</f>
        <v>0.47955260928550025</v>
      </c>
      <c r="X198" s="61"/>
      <c r="Y198" s="61"/>
      <c r="Z198" s="61"/>
      <c r="AB198" s="37" t="s">
        <v>205</v>
      </c>
    </row>
    <row r="199" spans="1:28">
      <c r="A199" s="37" t="s">
        <v>207</v>
      </c>
      <c r="I199" s="108"/>
      <c r="J199" s="108"/>
      <c r="K199" s="108"/>
      <c r="L199" s="108"/>
      <c r="M199" s="108"/>
      <c r="N199" s="108"/>
      <c r="O199" s="92">
        <v>136</v>
      </c>
      <c r="P199" s="108">
        <f>O199*(1+P200)</f>
        <v>139.39999999999998</v>
      </c>
      <c r="Q199" s="108">
        <f t="shared" ref="Q199:T199" si="106">P199*(1+Q200)</f>
        <v>142.88499999999996</v>
      </c>
      <c r="R199" s="108">
        <f t="shared" si="106"/>
        <v>146.45712499999996</v>
      </c>
      <c r="S199" s="108">
        <f t="shared" si="106"/>
        <v>150.11855312499995</v>
      </c>
      <c r="T199" s="55">
        <f t="shared" si="106"/>
        <v>153.87151695312494</v>
      </c>
      <c r="X199" s="61"/>
      <c r="Y199" s="61"/>
      <c r="Z199" s="61"/>
      <c r="AB199" s="37" t="s">
        <v>208</v>
      </c>
    </row>
    <row r="200" spans="1:28">
      <c r="A200" s="56" t="s">
        <v>209</v>
      </c>
      <c r="P200" s="122">
        <f>IF($H$3=0,$W200,IF($H$3=1,$X200,IF($H$3=2,$Y200,IF($H$3=3,$Z200,""))))</f>
        <v>2.5000000000000001E-2</v>
      </c>
      <c r="Q200" s="111">
        <f>P200</f>
        <v>2.5000000000000001E-2</v>
      </c>
      <c r="R200" s="111">
        <f t="shared" ref="R200:T200" si="107">Q200</f>
        <v>2.5000000000000001E-2</v>
      </c>
      <c r="S200" s="111">
        <f t="shared" si="107"/>
        <v>2.5000000000000001E-2</v>
      </c>
      <c r="T200" s="58">
        <f t="shared" si="107"/>
        <v>2.5000000000000001E-2</v>
      </c>
      <c r="W200" s="59">
        <v>2.5000000000000001E-2</v>
      </c>
      <c r="X200" s="60">
        <v>2.5000000000000001E-2</v>
      </c>
      <c r="Y200" s="60">
        <v>0.05</v>
      </c>
      <c r="Z200" s="60">
        <v>2.5000000000000001E-2</v>
      </c>
      <c r="AB200" s="37" t="s">
        <v>210</v>
      </c>
    </row>
    <row r="201" spans="1:28">
      <c r="T201" s="81"/>
    </row>
    <row r="202" spans="1:28">
      <c r="A202" s="51" t="s">
        <v>54</v>
      </c>
      <c r="B202" s="51"/>
      <c r="C202" s="51"/>
      <c r="D202" s="51"/>
      <c r="E202" s="51"/>
      <c r="F202" s="51"/>
      <c r="G202" s="51"/>
      <c r="H202" s="51"/>
      <c r="I202" s="114"/>
      <c r="J202" s="114"/>
      <c r="K202" s="114"/>
      <c r="L202" s="114"/>
      <c r="M202" s="114"/>
      <c r="N202" s="114"/>
      <c r="O202" s="93">
        <v>88.53</v>
      </c>
      <c r="P202" s="123"/>
      <c r="Q202" s="123"/>
      <c r="R202" s="123"/>
      <c r="S202" s="123"/>
      <c r="T202" s="94">
        <f>T198/T199</f>
        <v>604.5436458850902</v>
      </c>
      <c r="U202" s="43">
        <f>_xlfn.RRI(($T$203-$O$203)/365,O202,T202)</f>
        <v>0.53392524740339709</v>
      </c>
      <c r="AB202" s="37" t="s">
        <v>211</v>
      </c>
    </row>
    <row r="203" spans="1:28">
      <c r="A203" s="95" t="s">
        <v>55</v>
      </c>
      <c r="B203" s="51"/>
      <c r="C203" s="51"/>
      <c r="D203" s="51"/>
      <c r="E203" s="51"/>
      <c r="F203" s="51"/>
      <c r="G203" s="51"/>
      <c r="H203" s="51"/>
      <c r="I203" s="114"/>
      <c r="J203" s="114"/>
      <c r="K203" s="114"/>
      <c r="L203" s="114"/>
      <c r="M203" s="114"/>
      <c r="N203" s="114"/>
      <c r="O203" s="96">
        <v>44748</v>
      </c>
      <c r="P203" s="123"/>
      <c r="Q203" s="123"/>
      <c r="R203" s="123"/>
      <c r="S203" s="123"/>
      <c r="T203" s="97">
        <v>46387</v>
      </c>
      <c r="U203" s="43"/>
    </row>
    <row r="204" spans="1:28">
      <c r="O204" s="98"/>
      <c r="P204" s="124"/>
      <c r="Q204" s="124"/>
      <c r="R204" s="124"/>
      <c r="S204" s="124"/>
      <c r="T204" s="99"/>
      <c r="U204" s="46"/>
    </row>
    <row r="205" spans="1:28" s="31" customFormat="1">
      <c r="A205" s="31" t="s">
        <v>212</v>
      </c>
      <c r="I205" s="105"/>
      <c r="J205" s="105"/>
      <c r="K205" s="105"/>
      <c r="L205" s="105"/>
      <c r="M205" s="105"/>
      <c r="N205" s="105"/>
      <c r="P205" s="105"/>
      <c r="Q205" s="105"/>
      <c r="R205" s="105"/>
      <c r="S205" s="105"/>
      <c r="W205" s="165" t="s">
        <v>35</v>
      </c>
      <c r="X205" s="165"/>
      <c r="Y205" s="165"/>
      <c r="Z205" s="165"/>
    </row>
    <row r="206" spans="1:28" s="31" customFormat="1">
      <c r="A206" s="31" t="s">
        <v>38</v>
      </c>
      <c r="I206" s="105">
        <v>2015</v>
      </c>
      <c r="J206" s="105">
        <v>2016</v>
      </c>
      <c r="K206" s="105">
        <v>2017</v>
      </c>
      <c r="L206" s="105">
        <v>2018</v>
      </c>
      <c r="M206" s="105">
        <v>2019</v>
      </c>
      <c r="N206" s="105">
        <v>2020</v>
      </c>
      <c r="O206" s="31">
        <v>2021</v>
      </c>
      <c r="P206" s="105">
        <v>2022</v>
      </c>
      <c r="Q206" s="105">
        <v>2023</v>
      </c>
      <c r="R206" s="105">
        <v>2024</v>
      </c>
      <c r="S206" s="105">
        <v>2025</v>
      </c>
      <c r="T206" s="31">
        <v>2026</v>
      </c>
      <c r="U206" s="35" t="s">
        <v>39</v>
      </c>
      <c r="W206" s="33" t="s">
        <v>40</v>
      </c>
      <c r="X206" s="33" t="s">
        <v>41</v>
      </c>
      <c r="Y206" s="33" t="s">
        <v>42</v>
      </c>
      <c r="Z206" s="33" t="s">
        <v>43</v>
      </c>
      <c r="AB206" s="31" t="s">
        <v>1</v>
      </c>
    </row>
    <row r="207" spans="1:28">
      <c r="A207" s="36" t="s">
        <v>44</v>
      </c>
    </row>
    <row r="208" spans="1:28">
      <c r="A208" s="36"/>
    </row>
    <row r="209" spans="1:29">
      <c r="A209" s="37" t="s">
        <v>74</v>
      </c>
      <c r="I209" s="108">
        <f t="shared" ref="I209:T209" si="108">I53</f>
        <v>7.7200000000000006</v>
      </c>
      <c r="J209" s="108">
        <f t="shared" si="108"/>
        <v>11.308999999999999</v>
      </c>
      <c r="K209" s="108">
        <f t="shared" si="108"/>
        <v>16.324999999999999</v>
      </c>
      <c r="L209" s="108">
        <f t="shared" si="108"/>
        <v>23.424999999999997</v>
      </c>
      <c r="M209" s="108">
        <f t="shared" si="108"/>
        <v>32.200000000000003</v>
      </c>
      <c r="N209" s="108">
        <f t="shared" si="108"/>
        <v>45</v>
      </c>
      <c r="O209" s="55">
        <f t="shared" si="108"/>
        <v>56.3</v>
      </c>
      <c r="P209" s="108">
        <f t="shared" si="108"/>
        <v>69.082448453192654</v>
      </c>
      <c r="Q209" s="108">
        <f t="shared" si="108"/>
        <v>84.767045902096271</v>
      </c>
      <c r="R209" s="108">
        <f t="shared" si="108"/>
        <v>104.01270122666041</v>
      </c>
      <c r="S209" s="108">
        <f t="shared" si="108"/>
        <v>127.62792310778143</v>
      </c>
      <c r="T209" s="55">
        <f t="shared" si="108"/>
        <v>156.60478542240401</v>
      </c>
      <c r="U209" s="46">
        <f>_xlfn.RRI(5,O209,T209)</f>
        <v>0.22704171320057998</v>
      </c>
      <c r="AB209" s="37" t="s">
        <v>140</v>
      </c>
    </row>
    <row r="210" spans="1:29">
      <c r="A210" s="56" t="s">
        <v>76</v>
      </c>
      <c r="O210" s="58">
        <f t="shared" ref="O210:T210" si="109">O54</f>
        <v>7.6180038498361538E-2</v>
      </c>
      <c r="P210" s="111">
        <f t="shared" si="109"/>
        <v>8.4111417653594797E-2</v>
      </c>
      <c r="Q210" s="111">
        <f t="shared" si="109"/>
        <v>9.2868561360068352E-2</v>
      </c>
      <c r="R210" s="111">
        <f t="shared" si="109"/>
        <v>0.10253744294987732</v>
      </c>
      <c r="S210" s="111">
        <f t="shared" si="109"/>
        <v>0.11321298674946555</v>
      </c>
      <c r="T210" s="58">
        <f t="shared" si="109"/>
        <v>0.125</v>
      </c>
      <c r="AB210" s="37" t="s">
        <v>213</v>
      </c>
    </row>
    <row r="211" spans="1:29">
      <c r="A211" s="44" t="s">
        <v>214</v>
      </c>
      <c r="I211" s="108">
        <v>2.9790000000000001</v>
      </c>
      <c r="J211" s="108">
        <f t="shared" ref="J211:T211" si="110">J209-I209</f>
        <v>3.5889999999999986</v>
      </c>
      <c r="K211" s="108">
        <f t="shared" si="110"/>
        <v>5.016</v>
      </c>
      <c r="L211" s="108">
        <f t="shared" si="110"/>
        <v>7.0999999999999979</v>
      </c>
      <c r="M211" s="108">
        <f t="shared" si="110"/>
        <v>8.7750000000000057</v>
      </c>
      <c r="N211" s="108">
        <f t="shared" si="110"/>
        <v>12.799999999999997</v>
      </c>
      <c r="O211" s="55">
        <f t="shared" si="110"/>
        <v>11.299999999999997</v>
      </c>
      <c r="P211" s="108">
        <f t="shared" si="110"/>
        <v>12.782448453192657</v>
      </c>
      <c r="Q211" s="108">
        <f t="shared" si="110"/>
        <v>15.684597448903617</v>
      </c>
      <c r="R211" s="108">
        <f t="shared" si="110"/>
        <v>19.24565532456414</v>
      </c>
      <c r="S211" s="108">
        <f t="shared" si="110"/>
        <v>23.615221881121016</v>
      </c>
      <c r="T211" s="55">
        <f t="shared" si="110"/>
        <v>28.976862314622579</v>
      </c>
    </row>
    <row r="212" spans="1:29">
      <c r="A212" s="44"/>
      <c r="J212" s="108"/>
      <c r="K212" s="108"/>
      <c r="L212" s="108"/>
      <c r="M212" s="108"/>
      <c r="N212" s="108"/>
      <c r="O212" s="55"/>
      <c r="P212" s="108"/>
      <c r="Q212" s="108"/>
      <c r="R212" s="108"/>
      <c r="S212" s="108"/>
      <c r="T212" s="55"/>
      <c r="AC212" s="57"/>
    </row>
    <row r="213" spans="1:29">
      <c r="A213" s="66" t="s">
        <v>215</v>
      </c>
      <c r="J213" s="108"/>
      <c r="K213" s="108"/>
      <c r="L213" s="108"/>
      <c r="M213" s="108"/>
      <c r="N213" s="108"/>
      <c r="O213" s="55"/>
      <c r="P213" s="108"/>
      <c r="Q213" s="108"/>
      <c r="R213" s="108"/>
      <c r="S213" s="108"/>
      <c r="T213" s="55"/>
      <c r="AB213" s="37" t="s">
        <v>216</v>
      </c>
    </row>
    <row r="214" spans="1:29">
      <c r="A214" s="56" t="s">
        <v>217</v>
      </c>
      <c r="J214" s="108"/>
      <c r="K214" s="108"/>
      <c r="L214" s="108"/>
      <c r="M214" s="108"/>
      <c r="N214" s="108"/>
      <c r="O214" s="58">
        <f>IF($H$3=0,$W214,IF($H$3=1,$X214,IF($H$3=2,$Y214,IF($H$3=3,$Z214,""))))</f>
        <v>7.4999999999999997E-2</v>
      </c>
      <c r="P214" s="108"/>
      <c r="Q214" s="108"/>
      <c r="R214" s="108"/>
      <c r="S214" s="108"/>
      <c r="T214" s="55"/>
      <c r="W214" s="59">
        <v>7.4999999999999997E-2</v>
      </c>
      <c r="X214" s="60">
        <v>7.4999999999999997E-2</v>
      </c>
      <c r="Y214" s="60">
        <v>0.05</v>
      </c>
      <c r="Z214" s="60">
        <v>0.1</v>
      </c>
      <c r="AB214" s="37" t="s">
        <v>218</v>
      </c>
    </row>
    <row r="215" spans="1:29">
      <c r="A215" s="44" t="s">
        <v>219</v>
      </c>
      <c r="J215" s="108"/>
      <c r="K215" s="108"/>
      <c r="L215" s="108"/>
      <c r="M215" s="108"/>
      <c r="N215" s="108"/>
      <c r="O215" s="55">
        <f>IF($H$3=0,$W215,IF($H$3=1,$X215,IF($H$3=2,$Y215,IF($H$3=3,$Z215,""))))</f>
        <v>7</v>
      </c>
      <c r="P215" s="108"/>
      <c r="Q215" s="108"/>
      <c r="R215" s="108"/>
      <c r="S215" s="108"/>
      <c r="T215" s="55"/>
      <c r="W215" s="70">
        <v>7</v>
      </c>
      <c r="X215" s="71">
        <v>7</v>
      </c>
      <c r="Y215" s="71">
        <v>9</v>
      </c>
      <c r="Z215" s="71">
        <v>5</v>
      </c>
      <c r="AB215" s="37" t="s">
        <v>220</v>
      </c>
    </row>
    <row r="216" spans="1:29">
      <c r="A216" s="44" t="s">
        <v>221</v>
      </c>
      <c r="H216" s="59"/>
      <c r="J216" s="108"/>
      <c r="K216" s="108"/>
      <c r="L216" s="108"/>
      <c r="M216" s="108"/>
      <c r="N216" s="108"/>
      <c r="O216" s="58">
        <v>0.95</v>
      </c>
      <c r="P216" s="111">
        <f t="shared" ref="P216:S218" si="111">O216*(1+_xlfn.RRI(5,$O216,$T216))</f>
        <v>0.92910044775688072</v>
      </c>
      <c r="Q216" s="111">
        <f t="shared" si="111"/>
        <v>0.90866067581266974</v>
      </c>
      <c r="R216" s="111">
        <f t="shared" si="111"/>
        <v>0.8886705692174961</v>
      </c>
      <c r="S216" s="111">
        <f t="shared" si="111"/>
        <v>0.86912023554561868</v>
      </c>
      <c r="T216" s="58">
        <f>IF($H$3=0,$W216,IF($H$3=1,$X216,IF($H$3=2,$Y216,IF($H$3=3,$Z216,""))))</f>
        <v>0.85</v>
      </c>
      <c r="W216" s="59">
        <v>0.85</v>
      </c>
      <c r="X216" s="60">
        <v>0.85</v>
      </c>
      <c r="Y216" s="60">
        <v>0.75</v>
      </c>
      <c r="Z216" s="60">
        <v>0.95</v>
      </c>
      <c r="AB216" s="37" t="s">
        <v>222</v>
      </c>
    </row>
    <row r="217" spans="1:29">
      <c r="A217" s="44" t="s">
        <v>223</v>
      </c>
      <c r="H217" s="100"/>
      <c r="J217" s="108"/>
      <c r="K217" s="108"/>
      <c r="L217" s="108"/>
      <c r="M217" s="108"/>
      <c r="N217" s="108"/>
      <c r="O217" s="101">
        <v>42.75</v>
      </c>
      <c r="P217" s="124">
        <f t="shared" si="111"/>
        <v>42.185275870190971</v>
      </c>
      <c r="Q217" s="124">
        <f t="shared" si="111"/>
        <v>41.628011701616757</v>
      </c>
      <c r="R217" s="124">
        <f t="shared" si="111"/>
        <v>41.078108948777562</v>
      </c>
      <c r="S217" s="124">
        <f t="shared" si="111"/>
        <v>40.535470367951852</v>
      </c>
      <c r="T217" s="101">
        <f>IF($H$3=0,$W217,IF($H$3=1,$X217,IF($H$3=2,$Y217,IF($H$3=3,$Z217,""))))</f>
        <v>40</v>
      </c>
      <c r="W217" s="100">
        <v>40</v>
      </c>
      <c r="X217" s="102">
        <v>40</v>
      </c>
      <c r="Y217" s="102">
        <v>35</v>
      </c>
      <c r="Z217" s="102">
        <v>40</v>
      </c>
      <c r="AB217" s="37" t="s">
        <v>224</v>
      </c>
    </row>
    <row r="218" spans="1:29">
      <c r="A218" s="56" t="s">
        <v>225</v>
      </c>
      <c r="H218" s="59"/>
      <c r="J218" s="108"/>
      <c r="K218" s="108"/>
      <c r="L218" s="108"/>
      <c r="M218" s="108"/>
      <c r="N218" s="108"/>
      <c r="O218" s="58">
        <v>0.75</v>
      </c>
      <c r="P218" s="111">
        <f t="shared" si="111"/>
        <v>0.6613951546662904</v>
      </c>
      <c r="Q218" s="111">
        <f t="shared" si="111"/>
        <v>0.58325806748806153</v>
      </c>
      <c r="R218" s="111">
        <f t="shared" si="111"/>
        <v>0.51435207967550411</v>
      </c>
      <c r="S218" s="111">
        <f t="shared" si="111"/>
        <v>0.45358663105321084</v>
      </c>
      <c r="T218" s="58">
        <f>IF($H$3=0,$W218,IF($H$3=1,$X218,IF($H$3=2,$Y218,IF($H$3=3,$Z218,""))))</f>
        <v>0.4</v>
      </c>
      <c r="W218" s="59">
        <v>0.4</v>
      </c>
      <c r="X218" s="60">
        <v>0.4</v>
      </c>
      <c r="Y218" s="60">
        <v>0.35</v>
      </c>
      <c r="Z218" s="60">
        <v>0.45</v>
      </c>
      <c r="AB218" s="37" t="s">
        <v>226</v>
      </c>
    </row>
    <row r="219" spans="1:29">
      <c r="A219" s="69" t="s">
        <v>227</v>
      </c>
      <c r="H219" s="57"/>
      <c r="J219" s="108"/>
      <c r="K219" s="108"/>
      <c r="L219" s="108"/>
      <c r="M219" s="108"/>
      <c r="N219" s="108"/>
      <c r="O219" s="58">
        <f>1-O218</f>
        <v>0.25</v>
      </c>
      <c r="P219" s="111">
        <f t="shared" ref="P219:T219" si="112">1-P218</f>
        <v>0.3386048453337096</v>
      </c>
      <c r="Q219" s="111">
        <f t="shared" si="112"/>
        <v>0.41674193251193847</v>
      </c>
      <c r="R219" s="111">
        <f t="shared" si="112"/>
        <v>0.48564792032449589</v>
      </c>
      <c r="S219" s="111">
        <f t="shared" si="112"/>
        <v>0.54641336894678916</v>
      </c>
      <c r="T219" s="58">
        <f t="shared" si="112"/>
        <v>0.6</v>
      </c>
    </row>
    <row r="220" spans="1:29" hidden="1" outlineLevel="1">
      <c r="A220" s="44"/>
      <c r="J220" s="111"/>
      <c r="K220" s="111"/>
      <c r="L220" s="111"/>
      <c r="M220" s="108"/>
      <c r="N220" s="108"/>
      <c r="O220" s="55"/>
      <c r="P220" s="108"/>
      <c r="Q220" s="108"/>
      <c r="R220" s="108"/>
      <c r="S220" s="108"/>
      <c r="T220" s="55"/>
    </row>
    <row r="221" spans="1:29" hidden="1" outlineLevel="1">
      <c r="A221" s="66" t="s">
        <v>228</v>
      </c>
      <c r="J221" s="111"/>
      <c r="K221" s="111"/>
      <c r="L221" s="111"/>
      <c r="M221" s="108"/>
      <c r="N221" s="108"/>
      <c r="O221" s="55"/>
      <c r="P221" s="108"/>
      <c r="Q221" s="108"/>
      <c r="R221" s="108"/>
      <c r="S221" s="108"/>
      <c r="T221" s="55"/>
    </row>
    <row r="222" spans="1:29" hidden="1" outlineLevel="1">
      <c r="A222" s="44">
        <v>2015</v>
      </c>
      <c r="I222" s="111">
        <v>0</v>
      </c>
      <c r="J222" s="111">
        <v>0.1</v>
      </c>
      <c r="K222" s="111">
        <v>0.14677992676220697</v>
      </c>
      <c r="L222" s="111">
        <v>0.21544346900318842</v>
      </c>
      <c r="M222" s="111">
        <v>0.31622776601683805</v>
      </c>
      <c r="N222" s="111">
        <v>0.46415888336127809</v>
      </c>
      <c r="O222" s="58">
        <v>0.68129206905796169</v>
      </c>
      <c r="P222" s="111">
        <f t="shared" ref="P222:T233" si="113">IF($A222&gt;P$206,0%,IF(P$206-$A222=1,$O$214,IF(P$206-$A222=$O$215,100%,IF(P$206-$A222&gt;$O$215, "",O222*(1+_xlfn.RRI($O$215-1,$O$214,100%))))))</f>
        <v>1</v>
      </c>
      <c r="Q222" s="111" t="str">
        <f t="shared" si="113"/>
        <v/>
      </c>
      <c r="R222" s="111" t="str">
        <f t="shared" si="113"/>
        <v/>
      </c>
      <c r="S222" s="111" t="str">
        <f t="shared" si="113"/>
        <v/>
      </c>
      <c r="T222" s="58" t="str">
        <f t="shared" si="113"/>
        <v/>
      </c>
    </row>
    <row r="223" spans="1:29" hidden="1" outlineLevel="1">
      <c r="A223" s="44">
        <f>A222+1</f>
        <v>2016</v>
      </c>
      <c r="I223" s="111">
        <v>0</v>
      </c>
      <c r="J223" s="111">
        <v>0</v>
      </c>
      <c r="K223" s="111">
        <v>0.1</v>
      </c>
      <c r="L223" s="111">
        <v>0.14677992676220697</v>
      </c>
      <c r="M223" s="111">
        <v>0.21544346900318842</v>
      </c>
      <c r="N223" s="111">
        <v>0.31622776601683805</v>
      </c>
      <c r="O223" s="58">
        <v>0.46415888336127809</v>
      </c>
      <c r="P223" s="111">
        <f t="shared" si="113"/>
        <v>0.7147537722384093</v>
      </c>
      <c r="Q223" s="111">
        <f t="shared" si="113"/>
        <v>1</v>
      </c>
      <c r="R223" s="111" t="str">
        <f t="shared" si="113"/>
        <v/>
      </c>
      <c r="S223" s="111" t="str">
        <f t="shared" si="113"/>
        <v/>
      </c>
      <c r="T223" s="58" t="str">
        <f t="shared" si="113"/>
        <v/>
      </c>
    </row>
    <row r="224" spans="1:29" hidden="1" outlineLevel="1">
      <c r="A224" s="44">
        <f t="shared" ref="A224:A233" si="114">A223+1</f>
        <v>2017</v>
      </c>
      <c r="I224" s="111">
        <v>0</v>
      </c>
      <c r="J224" s="111">
        <v>0</v>
      </c>
      <c r="K224" s="111">
        <v>0</v>
      </c>
      <c r="L224" s="111">
        <v>0.1</v>
      </c>
      <c r="M224" s="111">
        <v>0.14677992676220697</v>
      </c>
      <c r="N224" s="111">
        <v>0.21544346900318842</v>
      </c>
      <c r="O224" s="58">
        <v>0.31622776601683805</v>
      </c>
      <c r="P224" s="111">
        <f t="shared" si="113"/>
        <v>0.48695607635528865</v>
      </c>
      <c r="Q224" s="111">
        <f t="shared" si="113"/>
        <v>0.74985894909276096</v>
      </c>
      <c r="R224" s="111">
        <f t="shared" si="113"/>
        <v>1</v>
      </c>
      <c r="S224" s="111" t="str">
        <f t="shared" si="113"/>
        <v/>
      </c>
      <c r="T224" s="58" t="str">
        <f t="shared" si="113"/>
        <v/>
      </c>
    </row>
    <row r="225" spans="1:20" hidden="1" outlineLevel="1">
      <c r="A225" s="44">
        <f t="shared" si="114"/>
        <v>2018</v>
      </c>
      <c r="I225" s="111">
        <v>0</v>
      </c>
      <c r="J225" s="111">
        <v>0</v>
      </c>
      <c r="K225" s="111">
        <v>0</v>
      </c>
      <c r="L225" s="111">
        <v>0</v>
      </c>
      <c r="M225" s="111">
        <v>0.1</v>
      </c>
      <c r="N225" s="111">
        <v>0.14677992676220697</v>
      </c>
      <c r="O225" s="58">
        <v>0.21544346900318842</v>
      </c>
      <c r="P225" s="111">
        <f t="shared" si="113"/>
        <v>0.33175931280044113</v>
      </c>
      <c r="Q225" s="111">
        <f t="shared" si="113"/>
        <v>0.51087295492903551</v>
      </c>
      <c r="R225" s="111">
        <f t="shared" si="113"/>
        <v>0.78668831893474223</v>
      </c>
      <c r="S225" s="111">
        <f t="shared" si="113"/>
        <v>1</v>
      </c>
      <c r="T225" s="58" t="str">
        <f t="shared" si="113"/>
        <v/>
      </c>
    </row>
    <row r="226" spans="1:20" hidden="1" outlineLevel="1">
      <c r="A226" s="44">
        <f t="shared" si="114"/>
        <v>2019</v>
      </c>
      <c r="I226" s="111">
        <v>0</v>
      </c>
      <c r="J226" s="111">
        <v>0</v>
      </c>
      <c r="K226" s="111">
        <v>0</v>
      </c>
      <c r="L226" s="111">
        <v>0</v>
      </c>
      <c r="M226" s="111">
        <v>0</v>
      </c>
      <c r="N226" s="111">
        <v>0.1</v>
      </c>
      <c r="O226" s="58">
        <v>0.14677992676220697</v>
      </c>
      <c r="P226" s="111">
        <f t="shared" si="113"/>
        <v>0.22602498864705989</v>
      </c>
      <c r="Q226" s="111">
        <f t="shared" si="113"/>
        <v>0.34805369248935719</v>
      </c>
      <c r="R226" s="111">
        <f t="shared" si="113"/>
        <v>0.53596451251077992</v>
      </c>
      <c r="S226" s="111">
        <f t="shared" si="113"/>
        <v>0.82532656561229201</v>
      </c>
      <c r="T226" s="58">
        <f t="shared" si="113"/>
        <v>1</v>
      </c>
    </row>
    <row r="227" spans="1:20" hidden="1" outlineLevel="1">
      <c r="A227" s="44">
        <f t="shared" si="114"/>
        <v>2020</v>
      </c>
      <c r="I227" s="111">
        <v>0</v>
      </c>
      <c r="J227" s="111">
        <v>0</v>
      </c>
      <c r="K227" s="111">
        <v>0</v>
      </c>
      <c r="L227" s="111">
        <v>0</v>
      </c>
      <c r="M227" s="111">
        <v>0</v>
      </c>
      <c r="N227" s="111">
        <v>0</v>
      </c>
      <c r="O227" s="58">
        <v>0.1</v>
      </c>
      <c r="P227" s="111">
        <f t="shared" si="113"/>
        <v>0.15398903217415763</v>
      </c>
      <c r="Q227" s="111">
        <f t="shared" si="113"/>
        <v>0.23712622029933753</v>
      </c>
      <c r="R227" s="111">
        <f t="shared" si="113"/>
        <v>0.36514837167011077</v>
      </c>
      <c r="S227" s="111">
        <f t="shared" si="113"/>
        <v>0.56228844353449958</v>
      </c>
      <c r="T227" s="58">
        <f t="shared" si="113"/>
        <v>0.8658625322259107</v>
      </c>
    </row>
    <row r="228" spans="1:20" hidden="1" outlineLevel="1">
      <c r="A228" s="44">
        <f t="shared" si="114"/>
        <v>2021</v>
      </c>
      <c r="I228" s="111">
        <v>0</v>
      </c>
      <c r="J228" s="111">
        <v>0</v>
      </c>
      <c r="K228" s="111">
        <v>0</v>
      </c>
      <c r="L228" s="111">
        <v>0</v>
      </c>
      <c r="M228" s="111">
        <v>0</v>
      </c>
      <c r="N228" s="111">
        <v>0</v>
      </c>
      <c r="O228" s="58">
        <v>0</v>
      </c>
      <c r="P228" s="111">
        <f t="shared" si="113"/>
        <v>7.4999999999999997E-2</v>
      </c>
      <c r="Q228" s="111">
        <f t="shared" si="113"/>
        <v>0.11549177413061822</v>
      </c>
      <c r="R228" s="111">
        <f t="shared" si="113"/>
        <v>0.17784466522450315</v>
      </c>
      <c r="S228" s="111">
        <f t="shared" si="113"/>
        <v>0.27386127875258309</v>
      </c>
      <c r="T228" s="58">
        <f t="shared" si="113"/>
        <v>0.42171633265087466</v>
      </c>
    </row>
    <row r="229" spans="1:20" hidden="1" outlineLevel="1">
      <c r="A229" s="44">
        <f t="shared" si="114"/>
        <v>2022</v>
      </c>
      <c r="I229" s="111">
        <v>0</v>
      </c>
      <c r="J229" s="111">
        <v>0</v>
      </c>
      <c r="K229" s="111">
        <v>0</v>
      </c>
      <c r="L229" s="111">
        <v>0</v>
      </c>
      <c r="M229" s="111">
        <v>0</v>
      </c>
      <c r="N229" s="111">
        <v>0</v>
      </c>
      <c r="O229" s="58">
        <v>0</v>
      </c>
      <c r="P229" s="111">
        <f t="shared" si="113"/>
        <v>0</v>
      </c>
      <c r="Q229" s="111">
        <f t="shared" si="113"/>
        <v>7.4999999999999997E-2</v>
      </c>
      <c r="R229" s="111">
        <f t="shared" si="113"/>
        <v>0.11549177413061822</v>
      </c>
      <c r="S229" s="111">
        <f t="shared" si="113"/>
        <v>0.17784466522450315</v>
      </c>
      <c r="T229" s="58">
        <f t="shared" si="113"/>
        <v>0.27386127875258309</v>
      </c>
    </row>
    <row r="230" spans="1:20" hidden="1" outlineLevel="1">
      <c r="A230" s="44">
        <f t="shared" si="114"/>
        <v>2023</v>
      </c>
      <c r="I230" s="111">
        <v>0</v>
      </c>
      <c r="J230" s="111">
        <v>0</v>
      </c>
      <c r="K230" s="111">
        <v>0</v>
      </c>
      <c r="L230" s="111">
        <v>0</v>
      </c>
      <c r="M230" s="111">
        <v>0</v>
      </c>
      <c r="N230" s="111">
        <v>0</v>
      </c>
      <c r="O230" s="58">
        <v>0</v>
      </c>
      <c r="P230" s="111">
        <f t="shared" si="113"/>
        <v>0</v>
      </c>
      <c r="Q230" s="111">
        <f t="shared" si="113"/>
        <v>0</v>
      </c>
      <c r="R230" s="111">
        <f t="shared" si="113"/>
        <v>7.4999999999999997E-2</v>
      </c>
      <c r="S230" s="111">
        <f t="shared" si="113"/>
        <v>0.11549177413061822</v>
      </c>
      <c r="T230" s="58">
        <f t="shared" si="113"/>
        <v>0.17784466522450315</v>
      </c>
    </row>
    <row r="231" spans="1:20" hidden="1" outlineLevel="1">
      <c r="A231" s="44">
        <f t="shared" si="114"/>
        <v>2024</v>
      </c>
      <c r="I231" s="111">
        <v>0</v>
      </c>
      <c r="J231" s="111">
        <v>0</v>
      </c>
      <c r="K231" s="111">
        <v>0</v>
      </c>
      <c r="L231" s="111">
        <v>0</v>
      </c>
      <c r="M231" s="111">
        <v>0</v>
      </c>
      <c r="N231" s="111">
        <v>0</v>
      </c>
      <c r="O231" s="58">
        <v>0</v>
      </c>
      <c r="P231" s="111">
        <f t="shared" si="113"/>
        <v>0</v>
      </c>
      <c r="Q231" s="111">
        <f t="shared" si="113"/>
        <v>0</v>
      </c>
      <c r="R231" s="111">
        <f t="shared" si="113"/>
        <v>0</v>
      </c>
      <c r="S231" s="111">
        <f t="shared" si="113"/>
        <v>7.4999999999999997E-2</v>
      </c>
      <c r="T231" s="58">
        <f t="shared" si="113"/>
        <v>0.11549177413061822</v>
      </c>
    </row>
    <row r="232" spans="1:20" hidden="1" outlineLevel="1">
      <c r="A232" s="44">
        <f t="shared" si="114"/>
        <v>2025</v>
      </c>
      <c r="I232" s="111">
        <v>0</v>
      </c>
      <c r="J232" s="111">
        <v>0</v>
      </c>
      <c r="K232" s="111">
        <v>0</v>
      </c>
      <c r="L232" s="111">
        <v>0</v>
      </c>
      <c r="M232" s="111">
        <v>0</v>
      </c>
      <c r="N232" s="111">
        <v>0</v>
      </c>
      <c r="O232" s="58">
        <v>0</v>
      </c>
      <c r="P232" s="111">
        <f t="shared" si="113"/>
        <v>0</v>
      </c>
      <c r="Q232" s="111">
        <f t="shared" si="113"/>
        <v>0</v>
      </c>
      <c r="R232" s="111">
        <f t="shared" si="113"/>
        <v>0</v>
      </c>
      <c r="S232" s="111">
        <f t="shared" si="113"/>
        <v>0</v>
      </c>
      <c r="T232" s="58">
        <f t="shared" si="113"/>
        <v>7.4999999999999997E-2</v>
      </c>
    </row>
    <row r="233" spans="1:20" hidden="1" outlineLevel="1">
      <c r="A233" s="44">
        <f t="shared" si="114"/>
        <v>2026</v>
      </c>
      <c r="I233" s="111">
        <v>0</v>
      </c>
      <c r="J233" s="111">
        <v>0</v>
      </c>
      <c r="K233" s="111">
        <v>0</v>
      </c>
      <c r="L233" s="111">
        <v>0</v>
      </c>
      <c r="M233" s="111">
        <v>0</v>
      </c>
      <c r="N233" s="111">
        <v>0</v>
      </c>
      <c r="O233" s="58">
        <v>0</v>
      </c>
      <c r="P233" s="111">
        <f t="shared" si="113"/>
        <v>0</v>
      </c>
      <c r="Q233" s="111">
        <f t="shared" si="113"/>
        <v>0</v>
      </c>
      <c r="R233" s="111">
        <f t="shared" si="113"/>
        <v>0</v>
      </c>
      <c r="S233" s="111">
        <f t="shared" si="113"/>
        <v>0</v>
      </c>
      <c r="T233" s="58">
        <f t="shared" si="113"/>
        <v>0</v>
      </c>
    </row>
    <row r="234" spans="1:20" hidden="1" outlineLevel="1">
      <c r="A234" s="44"/>
      <c r="I234" s="111"/>
      <c r="J234" s="111"/>
      <c r="K234" s="111"/>
      <c r="L234" s="111"/>
      <c r="M234" s="111"/>
      <c r="N234" s="111"/>
      <c r="O234" s="58"/>
      <c r="P234" s="111"/>
      <c r="Q234" s="111"/>
      <c r="R234" s="111"/>
      <c r="S234" s="111"/>
      <c r="T234" s="58"/>
    </row>
    <row r="235" spans="1:20" hidden="1" outlineLevel="1">
      <c r="A235" s="66" t="s">
        <v>229</v>
      </c>
      <c r="I235" s="111"/>
      <c r="J235" s="111"/>
      <c r="K235" s="111"/>
      <c r="L235" s="111"/>
      <c r="M235" s="111"/>
      <c r="N235" s="111"/>
      <c r="O235" s="58"/>
      <c r="P235" s="111"/>
      <c r="Q235" s="111"/>
      <c r="R235" s="111"/>
      <c r="S235" s="111"/>
      <c r="T235" s="58"/>
    </row>
    <row r="236" spans="1:20" hidden="1" outlineLevel="1">
      <c r="A236" s="44">
        <v>2015</v>
      </c>
      <c r="I236" s="111"/>
      <c r="J236" s="111">
        <f>IFERROR(J222-I222,"")</f>
        <v>0.1</v>
      </c>
      <c r="K236" s="111">
        <f t="shared" ref="K236:T236" si="115">IFERROR(K222-J222,"")</f>
        <v>4.6779926762206964E-2</v>
      </c>
      <c r="L236" s="111">
        <f t="shared" si="115"/>
        <v>6.8663542240981451E-2</v>
      </c>
      <c r="M236" s="111">
        <f t="shared" si="115"/>
        <v>0.10078429701364963</v>
      </c>
      <c r="N236" s="111">
        <f t="shared" si="115"/>
        <v>0.14793111734444003</v>
      </c>
      <c r="O236" s="58">
        <f t="shared" si="115"/>
        <v>0.21713318569668361</v>
      </c>
      <c r="P236" s="111">
        <f t="shared" si="115"/>
        <v>0.31870793094203831</v>
      </c>
      <c r="Q236" s="111" t="str">
        <f t="shared" si="115"/>
        <v/>
      </c>
      <c r="R236" s="111" t="str">
        <f t="shared" si="115"/>
        <v/>
      </c>
      <c r="S236" s="111" t="str">
        <f t="shared" si="115"/>
        <v/>
      </c>
      <c r="T236" s="58" t="str">
        <f t="shared" si="115"/>
        <v/>
      </c>
    </row>
    <row r="237" spans="1:20" hidden="1" outlineLevel="1">
      <c r="A237" s="44">
        <f>A236+1</f>
        <v>2016</v>
      </c>
      <c r="I237" s="111"/>
      <c r="J237" s="111">
        <f t="shared" ref="J237:T237" si="116">IFERROR(J223-I223,"")</f>
        <v>0</v>
      </c>
      <c r="K237" s="111">
        <f t="shared" si="116"/>
        <v>0.1</v>
      </c>
      <c r="L237" s="111">
        <f t="shared" si="116"/>
        <v>4.6779926762206964E-2</v>
      </c>
      <c r="M237" s="111">
        <f t="shared" si="116"/>
        <v>6.8663542240981451E-2</v>
      </c>
      <c r="N237" s="111">
        <f t="shared" si="116"/>
        <v>0.10078429701364963</v>
      </c>
      <c r="O237" s="58">
        <f t="shared" si="116"/>
        <v>0.14793111734444003</v>
      </c>
      <c r="P237" s="111">
        <f t="shared" si="116"/>
        <v>0.25059488887713122</v>
      </c>
      <c r="Q237" s="111">
        <f t="shared" si="116"/>
        <v>0.2852462277615907</v>
      </c>
      <c r="R237" s="111" t="str">
        <f t="shared" si="116"/>
        <v/>
      </c>
      <c r="S237" s="111" t="str">
        <f t="shared" si="116"/>
        <v/>
      </c>
      <c r="T237" s="58" t="str">
        <f t="shared" si="116"/>
        <v/>
      </c>
    </row>
    <row r="238" spans="1:20" hidden="1" outlineLevel="1">
      <c r="A238" s="44">
        <f t="shared" ref="A238:A247" si="117">A237+1</f>
        <v>2017</v>
      </c>
      <c r="I238" s="111"/>
      <c r="J238" s="111">
        <f t="shared" ref="J238:T238" si="118">IFERROR(J224-I224,"")</f>
        <v>0</v>
      </c>
      <c r="K238" s="111">
        <f t="shared" si="118"/>
        <v>0</v>
      </c>
      <c r="L238" s="111">
        <f t="shared" si="118"/>
        <v>0.1</v>
      </c>
      <c r="M238" s="111">
        <f t="shared" si="118"/>
        <v>4.6779926762206964E-2</v>
      </c>
      <c r="N238" s="111">
        <f t="shared" si="118"/>
        <v>6.8663542240981451E-2</v>
      </c>
      <c r="O238" s="58">
        <f t="shared" si="118"/>
        <v>0.10078429701364963</v>
      </c>
      <c r="P238" s="111">
        <f t="shared" si="118"/>
        <v>0.1707283103384506</v>
      </c>
      <c r="Q238" s="111">
        <f t="shared" si="118"/>
        <v>0.26290287273747232</v>
      </c>
      <c r="R238" s="111">
        <f t="shared" si="118"/>
        <v>0.25014105090723904</v>
      </c>
      <c r="S238" s="111" t="str">
        <f t="shared" si="118"/>
        <v/>
      </c>
      <c r="T238" s="58" t="str">
        <f t="shared" si="118"/>
        <v/>
      </c>
    </row>
    <row r="239" spans="1:20" hidden="1" outlineLevel="1">
      <c r="A239" s="44">
        <f t="shared" si="117"/>
        <v>2018</v>
      </c>
      <c r="I239" s="111"/>
      <c r="J239" s="111">
        <f t="shared" ref="J239:T239" si="119">IFERROR(J225-I225,"")</f>
        <v>0</v>
      </c>
      <c r="K239" s="111">
        <f t="shared" si="119"/>
        <v>0</v>
      </c>
      <c r="L239" s="111">
        <f t="shared" si="119"/>
        <v>0</v>
      </c>
      <c r="M239" s="111">
        <f t="shared" si="119"/>
        <v>0.1</v>
      </c>
      <c r="N239" s="111">
        <f t="shared" si="119"/>
        <v>4.6779926762206964E-2</v>
      </c>
      <c r="O239" s="58">
        <f t="shared" si="119"/>
        <v>6.8663542240981451E-2</v>
      </c>
      <c r="P239" s="111">
        <f t="shared" si="119"/>
        <v>0.11631584379725271</v>
      </c>
      <c r="Q239" s="111">
        <f t="shared" si="119"/>
        <v>0.17911364212859437</v>
      </c>
      <c r="R239" s="111">
        <f t="shared" si="119"/>
        <v>0.27581536400570672</v>
      </c>
      <c r="S239" s="111">
        <f t="shared" si="119"/>
        <v>0.21331168106525777</v>
      </c>
      <c r="T239" s="58" t="str">
        <f t="shared" si="119"/>
        <v/>
      </c>
    </row>
    <row r="240" spans="1:20" hidden="1" outlineLevel="1">
      <c r="A240" s="44">
        <f t="shared" si="117"/>
        <v>2019</v>
      </c>
      <c r="I240" s="111"/>
      <c r="J240" s="111">
        <f t="shared" ref="J240:T240" si="120">IFERROR(J226-I226,"")</f>
        <v>0</v>
      </c>
      <c r="K240" s="111">
        <f t="shared" si="120"/>
        <v>0</v>
      </c>
      <c r="L240" s="111">
        <f t="shared" si="120"/>
        <v>0</v>
      </c>
      <c r="M240" s="111">
        <f t="shared" si="120"/>
        <v>0</v>
      </c>
      <c r="N240" s="111">
        <f t="shared" si="120"/>
        <v>0.1</v>
      </c>
      <c r="O240" s="58">
        <f t="shared" si="120"/>
        <v>4.6779926762206964E-2</v>
      </c>
      <c r="P240" s="111">
        <f t="shared" si="120"/>
        <v>7.9245061884852919E-2</v>
      </c>
      <c r="Q240" s="111">
        <f t="shared" si="120"/>
        <v>0.1220287038422973</v>
      </c>
      <c r="R240" s="111">
        <f t="shared" si="120"/>
        <v>0.18791082002142273</v>
      </c>
      <c r="S240" s="111">
        <f t="shared" si="120"/>
        <v>0.28936205310151208</v>
      </c>
      <c r="T240" s="58">
        <f t="shared" si="120"/>
        <v>0.17467343438770799</v>
      </c>
    </row>
    <row r="241" spans="1:28" hidden="1" outlineLevel="1">
      <c r="A241" s="44">
        <f t="shared" si="117"/>
        <v>2020</v>
      </c>
      <c r="I241" s="111"/>
      <c r="J241" s="111">
        <f t="shared" ref="J241:T241" si="121">IFERROR(J227-I227,"")</f>
        <v>0</v>
      </c>
      <c r="K241" s="111">
        <f t="shared" si="121"/>
        <v>0</v>
      </c>
      <c r="L241" s="111">
        <f t="shared" si="121"/>
        <v>0</v>
      </c>
      <c r="M241" s="111">
        <f t="shared" si="121"/>
        <v>0</v>
      </c>
      <c r="N241" s="111">
        <f t="shared" si="121"/>
        <v>0</v>
      </c>
      <c r="O241" s="58">
        <f t="shared" si="121"/>
        <v>0.1</v>
      </c>
      <c r="P241" s="111">
        <f t="shared" si="121"/>
        <v>5.3989032174157625E-2</v>
      </c>
      <c r="Q241" s="111">
        <f t="shared" si="121"/>
        <v>8.3137188125179895E-2</v>
      </c>
      <c r="R241" s="111">
        <f t="shared" si="121"/>
        <v>0.12802215137077325</v>
      </c>
      <c r="S241" s="111">
        <f t="shared" si="121"/>
        <v>0.19714007186438881</v>
      </c>
      <c r="T241" s="58">
        <f t="shared" si="121"/>
        <v>0.30357408869141111</v>
      </c>
    </row>
    <row r="242" spans="1:28" hidden="1" outlineLevel="1">
      <c r="A242" s="44">
        <f t="shared" si="117"/>
        <v>2021</v>
      </c>
      <c r="I242" s="111"/>
      <c r="J242" s="111">
        <f t="shared" ref="J242:T242" si="122">IFERROR(J228-I228,"")</f>
        <v>0</v>
      </c>
      <c r="K242" s="111">
        <f t="shared" si="122"/>
        <v>0</v>
      </c>
      <c r="L242" s="111">
        <f t="shared" si="122"/>
        <v>0</v>
      </c>
      <c r="M242" s="111">
        <f t="shared" si="122"/>
        <v>0</v>
      </c>
      <c r="N242" s="111">
        <f t="shared" si="122"/>
        <v>0</v>
      </c>
      <c r="O242" s="58">
        <f t="shared" si="122"/>
        <v>0</v>
      </c>
      <c r="P242" s="111">
        <f t="shared" si="122"/>
        <v>7.4999999999999997E-2</v>
      </c>
      <c r="Q242" s="111">
        <f t="shared" si="122"/>
        <v>4.0491774130618219E-2</v>
      </c>
      <c r="R242" s="111">
        <f t="shared" si="122"/>
        <v>6.2352891093884935E-2</v>
      </c>
      <c r="S242" s="111">
        <f t="shared" si="122"/>
        <v>9.6016613528079942E-2</v>
      </c>
      <c r="T242" s="58">
        <f t="shared" si="122"/>
        <v>0.14785505389829157</v>
      </c>
    </row>
    <row r="243" spans="1:28" hidden="1" outlineLevel="1">
      <c r="A243" s="44">
        <f t="shared" si="117"/>
        <v>2022</v>
      </c>
      <c r="I243" s="111"/>
      <c r="J243" s="111">
        <f t="shared" ref="J243:T243" si="123">IFERROR(J229-I229,"")</f>
        <v>0</v>
      </c>
      <c r="K243" s="111">
        <f t="shared" si="123"/>
        <v>0</v>
      </c>
      <c r="L243" s="111">
        <f t="shared" si="123"/>
        <v>0</v>
      </c>
      <c r="M243" s="111">
        <f t="shared" si="123"/>
        <v>0</v>
      </c>
      <c r="N243" s="111">
        <f t="shared" si="123"/>
        <v>0</v>
      </c>
      <c r="O243" s="58">
        <f t="shared" si="123"/>
        <v>0</v>
      </c>
      <c r="P243" s="111">
        <f t="shared" si="123"/>
        <v>0</v>
      </c>
      <c r="Q243" s="111">
        <f t="shared" si="123"/>
        <v>7.4999999999999997E-2</v>
      </c>
      <c r="R243" s="111">
        <f t="shared" si="123"/>
        <v>4.0491774130618219E-2</v>
      </c>
      <c r="S243" s="111">
        <f t="shared" si="123"/>
        <v>6.2352891093884935E-2</v>
      </c>
      <c r="T243" s="58">
        <f t="shared" si="123"/>
        <v>9.6016613528079942E-2</v>
      </c>
    </row>
    <row r="244" spans="1:28" hidden="1" outlineLevel="1">
      <c r="A244" s="44">
        <f t="shared" si="117"/>
        <v>2023</v>
      </c>
      <c r="I244" s="111"/>
      <c r="J244" s="111">
        <f t="shared" ref="J244:T244" si="124">IFERROR(J230-I230,"")</f>
        <v>0</v>
      </c>
      <c r="K244" s="111">
        <f t="shared" si="124"/>
        <v>0</v>
      </c>
      <c r="L244" s="111">
        <f t="shared" si="124"/>
        <v>0</v>
      </c>
      <c r="M244" s="111">
        <f t="shared" si="124"/>
        <v>0</v>
      </c>
      <c r="N244" s="111">
        <f t="shared" si="124"/>
        <v>0</v>
      </c>
      <c r="O244" s="58">
        <f t="shared" si="124"/>
        <v>0</v>
      </c>
      <c r="P244" s="111">
        <f t="shared" si="124"/>
        <v>0</v>
      </c>
      <c r="Q244" s="111">
        <f t="shared" si="124"/>
        <v>0</v>
      </c>
      <c r="R244" s="111">
        <f t="shared" si="124"/>
        <v>7.4999999999999997E-2</v>
      </c>
      <c r="S244" s="111">
        <f t="shared" si="124"/>
        <v>4.0491774130618219E-2</v>
      </c>
      <c r="T244" s="58">
        <f t="shared" si="124"/>
        <v>6.2352891093884935E-2</v>
      </c>
    </row>
    <row r="245" spans="1:28" hidden="1" outlineLevel="1">
      <c r="A245" s="44">
        <f t="shared" si="117"/>
        <v>2024</v>
      </c>
      <c r="I245" s="111"/>
      <c r="J245" s="111">
        <f t="shared" ref="J245:T245" si="125">IFERROR(J231-I231,"")</f>
        <v>0</v>
      </c>
      <c r="K245" s="111">
        <f t="shared" si="125"/>
        <v>0</v>
      </c>
      <c r="L245" s="111">
        <f t="shared" si="125"/>
        <v>0</v>
      </c>
      <c r="M245" s="111">
        <f t="shared" si="125"/>
        <v>0</v>
      </c>
      <c r="N245" s="111">
        <f t="shared" si="125"/>
        <v>0</v>
      </c>
      <c r="O245" s="58">
        <f t="shared" si="125"/>
        <v>0</v>
      </c>
      <c r="P245" s="111">
        <f t="shared" si="125"/>
        <v>0</v>
      </c>
      <c r="Q245" s="111">
        <f t="shared" si="125"/>
        <v>0</v>
      </c>
      <c r="R245" s="111">
        <f t="shared" si="125"/>
        <v>0</v>
      </c>
      <c r="S245" s="111">
        <f t="shared" si="125"/>
        <v>7.4999999999999997E-2</v>
      </c>
      <c r="T245" s="58">
        <f t="shared" si="125"/>
        <v>4.0491774130618219E-2</v>
      </c>
    </row>
    <row r="246" spans="1:28" hidden="1" outlineLevel="1">
      <c r="A246" s="44">
        <f t="shared" si="117"/>
        <v>2025</v>
      </c>
      <c r="I246" s="111"/>
      <c r="J246" s="111">
        <f t="shared" ref="J246:T246" si="126">IFERROR(J232-I232,"")</f>
        <v>0</v>
      </c>
      <c r="K246" s="111">
        <f t="shared" si="126"/>
        <v>0</v>
      </c>
      <c r="L246" s="111">
        <f t="shared" si="126"/>
        <v>0</v>
      </c>
      <c r="M246" s="111">
        <f t="shared" si="126"/>
        <v>0</v>
      </c>
      <c r="N246" s="111">
        <f t="shared" si="126"/>
        <v>0</v>
      </c>
      <c r="O246" s="58">
        <f t="shared" si="126"/>
        <v>0</v>
      </c>
      <c r="P246" s="111">
        <f t="shared" si="126"/>
        <v>0</v>
      </c>
      <c r="Q246" s="111">
        <f t="shared" si="126"/>
        <v>0</v>
      </c>
      <c r="R246" s="111">
        <f t="shared" si="126"/>
        <v>0</v>
      </c>
      <c r="S246" s="111">
        <f t="shared" si="126"/>
        <v>0</v>
      </c>
      <c r="T246" s="58">
        <f t="shared" si="126"/>
        <v>7.4999999999999997E-2</v>
      </c>
    </row>
    <row r="247" spans="1:28" hidden="1" outlineLevel="1">
      <c r="A247" s="44">
        <f t="shared" si="117"/>
        <v>2026</v>
      </c>
      <c r="I247" s="111"/>
      <c r="J247" s="111">
        <f t="shared" ref="J247:T247" si="127">IFERROR(J233-I233,"")</f>
        <v>0</v>
      </c>
      <c r="K247" s="111">
        <f t="shared" si="127"/>
        <v>0</v>
      </c>
      <c r="L247" s="111">
        <f t="shared" si="127"/>
        <v>0</v>
      </c>
      <c r="M247" s="111">
        <f t="shared" si="127"/>
        <v>0</v>
      </c>
      <c r="N247" s="111">
        <f t="shared" si="127"/>
        <v>0</v>
      </c>
      <c r="O247" s="58">
        <f t="shared" si="127"/>
        <v>0</v>
      </c>
      <c r="P247" s="111">
        <f t="shared" si="127"/>
        <v>0</v>
      </c>
      <c r="Q247" s="111">
        <f t="shared" si="127"/>
        <v>0</v>
      </c>
      <c r="R247" s="111">
        <f t="shared" si="127"/>
        <v>0</v>
      </c>
      <c r="S247" s="111">
        <f t="shared" si="127"/>
        <v>0</v>
      </c>
      <c r="T247" s="58">
        <f t="shared" si="127"/>
        <v>0</v>
      </c>
    </row>
    <row r="248" spans="1:28" hidden="1" outlineLevel="1">
      <c r="A248" s="44"/>
      <c r="J248" s="108"/>
      <c r="K248" s="108"/>
      <c r="L248" s="108"/>
      <c r="M248" s="108"/>
      <c r="N248" s="108"/>
      <c r="O248" s="55"/>
      <c r="P248" s="108"/>
      <c r="Q248" s="108"/>
      <c r="R248" s="108"/>
      <c r="S248" s="108"/>
      <c r="T248" s="55"/>
    </row>
    <row r="249" spans="1:28" hidden="1" outlineLevel="1">
      <c r="A249" s="66" t="s">
        <v>230</v>
      </c>
      <c r="J249" s="108"/>
      <c r="K249" s="108"/>
      <c r="L249" s="108"/>
      <c r="M249" s="108"/>
      <c r="N249" s="108"/>
      <c r="O249" s="55" cm="1">
        <f t="array" ref="O249">O211*O218+SUMPRODUCT($I$211:$T$211,TRANSPOSE(O$236:O$247))*O216*O218</f>
        <v>11.226178801754207</v>
      </c>
      <c r="P249" s="108" cm="1">
        <f t="array" ref="P249">P211*P218+SUMPRODUCT($I$211:$T$211,TRANSPOSE(P$236:P$247))*P216*P218</f>
        <v>11.996836124157129</v>
      </c>
      <c r="Q249" s="108" cm="1">
        <f t="array" ref="Q249">Q211*Q218+SUMPRODUCT($I$211:$T$211,TRANSPOSE(Q$236:Q$247))*Q216*Q218</f>
        <v>12.94569970662894</v>
      </c>
      <c r="R249" s="108" cm="1">
        <f t="array" ref="R249">R211*R218+SUMPRODUCT($I$211:$T$211,TRANSPOSE(R$236:R$247))*R216*R218</f>
        <v>13.966734936040588</v>
      </c>
      <c r="S249" s="108" cm="1">
        <f t="array" ref="S249">S211*S218+SUMPRODUCT($I$211:$T$211,TRANSPOSE(S$236:S$247))*S216*S218</f>
        <v>14.86569139153643</v>
      </c>
      <c r="T249" s="55" cm="1">
        <f t="array" ref="T249">T211*T218+SUMPRODUCT($I$211:$T$211,TRANSPOSE(T$236:T$247))*T216*T218</f>
        <v>15.618048193313859</v>
      </c>
      <c r="U249" s="46">
        <f>_xlfn.RRI(5,O249,T249)</f>
        <v>6.8264904203885424E-2</v>
      </c>
    </row>
    <row r="250" spans="1:28" hidden="1" outlineLevel="1">
      <c r="A250" s="66" t="s">
        <v>230</v>
      </c>
      <c r="O250" s="55">
        <f>IF(O249&lt;0,0,O249)</f>
        <v>11.226178801754207</v>
      </c>
      <c r="P250" s="108">
        <f t="shared" ref="P250:T250" si="128">IF(P249&lt;0,0,P249)</f>
        <v>11.996836124157129</v>
      </c>
      <c r="Q250" s="108">
        <f t="shared" si="128"/>
        <v>12.94569970662894</v>
      </c>
      <c r="R250" s="108">
        <f t="shared" si="128"/>
        <v>13.966734936040588</v>
      </c>
      <c r="S250" s="108">
        <f t="shared" si="128"/>
        <v>14.86569139153643</v>
      </c>
      <c r="T250" s="55">
        <f t="shared" si="128"/>
        <v>15.618048193313859</v>
      </c>
      <c r="U250" s="46">
        <f>_xlfn.RRI(5,O250,T250)</f>
        <v>6.8264904203885424E-2</v>
      </c>
    </row>
    <row r="251" spans="1:28" collapsed="1">
      <c r="A251" s="66"/>
      <c r="J251" s="108"/>
      <c r="K251" s="108"/>
      <c r="L251" s="108"/>
      <c r="M251" s="108"/>
      <c r="N251" s="108"/>
      <c r="O251" s="55"/>
      <c r="P251" s="108"/>
      <c r="Q251" s="108"/>
      <c r="R251" s="108"/>
      <c r="S251" s="108"/>
      <c r="T251" s="55"/>
    </row>
    <row r="252" spans="1:28" hidden="1" outlineLevel="1">
      <c r="A252" s="50" t="s">
        <v>231</v>
      </c>
      <c r="B252" s="41"/>
      <c r="C252" s="41"/>
      <c r="D252" s="41"/>
      <c r="E252" s="41"/>
      <c r="F252" s="41"/>
      <c r="G252" s="41"/>
      <c r="H252" s="41"/>
      <c r="I252" s="113"/>
      <c r="J252" s="107"/>
      <c r="K252" s="107"/>
      <c r="L252" s="107"/>
      <c r="M252" s="107"/>
      <c r="N252" s="107"/>
      <c r="O252" s="77" cm="1">
        <f t="array" ref="O252">O211*O218*O217+SUMPRODUCT($I$211:$T$211,TRANSPOSE(O$236:O$247))*O216*O217*O218</f>
        <v>479.91914377499234</v>
      </c>
      <c r="P252" s="107" cm="1">
        <f t="array" ref="P252">P211*P218*P217+SUMPRODUCT($I$211:$T$211,TRANSPOSE(P$236:P$247))*P216*P217*P218</f>
        <v>506.08984146704108</v>
      </c>
      <c r="Q252" s="107" cm="1">
        <f t="array" ref="Q252">Q211*Q218*Q217+SUMPRODUCT($I$211:$T$211,TRANSPOSE(Q$236:Q$247))*Q216*Q217*Q218</f>
        <v>538.90373887316605</v>
      </c>
      <c r="R252" s="107" cm="1">
        <f t="array" ref="R252">R211*R218*R217+SUMPRODUCT($I$211:$T$211,TRANSPOSE(R$236:R$247))*R216*R217*R218</f>
        <v>573.72705936137299</v>
      </c>
      <c r="S252" s="107" cm="1">
        <f t="array" ref="S252">S211*S218*S217+SUMPRODUCT($I$211:$T$211,TRANSPOSE(S$236:S$247))*S216*S217*S218</f>
        <v>602.58779290074187</v>
      </c>
      <c r="T252" s="77" cm="1">
        <f t="array" ref="T252">T211*T218*T217+SUMPRODUCT($I$211:$T$211,TRANSPOSE(T$236:T$247))*T216*T217*T218</f>
        <v>624.72192773255438</v>
      </c>
      <c r="U252" s="43">
        <f>_xlfn.RRI(5,O252,T252)</f>
        <v>5.4153209035883831E-2</v>
      </c>
    </row>
    <row r="253" spans="1:28" collapsed="1">
      <c r="A253" s="50" t="s">
        <v>231</v>
      </c>
      <c r="B253" s="41"/>
      <c r="C253" s="41"/>
      <c r="D253" s="41"/>
      <c r="E253" s="41"/>
      <c r="F253" s="41"/>
      <c r="G253" s="41"/>
      <c r="H253" s="41"/>
      <c r="I253" s="113"/>
      <c r="J253" s="107"/>
      <c r="K253" s="107"/>
      <c r="L253" s="107"/>
      <c r="M253" s="107"/>
      <c r="N253" s="107"/>
      <c r="O253" s="77">
        <f>IF(O252&lt;0, 0, O252)</f>
        <v>479.91914377499234</v>
      </c>
      <c r="P253" s="107">
        <f t="shared" ref="P253:T253" si="129">IF(P252&lt;0, 0, P252)</f>
        <v>506.08984146704108</v>
      </c>
      <c r="Q253" s="107">
        <f t="shared" si="129"/>
        <v>538.90373887316605</v>
      </c>
      <c r="R253" s="107">
        <f t="shared" si="129"/>
        <v>573.72705936137299</v>
      </c>
      <c r="S253" s="107">
        <f t="shared" si="129"/>
        <v>602.58779290074187</v>
      </c>
      <c r="T253" s="77">
        <f t="shared" si="129"/>
        <v>624.72192773255438</v>
      </c>
      <c r="U253" s="43">
        <f>_xlfn.RRI(5,O253,T253)</f>
        <v>5.4153209035883831E-2</v>
      </c>
      <c r="AB253" s="37" t="s">
        <v>232</v>
      </c>
    </row>
    <row r="254" spans="1:28">
      <c r="A254" s="56" t="s">
        <v>105</v>
      </c>
      <c r="O254" s="58">
        <f t="shared" ref="O254:T254" si="130">O253/O$8</f>
        <v>0.17359542838090372</v>
      </c>
      <c r="P254" s="111">
        <f t="shared" si="130"/>
        <v>0.13517584788842033</v>
      </c>
      <c r="Q254" s="111">
        <f t="shared" si="130"/>
        <v>0.10455528734149627</v>
      </c>
      <c r="R254" s="111">
        <f t="shared" si="130"/>
        <v>7.9813941690675433E-2</v>
      </c>
      <c r="S254" s="111">
        <f t="shared" si="130"/>
        <v>5.9487787065747005E-2</v>
      </c>
      <c r="T254" s="58">
        <f t="shared" si="130"/>
        <v>4.3354942361010257E-2</v>
      </c>
      <c r="AB254" s="39"/>
    </row>
    <row r="256" spans="1:28" s="103" customFormat="1">
      <c r="I256" s="115"/>
      <c r="J256" s="115"/>
      <c r="K256" s="115"/>
      <c r="L256" s="115"/>
      <c r="M256" s="115"/>
      <c r="N256" s="115"/>
      <c r="P256" s="115"/>
      <c r="Q256" s="115"/>
      <c r="R256" s="115"/>
      <c r="S256" s="115"/>
      <c r="U256" s="104"/>
    </row>
  </sheetData>
  <sheetProtection algorithmName="SHA-512" hashValue="E/2BP2OMt+b0m8kD4Ni6eE4zW80xxb8Rq9NLjGEU9WUTpfklGkfHx3XrMHSQe4OpnilILU/9pOb77QN+SLUH3w==" saltValue="tvi9WCcUm2eY1/ZDBIXvOw==" spinCount="100000" sheet="1" objects="1" scenarios="1" selectLockedCells="1"/>
  <mergeCells count="7">
    <mergeCell ref="W161:Z161"/>
    <mergeCell ref="W1:Z1"/>
    <mergeCell ref="W46:Z46"/>
    <mergeCell ref="W205:Z205"/>
    <mergeCell ref="W122:Z122"/>
    <mergeCell ref="W64:Z64"/>
    <mergeCell ref="W97:Z97"/>
  </mergeCells>
  <dataValidations count="1">
    <dataValidation type="list" allowBlank="1" showInputMessage="1" showErrorMessage="1" sqref="H3" xr:uid="{9FAE4169-9299-4829-8288-4E713DA69DA6}">
      <formula1>"0,1,2,3"</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A12E-642A-4612-BA85-06B36AE900E3}">
  <sheetPr codeName="Sheet3"/>
  <dimension ref="A1:AP104"/>
  <sheetViews>
    <sheetView zoomScale="85" zoomScaleNormal="85" workbookViewId="0">
      <pane xSplit="7" ySplit="5" topLeftCell="H6" activePane="bottomRight" state="frozen"/>
      <selection pane="topRight" activeCell="H1" sqref="H1"/>
      <selection pane="bottomLeft" activeCell="A6" sqref="A6"/>
      <selection pane="bottomRight" activeCell="AK8" sqref="AK8"/>
    </sheetView>
  </sheetViews>
  <sheetFormatPr defaultColWidth="8.59765625" defaultRowHeight="13.2" outlineLevelCol="1"/>
  <cols>
    <col min="1" max="7" width="8.59765625" style="37"/>
    <col min="8" max="11" width="8.59765625" style="106" hidden="1" customWidth="1" outlineLevel="1"/>
    <col min="12" max="12" width="8.59765625" style="37" collapsed="1"/>
    <col min="13" max="16" width="8.59765625" style="106" hidden="1" customWidth="1" outlineLevel="1"/>
    <col min="17" max="17" width="8.59765625" style="37" collapsed="1"/>
    <col min="18" max="21" width="8.59765625" style="106" hidden="1" customWidth="1" outlineLevel="1"/>
    <col min="22" max="22" width="8.8984375" style="37" bestFit="1" customWidth="1" collapsed="1"/>
    <col min="23" max="26" width="8.59765625" style="106" hidden="1" customWidth="1" outlineLevel="1"/>
    <col min="27" max="27" width="8.8984375" style="37" bestFit="1" customWidth="1" collapsed="1"/>
    <col min="28" max="31" width="8.59765625" style="106" hidden="1" customWidth="1" outlineLevel="1"/>
    <col min="32" max="32" width="8.8984375" style="37" bestFit="1" customWidth="1" collapsed="1"/>
    <col min="33" max="36" width="8.59765625" style="37" customWidth="1" outlineLevel="1"/>
    <col min="37" max="37" width="8.8984375" style="37" bestFit="1" customWidth="1"/>
    <col min="38" max="41" width="8.59765625" style="37" customWidth="1" outlineLevel="1"/>
    <col min="42" max="42" width="8.8984375" style="37" bestFit="1" customWidth="1"/>
    <col min="43" max="16384" width="8.59765625" style="37"/>
  </cols>
  <sheetData>
    <row r="1" spans="1:42" s="31" customFormat="1">
      <c r="A1" s="31" t="s">
        <v>233</v>
      </c>
      <c r="H1" s="105"/>
      <c r="I1" s="105"/>
      <c r="J1" s="105"/>
      <c r="K1" s="105"/>
      <c r="M1" s="105"/>
      <c r="N1" s="105"/>
      <c r="O1" s="105"/>
      <c r="P1" s="105"/>
      <c r="R1" s="105"/>
      <c r="S1" s="105"/>
      <c r="T1" s="105"/>
      <c r="U1" s="105"/>
      <c r="W1" s="105"/>
      <c r="X1" s="105"/>
      <c r="Y1" s="105"/>
      <c r="Z1" s="105"/>
      <c r="AB1" s="105"/>
      <c r="AC1" s="105"/>
      <c r="AD1" s="105"/>
      <c r="AE1" s="105"/>
    </row>
    <row r="2" spans="1:42" s="31" customFormat="1">
      <c r="H2" s="105"/>
      <c r="I2" s="105"/>
      <c r="J2" s="105"/>
      <c r="K2" s="105"/>
      <c r="M2" s="105"/>
      <c r="N2" s="105"/>
      <c r="O2" s="105"/>
      <c r="P2" s="105"/>
      <c r="R2" s="105"/>
      <c r="S2" s="105"/>
      <c r="T2" s="105"/>
      <c r="U2" s="105"/>
      <c r="W2" s="105"/>
      <c r="X2" s="105"/>
      <c r="Y2" s="105"/>
      <c r="Z2" s="105"/>
      <c r="AB2" s="105"/>
      <c r="AC2" s="105"/>
      <c r="AD2" s="105"/>
      <c r="AE2" s="105"/>
    </row>
    <row r="3" spans="1:42" s="31" customFormat="1">
      <c r="A3" s="31" t="s">
        <v>38</v>
      </c>
      <c r="H3" s="105">
        <v>2015</v>
      </c>
      <c r="I3" s="105">
        <f>H3</f>
        <v>2015</v>
      </c>
      <c r="J3" s="105">
        <f t="shared" ref="J3:L3" si="0">I3</f>
        <v>2015</v>
      </c>
      <c r="K3" s="105">
        <f t="shared" si="0"/>
        <v>2015</v>
      </c>
      <c r="L3" s="31">
        <f t="shared" si="0"/>
        <v>2015</v>
      </c>
      <c r="M3" s="105">
        <v>2016</v>
      </c>
      <c r="N3" s="105">
        <f>M3</f>
        <v>2016</v>
      </c>
      <c r="O3" s="105">
        <f t="shared" ref="O3:Q3" si="1">N3</f>
        <v>2016</v>
      </c>
      <c r="P3" s="105">
        <f t="shared" si="1"/>
        <v>2016</v>
      </c>
      <c r="Q3" s="31">
        <f t="shared" si="1"/>
        <v>2016</v>
      </c>
      <c r="R3" s="105">
        <v>2017</v>
      </c>
      <c r="S3" s="105">
        <f>R3</f>
        <v>2017</v>
      </c>
      <c r="T3" s="105">
        <f t="shared" ref="T3:V3" si="2">S3</f>
        <v>2017</v>
      </c>
      <c r="U3" s="105">
        <f t="shared" si="2"/>
        <v>2017</v>
      </c>
      <c r="V3" s="31">
        <f t="shared" si="2"/>
        <v>2017</v>
      </c>
      <c r="W3" s="105">
        <v>2018</v>
      </c>
      <c r="X3" s="105">
        <f>W3</f>
        <v>2018</v>
      </c>
      <c r="Y3" s="105">
        <f t="shared" ref="Y3:AA3" si="3">X3</f>
        <v>2018</v>
      </c>
      <c r="Z3" s="105">
        <f t="shared" si="3"/>
        <v>2018</v>
      </c>
      <c r="AA3" s="31">
        <f t="shared" si="3"/>
        <v>2018</v>
      </c>
      <c r="AB3" s="105">
        <v>2019</v>
      </c>
      <c r="AC3" s="105">
        <f>AB3</f>
        <v>2019</v>
      </c>
      <c r="AD3" s="105">
        <f t="shared" ref="AD3:AF3" si="4">AC3</f>
        <v>2019</v>
      </c>
      <c r="AE3" s="105">
        <f t="shared" si="4"/>
        <v>2019</v>
      </c>
      <c r="AF3" s="31">
        <f t="shared" si="4"/>
        <v>2019</v>
      </c>
      <c r="AG3" s="31">
        <v>2020</v>
      </c>
      <c r="AH3" s="31">
        <f>AG3</f>
        <v>2020</v>
      </c>
      <c r="AI3" s="31">
        <f t="shared" ref="AI3:AK3" si="5">AH3</f>
        <v>2020</v>
      </c>
      <c r="AJ3" s="31">
        <f t="shared" si="5"/>
        <v>2020</v>
      </c>
      <c r="AK3" s="31">
        <f t="shared" si="5"/>
        <v>2020</v>
      </c>
      <c r="AL3" s="31">
        <v>2021</v>
      </c>
      <c r="AM3" s="31">
        <f>AL3</f>
        <v>2021</v>
      </c>
      <c r="AN3" s="31">
        <f t="shared" ref="AN3:AP3" si="6">AM3</f>
        <v>2021</v>
      </c>
      <c r="AO3" s="31">
        <f t="shared" si="6"/>
        <v>2021</v>
      </c>
      <c r="AP3" s="31">
        <f t="shared" si="6"/>
        <v>2021</v>
      </c>
    </row>
    <row r="4" spans="1:42" s="31" customFormat="1">
      <c r="A4" s="31" t="s">
        <v>234</v>
      </c>
      <c r="H4" s="130" t="s">
        <v>235</v>
      </c>
      <c r="I4" s="130" t="s">
        <v>235</v>
      </c>
      <c r="J4" s="130" t="s">
        <v>235</v>
      </c>
      <c r="K4" s="130" t="s">
        <v>235</v>
      </c>
      <c r="L4" s="125" t="s">
        <v>236</v>
      </c>
      <c r="M4" s="130" t="s">
        <v>235</v>
      </c>
      <c r="N4" s="130" t="s">
        <v>235</v>
      </c>
      <c r="O4" s="130" t="s">
        <v>235</v>
      </c>
      <c r="P4" s="130" t="s">
        <v>235</v>
      </c>
      <c r="Q4" s="125" t="s">
        <v>236</v>
      </c>
      <c r="R4" s="130" t="s">
        <v>235</v>
      </c>
      <c r="S4" s="130" t="s">
        <v>235</v>
      </c>
      <c r="T4" s="130" t="s">
        <v>235</v>
      </c>
      <c r="U4" s="130" t="s">
        <v>235</v>
      </c>
      <c r="V4" s="125" t="s">
        <v>236</v>
      </c>
      <c r="W4" s="130" t="s">
        <v>235</v>
      </c>
      <c r="X4" s="130" t="s">
        <v>235</v>
      </c>
      <c r="Y4" s="130" t="s">
        <v>235</v>
      </c>
      <c r="Z4" s="130" t="s">
        <v>235</v>
      </c>
      <c r="AA4" s="125" t="s">
        <v>236</v>
      </c>
      <c r="AB4" s="130" t="s">
        <v>235</v>
      </c>
      <c r="AC4" s="130" t="s">
        <v>235</v>
      </c>
      <c r="AD4" s="130" t="s">
        <v>235</v>
      </c>
      <c r="AE4" s="130" t="s">
        <v>235</v>
      </c>
      <c r="AF4" s="125" t="s">
        <v>236</v>
      </c>
      <c r="AG4" s="125" t="s">
        <v>235</v>
      </c>
      <c r="AH4" s="125" t="s">
        <v>235</v>
      </c>
      <c r="AI4" s="125" t="s">
        <v>235</v>
      </c>
      <c r="AJ4" s="125" t="s">
        <v>235</v>
      </c>
      <c r="AK4" s="125" t="s">
        <v>236</v>
      </c>
      <c r="AL4" s="125" t="s">
        <v>235</v>
      </c>
      <c r="AM4" s="125" t="s">
        <v>235</v>
      </c>
      <c r="AN4" s="125" t="s">
        <v>235</v>
      </c>
      <c r="AO4" s="125" t="s">
        <v>235</v>
      </c>
      <c r="AP4" s="125" t="s">
        <v>236</v>
      </c>
    </row>
    <row r="5" spans="1:42" s="31" customFormat="1">
      <c r="A5" s="31" t="s">
        <v>237</v>
      </c>
      <c r="H5" s="131">
        <v>42094</v>
      </c>
      <c r="I5" s="131">
        <v>42185</v>
      </c>
      <c r="J5" s="131">
        <v>42277</v>
      </c>
      <c r="K5" s="131">
        <v>42369</v>
      </c>
      <c r="L5" s="126">
        <f>K5</f>
        <v>42369</v>
      </c>
      <c r="M5" s="131">
        <v>42460</v>
      </c>
      <c r="N5" s="131">
        <v>42551</v>
      </c>
      <c r="O5" s="131">
        <v>42643</v>
      </c>
      <c r="P5" s="131">
        <v>42735</v>
      </c>
      <c r="Q5" s="126">
        <f>P5</f>
        <v>42735</v>
      </c>
      <c r="R5" s="131">
        <v>42825</v>
      </c>
      <c r="S5" s="131">
        <v>42916</v>
      </c>
      <c r="T5" s="131">
        <v>43008</v>
      </c>
      <c r="U5" s="131">
        <v>43100</v>
      </c>
      <c r="V5" s="126">
        <f>U5</f>
        <v>43100</v>
      </c>
      <c r="W5" s="131">
        <v>43190</v>
      </c>
      <c r="X5" s="131">
        <v>43281</v>
      </c>
      <c r="Y5" s="131">
        <v>43373</v>
      </c>
      <c r="Z5" s="131">
        <v>43465</v>
      </c>
      <c r="AA5" s="126">
        <f>Z5</f>
        <v>43465</v>
      </c>
      <c r="AB5" s="131">
        <v>43555</v>
      </c>
      <c r="AC5" s="131">
        <v>43646</v>
      </c>
      <c r="AD5" s="131">
        <v>43738</v>
      </c>
      <c r="AE5" s="131">
        <v>43830</v>
      </c>
      <c r="AF5" s="126">
        <f>AE5</f>
        <v>43830</v>
      </c>
      <c r="AG5" s="126">
        <v>43921</v>
      </c>
      <c r="AH5" s="126">
        <v>44012</v>
      </c>
      <c r="AI5" s="126">
        <v>44104</v>
      </c>
      <c r="AJ5" s="126">
        <v>44196</v>
      </c>
      <c r="AK5" s="126">
        <f>AJ5</f>
        <v>44196</v>
      </c>
      <c r="AL5" s="126">
        <v>44286</v>
      </c>
      <c r="AM5" s="126">
        <v>44377</v>
      </c>
      <c r="AN5" s="126">
        <v>44469</v>
      </c>
      <c r="AO5" s="126">
        <v>44561</v>
      </c>
      <c r="AP5" s="126">
        <f>AO5</f>
        <v>44561</v>
      </c>
    </row>
    <row r="6" spans="1:42" s="127" customFormat="1">
      <c r="A6" s="36" t="s">
        <v>44</v>
      </c>
      <c r="H6" s="132"/>
      <c r="I6" s="132"/>
      <c r="J6" s="132"/>
      <c r="K6" s="132"/>
      <c r="M6" s="132"/>
      <c r="N6" s="132"/>
      <c r="O6" s="132"/>
      <c r="P6" s="132"/>
      <c r="R6" s="132"/>
      <c r="S6" s="132"/>
      <c r="T6" s="132"/>
      <c r="U6" s="132"/>
      <c r="W6" s="132"/>
      <c r="X6" s="132"/>
      <c r="Y6" s="132"/>
      <c r="Z6" s="132"/>
      <c r="AB6" s="132"/>
      <c r="AC6" s="132"/>
      <c r="AD6" s="132"/>
      <c r="AE6" s="132"/>
    </row>
    <row r="7" spans="1:42">
      <c r="A7" s="36" t="s">
        <v>238</v>
      </c>
    </row>
    <row r="8" spans="1:42">
      <c r="A8" s="36" t="s">
        <v>239</v>
      </c>
    </row>
    <row r="9" spans="1:42">
      <c r="A9" s="36"/>
    </row>
    <row r="10" spans="1:42">
      <c r="A10" s="31" t="s">
        <v>240</v>
      </c>
      <c r="B10" s="31"/>
      <c r="C10" s="31"/>
      <c r="D10" s="31"/>
      <c r="E10" s="31"/>
      <c r="F10" s="31"/>
      <c r="G10" s="31"/>
    </row>
    <row r="11" spans="1:42">
      <c r="A11" s="36"/>
    </row>
    <row r="12" spans="1:42">
      <c r="A12" s="37" t="s">
        <v>47</v>
      </c>
      <c r="H12" s="108">
        <f>SUM(H15,H19)</f>
        <v>63.655999999999999</v>
      </c>
      <c r="I12" s="108">
        <f t="shared" ref="I12:AO12" si="7">SUM(I15,I19)</f>
        <v>63.17</v>
      </c>
      <c r="J12" s="108">
        <f t="shared" si="7"/>
        <v>66.594999999999999</v>
      </c>
      <c r="K12" s="108">
        <f t="shared" si="7"/>
        <v>126.43600000000001</v>
      </c>
      <c r="L12" s="45">
        <f>SUM(H12:K12)</f>
        <v>319.85699999999997</v>
      </c>
      <c r="M12" s="108">
        <f t="shared" si="7"/>
        <v>78.447000000000003</v>
      </c>
      <c r="N12" s="108">
        <f t="shared" si="7"/>
        <v>83.808999999999997</v>
      </c>
      <c r="O12" s="108">
        <f t="shared" si="7"/>
        <v>89.052999999999997</v>
      </c>
      <c r="P12" s="108">
        <f t="shared" si="7"/>
        <v>147.34</v>
      </c>
      <c r="Q12" s="45">
        <f>SUM(M12:P12)</f>
        <v>398.649</v>
      </c>
      <c r="R12" s="108">
        <f t="shared" si="7"/>
        <v>100.1</v>
      </c>
      <c r="S12" s="108">
        <f t="shared" si="7"/>
        <v>99.62700000000001</v>
      </c>
      <c r="T12" s="108">
        <f t="shared" si="7"/>
        <v>124.78200000000001</v>
      </c>
      <c r="U12" s="108">
        <f t="shared" si="7"/>
        <v>188.261</v>
      </c>
      <c r="V12" s="45">
        <f>SUM(R12:U12)</f>
        <v>512.77</v>
      </c>
      <c r="W12" s="108">
        <f t="shared" si="7"/>
        <v>136.57599999999999</v>
      </c>
      <c r="X12" s="108">
        <f t="shared" si="7"/>
        <v>156.81</v>
      </c>
      <c r="Y12" s="108">
        <f t="shared" si="7"/>
        <v>173.381</v>
      </c>
      <c r="Z12" s="108">
        <f t="shared" si="7"/>
        <v>275.73900000000003</v>
      </c>
      <c r="AA12" s="45">
        <f>SUM(W12:Z12)</f>
        <v>742.50599999999997</v>
      </c>
      <c r="AB12" s="108">
        <f t="shared" si="7"/>
        <v>206.66199999999998</v>
      </c>
      <c r="AC12" s="108">
        <f t="shared" si="7"/>
        <v>250.101</v>
      </c>
      <c r="AD12" s="108">
        <f t="shared" si="7"/>
        <v>260.928</v>
      </c>
      <c r="AE12" s="108">
        <f t="shared" si="7"/>
        <v>411.23</v>
      </c>
      <c r="AF12" s="45">
        <f>SUM(AB12:AE12)</f>
        <v>1128.921</v>
      </c>
      <c r="AG12" s="45">
        <f t="shared" si="7"/>
        <v>320.8</v>
      </c>
      <c r="AH12" s="45">
        <f t="shared" si="7"/>
        <v>356.06600000000003</v>
      </c>
      <c r="AI12" s="45">
        <f t="shared" si="7"/>
        <v>451.66300000000001</v>
      </c>
      <c r="AJ12" s="45">
        <f t="shared" si="7"/>
        <v>649.9</v>
      </c>
      <c r="AK12" s="45">
        <f>SUM(AG12:AJ12)</f>
        <v>1778.4290000000001</v>
      </c>
      <c r="AL12" s="45">
        <f t="shared" si="7"/>
        <v>574.18299999999999</v>
      </c>
      <c r="AM12" s="45">
        <f t="shared" si="7"/>
        <v>645.11900000000003</v>
      </c>
      <c r="AN12" s="45">
        <f t="shared" si="7"/>
        <v>679.95299999999997</v>
      </c>
      <c r="AO12" s="45">
        <f t="shared" si="7"/>
        <v>865.32899999999995</v>
      </c>
      <c r="AP12" s="45">
        <f>SUM(AL12:AO12)</f>
        <v>2764.5839999999998</v>
      </c>
    </row>
    <row r="13" spans="1:42">
      <c r="A13" s="56" t="s">
        <v>241</v>
      </c>
      <c r="H13" s="108"/>
      <c r="J13" s="108"/>
      <c r="K13" s="108"/>
      <c r="L13" s="45"/>
      <c r="M13" s="111">
        <f t="shared" ref="M13:AP13" si="8">M12/H12-1</f>
        <v>0.23235830086716103</v>
      </c>
      <c r="N13" s="111">
        <f t="shared" si="8"/>
        <v>0.32672154503720119</v>
      </c>
      <c r="O13" s="111">
        <f t="shared" si="8"/>
        <v>0.33723252496433664</v>
      </c>
      <c r="P13" s="111">
        <f t="shared" si="8"/>
        <v>0.16533265842007028</v>
      </c>
      <c r="Q13" s="57">
        <f t="shared" si="8"/>
        <v>0.24633508098931722</v>
      </c>
      <c r="R13" s="111">
        <f t="shared" si="8"/>
        <v>0.27602075286499161</v>
      </c>
      <c r="S13" s="111">
        <f t="shared" si="8"/>
        <v>0.18873867961674784</v>
      </c>
      <c r="T13" s="111">
        <f t="shared" si="8"/>
        <v>0.40121051508652172</v>
      </c>
      <c r="U13" s="111">
        <f t="shared" si="8"/>
        <v>0.2777317768426768</v>
      </c>
      <c r="V13" s="57">
        <f t="shared" si="8"/>
        <v>0.2862693748134324</v>
      </c>
      <c r="W13" s="111">
        <f t="shared" si="8"/>
        <v>0.36439560439560448</v>
      </c>
      <c r="X13" s="111">
        <f t="shared" si="8"/>
        <v>0.57397091149989454</v>
      </c>
      <c r="Y13" s="111">
        <f t="shared" si="8"/>
        <v>0.38947123783879078</v>
      </c>
      <c r="Z13" s="111">
        <f t="shared" si="8"/>
        <v>0.46466341940178824</v>
      </c>
      <c r="AA13" s="57">
        <f t="shared" si="8"/>
        <v>0.44802933088909258</v>
      </c>
      <c r="AB13" s="111">
        <f t="shared" si="8"/>
        <v>0.51316483130271773</v>
      </c>
      <c r="AC13" s="111">
        <f t="shared" si="8"/>
        <v>0.59493017026975314</v>
      </c>
      <c r="AD13" s="111">
        <f t="shared" si="8"/>
        <v>0.50493998765724046</v>
      </c>
      <c r="AE13" s="111">
        <f t="shared" si="8"/>
        <v>0.49137408926557358</v>
      </c>
      <c r="AF13" s="57">
        <f t="shared" si="8"/>
        <v>0.52042003700980199</v>
      </c>
      <c r="AG13" s="57">
        <f t="shared" si="8"/>
        <v>0.55229311629617461</v>
      </c>
      <c r="AH13" s="57">
        <f t="shared" si="8"/>
        <v>0.42368882971279609</v>
      </c>
      <c r="AI13" s="57">
        <f t="shared" si="8"/>
        <v>0.73098709222467506</v>
      </c>
      <c r="AJ13" s="57">
        <f t="shared" si="8"/>
        <v>0.58038080879313259</v>
      </c>
      <c r="AK13" s="57">
        <f t="shared" si="8"/>
        <v>0.57533520946106953</v>
      </c>
      <c r="AL13" s="57">
        <f t="shared" si="8"/>
        <v>0.78984725685785517</v>
      </c>
      <c r="AM13" s="57">
        <f t="shared" si="8"/>
        <v>0.8117961276841934</v>
      </c>
      <c r="AN13" s="57">
        <f t="shared" si="8"/>
        <v>0.50544321762021682</v>
      </c>
      <c r="AO13" s="57">
        <f t="shared" si="8"/>
        <v>0.33148022772734254</v>
      </c>
      <c r="AP13" s="57">
        <f t="shared" si="8"/>
        <v>0.55450906389853061</v>
      </c>
    </row>
    <row r="14" spans="1:42">
      <c r="A14" s="56" t="s">
        <v>242</v>
      </c>
      <c r="H14" s="108"/>
      <c r="I14" s="111">
        <f>I12/H12-1</f>
        <v>-7.6347869800175161E-3</v>
      </c>
      <c r="J14" s="111">
        <f t="shared" ref="J14:K14" si="9">J12/I12-1</f>
        <v>5.4218774734842379E-2</v>
      </c>
      <c r="K14" s="111">
        <f t="shared" si="9"/>
        <v>0.89858097454763874</v>
      </c>
      <c r="L14" s="57"/>
      <c r="M14" s="111">
        <f>M12/K12-1</f>
        <v>-0.37955170995602516</v>
      </c>
      <c r="N14" s="111">
        <f t="shared" ref="N14:P14" si="10">N12/M12-1</f>
        <v>6.835188088773303E-2</v>
      </c>
      <c r="O14" s="111">
        <f t="shared" si="10"/>
        <v>6.2570845613239667E-2</v>
      </c>
      <c r="P14" s="111">
        <f t="shared" si="10"/>
        <v>0.65452034181891694</v>
      </c>
      <c r="Q14" s="57"/>
      <c r="R14" s="111">
        <f>R12/P12-1</f>
        <v>-0.32061897651689975</v>
      </c>
      <c r="S14" s="111">
        <f t="shared" ref="S14:U14" si="11">S12/R12-1</f>
        <v>-4.7252747252746197E-3</v>
      </c>
      <c r="T14" s="111">
        <f t="shared" si="11"/>
        <v>0.25249179439308622</v>
      </c>
      <c r="U14" s="111">
        <f t="shared" si="11"/>
        <v>0.50871920629577971</v>
      </c>
      <c r="V14" s="57"/>
      <c r="W14" s="111">
        <f>W12/U12-1</f>
        <v>-0.27453907075814965</v>
      </c>
      <c r="X14" s="111">
        <f t="shared" ref="X14:Z14" si="12">X12/W12-1</f>
        <v>0.14815194470477988</v>
      </c>
      <c r="Y14" s="111">
        <f t="shared" si="12"/>
        <v>0.10567565844015059</v>
      </c>
      <c r="Z14" s="111">
        <f t="shared" si="12"/>
        <v>0.59036457281939803</v>
      </c>
      <c r="AA14" s="57"/>
      <c r="AB14" s="111">
        <f>AB12/Z12-1</f>
        <v>-0.25051588639982025</v>
      </c>
      <c r="AC14" s="111">
        <f t="shared" ref="AC14:AE14" si="13">AC12/AB12-1</f>
        <v>0.21019345598126415</v>
      </c>
      <c r="AD14" s="111">
        <f t="shared" si="13"/>
        <v>4.3290510633704038E-2</v>
      </c>
      <c r="AE14" s="111">
        <f t="shared" si="13"/>
        <v>0.57602863625214629</v>
      </c>
      <c r="AF14" s="57"/>
      <c r="AG14" s="57">
        <f>AG12/AE12-1</f>
        <v>-0.21990127179437302</v>
      </c>
      <c r="AH14" s="57">
        <f t="shared" ref="AH14:AJ14" si="14">AH12/AG12-1</f>
        <v>0.10993142144638401</v>
      </c>
      <c r="AI14" s="57">
        <f t="shared" si="14"/>
        <v>0.26848112428594684</v>
      </c>
      <c r="AJ14" s="57">
        <f t="shared" si="14"/>
        <v>0.43890467007481226</v>
      </c>
      <c r="AK14" s="57"/>
      <c r="AL14" s="57">
        <f>AL12/AJ12-1</f>
        <v>-0.11650561624865363</v>
      </c>
      <c r="AM14" s="57">
        <f t="shared" ref="AM14:AO14" si="15">AM12/AL12-1</f>
        <v>0.12354249429188968</v>
      </c>
      <c r="AN14" s="57">
        <f t="shared" si="15"/>
        <v>5.3996239453496075E-2</v>
      </c>
      <c r="AO14" s="57">
        <f t="shared" si="15"/>
        <v>0.27263060829204377</v>
      </c>
      <c r="AP14" s="57"/>
    </row>
    <row r="15" spans="1:42">
      <c r="A15" s="44" t="s">
        <v>48</v>
      </c>
      <c r="H15" s="133">
        <v>8.7870000000000008</v>
      </c>
      <c r="I15" s="133">
        <v>10.233000000000001</v>
      </c>
      <c r="J15" s="133">
        <v>10.731999999999999</v>
      </c>
      <c r="K15" s="133">
        <v>20.128</v>
      </c>
      <c r="L15" s="45">
        <f>SUM(H15:K15)</f>
        <v>49.88</v>
      </c>
      <c r="M15" s="133">
        <v>19.545999999999999</v>
      </c>
      <c r="N15" s="133">
        <v>23.594000000000001</v>
      </c>
      <c r="O15" s="133">
        <v>24.263999999999999</v>
      </c>
      <c r="P15" s="133">
        <v>37.316000000000003</v>
      </c>
      <c r="Q15" s="45">
        <f>SUM(M15:P15)</f>
        <v>104.72</v>
      </c>
      <c r="R15" s="133">
        <v>36.4</v>
      </c>
      <c r="S15" s="133">
        <v>45.975999999999999</v>
      </c>
      <c r="T15" s="133">
        <v>57.527999999999999</v>
      </c>
      <c r="U15" s="133">
        <v>85.436999999999998</v>
      </c>
      <c r="V15" s="45">
        <f>SUM(R15:U15)</f>
        <v>225.34100000000001</v>
      </c>
      <c r="W15" s="133">
        <v>75.076999999999998</v>
      </c>
      <c r="X15" s="133">
        <v>90.340999999999994</v>
      </c>
      <c r="Y15" s="133">
        <v>100.05</v>
      </c>
      <c r="Z15" s="133">
        <v>151.39500000000001</v>
      </c>
      <c r="AA15" s="45">
        <f>SUM(W15:Z15)</f>
        <v>416.86300000000006</v>
      </c>
      <c r="AB15" s="133">
        <v>134.15299999999999</v>
      </c>
      <c r="AC15" s="133">
        <v>167.68199999999999</v>
      </c>
      <c r="AD15" s="133">
        <v>179.322</v>
      </c>
      <c r="AE15" s="133">
        <v>259.61900000000003</v>
      </c>
      <c r="AF15" s="45">
        <f>SUM(AB15:AE15)</f>
        <v>740.77600000000007</v>
      </c>
      <c r="AG15" s="92">
        <v>232.6</v>
      </c>
      <c r="AH15" s="92">
        <v>244.77</v>
      </c>
      <c r="AI15" s="92">
        <v>319.23099999999999</v>
      </c>
      <c r="AJ15" s="92">
        <v>471.2</v>
      </c>
      <c r="AK15" s="45">
        <f>SUM(AG15:AJ15)</f>
        <v>1267.8009999999999</v>
      </c>
      <c r="AL15" s="92">
        <v>466.52600000000001</v>
      </c>
      <c r="AM15" s="92">
        <v>532.303</v>
      </c>
      <c r="AN15" s="92">
        <v>582.51400000000001</v>
      </c>
      <c r="AO15" s="92">
        <v>703.58199999999999</v>
      </c>
      <c r="AP15" s="45">
        <f>SUM(AL15:AO15)</f>
        <v>2284.9249999999997</v>
      </c>
    </row>
    <row r="16" spans="1:42">
      <c r="A16" s="69" t="s">
        <v>241</v>
      </c>
      <c r="H16" s="108"/>
      <c r="J16" s="108"/>
      <c r="K16" s="108"/>
      <c r="L16" s="45"/>
      <c r="M16" s="111">
        <f t="shared" ref="M16:AP16" si="16">M15/H15-1</f>
        <v>1.224422442244224</v>
      </c>
      <c r="N16" s="111">
        <f t="shared" si="16"/>
        <v>1.3056777093716407</v>
      </c>
      <c r="O16" s="111">
        <f t="shared" si="16"/>
        <v>1.2609019754006709</v>
      </c>
      <c r="P16" s="111">
        <f t="shared" si="16"/>
        <v>0.85393481717011133</v>
      </c>
      <c r="Q16" s="57">
        <f t="shared" si="16"/>
        <v>1.09943865276664</v>
      </c>
      <c r="R16" s="111">
        <f t="shared" si="16"/>
        <v>0.86227361096899613</v>
      </c>
      <c r="S16" s="111">
        <f t="shared" si="16"/>
        <v>0.94863100788335997</v>
      </c>
      <c r="T16" s="111">
        <f t="shared" si="16"/>
        <v>1.370919881305638</v>
      </c>
      <c r="U16" s="111">
        <f t="shared" si="16"/>
        <v>1.2895540786793864</v>
      </c>
      <c r="V16" s="57">
        <f t="shared" si="16"/>
        <v>1.1518430099312451</v>
      </c>
      <c r="W16" s="111">
        <f t="shared" si="16"/>
        <v>1.062554945054945</v>
      </c>
      <c r="X16" s="111">
        <f t="shared" si="16"/>
        <v>0.96495997911954046</v>
      </c>
      <c r="Y16" s="111">
        <f t="shared" si="16"/>
        <v>0.73915310805173129</v>
      </c>
      <c r="Z16" s="111">
        <f t="shared" si="16"/>
        <v>0.77200744408160427</v>
      </c>
      <c r="AA16" s="57">
        <f t="shared" si="16"/>
        <v>0.84992078671879523</v>
      </c>
      <c r="AB16" s="111">
        <f t="shared" si="16"/>
        <v>0.78687214459821253</v>
      </c>
      <c r="AC16" s="111">
        <f t="shared" si="16"/>
        <v>0.85610077373507054</v>
      </c>
      <c r="AD16" s="111">
        <f t="shared" si="16"/>
        <v>0.79232383808095963</v>
      </c>
      <c r="AE16" s="111">
        <f t="shared" si="16"/>
        <v>0.71484527230093464</v>
      </c>
      <c r="AF16" s="57">
        <f t="shared" si="16"/>
        <v>0.7770250657890001</v>
      </c>
      <c r="AG16" s="57">
        <f t="shared" si="16"/>
        <v>0.73384121115442813</v>
      </c>
      <c r="AH16" s="57">
        <f t="shared" si="16"/>
        <v>0.45972734103839419</v>
      </c>
      <c r="AI16" s="57">
        <f t="shared" si="16"/>
        <v>0.78021101705312224</v>
      </c>
      <c r="AJ16" s="57">
        <f t="shared" si="16"/>
        <v>0.814967317492171</v>
      </c>
      <c r="AK16" s="57">
        <f t="shared" si="16"/>
        <v>0.71144988498547446</v>
      </c>
      <c r="AL16" s="57">
        <f t="shared" si="16"/>
        <v>1.0057007738607053</v>
      </c>
      <c r="AM16" s="57">
        <f t="shared" si="16"/>
        <v>1.1747068676716919</v>
      </c>
      <c r="AN16" s="57">
        <f t="shared" si="16"/>
        <v>0.82474133151229045</v>
      </c>
      <c r="AO16" s="57">
        <f t="shared" si="16"/>
        <v>0.49317062818336166</v>
      </c>
      <c r="AP16" s="57">
        <f t="shared" si="16"/>
        <v>0.80227417394370248</v>
      </c>
    </row>
    <row r="17" spans="1:42">
      <c r="A17" s="69" t="s">
        <v>242</v>
      </c>
      <c r="H17" s="108"/>
      <c r="I17" s="111">
        <f>I15/H15-1</f>
        <v>0.16456128371457823</v>
      </c>
      <c r="J17" s="111">
        <f t="shared" ref="J17:AO17" si="17">J15/I15-1</f>
        <v>4.8763803381217441E-2</v>
      </c>
      <c r="K17" s="111">
        <f t="shared" si="17"/>
        <v>0.87551248602310849</v>
      </c>
      <c r="L17" s="57"/>
      <c r="M17" s="111">
        <f>M15/K15-1</f>
        <v>-2.8914944356120853E-2</v>
      </c>
      <c r="N17" s="111">
        <f t="shared" si="17"/>
        <v>0.20710119717589293</v>
      </c>
      <c r="O17" s="111">
        <f t="shared" si="17"/>
        <v>2.839705009748239E-2</v>
      </c>
      <c r="P17" s="111">
        <f t="shared" si="17"/>
        <v>0.53791625453346525</v>
      </c>
      <c r="Q17" s="57"/>
      <c r="R17" s="111">
        <f>R15/P15-1</f>
        <v>-2.454711115875241E-2</v>
      </c>
      <c r="S17" s="111">
        <f t="shared" si="17"/>
        <v>0.26307692307692321</v>
      </c>
      <c r="T17" s="111">
        <f t="shared" si="17"/>
        <v>0.25126152775361055</v>
      </c>
      <c r="U17" s="111">
        <f t="shared" si="17"/>
        <v>0.4851376720901126</v>
      </c>
      <c r="V17" s="57"/>
      <c r="W17" s="111">
        <f>W15/U15-1</f>
        <v>-0.12125893933541676</v>
      </c>
      <c r="X17" s="111">
        <f t="shared" si="17"/>
        <v>0.20331126709911151</v>
      </c>
      <c r="Y17" s="111">
        <f t="shared" si="17"/>
        <v>0.10747058367740014</v>
      </c>
      <c r="Z17" s="111">
        <f t="shared" si="17"/>
        <v>0.51319340329835095</v>
      </c>
      <c r="AA17" s="57"/>
      <c r="AB17" s="111">
        <f>AB15/Z15-1</f>
        <v>-0.11388751279764864</v>
      </c>
      <c r="AC17" s="111">
        <f t="shared" si="17"/>
        <v>0.24993104887702855</v>
      </c>
      <c r="AD17" s="111">
        <f t="shared" si="17"/>
        <v>6.9417110960031669E-2</v>
      </c>
      <c r="AE17" s="111">
        <f t="shared" si="17"/>
        <v>0.4477810865370675</v>
      </c>
      <c r="AF17" s="57"/>
      <c r="AG17" s="57">
        <f>AG15/AE15-1</f>
        <v>-0.10407173588990037</v>
      </c>
      <c r="AH17" s="57">
        <f t="shared" si="17"/>
        <v>5.2321582115219423E-2</v>
      </c>
      <c r="AI17" s="57">
        <f t="shared" si="17"/>
        <v>0.30420803203006908</v>
      </c>
      <c r="AJ17" s="57">
        <f t="shared" si="17"/>
        <v>0.47604712574906571</v>
      </c>
      <c r="AK17" s="57"/>
      <c r="AL17" s="57">
        <f>AL15/AJ15-1</f>
        <v>-9.9193548387096486E-3</v>
      </c>
      <c r="AM17" s="57">
        <f t="shared" si="17"/>
        <v>0.14099321366869155</v>
      </c>
      <c r="AN17" s="57">
        <f t="shared" si="17"/>
        <v>9.4327854624152163E-2</v>
      </c>
      <c r="AO17" s="57">
        <f t="shared" si="17"/>
        <v>0.20783706486024367</v>
      </c>
      <c r="AP17" s="57"/>
    </row>
    <row r="18" spans="1:42">
      <c r="A18" s="69" t="s">
        <v>105</v>
      </c>
      <c r="H18" s="111">
        <f>H15/H$12</f>
        <v>0.13803883373130579</v>
      </c>
      <c r="I18" s="111">
        <f t="shared" ref="I18:AO18" si="18">I15/I$12</f>
        <v>0.16199145163843598</v>
      </c>
      <c r="J18" s="111">
        <f t="shared" si="18"/>
        <v>0.16115323973271267</v>
      </c>
      <c r="K18" s="111">
        <f t="shared" si="18"/>
        <v>0.15919516593375305</v>
      </c>
      <c r="L18" s="57">
        <f t="shared" si="18"/>
        <v>0.15594468778235276</v>
      </c>
      <c r="M18" s="111">
        <f t="shared" si="18"/>
        <v>0.24916185450049075</v>
      </c>
      <c r="N18" s="111">
        <f t="shared" si="18"/>
        <v>0.28152107768855378</v>
      </c>
      <c r="O18" s="111">
        <f t="shared" si="18"/>
        <v>0.27246695787901587</v>
      </c>
      <c r="P18" s="111">
        <f t="shared" si="18"/>
        <v>0.25326455816478893</v>
      </c>
      <c r="Q18" s="57">
        <f t="shared" ref="Q18" si="19">Q15/Q$12</f>
        <v>0.26268722610617362</v>
      </c>
      <c r="R18" s="111">
        <f t="shared" si="18"/>
        <v>0.36363636363636365</v>
      </c>
      <c r="S18" s="111">
        <f t="shared" si="18"/>
        <v>0.46148132534353131</v>
      </c>
      <c r="T18" s="111">
        <f t="shared" si="18"/>
        <v>0.46102803288935901</v>
      </c>
      <c r="U18" s="111">
        <f t="shared" si="18"/>
        <v>0.45382208742118652</v>
      </c>
      <c r="V18" s="57">
        <f t="shared" si="18"/>
        <v>0.43945823663630873</v>
      </c>
      <c r="W18" s="111">
        <f t="shared" si="18"/>
        <v>0.54970858716026239</v>
      </c>
      <c r="X18" s="111">
        <f t="shared" si="18"/>
        <v>0.5761175945411644</v>
      </c>
      <c r="Y18" s="111">
        <f t="shared" si="18"/>
        <v>0.57705284892808317</v>
      </c>
      <c r="Z18" s="111">
        <f t="shared" si="18"/>
        <v>0.54905182074352921</v>
      </c>
      <c r="AA18" s="57">
        <f t="shared" ref="AA18" si="20">AA15/AA$12</f>
        <v>0.56142711304689807</v>
      </c>
      <c r="AB18" s="111">
        <f t="shared" si="18"/>
        <v>0.64914207740174779</v>
      </c>
      <c r="AC18" s="111">
        <f t="shared" si="18"/>
        <v>0.67045713531733175</v>
      </c>
      <c r="AD18" s="111">
        <f t="shared" si="18"/>
        <v>0.6872470566593083</v>
      </c>
      <c r="AE18" s="111">
        <f t="shared" si="18"/>
        <v>0.63132310385915424</v>
      </c>
      <c r="AF18" s="57">
        <f t="shared" ref="AF18" si="21">AF15/AF$12</f>
        <v>0.6561805476202498</v>
      </c>
      <c r="AG18" s="57">
        <f t="shared" si="18"/>
        <v>0.72506234413965087</v>
      </c>
      <c r="AH18" s="57">
        <f t="shared" si="18"/>
        <v>0.6874287351221402</v>
      </c>
      <c r="AI18" s="57">
        <f t="shared" si="18"/>
        <v>0.70679023962556153</v>
      </c>
      <c r="AJ18" s="57">
        <f t="shared" si="18"/>
        <v>0.72503462071087865</v>
      </c>
      <c r="AK18" s="57">
        <f t="shared" ref="AK18" si="22">AK15/AK$12</f>
        <v>0.7128769267707622</v>
      </c>
      <c r="AL18" s="57">
        <f t="shared" si="18"/>
        <v>0.81250402746162809</v>
      </c>
      <c r="AM18" s="57">
        <f t="shared" si="18"/>
        <v>0.8251237368609512</v>
      </c>
      <c r="AN18" s="57">
        <f t="shared" si="18"/>
        <v>0.85669744820597904</v>
      </c>
      <c r="AO18" s="57">
        <f t="shared" si="18"/>
        <v>0.81308034285225628</v>
      </c>
      <c r="AP18" s="57">
        <f t="shared" ref="AP18" si="23">AP15/AP$12</f>
        <v>0.82649867032435975</v>
      </c>
    </row>
    <row r="19" spans="1:42">
      <c r="A19" s="44" t="s">
        <v>53</v>
      </c>
      <c r="H19" s="133">
        <v>54.869</v>
      </c>
      <c r="I19" s="133">
        <v>52.936999999999998</v>
      </c>
      <c r="J19" s="133">
        <v>55.863</v>
      </c>
      <c r="K19" s="133">
        <v>106.30800000000001</v>
      </c>
      <c r="L19" s="45">
        <f>SUM(H19:K19)</f>
        <v>269.97699999999998</v>
      </c>
      <c r="M19" s="133">
        <v>58.901000000000003</v>
      </c>
      <c r="N19" s="133">
        <v>60.215000000000003</v>
      </c>
      <c r="O19" s="133">
        <v>64.789000000000001</v>
      </c>
      <c r="P19" s="133">
        <v>110.024</v>
      </c>
      <c r="Q19" s="45">
        <f>SUM(M19:P19)</f>
        <v>293.92900000000003</v>
      </c>
      <c r="R19" s="133">
        <v>63.7</v>
      </c>
      <c r="S19" s="133">
        <v>53.651000000000003</v>
      </c>
      <c r="T19" s="133">
        <v>67.254000000000005</v>
      </c>
      <c r="U19" s="133">
        <v>102.824</v>
      </c>
      <c r="V19" s="45">
        <f>SUM(R19:U19)</f>
        <v>287.42900000000003</v>
      </c>
      <c r="W19" s="133">
        <v>61.499000000000002</v>
      </c>
      <c r="X19" s="133">
        <v>66.468999999999994</v>
      </c>
      <c r="Y19" s="133">
        <v>73.331000000000003</v>
      </c>
      <c r="Z19" s="133">
        <v>124.34399999999999</v>
      </c>
      <c r="AA19" s="45">
        <f>SUM(W19:Z19)</f>
        <v>325.64299999999997</v>
      </c>
      <c r="AB19" s="133">
        <v>72.509</v>
      </c>
      <c r="AC19" s="133">
        <v>82.418999999999997</v>
      </c>
      <c r="AD19" s="133">
        <v>81.605999999999995</v>
      </c>
      <c r="AE19" s="133">
        <v>151.61099999999999</v>
      </c>
      <c r="AF19" s="45">
        <f>SUM(AB19:AE19)</f>
        <v>388.14499999999998</v>
      </c>
      <c r="AG19" s="92">
        <v>88.2</v>
      </c>
      <c r="AH19" s="92">
        <v>111.29600000000001</v>
      </c>
      <c r="AI19" s="92">
        <v>132.43199999999999</v>
      </c>
      <c r="AJ19" s="92">
        <v>178.7</v>
      </c>
      <c r="AK19" s="45">
        <f>SUM(AG19:AJ19)</f>
        <v>510.62799999999999</v>
      </c>
      <c r="AL19" s="92">
        <v>107.657</v>
      </c>
      <c r="AM19" s="92">
        <v>112.816</v>
      </c>
      <c r="AN19" s="92">
        <v>97.438999999999993</v>
      </c>
      <c r="AO19" s="92">
        <v>161.74700000000001</v>
      </c>
      <c r="AP19" s="45">
        <f>SUM(AL19:AO19)</f>
        <v>479.65900000000005</v>
      </c>
    </row>
    <row r="20" spans="1:42">
      <c r="A20" s="69" t="s">
        <v>241</v>
      </c>
      <c r="H20" s="108"/>
      <c r="J20" s="108"/>
      <c r="K20" s="108"/>
      <c r="L20" s="45"/>
      <c r="M20" s="111">
        <f>M19/H19-1</f>
        <v>7.3484116714356063E-2</v>
      </c>
      <c r="N20" s="111">
        <f t="shared" ref="N20" si="24">N19/I19-1</f>
        <v>0.1374841793074788</v>
      </c>
      <c r="O20" s="111">
        <f t="shared" ref="O20" si="25">O19/J19-1</f>
        <v>0.15978375669047495</v>
      </c>
      <c r="P20" s="111">
        <f t="shared" ref="P20:Q20" si="26">P19/K19-1</f>
        <v>3.4955036309590959E-2</v>
      </c>
      <c r="Q20" s="57">
        <f t="shared" si="26"/>
        <v>8.8718668627327801E-2</v>
      </c>
      <c r="R20" s="111">
        <f t="shared" ref="R20" si="27">R19/M19-1</f>
        <v>8.1475696507699258E-2</v>
      </c>
      <c r="S20" s="111">
        <f t="shared" ref="S20" si="28">S19/N19-1</f>
        <v>-0.10900938304409202</v>
      </c>
      <c r="T20" s="111">
        <f t="shared" ref="T20" si="29">T19/O19-1</f>
        <v>3.8046581981509231E-2</v>
      </c>
      <c r="U20" s="111">
        <f t="shared" ref="U20:V20" si="30">U19/P19-1</f>
        <v>-6.5440267577983047E-2</v>
      </c>
      <c r="V20" s="57">
        <f t="shared" si="30"/>
        <v>-2.211418403764176E-2</v>
      </c>
      <c r="W20" s="111">
        <f t="shared" ref="W20" si="31">W19/R19-1</f>
        <v>-3.455259026687596E-2</v>
      </c>
      <c r="X20" s="111">
        <f t="shared" ref="X20" si="32">X19/S19-1</f>
        <v>0.23891446571359332</v>
      </c>
      <c r="Y20" s="111">
        <f t="shared" ref="Y20" si="33">Y19/T19-1</f>
        <v>9.0358937758348912E-2</v>
      </c>
      <c r="Z20" s="111">
        <f t="shared" ref="Z20:AA20" si="34">Z19/U19-1</f>
        <v>0.20928966000155613</v>
      </c>
      <c r="AA20" s="57">
        <f t="shared" si="34"/>
        <v>0.13295109400930305</v>
      </c>
      <c r="AB20" s="111">
        <f t="shared" ref="AB20" si="35">AB19/W19-1</f>
        <v>0.179027301256931</v>
      </c>
      <c r="AC20" s="111">
        <f t="shared" ref="AC20" si="36">AC19/X19-1</f>
        <v>0.2399614858054131</v>
      </c>
      <c r="AD20" s="111">
        <f t="shared" ref="AD20" si="37">AD19/Y19-1</f>
        <v>0.11284449959771425</v>
      </c>
      <c r="AE20" s="111">
        <f t="shared" ref="AE20:AF20" si="38">AE19/Z19-1</f>
        <v>0.21928681721675347</v>
      </c>
      <c r="AF20" s="57">
        <f t="shared" si="38"/>
        <v>0.19193411189554199</v>
      </c>
      <c r="AG20" s="57">
        <f t="shared" ref="AG20" si="39">AG19/AB19-1</f>
        <v>0.21640072266891019</v>
      </c>
      <c r="AH20" s="57">
        <f t="shared" ref="AH20" si="40">AH19/AC19-1</f>
        <v>0.35036824033293312</v>
      </c>
      <c r="AI20" s="57">
        <f t="shared" ref="AI20" si="41">AI19/AD19-1</f>
        <v>0.62282185133446055</v>
      </c>
      <c r="AJ20" s="57">
        <f t="shared" ref="AJ20:AK20" si="42">AJ19/AE19-1</f>
        <v>0.17867437059316282</v>
      </c>
      <c r="AK20" s="57">
        <f t="shared" si="42"/>
        <v>0.31555990673588474</v>
      </c>
      <c r="AL20" s="57">
        <f t="shared" ref="AL20" si="43">AL19/AG19-1</f>
        <v>0.22060090702947832</v>
      </c>
      <c r="AM20" s="57">
        <f t="shared" ref="AM20" si="44">AM19/AH19-1</f>
        <v>1.3657274295572064E-2</v>
      </c>
      <c r="AN20" s="57">
        <f t="shared" ref="AN20" si="45">AN19/AI19-1</f>
        <v>-0.26423371994684064</v>
      </c>
      <c r="AO20" s="57">
        <f t="shared" ref="AO20:AP20" si="46">AO19/AJ19-1</f>
        <v>-9.486849468382752E-2</v>
      </c>
      <c r="AP20" s="57">
        <f t="shared" si="46"/>
        <v>-6.0648848085102958E-2</v>
      </c>
    </row>
    <row r="21" spans="1:42">
      <c r="A21" s="69" t="s">
        <v>242</v>
      </c>
      <c r="H21" s="108"/>
      <c r="I21" s="111">
        <f>I19/H19-1</f>
        <v>-3.5211139258962243E-2</v>
      </c>
      <c r="J21" s="111">
        <f t="shared" ref="J21:AO21" si="47">J19/I19-1</f>
        <v>5.527324933411415E-2</v>
      </c>
      <c r="K21" s="111">
        <f t="shared" si="47"/>
        <v>0.90301272756565187</v>
      </c>
      <c r="L21" s="57"/>
      <c r="M21" s="111">
        <f>M19/K19-1</f>
        <v>-0.4459400985814802</v>
      </c>
      <c r="N21" s="111">
        <f t="shared" si="47"/>
        <v>2.2308619548055297E-2</v>
      </c>
      <c r="O21" s="111">
        <f t="shared" si="47"/>
        <v>7.5961139251017107E-2</v>
      </c>
      <c r="P21" s="111">
        <f t="shared" si="47"/>
        <v>0.69818950747812125</v>
      </c>
      <c r="Q21" s="57"/>
      <c r="R21" s="111">
        <f>R19/P19-1</f>
        <v>-0.42103541045590054</v>
      </c>
      <c r="S21" s="111">
        <f t="shared" si="47"/>
        <v>-0.15775510204081633</v>
      </c>
      <c r="T21" s="111">
        <f t="shared" si="47"/>
        <v>0.25354606624294052</v>
      </c>
      <c r="U21" s="111">
        <f t="shared" si="47"/>
        <v>0.52889047491598995</v>
      </c>
      <c r="V21" s="57"/>
      <c r="W21" s="111">
        <f>W19/U19-1</f>
        <v>-0.40190033455224461</v>
      </c>
      <c r="X21" s="111">
        <f t="shared" si="47"/>
        <v>8.0814322184100451E-2</v>
      </c>
      <c r="Y21" s="111">
        <f t="shared" si="47"/>
        <v>0.10323609502173969</v>
      </c>
      <c r="Z21" s="111">
        <f t="shared" si="47"/>
        <v>0.69565395262576524</v>
      </c>
      <c r="AA21" s="57"/>
      <c r="AB21" s="111">
        <f>AB19/Z19-1</f>
        <v>-0.41686772180402754</v>
      </c>
      <c r="AC21" s="111">
        <f t="shared" si="47"/>
        <v>0.13667268890758377</v>
      </c>
      <c r="AD21" s="111">
        <f t="shared" si="47"/>
        <v>-9.8642303352383109E-3</v>
      </c>
      <c r="AE21" s="111">
        <f t="shared" si="47"/>
        <v>0.85784133519594152</v>
      </c>
      <c r="AF21" s="57"/>
      <c r="AG21" s="57">
        <f>AG19/AE19-1</f>
        <v>-0.41824801630488551</v>
      </c>
      <c r="AH21" s="57">
        <f t="shared" si="47"/>
        <v>0.26185941043083893</v>
      </c>
      <c r="AI21" s="57">
        <f t="shared" si="47"/>
        <v>0.18990799309948225</v>
      </c>
      <c r="AJ21" s="57">
        <f t="shared" si="47"/>
        <v>0.34937175305062218</v>
      </c>
      <c r="AK21" s="57"/>
      <c r="AL21" s="57">
        <f>AL19/AJ19-1</f>
        <v>-0.39755456071628426</v>
      </c>
      <c r="AM21" s="57">
        <f t="shared" si="47"/>
        <v>4.7920711147440453E-2</v>
      </c>
      <c r="AN21" s="57">
        <f t="shared" si="47"/>
        <v>-0.13630158842717355</v>
      </c>
      <c r="AO21" s="57">
        <f t="shared" si="47"/>
        <v>0.65998214267387834</v>
      </c>
      <c r="AP21" s="57"/>
    </row>
    <row r="22" spans="1:42">
      <c r="A22" s="69" t="s">
        <v>105</v>
      </c>
      <c r="H22" s="111">
        <f>H19/H$12</f>
        <v>0.86196116626869423</v>
      </c>
      <c r="I22" s="111">
        <f t="shared" ref="I22:AO22" si="48">I19/I$12</f>
        <v>0.83800854836156402</v>
      </c>
      <c r="J22" s="111">
        <f t="shared" si="48"/>
        <v>0.83884676026728733</v>
      </c>
      <c r="K22" s="111">
        <f t="shared" si="48"/>
        <v>0.84080483406624695</v>
      </c>
      <c r="L22" s="57">
        <f t="shared" si="48"/>
        <v>0.84405531221764729</v>
      </c>
      <c r="M22" s="111">
        <f t="shared" si="48"/>
        <v>0.75083814549950922</v>
      </c>
      <c r="N22" s="111">
        <f t="shared" si="48"/>
        <v>0.71847892231144628</v>
      </c>
      <c r="O22" s="111">
        <f t="shared" si="48"/>
        <v>0.72753304212098413</v>
      </c>
      <c r="P22" s="111">
        <f t="shared" si="48"/>
        <v>0.74673544183521101</v>
      </c>
      <c r="Q22" s="57">
        <f t="shared" ref="Q22" si="49">Q19/Q$12</f>
        <v>0.73731277389382643</v>
      </c>
      <c r="R22" s="111">
        <f t="shared" si="48"/>
        <v>0.63636363636363646</v>
      </c>
      <c r="S22" s="111">
        <f t="shared" si="48"/>
        <v>0.53851867465646863</v>
      </c>
      <c r="T22" s="111">
        <f t="shared" si="48"/>
        <v>0.53897196711064099</v>
      </c>
      <c r="U22" s="111">
        <f t="shared" si="48"/>
        <v>0.54617791257881343</v>
      </c>
      <c r="V22" s="57">
        <f t="shared" si="48"/>
        <v>0.56054176336369144</v>
      </c>
      <c r="W22" s="111">
        <f t="shared" si="48"/>
        <v>0.45029141283973761</v>
      </c>
      <c r="X22" s="111">
        <f t="shared" si="48"/>
        <v>0.42388240545883549</v>
      </c>
      <c r="Y22" s="111">
        <f t="shared" si="48"/>
        <v>0.42294715107191677</v>
      </c>
      <c r="Z22" s="111">
        <f t="shared" si="48"/>
        <v>0.45094817925647074</v>
      </c>
      <c r="AA22" s="57">
        <f t="shared" ref="AA22" si="50">AA19/AA$12</f>
        <v>0.43857288695310204</v>
      </c>
      <c r="AB22" s="111">
        <f t="shared" si="48"/>
        <v>0.35085792259825227</v>
      </c>
      <c r="AC22" s="111">
        <f t="shared" si="48"/>
        <v>0.32954286468266819</v>
      </c>
      <c r="AD22" s="111">
        <f t="shared" si="48"/>
        <v>0.31275294334069165</v>
      </c>
      <c r="AE22" s="111">
        <f t="shared" si="48"/>
        <v>0.3686768961408457</v>
      </c>
      <c r="AF22" s="57">
        <f t="shared" ref="AF22" si="51">AF19/AF$12</f>
        <v>0.3438194523797502</v>
      </c>
      <c r="AG22" s="57">
        <f t="shared" si="48"/>
        <v>0.27493765586034913</v>
      </c>
      <c r="AH22" s="57">
        <f t="shared" si="48"/>
        <v>0.31257126487785969</v>
      </c>
      <c r="AI22" s="57">
        <f t="shared" si="48"/>
        <v>0.29320976037443841</v>
      </c>
      <c r="AJ22" s="57">
        <f t="shared" si="48"/>
        <v>0.2749653792891214</v>
      </c>
      <c r="AK22" s="57">
        <f t="shared" ref="AK22" si="52">AK19/AK$12</f>
        <v>0.28712307322923769</v>
      </c>
      <c r="AL22" s="57">
        <f t="shared" si="48"/>
        <v>0.18749597253837191</v>
      </c>
      <c r="AM22" s="57">
        <f t="shared" si="48"/>
        <v>0.17487626313904875</v>
      </c>
      <c r="AN22" s="57">
        <f t="shared" si="48"/>
        <v>0.14330255179402104</v>
      </c>
      <c r="AO22" s="57">
        <f t="shared" si="48"/>
        <v>0.18691965714774383</v>
      </c>
      <c r="AP22" s="57">
        <f t="shared" ref="AP22" si="53">AP19/AP$12</f>
        <v>0.17350132967564019</v>
      </c>
    </row>
    <row r="24" spans="1:42">
      <c r="A24" s="37" t="s">
        <v>243</v>
      </c>
      <c r="H24" s="108">
        <f>SUM(H25,H26,H27)</f>
        <v>-45.972000000000001</v>
      </c>
      <c r="I24" s="108">
        <f t="shared" ref="I24:AO24" si="54">SUM(I25,I26,I27)</f>
        <v>-43.314999999999998</v>
      </c>
      <c r="J24" s="108">
        <f t="shared" si="54"/>
        <v>-49.116</v>
      </c>
      <c r="K24" s="108">
        <f t="shared" si="54"/>
        <v>-91.531999999999996</v>
      </c>
      <c r="L24" s="45">
        <f>SUM(H24:K24)</f>
        <v>-229.935</v>
      </c>
      <c r="M24" s="108">
        <f t="shared" si="54"/>
        <v>-53.106000000000002</v>
      </c>
      <c r="N24" s="108">
        <f t="shared" si="54"/>
        <v>-58.657999999999994</v>
      </c>
      <c r="O24" s="108">
        <f t="shared" si="54"/>
        <v>-62.91</v>
      </c>
      <c r="P24" s="108">
        <f t="shared" si="54"/>
        <v>-102.57000000000001</v>
      </c>
      <c r="Q24" s="45">
        <f>SUM(M24:P24)</f>
        <v>-277.24399999999997</v>
      </c>
      <c r="R24" s="108">
        <f t="shared" si="54"/>
        <v>-61.195999999999998</v>
      </c>
      <c r="S24" s="108">
        <f t="shared" si="54"/>
        <v>-61.933</v>
      </c>
      <c r="T24" s="108">
        <f t="shared" si="54"/>
        <v>-74.843999999999994</v>
      </c>
      <c r="U24" s="108">
        <f t="shared" si="54"/>
        <v>-114.73099999999999</v>
      </c>
      <c r="V24" s="45">
        <f>SUM(R24:U24)</f>
        <v>-312.70399999999995</v>
      </c>
      <c r="W24" s="108">
        <f t="shared" si="54"/>
        <v>-73.400999999999996</v>
      </c>
      <c r="X24" s="108">
        <f t="shared" si="54"/>
        <v>-78.971999999999994</v>
      </c>
      <c r="Y24" s="108">
        <f t="shared" si="54"/>
        <v>-94.222999999999999</v>
      </c>
      <c r="Z24" s="108">
        <f t="shared" si="54"/>
        <v>-163.196</v>
      </c>
      <c r="AA24" s="45">
        <f>SUM(W24:Z24)</f>
        <v>-409.79200000000003</v>
      </c>
      <c r="AB24" s="108">
        <f t="shared" si="54"/>
        <v>-105.46899999999998</v>
      </c>
      <c r="AC24" s="108">
        <f t="shared" si="54"/>
        <v>-135.58699999999999</v>
      </c>
      <c r="AD24" s="108">
        <f t="shared" si="54"/>
        <v>-142.04400000000001</v>
      </c>
      <c r="AE24" s="108">
        <f t="shared" si="54"/>
        <v>-249.18300000000002</v>
      </c>
      <c r="AF24" s="45">
        <f>SUM(AB24:AE24)</f>
        <v>-632.28300000000002</v>
      </c>
      <c r="AG24" s="45">
        <f t="shared" si="54"/>
        <v>-179.11600000000001</v>
      </c>
      <c r="AH24" s="45">
        <f t="shared" si="54"/>
        <v>-208.69499999999999</v>
      </c>
      <c r="AI24" s="45">
        <f t="shared" si="54"/>
        <v>-236.27099999999999</v>
      </c>
      <c r="AJ24" s="45">
        <f t="shared" si="54"/>
        <v>-343.80499999999995</v>
      </c>
      <c r="AK24" s="45">
        <f>SUM(AG24:AJ24)</f>
        <v>-967.88699999999994</v>
      </c>
      <c r="AL24" s="45">
        <f t="shared" si="54"/>
        <v>-246.79900000000001</v>
      </c>
      <c r="AM24" s="45">
        <f t="shared" si="54"/>
        <v>-306.37099999999998</v>
      </c>
      <c r="AN24" s="45">
        <f t="shared" si="54"/>
        <v>-315.21699999999998</v>
      </c>
      <c r="AO24" s="45">
        <f t="shared" si="54"/>
        <v>-484.73500000000001</v>
      </c>
      <c r="AP24" s="45">
        <f>SUM(AL24:AO24)</f>
        <v>-1353.1219999999998</v>
      </c>
    </row>
    <row r="25" spans="1:42">
      <c r="A25" s="44" t="s">
        <v>244</v>
      </c>
      <c r="H25" s="133">
        <v>-1.141</v>
      </c>
      <c r="I25" s="133">
        <v>-1.351</v>
      </c>
      <c r="J25" s="133">
        <v>-1.8740000000000001</v>
      </c>
      <c r="K25" s="133">
        <v>-4.2969999999999997</v>
      </c>
      <c r="L25" s="45">
        <f t="shared" ref="L25:L27" si="55">SUM(H25:K25)</f>
        <v>-8.6630000000000003</v>
      </c>
      <c r="M25" s="133">
        <v>-5.2869999999999999</v>
      </c>
      <c r="N25" s="133">
        <v>-7.2619999999999996</v>
      </c>
      <c r="O25" s="133">
        <v>-6.8470000000000004</v>
      </c>
      <c r="P25" s="133">
        <v>-8.3870000000000005</v>
      </c>
      <c r="Q25" s="45">
        <f t="shared" ref="Q25:Q27" si="56">SUM(M25:P25)</f>
        <v>-27.783000000000001</v>
      </c>
      <c r="R25" s="133">
        <v>-8.343</v>
      </c>
      <c r="S25" s="133">
        <v>-11.778</v>
      </c>
      <c r="T25" s="133">
        <v>-12.962</v>
      </c>
      <c r="U25" s="133">
        <v>-21.742999999999999</v>
      </c>
      <c r="V25" s="45">
        <f t="shared" ref="V25:V27" si="57">SUM(R25:U25)</f>
        <v>-54.825999999999993</v>
      </c>
      <c r="W25" s="133">
        <v>-21.666</v>
      </c>
      <c r="X25" s="133">
        <v>-27.327999999999999</v>
      </c>
      <c r="Y25" s="133">
        <v>-29.504000000000001</v>
      </c>
      <c r="Z25" s="133">
        <v>-42.045000000000002</v>
      </c>
      <c r="AA25" s="45">
        <f t="shared" ref="AA25:AA27" si="58">SUM(W25:Z25)</f>
        <v>-120.54300000000001</v>
      </c>
      <c r="AB25" s="133">
        <v>-40.363999999999997</v>
      </c>
      <c r="AC25" s="133">
        <v>-57.98</v>
      </c>
      <c r="AD25" s="133">
        <v>-67.075000000000003</v>
      </c>
      <c r="AE25" s="133">
        <v>-97.236000000000004</v>
      </c>
      <c r="AF25" s="45">
        <f t="shared" ref="AF25:AF27" si="59">SUM(AB25:AE25)</f>
        <v>-262.65499999999997</v>
      </c>
      <c r="AG25" s="92">
        <v>-101.93600000000001</v>
      </c>
      <c r="AH25" s="92">
        <v>-106.324</v>
      </c>
      <c r="AI25" s="92">
        <v>-124.568</v>
      </c>
      <c r="AJ25" s="92">
        <v>-170.3</v>
      </c>
      <c r="AK25" s="45">
        <f t="shared" ref="AK25:AK27" si="60">SUM(AG25:AJ25)</f>
        <v>-503.12799999999999</v>
      </c>
      <c r="AL25" s="92">
        <v>-154.59</v>
      </c>
      <c r="AM25" s="92">
        <v>-187.328</v>
      </c>
      <c r="AN25" s="92">
        <v>-203.989</v>
      </c>
      <c r="AO25" s="92">
        <v>-278.017</v>
      </c>
      <c r="AP25" s="45">
        <f t="shared" ref="AP25:AP27" si="61">SUM(AL25:AO25)</f>
        <v>-823.92399999999998</v>
      </c>
    </row>
    <row r="26" spans="1:42">
      <c r="A26" s="44" t="s">
        <v>245</v>
      </c>
      <c r="H26" s="133">
        <v>-44.866</v>
      </c>
      <c r="I26" s="133">
        <v>-42</v>
      </c>
      <c r="J26" s="133">
        <v>-47.26</v>
      </c>
      <c r="K26" s="133">
        <v>-87.29</v>
      </c>
      <c r="L26" s="45">
        <f t="shared" si="55"/>
        <v>-221.416</v>
      </c>
      <c r="M26" s="133">
        <v>-47.904000000000003</v>
      </c>
      <c r="N26" s="133">
        <v>-51.470999999999997</v>
      </c>
      <c r="O26" s="133">
        <v>-56.155999999999999</v>
      </c>
      <c r="P26" s="133">
        <v>-94.29</v>
      </c>
      <c r="Q26" s="45">
        <f t="shared" si="56"/>
        <v>-249.82100000000003</v>
      </c>
      <c r="R26" s="133">
        <v>-52.91</v>
      </c>
      <c r="S26" s="133">
        <v>-50.212000000000003</v>
      </c>
      <c r="T26" s="133">
        <v>-61.924999999999997</v>
      </c>
      <c r="U26" s="133">
        <v>-93.057000000000002</v>
      </c>
      <c r="V26" s="45">
        <f t="shared" si="57"/>
        <v>-258.10399999999998</v>
      </c>
      <c r="W26" s="133">
        <v>-51.798000000000002</v>
      </c>
      <c r="X26" s="133">
        <v>-51.73</v>
      </c>
      <c r="Y26" s="133">
        <v>-64.884</v>
      </c>
      <c r="Z26" s="133">
        <v>-121.40300000000001</v>
      </c>
      <c r="AA26" s="45">
        <f t="shared" si="58"/>
        <v>-289.815</v>
      </c>
      <c r="AB26" s="133">
        <v>-65.406999999999996</v>
      </c>
      <c r="AC26" s="133">
        <v>-77.912000000000006</v>
      </c>
      <c r="AD26" s="133">
        <v>-75.376000000000005</v>
      </c>
      <c r="AE26" s="133">
        <v>-152.34700000000001</v>
      </c>
      <c r="AF26" s="45">
        <f t="shared" si="59"/>
        <v>-371.04200000000003</v>
      </c>
      <c r="AG26" s="92">
        <v>-77.728999999999999</v>
      </c>
      <c r="AH26" s="92">
        <v>-102.913</v>
      </c>
      <c r="AI26" s="92">
        <v>-112.271</v>
      </c>
      <c r="AJ26" s="92">
        <v>-174.1</v>
      </c>
      <c r="AK26" s="45">
        <f t="shared" si="60"/>
        <v>-467.01300000000003</v>
      </c>
      <c r="AL26" s="92">
        <v>-92.822000000000003</v>
      </c>
      <c r="AM26" s="92">
        <v>-119.52500000000001</v>
      </c>
      <c r="AN26" s="92">
        <v>-112.045</v>
      </c>
      <c r="AO26" s="92">
        <v>-207.66800000000001</v>
      </c>
      <c r="AP26" s="45">
        <f t="shared" si="61"/>
        <v>-532.05999999999995</v>
      </c>
    </row>
    <row r="27" spans="1:42">
      <c r="A27" s="44" t="str">
        <f>"(+) Stock Based Compensation"</f>
        <v>(+) Stock Based Compensation</v>
      </c>
      <c r="H27" s="133">
        <f>(27+8)/1000</f>
        <v>3.5000000000000003E-2</v>
      </c>
      <c r="I27" s="133">
        <f>(27+9)/1000</f>
        <v>3.5999999999999997E-2</v>
      </c>
      <c r="J27" s="133">
        <f>(10+8)/1000</f>
        <v>1.7999999999999999E-2</v>
      </c>
      <c r="K27" s="133">
        <f>(26+29)/1000</f>
        <v>5.5E-2</v>
      </c>
      <c r="L27" s="45">
        <f t="shared" si="55"/>
        <v>0.14400000000000002</v>
      </c>
      <c r="M27" s="133">
        <v>8.5000000000000006E-2</v>
      </c>
      <c r="N27" s="133">
        <v>7.4999999999999997E-2</v>
      </c>
      <c r="O27" s="133">
        <v>9.2999999999999999E-2</v>
      </c>
      <c r="P27" s="133">
        <v>0.107</v>
      </c>
      <c r="Q27" s="45">
        <f t="shared" si="56"/>
        <v>0.36</v>
      </c>
      <c r="R27" s="133">
        <v>5.7000000000000002E-2</v>
      </c>
      <c r="S27" s="133">
        <v>5.7000000000000002E-2</v>
      </c>
      <c r="T27" s="133">
        <v>4.2999999999999997E-2</v>
      </c>
      <c r="U27" s="133">
        <v>6.9000000000000006E-2</v>
      </c>
      <c r="V27" s="45">
        <f t="shared" si="57"/>
        <v>0.22600000000000001</v>
      </c>
      <c r="W27" s="133">
        <v>6.3E-2</v>
      </c>
      <c r="X27" s="133">
        <v>8.5999999999999993E-2</v>
      </c>
      <c r="Y27" s="133">
        <v>0.16500000000000001</v>
      </c>
      <c r="Z27" s="133">
        <v>0.252</v>
      </c>
      <c r="AA27" s="45">
        <f t="shared" si="58"/>
        <v>0.56600000000000006</v>
      </c>
      <c r="AB27" s="133">
        <v>0.30199999999999999</v>
      </c>
      <c r="AC27" s="133">
        <v>0.30499999999999999</v>
      </c>
      <c r="AD27" s="133">
        <v>0.40699999999999997</v>
      </c>
      <c r="AE27" s="133">
        <v>0.4</v>
      </c>
      <c r="AF27" s="45">
        <f t="shared" si="59"/>
        <v>1.4140000000000001</v>
      </c>
      <c r="AG27" s="92">
        <v>0.54900000000000004</v>
      </c>
      <c r="AH27" s="92">
        <v>0.54200000000000004</v>
      </c>
      <c r="AI27" s="92">
        <v>0.56799999999999995</v>
      </c>
      <c r="AJ27" s="92">
        <v>0.59499999999999997</v>
      </c>
      <c r="AK27" s="45">
        <f t="shared" si="60"/>
        <v>2.2540000000000004</v>
      </c>
      <c r="AL27" s="92">
        <v>0.61299999999999999</v>
      </c>
      <c r="AM27" s="92">
        <v>0.48199999999999998</v>
      </c>
      <c r="AN27" s="92">
        <v>0.81699999999999995</v>
      </c>
      <c r="AO27" s="92">
        <v>0.95</v>
      </c>
      <c r="AP27" s="45">
        <f t="shared" si="61"/>
        <v>2.8620000000000001</v>
      </c>
    </row>
    <row r="29" spans="1:42">
      <c r="A29" s="37" t="s">
        <v>246</v>
      </c>
      <c r="H29" s="108">
        <f>H12+H24</f>
        <v>17.683999999999997</v>
      </c>
      <c r="I29" s="108">
        <f t="shared" ref="I29:AO29" si="62">I12+I24</f>
        <v>19.855000000000004</v>
      </c>
      <c r="J29" s="108">
        <f t="shared" si="62"/>
        <v>17.478999999999999</v>
      </c>
      <c r="K29" s="108">
        <f t="shared" si="62"/>
        <v>34.904000000000011</v>
      </c>
      <c r="L29" s="45">
        <f>SUM(H29:K29)</f>
        <v>89.922000000000011</v>
      </c>
      <c r="M29" s="108">
        <f t="shared" si="62"/>
        <v>25.341000000000001</v>
      </c>
      <c r="N29" s="108">
        <f t="shared" si="62"/>
        <v>25.151000000000003</v>
      </c>
      <c r="O29" s="108">
        <f t="shared" si="62"/>
        <v>26.143000000000001</v>
      </c>
      <c r="P29" s="108">
        <f t="shared" si="62"/>
        <v>44.769999999999996</v>
      </c>
      <c r="Q29" s="45">
        <f>SUM(M29:P29)</f>
        <v>121.405</v>
      </c>
      <c r="R29" s="108">
        <f t="shared" si="62"/>
        <v>38.903999999999996</v>
      </c>
      <c r="S29" s="108">
        <f t="shared" si="62"/>
        <v>37.69400000000001</v>
      </c>
      <c r="T29" s="108">
        <f t="shared" si="62"/>
        <v>49.938000000000017</v>
      </c>
      <c r="U29" s="108">
        <f t="shared" si="62"/>
        <v>73.53</v>
      </c>
      <c r="V29" s="45">
        <f>SUM(R29:U29)</f>
        <v>200.06600000000003</v>
      </c>
      <c r="W29" s="108">
        <f t="shared" si="62"/>
        <v>63.174999999999997</v>
      </c>
      <c r="X29" s="108">
        <f t="shared" si="62"/>
        <v>77.838000000000008</v>
      </c>
      <c r="Y29" s="108">
        <f t="shared" si="62"/>
        <v>79.158000000000001</v>
      </c>
      <c r="Z29" s="108">
        <f t="shared" si="62"/>
        <v>112.54300000000003</v>
      </c>
      <c r="AA29" s="45">
        <f>SUM(W29:Z29)</f>
        <v>332.71400000000006</v>
      </c>
      <c r="AB29" s="108">
        <f t="shared" si="62"/>
        <v>101.193</v>
      </c>
      <c r="AC29" s="108">
        <f t="shared" si="62"/>
        <v>114.51400000000001</v>
      </c>
      <c r="AD29" s="108">
        <f t="shared" si="62"/>
        <v>118.88399999999999</v>
      </c>
      <c r="AE29" s="108">
        <f t="shared" si="62"/>
        <v>162.047</v>
      </c>
      <c r="AF29" s="45">
        <f>SUM(AB29:AE29)</f>
        <v>496.63800000000003</v>
      </c>
      <c r="AG29" s="45">
        <f t="shared" si="62"/>
        <v>141.684</v>
      </c>
      <c r="AH29" s="45">
        <f t="shared" si="62"/>
        <v>147.37100000000004</v>
      </c>
      <c r="AI29" s="45">
        <f t="shared" si="62"/>
        <v>215.39200000000002</v>
      </c>
      <c r="AJ29" s="45">
        <f t="shared" si="62"/>
        <v>306.09500000000003</v>
      </c>
      <c r="AK29" s="45">
        <f>SUM(AG29:AJ29)</f>
        <v>810.54200000000014</v>
      </c>
      <c r="AL29" s="45">
        <f t="shared" si="62"/>
        <v>327.38400000000001</v>
      </c>
      <c r="AM29" s="45">
        <f t="shared" si="62"/>
        <v>338.74800000000005</v>
      </c>
      <c r="AN29" s="45">
        <f t="shared" si="62"/>
        <v>364.73599999999999</v>
      </c>
      <c r="AO29" s="45">
        <f t="shared" si="62"/>
        <v>380.59399999999994</v>
      </c>
      <c r="AP29" s="45">
        <f>SUM(AL29:AO29)</f>
        <v>1411.462</v>
      </c>
    </row>
    <row r="30" spans="1:42">
      <c r="A30" s="56" t="s">
        <v>247</v>
      </c>
      <c r="H30" s="111">
        <f>H29/H$12</f>
        <v>0.27780570566796525</v>
      </c>
      <c r="I30" s="111">
        <f t="shared" ref="I30" si="63">I29/I$12</f>
        <v>0.31431059047015997</v>
      </c>
      <c r="J30" s="111">
        <f t="shared" ref="J30" si="64">J29/J$12</f>
        <v>0.26246715218860273</v>
      </c>
      <c r="K30" s="111">
        <f t="shared" ref="K30:L30" si="65">K29/K$12</f>
        <v>0.27606061564744228</v>
      </c>
      <c r="L30" s="57">
        <f t="shared" si="65"/>
        <v>0.28113188080923668</v>
      </c>
      <c r="M30" s="111">
        <f t="shared" ref="M30" si="66">M29/M$12</f>
        <v>0.32303338559791961</v>
      </c>
      <c r="N30" s="111">
        <f t="shared" ref="N30" si="67">N29/N$12</f>
        <v>0.30009903470987609</v>
      </c>
      <c r="O30" s="111">
        <f t="shared" ref="O30" si="68">O29/O$12</f>
        <v>0.29356675238341212</v>
      </c>
      <c r="P30" s="111">
        <f t="shared" ref="P30:Q30" si="69">P29/P$12</f>
        <v>0.30385502918419977</v>
      </c>
      <c r="Q30" s="57">
        <f t="shared" si="69"/>
        <v>0.30454108752310932</v>
      </c>
      <c r="R30" s="111">
        <f t="shared" ref="R30" si="70">R29/R$12</f>
        <v>0.38865134865134865</v>
      </c>
      <c r="S30" s="111">
        <f t="shared" ref="S30" si="71">S29/S$12</f>
        <v>0.37835125016310844</v>
      </c>
      <c r="T30" s="111">
        <f t="shared" ref="T30" si="72">T29/T$12</f>
        <v>0.400201952204645</v>
      </c>
      <c r="U30" s="111">
        <f t="shared" ref="U30:V30" si="73">U29/U$12</f>
        <v>0.39057478713063248</v>
      </c>
      <c r="V30" s="57">
        <f t="shared" si="73"/>
        <v>0.39016713146244913</v>
      </c>
      <c r="W30" s="111">
        <f t="shared" ref="W30" si="74">W29/W$12</f>
        <v>0.46256296860356139</v>
      </c>
      <c r="X30" s="111">
        <f t="shared" ref="X30" si="75">X29/X$12</f>
        <v>0.49638415917352213</v>
      </c>
      <c r="Y30" s="111">
        <f t="shared" ref="Y30" si="76">Y29/Y$12</f>
        <v>0.456555216546219</v>
      </c>
      <c r="Z30" s="111">
        <f t="shared" ref="Z30:AA30" si="77">Z29/Z$12</f>
        <v>0.40815046112446923</v>
      </c>
      <c r="AA30" s="57">
        <f t="shared" si="77"/>
        <v>0.4480960423215436</v>
      </c>
      <c r="AB30" s="111">
        <f t="shared" ref="AB30" si="78">AB29/AB$12</f>
        <v>0.48965460510398628</v>
      </c>
      <c r="AC30" s="111">
        <f t="shared" ref="AC30" si="79">AC29/AC$12</f>
        <v>0.45787102010787645</v>
      </c>
      <c r="AD30" s="111">
        <f t="shared" ref="AD30" si="80">AD29/AD$12</f>
        <v>0.4556199411331861</v>
      </c>
      <c r="AE30" s="111">
        <f t="shared" ref="AE30:AF30" si="81">AE29/AE$12</f>
        <v>0.39405442209955499</v>
      </c>
      <c r="AF30" s="57">
        <f t="shared" si="81"/>
        <v>0.43992272267058546</v>
      </c>
      <c r="AG30" s="57">
        <f t="shared" ref="AG30" si="82">AG29/AG$12</f>
        <v>0.44165835411471321</v>
      </c>
      <c r="AH30" s="57">
        <f t="shared" ref="AH30" si="83">AH29/AH$12</f>
        <v>0.41388675133261821</v>
      </c>
      <c r="AI30" s="57">
        <f t="shared" ref="AI30" si="84">AI29/AI$12</f>
        <v>0.47688652823011851</v>
      </c>
      <c r="AJ30" s="57">
        <f t="shared" ref="AJ30:AK30" si="85">AJ29/AJ$12</f>
        <v>0.47098784428373602</v>
      </c>
      <c r="AK30" s="57">
        <f t="shared" si="85"/>
        <v>0.45576292334414253</v>
      </c>
      <c r="AL30" s="57">
        <f t="shared" ref="AL30" si="86">AL29/AL$12</f>
        <v>0.57017362060527743</v>
      </c>
      <c r="AM30" s="57">
        <f t="shared" ref="AM30" si="87">AM29/AM$12</f>
        <v>0.52509381989989445</v>
      </c>
      <c r="AN30" s="57">
        <f t="shared" ref="AN30" si="88">AN29/AN$12</f>
        <v>0.53641354623040127</v>
      </c>
      <c r="AO30" s="57">
        <f t="shared" ref="AO30:AP30" si="89">AO29/AO$12</f>
        <v>0.43982577724772887</v>
      </c>
      <c r="AP30" s="57">
        <f t="shared" si="89"/>
        <v>0.51055131621972782</v>
      </c>
    </row>
    <row r="31" spans="1:42">
      <c r="A31" s="44" t="s">
        <v>248</v>
      </c>
      <c r="H31" s="108">
        <f>H15+H25</f>
        <v>7.6460000000000008</v>
      </c>
      <c r="I31" s="108">
        <f t="shared" ref="I31:AO31" si="90">I15+I25</f>
        <v>8.8820000000000014</v>
      </c>
      <c r="J31" s="108">
        <f t="shared" si="90"/>
        <v>8.8579999999999988</v>
      </c>
      <c r="K31" s="108">
        <f t="shared" si="90"/>
        <v>15.831</v>
      </c>
      <c r="L31" s="45">
        <f>SUM(H31:K31)</f>
        <v>41.216999999999999</v>
      </c>
      <c r="M31" s="108">
        <f t="shared" si="90"/>
        <v>14.259</v>
      </c>
      <c r="N31" s="108">
        <f t="shared" si="90"/>
        <v>16.332000000000001</v>
      </c>
      <c r="O31" s="108">
        <f t="shared" si="90"/>
        <v>17.416999999999998</v>
      </c>
      <c r="P31" s="108">
        <f t="shared" si="90"/>
        <v>28.929000000000002</v>
      </c>
      <c r="Q31" s="45">
        <f>SUM(M31:P31)</f>
        <v>76.936999999999998</v>
      </c>
      <c r="R31" s="108">
        <f t="shared" si="90"/>
        <v>28.056999999999999</v>
      </c>
      <c r="S31" s="108">
        <f t="shared" si="90"/>
        <v>34.198</v>
      </c>
      <c r="T31" s="108">
        <f t="shared" si="90"/>
        <v>44.566000000000003</v>
      </c>
      <c r="U31" s="108">
        <f t="shared" si="90"/>
        <v>63.694000000000003</v>
      </c>
      <c r="V31" s="45">
        <f>SUM(R31:U31)</f>
        <v>170.51499999999999</v>
      </c>
      <c r="W31" s="108">
        <f t="shared" si="90"/>
        <v>53.411000000000001</v>
      </c>
      <c r="X31" s="108">
        <f t="shared" si="90"/>
        <v>63.012999999999991</v>
      </c>
      <c r="Y31" s="108">
        <f t="shared" si="90"/>
        <v>70.545999999999992</v>
      </c>
      <c r="Z31" s="108">
        <f t="shared" si="90"/>
        <v>109.35000000000001</v>
      </c>
      <c r="AA31" s="45">
        <f>SUM(W31:Z31)</f>
        <v>296.32</v>
      </c>
      <c r="AB31" s="108">
        <f t="shared" si="90"/>
        <v>93.788999999999987</v>
      </c>
      <c r="AC31" s="108">
        <f t="shared" si="90"/>
        <v>109.702</v>
      </c>
      <c r="AD31" s="108">
        <f t="shared" si="90"/>
        <v>112.247</v>
      </c>
      <c r="AE31" s="108">
        <f t="shared" si="90"/>
        <v>162.38300000000004</v>
      </c>
      <c r="AF31" s="45">
        <f>SUM(AB31:AE31)</f>
        <v>478.12100000000004</v>
      </c>
      <c r="AG31" s="45">
        <f t="shared" si="90"/>
        <v>130.66399999999999</v>
      </c>
      <c r="AH31" s="45">
        <f t="shared" si="90"/>
        <v>138.44600000000003</v>
      </c>
      <c r="AI31" s="45">
        <f t="shared" si="90"/>
        <v>194.66300000000001</v>
      </c>
      <c r="AJ31" s="45">
        <f t="shared" si="90"/>
        <v>300.89999999999998</v>
      </c>
      <c r="AK31" s="45">
        <f>SUM(AG31:AJ31)</f>
        <v>764.673</v>
      </c>
      <c r="AL31" s="45">
        <f t="shared" si="90"/>
        <v>311.93600000000004</v>
      </c>
      <c r="AM31" s="45">
        <f t="shared" si="90"/>
        <v>344.97500000000002</v>
      </c>
      <c r="AN31" s="45">
        <f t="shared" si="90"/>
        <v>378.52499999999998</v>
      </c>
      <c r="AO31" s="45">
        <f t="shared" si="90"/>
        <v>425.565</v>
      </c>
      <c r="AP31" s="45">
        <f>SUM(AL31:AO31)</f>
        <v>1461.0010000000002</v>
      </c>
    </row>
    <row r="32" spans="1:42">
      <c r="A32" s="69" t="s">
        <v>249</v>
      </c>
      <c r="H32" s="111">
        <f>H31/H15</f>
        <v>0.87014908387390466</v>
      </c>
      <c r="I32" s="111">
        <f t="shared" ref="I32:AP32" si="91">I31/I15</f>
        <v>0.86797615557510022</v>
      </c>
      <c r="J32" s="111">
        <f t="shared" si="91"/>
        <v>0.82538203503540808</v>
      </c>
      <c r="K32" s="111">
        <f t="shared" si="91"/>
        <v>0.78651629570747217</v>
      </c>
      <c r="L32" s="57">
        <f t="shared" si="91"/>
        <v>0.82632317562149149</v>
      </c>
      <c r="M32" s="111">
        <f t="shared" si="91"/>
        <v>0.72950987414304724</v>
      </c>
      <c r="N32" s="111">
        <f t="shared" si="91"/>
        <v>0.69220988386878024</v>
      </c>
      <c r="O32" s="111">
        <f t="shared" si="91"/>
        <v>0.71781239696669963</v>
      </c>
      <c r="P32" s="111">
        <f t="shared" si="91"/>
        <v>0.77524386322221028</v>
      </c>
      <c r="Q32" s="57">
        <f t="shared" si="91"/>
        <v>0.73469251336898389</v>
      </c>
      <c r="R32" s="111">
        <f t="shared" si="91"/>
        <v>0.77079670329670325</v>
      </c>
      <c r="S32" s="111">
        <f t="shared" si="91"/>
        <v>0.74382286410301024</v>
      </c>
      <c r="T32" s="111">
        <f t="shared" si="91"/>
        <v>0.77468363231817561</v>
      </c>
      <c r="U32" s="111">
        <f t="shared" si="91"/>
        <v>0.74550838629633531</v>
      </c>
      <c r="V32" s="57">
        <f t="shared" si="91"/>
        <v>0.75669762715173883</v>
      </c>
      <c r="W32" s="111">
        <f t="shared" si="91"/>
        <v>0.71141627928659912</v>
      </c>
      <c r="X32" s="111">
        <f t="shared" si="91"/>
        <v>0.69750168804861579</v>
      </c>
      <c r="Y32" s="111">
        <f t="shared" si="91"/>
        <v>0.7051074462768615</v>
      </c>
      <c r="Z32" s="111">
        <f t="shared" si="91"/>
        <v>0.72228277023679777</v>
      </c>
      <c r="AA32" s="57">
        <f t="shared" si="91"/>
        <v>0.71083305546426512</v>
      </c>
      <c r="AB32" s="111">
        <f t="shared" si="91"/>
        <v>0.6991196618786012</v>
      </c>
      <c r="AC32" s="111">
        <f t="shared" si="91"/>
        <v>0.65422645245166444</v>
      </c>
      <c r="AD32" s="111">
        <f t="shared" si="91"/>
        <v>0.62595219772253263</v>
      </c>
      <c r="AE32" s="111">
        <f t="shared" si="91"/>
        <v>0.62546654905842802</v>
      </c>
      <c r="AF32" s="57">
        <f t="shared" si="91"/>
        <v>0.64543262740693541</v>
      </c>
      <c r="AG32" s="57">
        <f t="shared" si="91"/>
        <v>0.56175408426483231</v>
      </c>
      <c r="AH32" s="57">
        <f t="shared" si="91"/>
        <v>0.56561670139314468</v>
      </c>
      <c r="AI32" s="57">
        <f t="shared" si="91"/>
        <v>0.6097872700332988</v>
      </c>
      <c r="AJ32" s="57">
        <f t="shared" si="91"/>
        <v>0.63858234295415961</v>
      </c>
      <c r="AK32" s="57">
        <f t="shared" si="91"/>
        <v>0.60314907465761591</v>
      </c>
      <c r="AL32" s="57">
        <f t="shared" si="91"/>
        <v>0.66863583165782836</v>
      </c>
      <c r="AM32" s="57">
        <f t="shared" si="91"/>
        <v>0.64808013481043691</v>
      </c>
      <c r="AN32" s="57">
        <f t="shared" si="91"/>
        <v>0.64981270836409077</v>
      </c>
      <c r="AO32" s="57">
        <f t="shared" si="91"/>
        <v>0.60485487121614823</v>
      </c>
      <c r="AP32" s="57">
        <f t="shared" si="91"/>
        <v>0.63940873332822756</v>
      </c>
    </row>
    <row r="33" spans="1:42">
      <c r="A33" s="44" t="s">
        <v>250</v>
      </c>
      <c r="H33" s="108">
        <f>H19+H26</f>
        <v>10.003</v>
      </c>
      <c r="I33" s="108">
        <f t="shared" ref="I33:AO33" si="92">I19+I26</f>
        <v>10.936999999999998</v>
      </c>
      <c r="J33" s="108">
        <f t="shared" si="92"/>
        <v>8.6030000000000015</v>
      </c>
      <c r="K33" s="108">
        <f t="shared" si="92"/>
        <v>19.018000000000001</v>
      </c>
      <c r="L33" s="45">
        <f>SUM(H33:K33)</f>
        <v>48.561</v>
      </c>
      <c r="M33" s="108">
        <f t="shared" si="92"/>
        <v>10.997</v>
      </c>
      <c r="N33" s="108">
        <f t="shared" si="92"/>
        <v>8.7440000000000069</v>
      </c>
      <c r="O33" s="108">
        <f t="shared" si="92"/>
        <v>8.6330000000000027</v>
      </c>
      <c r="P33" s="108">
        <f t="shared" si="92"/>
        <v>15.733999999999995</v>
      </c>
      <c r="Q33" s="45">
        <f>SUM(M33:P33)</f>
        <v>44.108000000000004</v>
      </c>
      <c r="R33" s="108">
        <f t="shared" si="92"/>
        <v>10.790000000000006</v>
      </c>
      <c r="S33" s="108">
        <f t="shared" si="92"/>
        <v>3.4390000000000001</v>
      </c>
      <c r="T33" s="108">
        <f t="shared" si="92"/>
        <v>5.3290000000000077</v>
      </c>
      <c r="U33" s="108">
        <f t="shared" si="92"/>
        <v>9.7669999999999959</v>
      </c>
      <c r="V33" s="45">
        <f>SUM(R33:U33)</f>
        <v>29.32500000000001</v>
      </c>
      <c r="W33" s="108">
        <f t="shared" si="92"/>
        <v>9.7010000000000005</v>
      </c>
      <c r="X33" s="108">
        <f t="shared" si="92"/>
        <v>14.738999999999997</v>
      </c>
      <c r="Y33" s="108">
        <f t="shared" si="92"/>
        <v>8.4470000000000027</v>
      </c>
      <c r="Z33" s="108">
        <f t="shared" si="92"/>
        <v>2.9409999999999883</v>
      </c>
      <c r="AA33" s="45">
        <f>SUM(W33:Z33)</f>
        <v>35.827999999999989</v>
      </c>
      <c r="AB33" s="108">
        <f t="shared" si="92"/>
        <v>7.1020000000000039</v>
      </c>
      <c r="AC33" s="108">
        <f t="shared" si="92"/>
        <v>4.5069999999999908</v>
      </c>
      <c r="AD33" s="108">
        <f t="shared" si="92"/>
        <v>6.2299999999999898</v>
      </c>
      <c r="AE33" s="108">
        <f t="shared" si="92"/>
        <v>-0.73600000000001842</v>
      </c>
      <c r="AF33" s="45">
        <f>SUM(AB33:AE33)</f>
        <v>17.102999999999966</v>
      </c>
      <c r="AG33" s="45">
        <f t="shared" si="92"/>
        <v>10.471000000000004</v>
      </c>
      <c r="AH33" s="45">
        <f t="shared" si="92"/>
        <v>8.3830000000000098</v>
      </c>
      <c r="AI33" s="45">
        <f t="shared" si="92"/>
        <v>20.160999999999987</v>
      </c>
      <c r="AJ33" s="45">
        <f t="shared" si="92"/>
        <v>4.5999999999999943</v>
      </c>
      <c r="AK33" s="45">
        <f>SUM(AG33:AJ33)</f>
        <v>43.614999999999995</v>
      </c>
      <c r="AL33" s="45">
        <f t="shared" si="92"/>
        <v>14.834999999999994</v>
      </c>
      <c r="AM33" s="45">
        <f t="shared" si="92"/>
        <v>-6.7090000000000032</v>
      </c>
      <c r="AN33" s="45">
        <f t="shared" si="92"/>
        <v>-14.606000000000009</v>
      </c>
      <c r="AO33" s="45">
        <f t="shared" si="92"/>
        <v>-45.920999999999992</v>
      </c>
      <c r="AP33" s="45">
        <f>SUM(AL33:AO33)</f>
        <v>-52.40100000000001</v>
      </c>
    </row>
    <row r="34" spans="1:42">
      <c r="A34" s="69" t="s">
        <v>251</v>
      </c>
      <c r="H34" s="111">
        <f>H33/H19</f>
        <v>0.18230694927919225</v>
      </c>
      <c r="I34" s="111">
        <f t="shared" ref="I34:AP34" si="93">I33/I19</f>
        <v>0.20660407654381621</v>
      </c>
      <c r="J34" s="111">
        <f t="shared" si="93"/>
        <v>0.15400175429174948</v>
      </c>
      <c r="K34" s="111">
        <f t="shared" si="93"/>
        <v>0.17889528539714791</v>
      </c>
      <c r="L34" s="57">
        <f t="shared" si="93"/>
        <v>0.17987087788959802</v>
      </c>
      <c r="M34" s="111">
        <f t="shared" si="93"/>
        <v>0.18670311200149403</v>
      </c>
      <c r="N34" s="111">
        <f t="shared" si="93"/>
        <v>0.14521298679730973</v>
      </c>
      <c r="O34" s="111">
        <f t="shared" si="93"/>
        <v>0.13324792788899353</v>
      </c>
      <c r="P34" s="111">
        <f t="shared" si="93"/>
        <v>0.14300516250999776</v>
      </c>
      <c r="Q34" s="57">
        <f t="shared" si="93"/>
        <v>0.15006345069727722</v>
      </c>
      <c r="R34" s="111">
        <f t="shared" si="93"/>
        <v>0.1693877551020409</v>
      </c>
      <c r="S34" s="111">
        <f t="shared" si="93"/>
        <v>6.4099457605636428E-2</v>
      </c>
      <c r="T34" s="111">
        <f t="shared" si="93"/>
        <v>7.9236922710916938E-2</v>
      </c>
      <c r="U34" s="111">
        <f t="shared" si="93"/>
        <v>9.4987551544386484E-2</v>
      </c>
      <c r="V34" s="57">
        <f t="shared" si="93"/>
        <v>0.10202519578748145</v>
      </c>
      <c r="W34" s="111">
        <f t="shared" si="93"/>
        <v>0.15774240231548481</v>
      </c>
      <c r="X34" s="111">
        <f t="shared" si="93"/>
        <v>0.22174246641291426</v>
      </c>
      <c r="Y34" s="111">
        <f t="shared" si="93"/>
        <v>0.11519002877364283</v>
      </c>
      <c r="Z34" s="111">
        <f t="shared" si="93"/>
        <v>2.3652126359132636E-2</v>
      </c>
      <c r="AA34" s="57">
        <f t="shared" si="93"/>
        <v>0.1100223250614937</v>
      </c>
      <c r="AB34" s="111">
        <f t="shared" si="93"/>
        <v>9.7946461818532921E-2</v>
      </c>
      <c r="AC34" s="111">
        <f t="shared" si="93"/>
        <v>5.4683992768657604E-2</v>
      </c>
      <c r="AD34" s="111">
        <f t="shared" si="93"/>
        <v>7.6342425802024244E-2</v>
      </c>
      <c r="AE34" s="111">
        <f t="shared" si="93"/>
        <v>-4.8545290249389457E-3</v>
      </c>
      <c r="AF34" s="57">
        <f t="shared" si="93"/>
        <v>4.4063429903772988E-2</v>
      </c>
      <c r="AG34" s="57">
        <f t="shared" si="93"/>
        <v>0.11871882086167804</v>
      </c>
      <c r="AH34" s="57">
        <f t="shared" si="93"/>
        <v>7.5321664749856326E-2</v>
      </c>
      <c r="AI34" s="57">
        <f t="shared" si="93"/>
        <v>0.15223661954814538</v>
      </c>
      <c r="AJ34" s="57">
        <f t="shared" si="93"/>
        <v>2.5741466144376019E-2</v>
      </c>
      <c r="AK34" s="57">
        <f t="shared" si="93"/>
        <v>8.5414430857688961E-2</v>
      </c>
      <c r="AL34" s="57">
        <f t="shared" si="93"/>
        <v>0.13779874973294812</v>
      </c>
      <c r="AM34" s="57">
        <f t="shared" si="93"/>
        <v>-5.946851510424056E-2</v>
      </c>
      <c r="AN34" s="57">
        <f t="shared" si="93"/>
        <v>-0.14989891111361991</v>
      </c>
      <c r="AO34" s="57">
        <f t="shared" si="93"/>
        <v>-0.28390634756749733</v>
      </c>
      <c r="AP34" s="57">
        <f t="shared" si="93"/>
        <v>-0.10924636043522587</v>
      </c>
    </row>
    <row r="36" spans="1:42">
      <c r="A36" s="37" t="s">
        <v>252</v>
      </c>
      <c r="H36" s="108">
        <f>SUM(H37,H39,H40,H42,H43,H45)</f>
        <v>-26.721</v>
      </c>
      <c r="I36" s="108">
        <f t="shared" ref="I36:AO36" si="94">SUM(I37,I39,I40,I42,I43,I45)</f>
        <v>-27.373000000000001</v>
      </c>
      <c r="J36" s="108">
        <f t="shared" si="94"/>
        <v>-31.896000000000001</v>
      </c>
      <c r="K36" s="108">
        <f t="shared" si="94"/>
        <v>-36.199999999999996</v>
      </c>
      <c r="L36" s="45">
        <f>SUM(H36:K36)</f>
        <v>-122.19</v>
      </c>
      <c r="M36" s="108">
        <f t="shared" si="94"/>
        <v>-42.292999999999999</v>
      </c>
      <c r="N36" s="108">
        <f t="shared" si="94"/>
        <v>-36.832999999999998</v>
      </c>
      <c r="O36" s="108">
        <f t="shared" si="94"/>
        <v>-38.233000000000004</v>
      </c>
      <c r="P36" s="108">
        <f t="shared" si="94"/>
        <v>-39.201000000000015</v>
      </c>
      <c r="Q36" s="45">
        <f>SUM(M36:P36)</f>
        <v>-156.56000000000003</v>
      </c>
      <c r="R36" s="108">
        <f t="shared" si="94"/>
        <v>-44.557000000000002</v>
      </c>
      <c r="S36" s="108">
        <f t="shared" si="94"/>
        <v>-48.659000000000006</v>
      </c>
      <c r="T36" s="108">
        <f t="shared" si="94"/>
        <v>-54.906000000000006</v>
      </c>
      <c r="U36" s="108">
        <f t="shared" si="94"/>
        <v>-60.6</v>
      </c>
      <c r="V36" s="45">
        <f>SUM(R36:U36)</f>
        <v>-208.72200000000001</v>
      </c>
      <c r="W36" s="108">
        <f t="shared" si="94"/>
        <v>-65.64800000000001</v>
      </c>
      <c r="X36" s="108">
        <f t="shared" si="94"/>
        <v>-72.661000000000001</v>
      </c>
      <c r="Y36" s="108">
        <f t="shared" si="94"/>
        <v>-79.408000000000001</v>
      </c>
      <c r="Z36" s="108">
        <f t="shared" si="94"/>
        <v>-90.619</v>
      </c>
      <c r="AA36" s="45">
        <f>SUM(W36:Z36)</f>
        <v>-308.33600000000001</v>
      </c>
      <c r="AB36" s="108">
        <f t="shared" si="94"/>
        <v>-94.069000000000003</v>
      </c>
      <c r="AC36" s="108">
        <f t="shared" si="94"/>
        <v>-106.229</v>
      </c>
      <c r="AD36" s="108">
        <f t="shared" si="94"/>
        <v>-122.81499999999997</v>
      </c>
      <c r="AE36" s="108">
        <f t="shared" si="94"/>
        <v>-153.40900000000002</v>
      </c>
      <c r="AF36" s="45">
        <f>SUM(AB36:AE36)</f>
        <v>-476.52199999999993</v>
      </c>
      <c r="AG36" s="45">
        <f t="shared" si="94"/>
        <v>-166.41000000000003</v>
      </c>
      <c r="AH36" s="45">
        <f t="shared" si="94"/>
        <v>-159.55099999999999</v>
      </c>
      <c r="AI36" s="45">
        <f t="shared" si="94"/>
        <v>-168.51499999999999</v>
      </c>
      <c r="AJ36" s="45">
        <f t="shared" si="94"/>
        <v>-202.167</v>
      </c>
      <c r="AK36" s="45">
        <f>SUM(AG36:AJ36)</f>
        <v>-696.64300000000003</v>
      </c>
      <c r="AL36" s="45">
        <f t="shared" si="94"/>
        <v>-211.041</v>
      </c>
      <c r="AM36" s="45">
        <f t="shared" si="94"/>
        <v>-227.11800000000002</v>
      </c>
      <c r="AN36" s="45">
        <f t="shared" si="94"/>
        <v>-245.494</v>
      </c>
      <c r="AO36" s="45">
        <f t="shared" si="94"/>
        <v>-305.17700000000002</v>
      </c>
      <c r="AP36" s="45">
        <f>SUM(AL36:AO36)</f>
        <v>-988.83</v>
      </c>
    </row>
    <row r="37" spans="1:42">
      <c r="A37" s="44" t="s">
        <v>253</v>
      </c>
      <c r="H37" s="133">
        <v>-10.877000000000001</v>
      </c>
      <c r="I37" s="133">
        <v>-11.691000000000001</v>
      </c>
      <c r="J37" s="133">
        <v>-13.493</v>
      </c>
      <c r="K37" s="133">
        <v>-14.407999999999996</v>
      </c>
      <c r="L37" s="45">
        <f>SUM(H37:K37)</f>
        <v>-50.468999999999994</v>
      </c>
      <c r="M37" s="133">
        <v>-20.059000000000001</v>
      </c>
      <c r="N37" s="133">
        <v>-18.411999999999999</v>
      </c>
      <c r="O37" s="133">
        <v>-18.228999999999999</v>
      </c>
      <c r="P37" s="133">
        <v>-19.477000000000011</v>
      </c>
      <c r="Q37" s="45">
        <f>SUM(M37:P37)</f>
        <v>-76.177000000000021</v>
      </c>
      <c r="R37" s="133">
        <v>-22.341999999999999</v>
      </c>
      <c r="S37" s="133">
        <v>-25.776</v>
      </c>
      <c r="T37" s="133">
        <v>-28.532</v>
      </c>
      <c r="U37" s="133">
        <v>-31.295000000000002</v>
      </c>
      <c r="V37" s="45">
        <f>SUM(R37:U37)</f>
        <v>-107.94499999999999</v>
      </c>
      <c r="W37" s="133">
        <v>-34.125999999999998</v>
      </c>
      <c r="X37" s="133">
        <v>-40.195999999999998</v>
      </c>
      <c r="Y37" s="133">
        <v>-45.37</v>
      </c>
      <c r="Z37" s="133">
        <v>-51</v>
      </c>
      <c r="AA37" s="45">
        <f>SUM(W37:Z37)</f>
        <v>-170.69200000000001</v>
      </c>
      <c r="AB37" s="133">
        <v>-55.738</v>
      </c>
      <c r="AC37" s="133">
        <v>-61.994</v>
      </c>
      <c r="AD37" s="133">
        <v>-68.486999999999995</v>
      </c>
      <c r="AE37" s="133">
        <v>-78.792000000000002</v>
      </c>
      <c r="AF37" s="45">
        <f>SUM(AB37:AE37)</f>
        <v>-265.01099999999997</v>
      </c>
      <c r="AG37" s="92">
        <v>-88.278000000000006</v>
      </c>
      <c r="AH37" s="92">
        <v>-84.387</v>
      </c>
      <c r="AI37" s="92">
        <v>-88.388000000000005</v>
      </c>
      <c r="AJ37" s="92">
        <v>-94.7</v>
      </c>
      <c r="AK37" s="45">
        <f>SUM(AG37:AJ37)</f>
        <v>-355.75299999999999</v>
      </c>
      <c r="AL37" s="92">
        <v>-101.581</v>
      </c>
      <c r="AM37" s="92">
        <v>-113.276</v>
      </c>
      <c r="AN37" s="92">
        <v>-120.307</v>
      </c>
      <c r="AO37" s="92">
        <v>-126.438</v>
      </c>
      <c r="AP37" s="45">
        <f>SUM(AL37:AO37)</f>
        <v>-461.60199999999998</v>
      </c>
    </row>
    <row r="38" spans="1:42">
      <c r="A38" s="69" t="s">
        <v>105</v>
      </c>
      <c r="H38" s="111">
        <f>H37/H$12</f>
        <v>-0.17087155963302753</v>
      </c>
      <c r="I38" s="111">
        <f t="shared" ref="I38:AP38" si="95">I37/I$12</f>
        <v>-0.18507202786132659</v>
      </c>
      <c r="J38" s="111">
        <f t="shared" si="95"/>
        <v>-0.20261280876942714</v>
      </c>
      <c r="K38" s="111">
        <f t="shared" si="95"/>
        <v>-0.1139548862665696</v>
      </c>
      <c r="L38" s="57">
        <f t="shared" si="95"/>
        <v>-0.15778613567938171</v>
      </c>
      <c r="M38" s="111">
        <f t="shared" si="95"/>
        <v>-0.255701301515673</v>
      </c>
      <c r="N38" s="111">
        <f t="shared" si="95"/>
        <v>-0.21969000942619527</v>
      </c>
      <c r="O38" s="111">
        <f t="shared" si="95"/>
        <v>-0.20469832571614657</v>
      </c>
      <c r="P38" s="111">
        <f t="shared" si="95"/>
        <v>-0.13219085109271081</v>
      </c>
      <c r="Q38" s="57">
        <f t="shared" si="95"/>
        <v>-0.19108789938015652</v>
      </c>
      <c r="R38" s="111">
        <f t="shared" si="95"/>
        <v>-0.22319680319680318</v>
      </c>
      <c r="S38" s="111">
        <f t="shared" si="95"/>
        <v>-0.2587250444156704</v>
      </c>
      <c r="T38" s="111">
        <f t="shared" si="95"/>
        <v>-0.22865477392572645</v>
      </c>
      <c r="U38" s="111">
        <f t="shared" si="95"/>
        <v>-0.16623198644435119</v>
      </c>
      <c r="V38" s="57">
        <f t="shared" si="95"/>
        <v>-0.21051348557832947</v>
      </c>
      <c r="W38" s="111">
        <f t="shared" si="95"/>
        <v>-0.24986820524835987</v>
      </c>
      <c r="X38" s="111">
        <f t="shared" si="95"/>
        <v>-0.2563356928767298</v>
      </c>
      <c r="Y38" s="111">
        <f t="shared" si="95"/>
        <v>-0.26167803853940164</v>
      </c>
      <c r="Z38" s="111">
        <f t="shared" si="95"/>
        <v>-0.18495751417100953</v>
      </c>
      <c r="AA38" s="57">
        <f t="shared" si="95"/>
        <v>-0.22988635782067757</v>
      </c>
      <c r="AB38" s="111">
        <f t="shared" si="95"/>
        <v>-0.26970609013751928</v>
      </c>
      <c r="AC38" s="111">
        <f t="shared" si="95"/>
        <v>-0.24787585815330607</v>
      </c>
      <c r="AD38" s="111">
        <f t="shared" si="95"/>
        <v>-0.26247470566593084</v>
      </c>
      <c r="AE38" s="111">
        <f t="shared" si="95"/>
        <v>-0.19160080733409526</v>
      </c>
      <c r="AF38" s="57">
        <f t="shared" si="95"/>
        <v>-0.23474716122740205</v>
      </c>
      <c r="AG38" s="57">
        <f t="shared" si="95"/>
        <v>-0.27518079800498751</v>
      </c>
      <c r="AH38" s="57">
        <f t="shared" si="95"/>
        <v>-0.23699819696348429</v>
      </c>
      <c r="AI38" s="57">
        <f t="shared" si="95"/>
        <v>-0.19569457759435685</v>
      </c>
      <c r="AJ38" s="57">
        <f t="shared" si="95"/>
        <v>-0.14571472534236038</v>
      </c>
      <c r="AK38" s="57">
        <f t="shared" si="95"/>
        <v>-0.20003778615845783</v>
      </c>
      <c r="AL38" s="57">
        <f t="shared" si="95"/>
        <v>-0.17691398038604417</v>
      </c>
      <c r="AM38" s="57">
        <f t="shared" si="95"/>
        <v>-0.17558930987926258</v>
      </c>
      <c r="AN38" s="57">
        <f t="shared" si="95"/>
        <v>-0.17693428810520728</v>
      </c>
      <c r="AO38" s="57">
        <f t="shared" si="95"/>
        <v>-0.14611552369098921</v>
      </c>
      <c r="AP38" s="57">
        <f t="shared" si="95"/>
        <v>-0.16696978641271165</v>
      </c>
    </row>
    <row r="39" spans="1:42">
      <c r="A39" s="47" t="str">
        <f>"(+) Stock Based Compensation"</f>
        <v>(+) Stock Based Compensation</v>
      </c>
      <c r="H39" s="133">
        <v>0.29599999999999999</v>
      </c>
      <c r="I39" s="133">
        <v>0.42499999999999999</v>
      </c>
      <c r="J39" s="133">
        <v>0.49099999999999999</v>
      </c>
      <c r="K39" s="133">
        <v>0.47299999999999998</v>
      </c>
      <c r="L39" s="45">
        <f>SUM(H39:K39)</f>
        <v>1.6850000000000001</v>
      </c>
      <c r="M39" s="133">
        <v>0.625</v>
      </c>
      <c r="N39" s="133">
        <v>0.64800000000000002</v>
      </c>
      <c r="O39" s="133">
        <v>0.65100000000000002</v>
      </c>
      <c r="P39" s="133">
        <v>0.84199999999999997</v>
      </c>
      <c r="Q39" s="45">
        <f>SUM(M39:P39)</f>
        <v>2.766</v>
      </c>
      <c r="R39" s="133">
        <v>0.88800000000000001</v>
      </c>
      <c r="S39" s="133">
        <v>0.99299999999999999</v>
      </c>
      <c r="T39" s="133">
        <v>1.1970000000000001</v>
      </c>
      <c r="U39" s="133">
        <v>1.6359999999999999</v>
      </c>
      <c r="V39" s="45">
        <f>SUM(R39:U39)</f>
        <v>4.7140000000000004</v>
      </c>
      <c r="W39" s="133">
        <v>2.2959999999999998</v>
      </c>
      <c r="X39" s="133">
        <v>2.8010000000000002</v>
      </c>
      <c r="Y39" s="133">
        <v>5.5609999999999999</v>
      </c>
      <c r="Z39" s="133">
        <v>7.88</v>
      </c>
      <c r="AA39" s="45">
        <f>SUM(W39:Z39)</f>
        <v>18.538</v>
      </c>
      <c r="AB39" s="133">
        <v>8.532</v>
      </c>
      <c r="AC39" s="133">
        <v>9.2579999999999991</v>
      </c>
      <c r="AD39" s="133">
        <v>10.23</v>
      </c>
      <c r="AE39" s="133">
        <v>12.016</v>
      </c>
      <c r="AF39" s="45">
        <f>SUM(AB39:AE39)</f>
        <v>40.036000000000001</v>
      </c>
      <c r="AG39" s="92">
        <v>13.255000000000001</v>
      </c>
      <c r="AH39" s="92">
        <v>13.348000000000001</v>
      </c>
      <c r="AI39" s="92">
        <v>14.872999999999999</v>
      </c>
      <c r="AJ39" s="92">
        <v>16.936</v>
      </c>
      <c r="AK39" s="45">
        <f>SUM(AG39:AJ39)</f>
        <v>58.411999999999999</v>
      </c>
      <c r="AL39" s="92">
        <v>16.553999999999998</v>
      </c>
      <c r="AM39" s="92">
        <v>18.577000000000002</v>
      </c>
      <c r="AN39" s="92">
        <v>20.893000000000001</v>
      </c>
      <c r="AO39" s="92">
        <v>21.745999999999999</v>
      </c>
      <c r="AP39" s="45">
        <f>SUM(AL39:AO39)</f>
        <v>77.77</v>
      </c>
    </row>
    <row r="40" spans="1:42">
      <c r="A40" s="44" t="s">
        <v>254</v>
      </c>
      <c r="H40" s="133">
        <v>-9.7780000000000005</v>
      </c>
      <c r="I40" s="133">
        <v>-10.516</v>
      </c>
      <c r="J40" s="133">
        <v>-11.842000000000001</v>
      </c>
      <c r="K40" s="133">
        <v>-13.017000000000001</v>
      </c>
      <c r="L40" s="45">
        <f>SUM(H40:K40)</f>
        <v>-45.153000000000006</v>
      </c>
      <c r="M40" s="133">
        <v>-14.284000000000001</v>
      </c>
      <c r="N40" s="133">
        <v>-11.961</v>
      </c>
      <c r="O40" s="133">
        <v>-12.843999999999999</v>
      </c>
      <c r="P40" s="133">
        <v>-13.799000000000001</v>
      </c>
      <c r="Q40" s="45">
        <f>SUM(M40:P40)</f>
        <v>-52.887999999999998</v>
      </c>
      <c r="R40" s="133">
        <v>-14.055</v>
      </c>
      <c r="S40" s="133">
        <v>-14.667</v>
      </c>
      <c r="T40" s="133">
        <v>-16.216000000000001</v>
      </c>
      <c r="U40" s="133">
        <v>-19.131</v>
      </c>
      <c r="V40" s="45">
        <f>SUM(R40:U40)</f>
        <v>-64.069000000000003</v>
      </c>
      <c r="W40" s="133">
        <v>-20.318000000000001</v>
      </c>
      <c r="X40" s="133">
        <v>-22.259</v>
      </c>
      <c r="Y40" s="133">
        <v>-25.603000000000002</v>
      </c>
      <c r="Z40" s="133">
        <v>-34.6</v>
      </c>
      <c r="AA40" s="45">
        <f>SUM(W40:Z40)</f>
        <v>-102.78</v>
      </c>
      <c r="AB40" s="133">
        <v>-33.807000000000002</v>
      </c>
      <c r="AC40" s="133">
        <v>-36.567999999999998</v>
      </c>
      <c r="AD40" s="133">
        <v>-46.665999999999997</v>
      </c>
      <c r="AE40" s="133">
        <v>-61.814</v>
      </c>
      <c r="AF40" s="45">
        <f>SUM(AB40:AE40)</f>
        <v>-178.85499999999999</v>
      </c>
      <c r="AG40" s="92">
        <v>-68.248000000000005</v>
      </c>
      <c r="AH40" s="92">
        <v>-64.164000000000001</v>
      </c>
      <c r="AI40" s="92">
        <v>-70.956000000000003</v>
      </c>
      <c r="AJ40" s="92">
        <v>-96.1</v>
      </c>
      <c r="AK40" s="45">
        <f>SUM(AG40:AJ40)</f>
        <v>-299.46799999999996</v>
      </c>
      <c r="AL40" s="92">
        <v>-88.873000000000005</v>
      </c>
      <c r="AM40" s="92">
        <v>-93.677999999999997</v>
      </c>
      <c r="AN40" s="92">
        <v>-109.7</v>
      </c>
      <c r="AO40" s="92">
        <v>-163.35</v>
      </c>
      <c r="AP40" s="45">
        <f>SUM(AL40:AO40)</f>
        <v>-455.601</v>
      </c>
    </row>
    <row r="41" spans="1:42">
      <c r="A41" s="69" t="s">
        <v>105</v>
      </c>
      <c r="H41" s="111">
        <f>H40/H$12</f>
        <v>-0.15360688701772027</v>
      </c>
      <c r="I41" s="111">
        <f t="shared" ref="I41" si="96">I40/I$12</f>
        <v>-0.16647142630995726</v>
      </c>
      <c r="J41" s="111">
        <f t="shared" ref="J41" si="97">J40/J$12</f>
        <v>-0.17782115774457544</v>
      </c>
      <c r="K41" s="111">
        <f t="shared" ref="K41:L41" si="98">K40/K$12</f>
        <v>-0.10295327280205005</v>
      </c>
      <c r="L41" s="57">
        <f t="shared" si="98"/>
        <v>-0.14116620864949028</v>
      </c>
      <c r="M41" s="111">
        <f t="shared" ref="M41" si="99">M40/M$12</f>
        <v>-0.18208471961961578</v>
      </c>
      <c r="N41" s="111">
        <f t="shared" ref="N41" si="100">N40/N$12</f>
        <v>-0.14271736925628514</v>
      </c>
      <c r="O41" s="111">
        <f t="shared" ref="O41" si="101">O40/O$12</f>
        <v>-0.14422871772989118</v>
      </c>
      <c r="P41" s="111">
        <f t="shared" ref="P41:Q41" si="102">P40/P$12</f>
        <v>-9.3654133297135886E-2</v>
      </c>
      <c r="Q41" s="57">
        <f t="shared" si="102"/>
        <v>-0.13266808646202549</v>
      </c>
      <c r="R41" s="111">
        <f t="shared" ref="R41" si="103">R40/R$12</f>
        <v>-0.14040959040959042</v>
      </c>
      <c r="S41" s="111">
        <f t="shared" ref="S41" si="104">S40/S$12</f>
        <v>-0.14721912734499681</v>
      </c>
      <c r="T41" s="111">
        <f t="shared" ref="T41" si="105">T40/T$12</f>
        <v>-0.12995464089371864</v>
      </c>
      <c r="U41" s="111">
        <f t="shared" ref="U41:V41" si="106">U40/U$12</f>
        <v>-0.10161956007882673</v>
      </c>
      <c r="V41" s="57">
        <f t="shared" si="106"/>
        <v>-0.12494685726544065</v>
      </c>
      <c r="W41" s="111">
        <f t="shared" ref="W41" si="107">W40/W$12</f>
        <v>-0.14876698687910031</v>
      </c>
      <c r="X41" s="111">
        <f t="shared" ref="X41" si="108">X40/X$12</f>
        <v>-0.14194885530259549</v>
      </c>
      <c r="Y41" s="111">
        <f t="shared" ref="Y41" si="109">Y40/Y$12</f>
        <v>-0.14766900640785324</v>
      </c>
      <c r="Z41" s="111">
        <f t="shared" ref="Z41:AA41" si="110">Z40/Z$12</f>
        <v>-0.12548098020229273</v>
      </c>
      <c r="AA41" s="57">
        <f t="shared" si="110"/>
        <v>-0.13842312385354463</v>
      </c>
      <c r="AB41" s="111">
        <f t="shared" ref="AB41" si="111">AB40/AB$12</f>
        <v>-0.16358595194085029</v>
      </c>
      <c r="AC41" s="111">
        <f t="shared" ref="AC41" si="112">AC40/AC$12</f>
        <v>-0.14621292997628957</v>
      </c>
      <c r="AD41" s="111">
        <f t="shared" ref="AD41" si="113">AD40/AD$12</f>
        <v>-0.17884627176845719</v>
      </c>
      <c r="AE41" s="111">
        <f t="shared" ref="AE41:AF41" si="114">AE40/AE$12</f>
        <v>-0.15031490893174135</v>
      </c>
      <c r="AF41" s="57">
        <f t="shared" si="114"/>
        <v>-0.1584300407202984</v>
      </c>
      <c r="AG41" s="57">
        <f t="shared" ref="AG41" si="115">AG40/AG$12</f>
        <v>-0.21274314214463841</v>
      </c>
      <c r="AH41" s="57">
        <f t="shared" ref="AH41" si="116">AH40/AH$12</f>
        <v>-0.18020254671886671</v>
      </c>
      <c r="AI41" s="57">
        <f t="shared" ref="AI41" si="117">AI40/AI$12</f>
        <v>-0.15709943032747867</v>
      </c>
      <c r="AJ41" s="57">
        <f t="shared" ref="AJ41:AK41" si="118">AJ40/AJ$12</f>
        <v>-0.1478689029081397</v>
      </c>
      <c r="AK41" s="57">
        <f t="shared" si="118"/>
        <v>-0.16838906697990189</v>
      </c>
      <c r="AL41" s="57">
        <f t="shared" ref="AL41" si="119">AL40/AL$12</f>
        <v>-0.15478166368561941</v>
      </c>
      <c r="AM41" s="57">
        <f t="shared" ref="AM41" si="120">AM40/AM$12</f>
        <v>-0.14521041854293548</v>
      </c>
      <c r="AN41" s="57">
        <f t="shared" ref="AN41" si="121">AN40/AN$12</f>
        <v>-0.16133468048526883</v>
      </c>
      <c r="AO41" s="57">
        <f t="shared" ref="AO41:AP41" si="122">AO40/AO$12</f>
        <v>-0.18877213175566751</v>
      </c>
      <c r="AP41" s="57">
        <f t="shared" si="122"/>
        <v>-0.16479911625040153</v>
      </c>
    </row>
    <row r="42" spans="1:42">
      <c r="A42" s="47" t="str">
        <f>"(+) Stock Based Compensation"</f>
        <v>(+) Stock Based Compensation</v>
      </c>
      <c r="H42" s="133">
        <v>0.247</v>
      </c>
      <c r="I42" s="133">
        <v>0.441</v>
      </c>
      <c r="J42" s="133">
        <v>0.51500000000000001</v>
      </c>
      <c r="K42" s="133">
        <v>0.47499999999999998</v>
      </c>
      <c r="L42" s="45">
        <f>SUM(H42:K42)</f>
        <v>1.6779999999999999</v>
      </c>
      <c r="M42" s="133">
        <v>0.58299999999999996</v>
      </c>
      <c r="N42" s="133">
        <v>0.57399999999999995</v>
      </c>
      <c r="O42" s="133">
        <v>0.57999999999999996</v>
      </c>
      <c r="P42" s="133">
        <v>0.55500000000000005</v>
      </c>
      <c r="Q42" s="45">
        <f>SUM(M42:P42)</f>
        <v>2.2920000000000003</v>
      </c>
      <c r="R42" s="133">
        <v>0.60099999999999998</v>
      </c>
      <c r="S42" s="133">
        <v>0.69</v>
      </c>
      <c r="T42" s="133">
        <v>0.80800000000000005</v>
      </c>
      <c r="U42" s="133">
        <v>0.71799999999999997</v>
      </c>
      <c r="V42" s="45">
        <f>SUM(R42:U42)</f>
        <v>2.8170000000000002</v>
      </c>
      <c r="W42" s="133">
        <v>1.1100000000000001</v>
      </c>
      <c r="X42" s="133">
        <v>1.286</v>
      </c>
      <c r="Y42" s="133">
        <v>3.2770000000000001</v>
      </c>
      <c r="Z42" s="133">
        <v>4.7859999999999996</v>
      </c>
      <c r="AA42" s="45">
        <f>SUM(W42:Z42)</f>
        <v>10.459</v>
      </c>
      <c r="AB42" s="133">
        <v>5.1660000000000004</v>
      </c>
      <c r="AC42" s="133">
        <v>4.9740000000000002</v>
      </c>
      <c r="AD42" s="133">
        <v>6.415</v>
      </c>
      <c r="AE42" s="133">
        <v>7.6239999999999997</v>
      </c>
      <c r="AF42" s="45">
        <f>SUM(AB42:AE42)</f>
        <v>24.178999999999998</v>
      </c>
      <c r="AG42" s="92">
        <v>10.057</v>
      </c>
      <c r="AH42" s="92">
        <v>9.6150000000000002</v>
      </c>
      <c r="AI42" s="92">
        <v>11.571999999999999</v>
      </c>
      <c r="AJ42" s="92">
        <v>11.602</v>
      </c>
      <c r="AK42" s="45">
        <f>SUM(AG42:AJ42)</f>
        <v>42.846000000000004</v>
      </c>
      <c r="AL42" s="92">
        <v>13.363</v>
      </c>
      <c r="AM42" s="92">
        <v>14.275</v>
      </c>
      <c r="AN42" s="92">
        <v>16.591000000000001</v>
      </c>
      <c r="AO42" s="92">
        <v>19.274000000000001</v>
      </c>
      <c r="AP42" s="45">
        <f>SUM(AL42:AO42)</f>
        <v>63.503</v>
      </c>
    </row>
    <row r="43" spans="1:42">
      <c r="A43" s="44" t="s">
        <v>255</v>
      </c>
      <c r="H43" s="133">
        <v>-6.9210000000000003</v>
      </c>
      <c r="I43" s="133">
        <v>-6.3860000000000001</v>
      </c>
      <c r="J43" s="133">
        <v>-8.0969999999999995</v>
      </c>
      <c r="K43" s="133">
        <v>-10.304</v>
      </c>
      <c r="L43" s="45">
        <f>SUM(H43:K43)</f>
        <v>-31.707999999999998</v>
      </c>
      <c r="M43" s="133">
        <v>-9.8829999999999991</v>
      </c>
      <c r="N43" s="133">
        <v>-8.3719999999999999</v>
      </c>
      <c r="O43" s="133">
        <v>-9.0779999999999994</v>
      </c>
      <c r="P43" s="133">
        <v>-8.0080000000000027</v>
      </c>
      <c r="Q43" s="45">
        <f>SUM(M43:P43)</f>
        <v>-35.341000000000001</v>
      </c>
      <c r="R43" s="133">
        <v>-10.278</v>
      </c>
      <c r="S43" s="133">
        <v>-10.577</v>
      </c>
      <c r="T43" s="133">
        <v>-13.039</v>
      </c>
      <c r="U43" s="133">
        <v>-13.541</v>
      </c>
      <c r="V43" s="45">
        <f>SUM(R43:U43)</f>
        <v>-47.435000000000002</v>
      </c>
      <c r="W43" s="133">
        <v>-15.57</v>
      </c>
      <c r="X43" s="133">
        <v>-15.429</v>
      </c>
      <c r="Y43" s="133">
        <v>-19.768999999999998</v>
      </c>
      <c r="Z43" s="133">
        <v>-21.204000000000001</v>
      </c>
      <c r="AA43" s="45">
        <f>SUM(W43:Z43)</f>
        <v>-71.972000000000008</v>
      </c>
      <c r="AB43" s="133">
        <v>-22.085999999999999</v>
      </c>
      <c r="AC43" s="133">
        <v>-26.033000000000001</v>
      </c>
      <c r="AD43" s="133">
        <v>-29.873000000000001</v>
      </c>
      <c r="AE43" s="133">
        <v>-38.424999999999997</v>
      </c>
      <c r="AF43" s="45">
        <f>SUM(AB43:AE43)</f>
        <v>-116.417</v>
      </c>
      <c r="AG43" s="92">
        <v>-39.74</v>
      </c>
      <c r="AH43" s="92">
        <v>-40.494</v>
      </c>
      <c r="AI43" s="92">
        <v>-43.51</v>
      </c>
      <c r="AJ43" s="92">
        <v>-49.5</v>
      </c>
      <c r="AK43" s="45">
        <f>SUM(AG43:AJ43)</f>
        <v>-173.244</v>
      </c>
      <c r="AL43" s="92">
        <v>-60.511000000000003</v>
      </c>
      <c r="AM43" s="92">
        <v>-62.228000000000002</v>
      </c>
      <c r="AN43" s="92">
        <v>-65.066000000000003</v>
      </c>
      <c r="AO43" s="92">
        <v>-68.492000000000004</v>
      </c>
      <c r="AP43" s="45">
        <f>SUM(AL43:AO43)</f>
        <v>-256.29700000000003</v>
      </c>
    </row>
    <row r="44" spans="1:42">
      <c r="A44" s="69" t="s">
        <v>105</v>
      </c>
      <c r="H44" s="111">
        <f>H43/H$12</f>
        <v>-0.10872502199321353</v>
      </c>
      <c r="I44" s="111">
        <f t="shared" ref="I44" si="123">I43/I$12</f>
        <v>-0.10109229064429318</v>
      </c>
      <c r="J44" s="111">
        <f t="shared" ref="J44" si="124">J43/J$12</f>
        <v>-0.1215857046324799</v>
      </c>
      <c r="K44" s="111">
        <f t="shared" ref="K44:L44" si="125">K43/K$12</f>
        <v>-8.1495776519345753E-2</v>
      </c>
      <c r="L44" s="57">
        <f t="shared" si="125"/>
        <v>-9.9131799522911804E-2</v>
      </c>
      <c r="M44" s="111">
        <f t="shared" ref="M44" si="126">M43/M$12</f>
        <v>-0.12598314785778933</v>
      </c>
      <c r="N44" s="111">
        <f t="shared" ref="N44" si="127">N43/N$12</f>
        <v>-9.9893806154470285E-2</v>
      </c>
      <c r="O44" s="111">
        <f t="shared" ref="O44" si="128">O43/O$12</f>
        <v>-0.1019392945773865</v>
      </c>
      <c r="P44" s="111">
        <f t="shared" ref="P44:Q44" si="129">P43/P$12</f>
        <v>-5.4350481878648042E-2</v>
      </c>
      <c r="Q44" s="57">
        <f t="shared" si="129"/>
        <v>-8.8651921866102767E-2</v>
      </c>
      <c r="R44" s="111">
        <f t="shared" ref="R44" si="130">R43/R$12</f>
        <v>-0.10267732267732269</v>
      </c>
      <c r="S44" s="111">
        <f t="shared" ref="S44" si="131">S43/S$12</f>
        <v>-0.10616599917692994</v>
      </c>
      <c r="T44" s="111">
        <f t="shared" ref="T44" si="132">T43/T$12</f>
        <v>-0.10449423795098652</v>
      </c>
      <c r="U44" s="111">
        <f t="shared" ref="U44:V44" si="133">U43/U$12</f>
        <v>-7.1926740004568127E-2</v>
      </c>
      <c r="V44" s="57">
        <f t="shared" si="133"/>
        <v>-9.2507361975154564E-2</v>
      </c>
      <c r="W44" s="111">
        <f t="shared" ref="W44" si="134">W43/W$12</f>
        <v>-0.11400246016869729</v>
      </c>
      <c r="X44" s="111">
        <f t="shared" ref="X44" si="135">X43/X$12</f>
        <v>-9.8392959632676483E-2</v>
      </c>
      <c r="Y44" s="111">
        <f t="shared" ref="Y44" si="136">Y43/Y$12</f>
        <v>-0.11402056742088232</v>
      </c>
      <c r="Z44" s="111">
        <f t="shared" ref="Z44:AA44" si="137">Z43/Z$12</f>
        <v>-7.6898806480040896E-2</v>
      </c>
      <c r="AA44" s="57">
        <f t="shared" si="137"/>
        <v>-9.6931203249536052E-2</v>
      </c>
      <c r="AB44" s="111">
        <f t="shared" ref="AB44" si="138">AB43/AB$12</f>
        <v>-0.10687015513253526</v>
      </c>
      <c r="AC44" s="111">
        <f t="shared" ref="AC44" si="139">AC43/AC$12</f>
        <v>-0.1040899476611449</v>
      </c>
      <c r="AD44" s="111">
        <f t="shared" ref="AD44" si="140">AD43/AD$12</f>
        <v>-0.11448752146185921</v>
      </c>
      <c r="AE44" s="111">
        <f t="shared" ref="AE44:AF44" si="141">AE43/AE$12</f>
        <v>-9.3439194611288079E-2</v>
      </c>
      <c r="AF44" s="57">
        <f t="shared" si="141"/>
        <v>-0.10312236197218405</v>
      </c>
      <c r="AG44" s="57">
        <f t="shared" ref="AG44" si="142">AG43/AG$12</f>
        <v>-0.12387780548628428</v>
      </c>
      <c r="AH44" s="57">
        <f t="shared" ref="AH44" si="143">AH43/AH$12</f>
        <v>-0.11372610695769884</v>
      </c>
      <c r="AI44" s="57">
        <f t="shared" ref="AI44" si="144">AI43/AI$12</f>
        <v>-9.6332885359216927E-2</v>
      </c>
      <c r="AJ44" s="57">
        <f t="shared" ref="AJ44:AK44" si="145">AJ43/AJ$12</f>
        <v>-7.6165563932912753E-2</v>
      </c>
      <c r="AK44" s="57">
        <f t="shared" si="145"/>
        <v>-9.7414066009944733E-2</v>
      </c>
      <c r="AL44" s="57">
        <f t="shared" ref="AL44" si="146">AL43/AL$12</f>
        <v>-0.10538626187121528</v>
      </c>
      <c r="AM44" s="57">
        <f t="shared" ref="AM44" si="147">AM43/AM$12</f>
        <v>-9.6459722934838371E-2</v>
      </c>
      <c r="AN44" s="57">
        <f t="shared" ref="AN44" si="148">AN43/AN$12</f>
        <v>-9.5691908117178689E-2</v>
      </c>
      <c r="AO44" s="57">
        <f t="shared" ref="AO44:AP44" si="149">AO43/AO$12</f>
        <v>-7.9151397907616647E-2</v>
      </c>
      <c r="AP44" s="57">
        <f t="shared" si="149"/>
        <v>-9.2707257222063078E-2</v>
      </c>
    </row>
    <row r="45" spans="1:42">
      <c r="A45" s="47" t="str">
        <f>"(+) Stock Based Compensation"</f>
        <v>(+) Stock Based Compensation</v>
      </c>
      <c r="H45" s="133">
        <v>0.312</v>
      </c>
      <c r="I45" s="133">
        <v>0.35399999999999998</v>
      </c>
      <c r="J45" s="133">
        <v>0.53</v>
      </c>
      <c r="K45" s="133">
        <v>0.58099999999999996</v>
      </c>
      <c r="L45" s="45">
        <f>SUM(H45:K45)</f>
        <v>1.7769999999999999</v>
      </c>
      <c r="M45" s="133">
        <v>0.72499999999999998</v>
      </c>
      <c r="N45" s="133">
        <v>0.69</v>
      </c>
      <c r="O45" s="133">
        <v>0.68700000000000006</v>
      </c>
      <c r="P45" s="133">
        <v>0.68600000000000005</v>
      </c>
      <c r="Q45" s="45">
        <f>SUM(M45:P45)</f>
        <v>2.7880000000000003</v>
      </c>
      <c r="R45" s="133">
        <v>0.629</v>
      </c>
      <c r="S45" s="133">
        <v>0.67800000000000005</v>
      </c>
      <c r="T45" s="133">
        <v>0.876</v>
      </c>
      <c r="U45" s="133">
        <v>1.0129999999999999</v>
      </c>
      <c r="V45" s="45">
        <f>SUM(R45:U45)</f>
        <v>3.1959999999999997</v>
      </c>
      <c r="W45" s="133">
        <v>0.96</v>
      </c>
      <c r="X45" s="133">
        <v>1.1359999999999999</v>
      </c>
      <c r="Y45" s="133">
        <v>2.496</v>
      </c>
      <c r="Z45" s="133">
        <v>3.5190000000000001</v>
      </c>
      <c r="AA45" s="45">
        <f>SUM(W45:Z45)</f>
        <v>8.1110000000000007</v>
      </c>
      <c r="AB45" s="133">
        <v>3.8639999999999999</v>
      </c>
      <c r="AC45" s="133">
        <v>4.1340000000000003</v>
      </c>
      <c r="AD45" s="133">
        <v>5.5659999999999998</v>
      </c>
      <c r="AE45" s="133">
        <v>5.9820000000000002</v>
      </c>
      <c r="AF45" s="45">
        <f>SUM(AB45:AE45)</f>
        <v>19.545999999999999</v>
      </c>
      <c r="AG45" s="92">
        <v>6.5439999999999996</v>
      </c>
      <c r="AH45" s="92">
        <v>6.5309999999999997</v>
      </c>
      <c r="AI45" s="92">
        <v>7.8940000000000001</v>
      </c>
      <c r="AJ45" s="92">
        <v>9.5950000000000006</v>
      </c>
      <c r="AK45" s="45">
        <f>SUM(AG45:AJ45)</f>
        <v>30.564</v>
      </c>
      <c r="AL45" s="92">
        <v>10.007</v>
      </c>
      <c r="AM45" s="92">
        <v>9.2119999999999997</v>
      </c>
      <c r="AN45" s="92">
        <v>12.095000000000001</v>
      </c>
      <c r="AO45" s="92">
        <v>12.083</v>
      </c>
      <c r="AP45" s="45">
        <f>SUM(AL45:AO45)</f>
        <v>43.396999999999998</v>
      </c>
    </row>
    <row r="46" spans="1:42">
      <c r="A46" s="47"/>
      <c r="H46" s="133"/>
      <c r="I46" s="133"/>
      <c r="J46" s="133"/>
      <c r="K46" s="133"/>
      <c r="L46" s="92"/>
      <c r="M46" s="133"/>
      <c r="N46" s="133"/>
      <c r="O46" s="133"/>
      <c r="P46" s="133"/>
      <c r="Q46" s="92"/>
      <c r="R46" s="133"/>
      <c r="S46" s="133"/>
      <c r="T46" s="133"/>
      <c r="U46" s="133"/>
      <c r="V46" s="92"/>
      <c r="W46" s="133"/>
      <c r="X46" s="133"/>
      <c r="Y46" s="133"/>
      <c r="Z46" s="133"/>
      <c r="AA46" s="92"/>
      <c r="AB46" s="133"/>
      <c r="AC46" s="133"/>
      <c r="AD46" s="133"/>
      <c r="AE46" s="133"/>
      <c r="AF46" s="92"/>
      <c r="AG46" s="92"/>
      <c r="AH46" s="92"/>
      <c r="AI46" s="92"/>
      <c r="AJ46" s="92"/>
      <c r="AK46" s="92"/>
      <c r="AL46" s="92"/>
      <c r="AM46" s="92"/>
      <c r="AN46" s="92"/>
      <c r="AO46" s="92"/>
      <c r="AP46" s="92"/>
    </row>
    <row r="47" spans="1:42">
      <c r="A47" s="37" t="s">
        <v>256</v>
      </c>
      <c r="H47" s="108">
        <f>H29+H36</f>
        <v>-9.0370000000000026</v>
      </c>
      <c r="I47" s="108">
        <f t="shared" ref="I47:AO47" si="150">I29+I36</f>
        <v>-7.5179999999999971</v>
      </c>
      <c r="J47" s="108">
        <f t="shared" si="150"/>
        <v>-14.417000000000002</v>
      </c>
      <c r="K47" s="108">
        <f t="shared" si="150"/>
        <v>-1.2959999999999852</v>
      </c>
      <c r="L47" s="45">
        <f>SUM(H47:K47)</f>
        <v>-32.267999999999986</v>
      </c>
      <c r="M47" s="108">
        <f t="shared" si="150"/>
        <v>-16.951999999999998</v>
      </c>
      <c r="N47" s="108">
        <f t="shared" si="150"/>
        <v>-11.681999999999995</v>
      </c>
      <c r="O47" s="108">
        <f t="shared" si="150"/>
        <v>-12.090000000000003</v>
      </c>
      <c r="P47" s="108">
        <f t="shared" si="150"/>
        <v>5.5689999999999813</v>
      </c>
      <c r="Q47" s="45">
        <f>SUM(M47:P47)</f>
        <v>-35.155000000000015</v>
      </c>
      <c r="R47" s="108">
        <f t="shared" si="150"/>
        <v>-5.6530000000000058</v>
      </c>
      <c r="S47" s="108">
        <f t="shared" si="150"/>
        <v>-10.964999999999996</v>
      </c>
      <c r="T47" s="108">
        <f t="shared" si="150"/>
        <v>-4.9679999999999893</v>
      </c>
      <c r="U47" s="108">
        <f t="shared" si="150"/>
        <v>12.93</v>
      </c>
      <c r="V47" s="45">
        <f>SUM(R47:U47)</f>
        <v>-8.6559999999999917</v>
      </c>
      <c r="W47" s="108">
        <f t="shared" si="150"/>
        <v>-2.4730000000000132</v>
      </c>
      <c r="X47" s="108">
        <f t="shared" si="150"/>
        <v>5.1770000000000067</v>
      </c>
      <c r="Y47" s="108">
        <f t="shared" si="150"/>
        <v>-0.25</v>
      </c>
      <c r="Z47" s="108">
        <f t="shared" si="150"/>
        <v>21.924000000000035</v>
      </c>
      <c r="AA47" s="45">
        <f>SUM(W47:Z47)</f>
        <v>24.378000000000029</v>
      </c>
      <c r="AB47" s="108">
        <f t="shared" si="150"/>
        <v>7.1239999999999952</v>
      </c>
      <c r="AC47" s="108">
        <f t="shared" si="150"/>
        <v>8.2850000000000108</v>
      </c>
      <c r="AD47" s="108">
        <f t="shared" si="150"/>
        <v>-3.9309999999999832</v>
      </c>
      <c r="AE47" s="108">
        <f t="shared" si="150"/>
        <v>8.6379999999999768</v>
      </c>
      <c r="AF47" s="45">
        <f>SUM(AB47:AE47)</f>
        <v>20.116</v>
      </c>
      <c r="AG47" s="45">
        <f t="shared" si="150"/>
        <v>-24.726000000000028</v>
      </c>
      <c r="AH47" s="45">
        <f t="shared" si="150"/>
        <v>-12.17999999999995</v>
      </c>
      <c r="AI47" s="45">
        <f t="shared" si="150"/>
        <v>46.877000000000038</v>
      </c>
      <c r="AJ47" s="45">
        <f t="shared" si="150"/>
        <v>103.92800000000003</v>
      </c>
      <c r="AK47" s="45">
        <f>SUM(AG47:AJ47)</f>
        <v>113.89900000000009</v>
      </c>
      <c r="AL47" s="45">
        <f t="shared" si="150"/>
        <v>116.34300000000002</v>
      </c>
      <c r="AM47" s="45">
        <f t="shared" si="150"/>
        <v>111.63000000000002</v>
      </c>
      <c r="AN47" s="45">
        <f t="shared" si="150"/>
        <v>119.24199999999999</v>
      </c>
      <c r="AO47" s="45">
        <f t="shared" si="150"/>
        <v>75.416999999999916</v>
      </c>
      <c r="AP47" s="45">
        <f>SUM(AL47:AO47)</f>
        <v>422.63199999999995</v>
      </c>
    </row>
    <row r="48" spans="1:42">
      <c r="A48" s="56" t="s">
        <v>257</v>
      </c>
      <c r="H48" s="111">
        <f>H47/H$12</f>
        <v>-0.14196619328892804</v>
      </c>
      <c r="I48" s="111">
        <f t="shared" ref="I48" si="151">I47/I$12</f>
        <v>-0.1190121893303783</v>
      </c>
      <c r="J48" s="111">
        <f t="shared" ref="J48" si="152">J47/J$12</f>
        <v>-0.21648772430362642</v>
      </c>
      <c r="K48" s="111">
        <f t="shared" ref="K48:L48" si="153">K47/K$12</f>
        <v>-1.0250245183333742E-2</v>
      </c>
      <c r="L48" s="57">
        <f t="shared" si="153"/>
        <v>-0.10088258190378822</v>
      </c>
      <c r="M48" s="111">
        <f t="shared" ref="M48" si="154">M47/M$12</f>
        <v>-0.21609494308259075</v>
      </c>
      <c r="N48" s="111">
        <f t="shared" ref="N48" si="155">N47/N$12</f>
        <v>-0.13938837117731981</v>
      </c>
      <c r="O48" s="111">
        <f t="shared" ref="O48" si="156">O47/O$12</f>
        <v>-0.13576184968501909</v>
      </c>
      <c r="P48" s="111">
        <f t="shared" ref="P48:Q48" si="157">P47/P$12</f>
        <v>3.7796932265508218E-2</v>
      </c>
      <c r="Q48" s="57">
        <f t="shared" si="157"/>
        <v>-8.8185346006135756E-2</v>
      </c>
      <c r="R48" s="111">
        <f t="shared" ref="R48" si="158">R47/R$12</f>
        <v>-5.6473526473526534E-2</v>
      </c>
      <c r="S48" s="111">
        <f t="shared" ref="S48" si="159">S47/S$12</f>
        <v>-0.11006052576108881</v>
      </c>
      <c r="T48" s="111">
        <f t="shared" ref="T48" si="160">T47/T$12</f>
        <v>-3.9813434629994621E-2</v>
      </c>
      <c r="U48" s="111">
        <f t="shared" ref="U48:V48" si="161">U47/U$12</f>
        <v>6.8681245717381725E-2</v>
      </c>
      <c r="V48" s="57">
        <f t="shared" si="161"/>
        <v>-1.6880862764982334E-2</v>
      </c>
      <c r="W48" s="111">
        <f t="shared" ref="W48" si="162">W47/W$12</f>
        <v>-1.8107134489222215E-2</v>
      </c>
      <c r="X48" s="111">
        <f t="shared" ref="X48" si="163">X47/X$12</f>
        <v>3.3014476117594581E-2</v>
      </c>
      <c r="Y48" s="111">
        <f t="shared" ref="Y48" si="164">Y47/Y$12</f>
        <v>-1.4419111667368398E-3</v>
      </c>
      <c r="Z48" s="111">
        <f t="shared" ref="Z48:AA48" si="165">Z47/Z$12</f>
        <v>7.9509971385984687E-2</v>
      </c>
      <c r="AA48" s="57">
        <f t="shared" si="165"/>
        <v>3.28320579227643E-2</v>
      </c>
      <c r="AB48" s="111">
        <f t="shared" ref="AB48" si="166">AB47/AB$12</f>
        <v>3.4471746136203053E-2</v>
      </c>
      <c r="AC48" s="111">
        <f t="shared" ref="AC48" si="167">AC47/AC$12</f>
        <v>3.3126616846793938E-2</v>
      </c>
      <c r="AD48" s="111">
        <f t="shared" ref="AD48" si="168">AD47/AD$12</f>
        <v>-1.5065458670591057E-2</v>
      </c>
      <c r="AE48" s="111">
        <f t="shared" ref="AE48:AF48" si="169">AE47/AE$12</f>
        <v>2.1005276852369664E-2</v>
      </c>
      <c r="AF48" s="57">
        <f t="shared" si="169"/>
        <v>1.781878448536257E-2</v>
      </c>
      <c r="AG48" s="57">
        <f t="shared" ref="AG48" si="170">AG47/AG$12</f>
        <v>-7.7076059850374148E-2</v>
      </c>
      <c r="AH48" s="57">
        <f t="shared" ref="AH48" si="171">AH47/AH$12</f>
        <v>-3.420714137266672E-2</v>
      </c>
      <c r="AI48" s="57">
        <f t="shared" ref="AI48" si="172">AI47/AI$12</f>
        <v>0.10378755842298359</v>
      </c>
      <c r="AJ48" s="57">
        <f t="shared" ref="AJ48:AK48" si="173">AJ47/AJ$12</f>
        <v>0.15991383289736888</v>
      </c>
      <c r="AK48" s="57">
        <f t="shared" si="173"/>
        <v>6.4044727115898398E-2</v>
      </c>
      <c r="AL48" s="57">
        <f t="shared" ref="AL48" si="174">AL47/AL$12</f>
        <v>0.20262355381472461</v>
      </c>
      <c r="AM48" s="57">
        <f t="shared" ref="AM48" si="175">AM47/AM$12</f>
        <v>0.17303784263058447</v>
      </c>
      <c r="AN48" s="57">
        <f t="shared" ref="AN48" si="176">AN47/AN$12</f>
        <v>0.17536800337670397</v>
      </c>
      <c r="AO48" s="57">
        <f t="shared" ref="AO48:AP48" si="177">AO47/AO$12</f>
        <v>8.7154134439039854E-2</v>
      </c>
      <c r="AP48" s="57">
        <f t="shared" si="177"/>
        <v>0.15287363306739821</v>
      </c>
    </row>
    <row r="49" spans="1:42">
      <c r="A49" s="56"/>
      <c r="H49" s="111"/>
      <c r="I49" s="111"/>
      <c r="J49" s="111"/>
      <c r="K49" s="111"/>
      <c r="L49" s="57"/>
      <c r="M49" s="111"/>
      <c r="N49" s="111"/>
      <c r="O49" s="111"/>
      <c r="P49" s="111"/>
      <c r="Q49" s="57"/>
      <c r="R49" s="111"/>
      <c r="S49" s="111"/>
      <c r="T49" s="111"/>
      <c r="U49" s="111"/>
      <c r="V49" s="57"/>
      <c r="W49" s="111"/>
      <c r="X49" s="111"/>
      <c r="Y49" s="111"/>
      <c r="Z49" s="111"/>
      <c r="AA49" s="57"/>
      <c r="AB49" s="111"/>
      <c r="AC49" s="111"/>
      <c r="AD49" s="111"/>
      <c r="AE49" s="111"/>
      <c r="AF49" s="57"/>
      <c r="AG49" s="57"/>
      <c r="AH49" s="57"/>
      <c r="AI49" s="57"/>
      <c r="AJ49" s="57"/>
      <c r="AK49" s="57"/>
      <c r="AL49" s="57"/>
      <c r="AM49" s="57"/>
      <c r="AN49" s="57"/>
      <c r="AO49" s="57"/>
      <c r="AP49" s="57"/>
    </row>
    <row r="50" spans="1:42">
      <c r="A50" s="37" t="s">
        <v>258</v>
      </c>
      <c r="H50" s="108">
        <f>H51+H47</f>
        <v>-8.458000000000002</v>
      </c>
      <c r="I50" s="108">
        <f t="shared" ref="I50:AO50" si="178">I51+I47</f>
        <v>-6.8879999999999972</v>
      </c>
      <c r="J50" s="108">
        <f t="shared" si="178"/>
        <v>-13.791000000000002</v>
      </c>
      <c r="K50" s="108">
        <f t="shared" si="178"/>
        <v>-0.57599999999998519</v>
      </c>
      <c r="L50" s="45">
        <f>SUM(H50:K50)</f>
        <v>-29.712999999999987</v>
      </c>
      <c r="M50" s="108">
        <f t="shared" si="178"/>
        <v>-14.867999999999999</v>
      </c>
      <c r="N50" s="108">
        <f t="shared" si="178"/>
        <v>-10.915999999999995</v>
      </c>
      <c r="O50" s="108">
        <f t="shared" si="178"/>
        <v>-10.739000000000004</v>
      </c>
      <c r="P50" s="108">
        <f t="shared" si="178"/>
        <v>6.6699999999999813</v>
      </c>
      <c r="Q50" s="45">
        <f>SUM(M50:P50)</f>
        <v>-29.853000000000016</v>
      </c>
      <c r="R50" s="108">
        <f t="shared" si="178"/>
        <v>-4.4060000000000059</v>
      </c>
      <c r="S50" s="108">
        <f t="shared" si="178"/>
        <v>-9.6319999999999961</v>
      </c>
      <c r="T50" s="108">
        <f t="shared" si="178"/>
        <v>-3.6649999999999894</v>
      </c>
      <c r="U50" s="108">
        <f t="shared" si="178"/>
        <v>14.382999999999999</v>
      </c>
      <c r="V50" s="45">
        <f>SUM(R50:U50)</f>
        <v>-3.3199999999999932</v>
      </c>
      <c r="W50" s="108">
        <f t="shared" si="178"/>
        <v>-0.81700000000001327</v>
      </c>
      <c r="X50" s="108">
        <f t="shared" si="178"/>
        <v>7.1270000000000069</v>
      </c>
      <c r="Y50" s="108">
        <f t="shared" si="178"/>
        <v>1.968</v>
      </c>
      <c r="Z50" s="108">
        <f t="shared" si="178"/>
        <v>24.489000000000033</v>
      </c>
      <c r="AA50" s="45">
        <f>SUM(W50:Z50)</f>
        <v>32.767000000000024</v>
      </c>
      <c r="AB50" s="108">
        <f t="shared" si="178"/>
        <v>9.9729999999999954</v>
      </c>
      <c r="AC50" s="108">
        <f t="shared" si="178"/>
        <v>11.11300000000001</v>
      </c>
      <c r="AD50" s="108">
        <f t="shared" si="178"/>
        <v>-0.43799999999998329</v>
      </c>
      <c r="AE50" s="108">
        <f t="shared" si="178"/>
        <v>15.136999999999976</v>
      </c>
      <c r="AF50" s="45">
        <f>SUM(AB50:AE50)</f>
        <v>35.784999999999997</v>
      </c>
      <c r="AG50" s="45">
        <f t="shared" si="178"/>
        <v>-16.278000000000027</v>
      </c>
      <c r="AH50" s="45">
        <f t="shared" si="178"/>
        <v>-3.3799999999999493</v>
      </c>
      <c r="AI50" s="45">
        <f t="shared" si="178"/>
        <v>56.196000000000041</v>
      </c>
      <c r="AJ50" s="45">
        <f t="shared" si="178"/>
        <v>113.56700000000002</v>
      </c>
      <c r="AK50" s="45">
        <f>SUM(AG50:AJ50)</f>
        <v>150.10500000000008</v>
      </c>
      <c r="AL50" s="45">
        <f t="shared" si="178"/>
        <v>125.94800000000002</v>
      </c>
      <c r="AM50" s="45">
        <f t="shared" si="178"/>
        <v>122.43700000000003</v>
      </c>
      <c r="AN50" s="45">
        <f t="shared" si="178"/>
        <v>130.13399999999999</v>
      </c>
      <c r="AO50" s="45">
        <f t="shared" si="178"/>
        <v>86.733999999999924</v>
      </c>
      <c r="AP50" s="45">
        <f>SUM(AL50:AO50)</f>
        <v>465.25299999999993</v>
      </c>
    </row>
    <row r="51" spans="1:42">
      <c r="A51" s="44" t="str">
        <f>"(+) Depreciation and Amortization"</f>
        <v>(+) Depreciation and Amortization</v>
      </c>
      <c r="H51" s="133">
        <v>0.57899999999999996</v>
      </c>
      <c r="I51" s="133">
        <v>0.63</v>
      </c>
      <c r="J51" s="133">
        <v>0.626</v>
      </c>
      <c r="K51" s="133">
        <v>0.72</v>
      </c>
      <c r="L51" s="45">
        <f>SUM(H51:K51)</f>
        <v>2.5549999999999997</v>
      </c>
      <c r="M51" s="133">
        <v>2.0840000000000001</v>
      </c>
      <c r="N51" s="133">
        <v>0.76600000000000001</v>
      </c>
      <c r="O51" s="133">
        <v>1.351</v>
      </c>
      <c r="P51" s="133">
        <v>1.101</v>
      </c>
      <c r="Q51" s="45">
        <f>SUM(M51:P51)</f>
        <v>5.3020000000000005</v>
      </c>
      <c r="R51" s="133">
        <v>1.2470000000000001</v>
      </c>
      <c r="S51" s="133">
        <v>1.333</v>
      </c>
      <c r="T51" s="133">
        <v>1.3029999999999999</v>
      </c>
      <c r="U51" s="133">
        <v>1.4530000000000001</v>
      </c>
      <c r="V51" s="45">
        <f>SUM(R51:U51)</f>
        <v>5.3360000000000003</v>
      </c>
      <c r="W51" s="133">
        <v>1.6559999999999999</v>
      </c>
      <c r="X51" s="133">
        <v>1.95</v>
      </c>
      <c r="Y51" s="133">
        <v>2.218</v>
      </c>
      <c r="Z51" s="133">
        <v>2.5649999999999995</v>
      </c>
      <c r="AA51" s="45">
        <f>SUM(W51:Z51)</f>
        <v>8.3889999999999993</v>
      </c>
      <c r="AB51" s="133">
        <v>2.8490000000000002</v>
      </c>
      <c r="AC51" s="133">
        <v>2.8279999999999994</v>
      </c>
      <c r="AD51" s="133">
        <v>3.4929999999999999</v>
      </c>
      <c r="AE51" s="133">
        <v>6.4989999999999997</v>
      </c>
      <c r="AF51" s="45">
        <f>SUM(AB51:AE51)</f>
        <v>15.669</v>
      </c>
      <c r="AG51" s="92">
        <v>8.4480000000000004</v>
      </c>
      <c r="AH51" s="92">
        <v>8.8000000000000007</v>
      </c>
      <c r="AI51" s="92">
        <v>9.3190000000000008</v>
      </c>
      <c r="AJ51" s="92">
        <v>9.6389999999999993</v>
      </c>
      <c r="AK51" s="45">
        <f>SUM(AG51:AJ51)</f>
        <v>36.206000000000003</v>
      </c>
      <c r="AL51" s="92">
        <v>9.6050000000000004</v>
      </c>
      <c r="AM51" s="92">
        <v>10.807</v>
      </c>
      <c r="AN51" s="92">
        <v>10.891999999999999</v>
      </c>
      <c r="AO51" s="92">
        <v>11.317</v>
      </c>
      <c r="AP51" s="45">
        <f>SUM(AL51:AO51)</f>
        <v>42.620999999999995</v>
      </c>
    </row>
    <row r="52" spans="1:42">
      <c r="A52" s="56" t="s">
        <v>259</v>
      </c>
      <c r="H52" s="111">
        <f>H50/H$12</f>
        <v>-0.13287042855347497</v>
      </c>
      <c r="I52" s="111">
        <f t="shared" ref="I52:AO52" si="179">I50/I$12</f>
        <v>-0.10903910083900581</v>
      </c>
      <c r="J52" s="111">
        <f t="shared" si="179"/>
        <v>-0.20708761919062996</v>
      </c>
      <c r="K52" s="111">
        <f t="shared" si="179"/>
        <v>-4.5556645259260432E-3</v>
      </c>
      <c r="L52" s="57">
        <f t="shared" si="179"/>
        <v>-9.2894637291039403E-2</v>
      </c>
      <c r="M52" s="111">
        <f t="shared" si="179"/>
        <v>-0.18952923629966725</v>
      </c>
      <c r="N52" s="111">
        <f t="shared" si="179"/>
        <v>-0.1302485413261105</v>
      </c>
      <c r="O52" s="111">
        <f t="shared" si="179"/>
        <v>-0.12059110866562614</v>
      </c>
      <c r="P52" s="111">
        <f t="shared" si="179"/>
        <v>4.5269444821501165E-2</v>
      </c>
      <c r="Q52" s="57">
        <f>Q50/Q$12</f>
        <v>-7.4885425524709739E-2</v>
      </c>
      <c r="R52" s="111">
        <f t="shared" si="179"/>
        <v>-4.4015984015984076E-2</v>
      </c>
      <c r="S52" s="111">
        <f t="shared" si="179"/>
        <v>-9.6680618707779969E-2</v>
      </c>
      <c r="T52" s="111">
        <f t="shared" si="179"/>
        <v>-2.9371223413633289E-2</v>
      </c>
      <c r="U52" s="111">
        <f t="shared" si="179"/>
        <v>7.639925422684464E-2</v>
      </c>
      <c r="V52" s="57">
        <f>V50/V$12</f>
        <v>-6.4746377518185407E-3</v>
      </c>
      <c r="W52" s="111">
        <f t="shared" si="179"/>
        <v>-5.9820173383318687E-3</v>
      </c>
      <c r="X52" s="111">
        <f t="shared" si="179"/>
        <v>4.5449907531407478E-2</v>
      </c>
      <c r="Y52" s="111">
        <f t="shared" si="179"/>
        <v>1.1350724704552402E-2</v>
      </c>
      <c r="Z52" s="111">
        <f t="shared" si="179"/>
        <v>8.8812246363408981E-2</v>
      </c>
      <c r="AA52" s="57">
        <f t="shared" ref="AA52" si="180">AA50/AA$12</f>
        <v>4.4130283122291301E-2</v>
      </c>
      <c r="AB52" s="111">
        <f t="shared" si="179"/>
        <v>4.8257541299319646E-2</v>
      </c>
      <c r="AC52" s="111">
        <f t="shared" si="179"/>
        <v>4.4434048644347725E-2</v>
      </c>
      <c r="AD52" s="111">
        <f t="shared" si="179"/>
        <v>-1.6786239882265732E-3</v>
      </c>
      <c r="AE52" s="111">
        <f t="shared" si="179"/>
        <v>3.6809084940300989E-2</v>
      </c>
      <c r="AF52" s="57">
        <f t="shared" ref="AF52" si="181">AF50/AF$12</f>
        <v>3.1698409366111534E-2</v>
      </c>
      <c r="AG52" s="57">
        <f t="shared" si="179"/>
        <v>-5.0741895261845471E-2</v>
      </c>
      <c r="AH52" s="57">
        <f t="shared" si="179"/>
        <v>-9.4926221543195615E-3</v>
      </c>
      <c r="AI52" s="57">
        <f t="shared" si="179"/>
        <v>0.12442019824515189</v>
      </c>
      <c r="AJ52" s="57">
        <f t="shared" si="179"/>
        <v>0.17474534543775969</v>
      </c>
      <c r="AK52" s="57">
        <f t="shared" ref="AK52" si="182">AK50/AK$12</f>
        <v>8.4403144573103606E-2</v>
      </c>
      <c r="AL52" s="57">
        <f t="shared" si="179"/>
        <v>0.21935167011214199</v>
      </c>
      <c r="AM52" s="57">
        <f t="shared" si="179"/>
        <v>0.18978979072078178</v>
      </c>
      <c r="AN52" s="57">
        <f t="shared" si="179"/>
        <v>0.19138675761412921</v>
      </c>
      <c r="AO52" s="57">
        <f t="shared" si="179"/>
        <v>0.1002323971576128</v>
      </c>
      <c r="AP52" s="57">
        <f t="shared" ref="AP52" si="183">AP50/AP$12</f>
        <v>0.16829041910102929</v>
      </c>
    </row>
    <row r="53" spans="1:42">
      <c r="A53" s="66"/>
      <c r="H53" s="133"/>
      <c r="I53" s="133"/>
      <c r="J53" s="133"/>
      <c r="K53" s="133"/>
      <c r="L53" s="92"/>
      <c r="M53" s="133"/>
      <c r="N53" s="133"/>
      <c r="O53" s="133"/>
      <c r="P53" s="133"/>
      <c r="Q53" s="92"/>
      <c r="R53" s="133"/>
      <c r="S53" s="133"/>
      <c r="T53" s="133"/>
      <c r="U53" s="133"/>
      <c r="V53" s="92"/>
      <c r="W53" s="133"/>
      <c r="X53" s="133"/>
      <c r="Y53" s="133"/>
      <c r="Z53" s="133"/>
      <c r="AA53" s="57"/>
      <c r="AB53" s="133"/>
      <c r="AC53" s="133"/>
      <c r="AD53" s="133"/>
      <c r="AE53" s="133"/>
      <c r="AF53" s="57"/>
      <c r="AG53" s="92"/>
      <c r="AH53" s="92"/>
      <c r="AI53" s="92"/>
      <c r="AJ53" s="92"/>
      <c r="AK53" s="57"/>
      <c r="AL53" s="92"/>
      <c r="AM53" s="92"/>
      <c r="AN53" s="92"/>
      <c r="AO53" s="92"/>
      <c r="AP53" s="57"/>
    </row>
    <row r="54" spans="1:42">
      <c r="A54" s="66" t="s">
        <v>260</v>
      </c>
      <c r="H54" s="133">
        <v>-0.20200000000000001</v>
      </c>
      <c r="I54" s="133">
        <v>-0.17299999999999999</v>
      </c>
      <c r="J54" s="133">
        <v>-0.13900000000000001</v>
      </c>
      <c r="K54" s="133">
        <v>-0.18199999999999994</v>
      </c>
      <c r="L54" s="45">
        <f>SUM(H54:K54)</f>
        <v>-0.69599999999999995</v>
      </c>
      <c r="M54" s="133">
        <v>-9.9000000000000005E-2</v>
      </c>
      <c r="N54" s="133">
        <v>-3.2000000000000001E-2</v>
      </c>
      <c r="O54" s="133">
        <v>-3.2000000000000001E-2</v>
      </c>
      <c r="P54" s="133">
        <v>0.30900000000000005</v>
      </c>
      <c r="Q54" s="45">
        <f>SUM(M54:P54)</f>
        <v>0.14600000000000005</v>
      </c>
      <c r="R54" s="133">
        <v>-0.16700000000000001</v>
      </c>
      <c r="S54" s="133">
        <v>-0.30399999999999999</v>
      </c>
      <c r="T54" s="133">
        <v>-0.81499999999999995</v>
      </c>
      <c r="U54" s="133">
        <v>-0.32600000000000001</v>
      </c>
      <c r="V54" s="45">
        <f>SUM(R54:U54)</f>
        <v>-1.6120000000000001</v>
      </c>
      <c r="W54" s="133">
        <v>-5.0999999999999997E-2</v>
      </c>
      <c r="X54" s="133">
        <v>-5.7000000000000002E-2</v>
      </c>
      <c r="Y54" s="133">
        <v>-0.112</v>
      </c>
      <c r="Z54" s="133">
        <v>-0.126</v>
      </c>
      <c r="AA54" s="45">
        <f>SUM(W54:Z54)</f>
        <v>-0.34599999999999997</v>
      </c>
      <c r="AB54" s="133">
        <v>-9.8000000000000004E-2</v>
      </c>
      <c r="AC54" s="133">
        <v>-0.57099999999999995</v>
      </c>
      <c r="AD54" s="133">
        <v>-0.76700000000000002</v>
      </c>
      <c r="AE54" s="133">
        <v>-0.93</v>
      </c>
      <c r="AF54" s="45">
        <f>SUM(AB54:AE54)</f>
        <v>-2.3660000000000001</v>
      </c>
      <c r="AG54" s="92">
        <v>-0.86299999999999999</v>
      </c>
      <c r="AH54" s="92">
        <v>-1.034</v>
      </c>
      <c r="AI54" s="92">
        <v>-0.77300000000000002</v>
      </c>
      <c r="AJ54" s="92">
        <v>-0.76200000000000001</v>
      </c>
      <c r="AK54" s="45">
        <f>SUM(AG54:AJ54)</f>
        <v>-3.4319999999999999</v>
      </c>
      <c r="AL54" s="92">
        <v>-0.74199999999999999</v>
      </c>
      <c r="AM54" s="92">
        <v>-0.746</v>
      </c>
      <c r="AN54" s="92">
        <v>-0.74299999999999999</v>
      </c>
      <c r="AO54" s="92">
        <v>-0.749</v>
      </c>
      <c r="AP54" s="45">
        <f>SUM(AL54:AO54)</f>
        <v>-2.98</v>
      </c>
    </row>
    <row r="55" spans="1:42">
      <c r="A55" s="66" t="s">
        <v>261</v>
      </c>
      <c r="H55" s="133">
        <v>-4.2999999999999997E-2</v>
      </c>
      <c r="I55" s="133">
        <v>-3.5999999999999997E-2</v>
      </c>
      <c r="J55" s="133">
        <v>-3.5000000000000003E-2</v>
      </c>
      <c r="K55" s="133">
        <v>-3.3000000000000002E-2</v>
      </c>
      <c r="L55" s="45">
        <f>SUM(H55:K55)</f>
        <v>-0.14699999999999999</v>
      </c>
      <c r="M55" s="133">
        <v>-2.4E-2</v>
      </c>
      <c r="N55" s="133">
        <v>-2.9000000000000001E-2</v>
      </c>
      <c r="O55" s="133">
        <v>-0.05</v>
      </c>
      <c r="P55" s="133">
        <v>-0.108</v>
      </c>
      <c r="Q55" s="45">
        <f>SUM(M55:P55)</f>
        <v>-0.21100000000000002</v>
      </c>
      <c r="R55" s="133">
        <v>-4.8000000000000001E-2</v>
      </c>
      <c r="S55" s="133">
        <v>-3.7999999999999999E-2</v>
      </c>
      <c r="T55" s="133">
        <v>-5.8000000000000003E-2</v>
      </c>
      <c r="U55" s="133">
        <v>-0.17100000000000001</v>
      </c>
      <c r="V55" s="45">
        <f>SUM(R55:U55)</f>
        <v>-0.315</v>
      </c>
      <c r="W55" s="133">
        <v>-0.129</v>
      </c>
      <c r="X55" s="133">
        <v>0.35399999999999998</v>
      </c>
      <c r="Y55" s="133">
        <v>0.17199999999999999</v>
      </c>
      <c r="Z55" s="133">
        <v>7.9000000000000001E-2</v>
      </c>
      <c r="AA55" s="45">
        <f>SUM(W55:Z55)</f>
        <v>0.47599999999999998</v>
      </c>
      <c r="AB55" s="133">
        <v>0.13900000000000001</v>
      </c>
      <c r="AC55" s="133">
        <v>0.38400000000000001</v>
      </c>
      <c r="AD55" s="133">
        <v>9.6000000000000002E-2</v>
      </c>
      <c r="AE55" s="133">
        <v>0.36299999999999999</v>
      </c>
      <c r="AF55" s="45">
        <f>SUM(AB55:AE55)</f>
        <v>0.98199999999999998</v>
      </c>
      <c r="AG55" s="92">
        <v>0.155</v>
      </c>
      <c r="AH55" s="92">
        <v>-0.46200000000000002</v>
      </c>
      <c r="AI55" s="92">
        <v>0.54800000000000004</v>
      </c>
      <c r="AJ55" s="92">
        <v>0.70399999999999996</v>
      </c>
      <c r="AK55" s="45">
        <f>SUM(AG55:AJ55)</f>
        <v>0.94499999999999995</v>
      </c>
      <c r="AL55" s="92">
        <v>0.79100000000000004</v>
      </c>
      <c r="AM55" s="92">
        <v>3.609</v>
      </c>
      <c r="AN55" s="92">
        <v>0.33200000000000002</v>
      </c>
      <c r="AO55" s="92">
        <v>1.0660000000000001</v>
      </c>
      <c r="AP55" s="45">
        <f>SUM(AL55:AO55)</f>
        <v>5.798</v>
      </c>
    </row>
    <row r="56" spans="1:42">
      <c r="A56" s="56" t="s">
        <v>262</v>
      </c>
      <c r="H56" s="111">
        <f>-H55/(H47+H54)</f>
        <v>-4.6541833531767492E-3</v>
      </c>
      <c r="I56" s="111">
        <f t="shared" ref="I56:AP56" si="184">-I55/(I47+I54)</f>
        <v>-4.6807957352749978E-3</v>
      </c>
      <c r="J56" s="111">
        <f t="shared" si="184"/>
        <v>-2.4045067326188513E-3</v>
      </c>
      <c r="K56" s="111">
        <f t="shared" si="184"/>
        <v>-2.2327469553450836E-2</v>
      </c>
      <c r="L56" s="57">
        <f t="shared" si="184"/>
        <v>-4.4594102657444503E-3</v>
      </c>
      <c r="M56" s="111">
        <f t="shared" si="184"/>
        <v>-1.4075420796434228E-3</v>
      </c>
      <c r="N56" s="111">
        <f t="shared" si="184"/>
        <v>-2.475670138296057E-3</v>
      </c>
      <c r="O56" s="111">
        <f t="shared" si="184"/>
        <v>-4.1247318924269912E-3</v>
      </c>
      <c r="P56" s="111">
        <f t="shared" si="184"/>
        <v>1.8373596461381481E-2</v>
      </c>
      <c r="Q56" s="57">
        <f t="shared" si="184"/>
        <v>-6.0270216230112238E-3</v>
      </c>
      <c r="R56" s="111">
        <f t="shared" si="184"/>
        <v>-8.2474226804123626E-3</v>
      </c>
      <c r="S56" s="111">
        <f t="shared" si="184"/>
        <v>-3.3720827047652863E-3</v>
      </c>
      <c r="T56" s="111">
        <f t="shared" si="184"/>
        <v>-1.0029396507003305E-2</v>
      </c>
      <c r="U56" s="111">
        <f t="shared" si="184"/>
        <v>1.3567121548714695E-2</v>
      </c>
      <c r="V56" s="57">
        <f t="shared" si="184"/>
        <v>-3.0677834047526321E-2</v>
      </c>
      <c r="W56" s="111">
        <f t="shared" si="184"/>
        <v>-5.1109350237717642E-2</v>
      </c>
      <c r="X56" s="111">
        <f t="shared" si="184"/>
        <v>-6.9140624999999914E-2</v>
      </c>
      <c r="Y56" s="111">
        <f t="shared" si="184"/>
        <v>0.47513812154696128</v>
      </c>
      <c r="Z56" s="111">
        <f t="shared" si="184"/>
        <v>-3.6241857051105548E-3</v>
      </c>
      <c r="AA56" s="57">
        <f t="shared" si="184"/>
        <v>-1.9806924101198376E-2</v>
      </c>
      <c r="AB56" s="111">
        <f t="shared" si="184"/>
        <v>-1.9783660688869928E-2</v>
      </c>
      <c r="AC56" s="111">
        <f t="shared" si="184"/>
        <v>-4.977962146746169E-2</v>
      </c>
      <c r="AD56" s="111">
        <f t="shared" si="184"/>
        <v>2.0434227330779126E-2</v>
      </c>
      <c r="AE56" s="111">
        <f t="shared" si="184"/>
        <v>-4.7093928386092512E-2</v>
      </c>
      <c r="AF56" s="57">
        <f t="shared" si="184"/>
        <v>-5.5323943661971832E-2</v>
      </c>
      <c r="AG56" s="57">
        <f t="shared" si="184"/>
        <v>6.05729024190081E-3</v>
      </c>
      <c r="AH56" s="57">
        <f t="shared" si="184"/>
        <v>-3.4962918117148613E-2</v>
      </c>
      <c r="AI56" s="57">
        <f t="shared" si="184"/>
        <v>-1.1886170397362476E-2</v>
      </c>
      <c r="AJ56" s="57">
        <f t="shared" si="184"/>
        <v>-6.8239536281332978E-3</v>
      </c>
      <c r="AK56" s="57">
        <f t="shared" si="184"/>
        <v>-8.5545909638172421E-3</v>
      </c>
      <c r="AL56" s="57">
        <f t="shared" si="184"/>
        <v>-6.8425013624449612E-3</v>
      </c>
      <c r="AM56" s="57">
        <f t="shared" si="184"/>
        <v>-3.2547527145485367E-2</v>
      </c>
      <c r="AN56" s="57">
        <f t="shared" si="184"/>
        <v>-2.8017114068473155E-3</v>
      </c>
      <c r="AO56" s="57">
        <f t="shared" si="184"/>
        <v>-1.4276530776236154E-2</v>
      </c>
      <c r="AP56" s="57">
        <f t="shared" si="184"/>
        <v>-1.3816209621305274E-2</v>
      </c>
    </row>
    <row r="57" spans="1:42">
      <c r="A57" s="66"/>
      <c r="H57" s="133"/>
      <c r="I57" s="133"/>
      <c r="J57" s="133"/>
      <c r="K57" s="133"/>
      <c r="L57" s="92"/>
      <c r="M57" s="133"/>
      <c r="N57" s="133"/>
      <c r="O57" s="133"/>
      <c r="P57" s="133"/>
      <c r="Q57" s="92"/>
      <c r="R57" s="133"/>
      <c r="S57" s="133"/>
      <c r="T57" s="133"/>
      <c r="U57" s="133"/>
      <c r="V57" s="92"/>
      <c r="W57" s="133"/>
      <c r="X57" s="133"/>
      <c r="Y57" s="133"/>
      <c r="Z57" s="133"/>
      <c r="AA57" s="92"/>
      <c r="AB57" s="133"/>
      <c r="AC57" s="133"/>
      <c r="AD57" s="133"/>
      <c r="AE57" s="133"/>
      <c r="AF57" s="92"/>
      <c r="AG57" s="92"/>
      <c r="AH57" s="92"/>
      <c r="AI57" s="92"/>
      <c r="AJ57" s="92"/>
      <c r="AK57" s="92"/>
      <c r="AL57" s="92"/>
      <c r="AM57" s="92"/>
      <c r="AN57" s="92"/>
      <c r="AO57" s="92"/>
      <c r="AP57" s="92"/>
    </row>
    <row r="58" spans="1:42">
      <c r="A58" s="66" t="s">
        <v>263</v>
      </c>
      <c r="H58" s="108">
        <f>H47*(1-H56)</f>
        <v>-9.0790598549626615</v>
      </c>
      <c r="I58" s="108">
        <f t="shared" ref="I58:AO58" si="185">I47*(1-I56)</f>
        <v>-7.5531902223377951</v>
      </c>
      <c r="J58" s="108">
        <f t="shared" si="185"/>
        <v>-14.451665773564168</v>
      </c>
      <c r="K58" s="108">
        <f t="shared" si="185"/>
        <v>-1.3249364005412569</v>
      </c>
      <c r="L58" s="45">
        <f>SUM(H58:K58)</f>
        <v>-32.408852251405875</v>
      </c>
      <c r="M58" s="108">
        <f t="shared" si="185"/>
        <v>-16.975860653334113</v>
      </c>
      <c r="N58" s="108">
        <f t="shared" si="185"/>
        <v>-11.710920778555568</v>
      </c>
      <c r="O58" s="108">
        <f t="shared" si="185"/>
        <v>-12.139868008579445</v>
      </c>
      <c r="P58" s="108">
        <f t="shared" si="185"/>
        <v>5.4666774413065484</v>
      </c>
      <c r="Q58" s="45">
        <f>SUM(M58:P58)</f>
        <v>-35.359971999162575</v>
      </c>
      <c r="R58" s="108">
        <f t="shared" si="185"/>
        <v>-5.6996226804123769</v>
      </c>
      <c r="S58" s="108">
        <f t="shared" si="185"/>
        <v>-11.001974886857747</v>
      </c>
      <c r="T58" s="108">
        <f t="shared" si="185"/>
        <v>-5.0178260418467815</v>
      </c>
      <c r="U58" s="108">
        <f t="shared" si="185"/>
        <v>12.754577118375119</v>
      </c>
      <c r="V58" s="45">
        <f>SUM(R58:U58)</f>
        <v>-8.9648464907417864</v>
      </c>
      <c r="W58" s="108">
        <f t="shared" si="185"/>
        <v>-2.5993934231378892</v>
      </c>
      <c r="X58" s="108">
        <f t="shared" si="185"/>
        <v>5.534941015625007</v>
      </c>
      <c r="Y58" s="108">
        <f t="shared" si="185"/>
        <v>-0.13121546961325969</v>
      </c>
      <c r="Z58" s="108">
        <f t="shared" si="185"/>
        <v>22.003456647398878</v>
      </c>
      <c r="AA58" s="45">
        <f>SUM(W58:Z58)</f>
        <v>24.807788770272737</v>
      </c>
      <c r="AB58" s="108">
        <f t="shared" si="185"/>
        <v>7.2649387987475045</v>
      </c>
      <c r="AC58" s="108">
        <f t="shared" si="185"/>
        <v>8.6974241638579315</v>
      </c>
      <c r="AD58" s="108">
        <f t="shared" si="185"/>
        <v>-3.8506730523626906</v>
      </c>
      <c r="AE58" s="108">
        <f t="shared" si="185"/>
        <v>9.0447973533990424</v>
      </c>
      <c r="AF58" s="45">
        <f>SUM(AB58:AE58)</f>
        <v>21.156487263641786</v>
      </c>
      <c r="AG58" s="45">
        <f t="shared" si="185"/>
        <v>-24.576227441478789</v>
      </c>
      <c r="AH58" s="45">
        <f t="shared" si="185"/>
        <v>-12.605848342666819</v>
      </c>
      <c r="AI58" s="45">
        <f t="shared" si="185"/>
        <v>47.434188009717204</v>
      </c>
      <c r="AJ58" s="45">
        <f t="shared" si="185"/>
        <v>104.63719985266466</v>
      </c>
      <c r="AK58" s="45">
        <f>SUM(AG58:AJ58)</f>
        <v>114.88931207823626</v>
      </c>
      <c r="AL58" s="45">
        <f t="shared" si="185"/>
        <v>117.13907713601094</v>
      </c>
      <c r="AM58" s="45">
        <f t="shared" si="185"/>
        <v>115.26328045525055</v>
      </c>
      <c r="AN58" s="45">
        <f t="shared" si="185"/>
        <v>119.57608167157527</v>
      </c>
      <c r="AO58" s="45">
        <f t="shared" si="185"/>
        <v>76.493693121551331</v>
      </c>
      <c r="AP58" s="45">
        <f>SUM(AL58:AO58)</f>
        <v>428.47213238438803</v>
      </c>
    </row>
    <row r="59" spans="1:42">
      <c r="A59" s="66"/>
      <c r="H59" s="108"/>
      <c r="I59" s="108"/>
      <c r="J59" s="108"/>
      <c r="K59" s="108"/>
      <c r="L59" s="45"/>
      <c r="M59" s="108"/>
      <c r="N59" s="108"/>
      <c r="O59" s="108"/>
      <c r="P59" s="108"/>
      <c r="Q59" s="45"/>
      <c r="R59" s="108"/>
      <c r="S59" s="108"/>
      <c r="T59" s="108"/>
      <c r="U59" s="108"/>
      <c r="V59" s="45"/>
      <c r="W59" s="108"/>
      <c r="X59" s="108"/>
      <c r="Y59" s="108"/>
      <c r="Z59" s="108"/>
      <c r="AA59" s="45"/>
      <c r="AB59" s="108"/>
      <c r="AC59" s="108"/>
      <c r="AD59" s="108"/>
      <c r="AE59" s="108"/>
      <c r="AF59" s="45"/>
      <c r="AG59" s="45"/>
      <c r="AH59" s="45"/>
      <c r="AI59" s="45"/>
      <c r="AJ59" s="45"/>
      <c r="AK59" s="45"/>
      <c r="AL59" s="45"/>
      <c r="AM59" s="45"/>
      <c r="AN59" s="45"/>
      <c r="AO59" s="45"/>
      <c r="AP59" s="45"/>
    </row>
    <row r="60" spans="1:42">
      <c r="A60" s="66" t="s">
        <v>197</v>
      </c>
      <c r="H60" s="108"/>
      <c r="I60" s="108"/>
      <c r="J60" s="108"/>
      <c r="K60" s="108"/>
      <c r="L60" s="45"/>
      <c r="M60" s="108"/>
      <c r="N60" s="108"/>
      <c r="O60" s="108"/>
      <c r="P60" s="108"/>
      <c r="Q60" s="45"/>
      <c r="R60" s="108">
        <f>R58+R62-R63-R64</f>
        <v>13.647377319587623</v>
      </c>
      <c r="S60" s="108">
        <f t="shared" ref="S60:AO60" si="186">S58+S62-S63-S64</f>
        <v>4.9310251131422547</v>
      </c>
      <c r="T60" s="108">
        <f t="shared" si="186"/>
        <v>0.98517395815321773</v>
      </c>
      <c r="U60" s="108">
        <f t="shared" si="186"/>
        <v>-7.69942288162488</v>
      </c>
      <c r="V60" s="45">
        <f>SUM(R60:U60)</f>
        <v>11.864153509258216</v>
      </c>
      <c r="W60" s="108">
        <f t="shared" si="186"/>
        <v>-30.271393423137891</v>
      </c>
      <c r="X60" s="108">
        <f t="shared" si="186"/>
        <v>2.7849410156250074</v>
      </c>
      <c r="Y60" s="108">
        <f t="shared" si="186"/>
        <v>-5.1482154696132598</v>
      </c>
      <c r="Z60" s="108">
        <f t="shared" si="186"/>
        <v>10.618456647398876</v>
      </c>
      <c r="AA60" s="45">
        <f>SUM(W60:Z60)</f>
        <v>-22.016211229727265</v>
      </c>
      <c r="AB60" s="108">
        <f t="shared" si="186"/>
        <v>-35.578061201252495</v>
      </c>
      <c r="AC60" s="108">
        <f t="shared" si="186"/>
        <v>34.125424163857929</v>
      </c>
      <c r="AD60" s="108">
        <f t="shared" si="186"/>
        <v>-12.657673052362691</v>
      </c>
      <c r="AE60" s="108">
        <f t="shared" si="186"/>
        <v>-59.636202646600957</v>
      </c>
      <c r="AF60" s="45">
        <f>SUM(AB60:AE60)</f>
        <v>-73.746512736358213</v>
      </c>
      <c r="AG60" s="45">
        <f t="shared" si="186"/>
        <v>-19.428227441478782</v>
      </c>
      <c r="AH60" s="45">
        <f t="shared" si="186"/>
        <v>0.29415165733318105</v>
      </c>
      <c r="AI60" s="45">
        <f t="shared" si="186"/>
        <v>-2.2668119902827897</v>
      </c>
      <c r="AJ60" s="45">
        <f t="shared" si="186"/>
        <v>39.796199852664657</v>
      </c>
      <c r="AK60" s="45">
        <f>SUM(AG60:AJ60)</f>
        <v>18.395312078236266</v>
      </c>
      <c r="AL60" s="45">
        <f t="shared" si="186"/>
        <v>165.44407713601095</v>
      </c>
      <c r="AM60" s="45">
        <f t="shared" si="186"/>
        <v>52.476280455250553</v>
      </c>
      <c r="AN60" s="45">
        <f t="shared" si="186"/>
        <v>105.03808167157528</v>
      </c>
      <c r="AO60" s="45">
        <f t="shared" si="186"/>
        <v>7.291693121551333</v>
      </c>
      <c r="AP60" s="45">
        <f>SUM(AL60:AO60)</f>
        <v>330.25013238438817</v>
      </c>
    </row>
    <row r="61" spans="1:42">
      <c r="A61" s="56" t="s">
        <v>198</v>
      </c>
      <c r="H61" s="108"/>
      <c r="I61" s="108"/>
      <c r="J61" s="108"/>
      <c r="K61" s="108"/>
      <c r="L61" s="45"/>
      <c r="M61" s="108"/>
      <c r="N61" s="108"/>
      <c r="O61" s="108"/>
      <c r="P61" s="108"/>
      <c r="Q61" s="45"/>
      <c r="R61" s="111">
        <f>R60/R$12</f>
        <v>0.13633743576011612</v>
      </c>
      <c r="S61" s="111">
        <f t="shared" ref="S61:AP61" si="187">S60/S$12</f>
        <v>4.9494866985277629E-2</v>
      </c>
      <c r="T61" s="111">
        <f t="shared" si="187"/>
        <v>7.8951608257057729E-3</v>
      </c>
      <c r="U61" s="111">
        <f t="shared" si="187"/>
        <v>-4.0897598980271434E-2</v>
      </c>
      <c r="V61" s="57">
        <f t="shared" si="187"/>
        <v>2.3137378374823443E-2</v>
      </c>
      <c r="W61" s="111">
        <f t="shared" si="187"/>
        <v>-0.22164504322236625</v>
      </c>
      <c r="X61" s="111">
        <f t="shared" si="187"/>
        <v>1.775997076477908E-2</v>
      </c>
      <c r="Y61" s="111">
        <f t="shared" si="187"/>
        <v>-2.9693077497610808E-2</v>
      </c>
      <c r="Z61" s="111">
        <f t="shared" si="187"/>
        <v>3.8509085212461332E-2</v>
      </c>
      <c r="AA61" s="57">
        <f t="shared" si="187"/>
        <v>-2.9651223329814527E-2</v>
      </c>
      <c r="AB61" s="111">
        <f t="shared" si="187"/>
        <v>-0.17215579642727014</v>
      </c>
      <c r="AC61" s="111">
        <f t="shared" si="187"/>
        <v>0.13644657224024664</v>
      </c>
      <c r="AD61" s="111">
        <f t="shared" si="187"/>
        <v>-4.8510213746177838E-2</v>
      </c>
      <c r="AE61" s="111">
        <f t="shared" si="187"/>
        <v>-0.14501909551005751</v>
      </c>
      <c r="AF61" s="57">
        <f t="shared" si="187"/>
        <v>-6.5324777142384813E-2</v>
      </c>
      <c r="AG61" s="57">
        <f t="shared" si="187"/>
        <v>-6.056180623902363E-2</v>
      </c>
      <c r="AH61" s="57">
        <f t="shared" si="187"/>
        <v>8.2611554412154219E-4</v>
      </c>
      <c r="AI61" s="57">
        <f t="shared" si="187"/>
        <v>-5.0188126773341845E-3</v>
      </c>
      <c r="AJ61" s="57">
        <f t="shared" si="187"/>
        <v>6.1234343518486931E-2</v>
      </c>
      <c r="AK61" s="57">
        <f t="shared" si="187"/>
        <v>1.0343574063533751E-2</v>
      </c>
      <c r="AL61" s="57">
        <f t="shared" si="187"/>
        <v>0.28813823665279353</v>
      </c>
      <c r="AM61" s="57">
        <f t="shared" si="187"/>
        <v>8.1343566776440543E-2</v>
      </c>
      <c r="AN61" s="57">
        <f t="shared" si="187"/>
        <v>0.15447844435067612</v>
      </c>
      <c r="AO61" s="57">
        <f t="shared" si="187"/>
        <v>8.4264980389555117E-3</v>
      </c>
      <c r="AP61" s="57">
        <f t="shared" si="187"/>
        <v>0.11945744183732097</v>
      </c>
    </row>
    <row r="62" spans="1:42">
      <c r="A62" s="44" t="str">
        <f>"(+) Depreciation and Amortization"</f>
        <v>(+) Depreciation and Amortization</v>
      </c>
      <c r="H62" s="108"/>
      <c r="I62" s="108"/>
      <c r="J62" s="108"/>
      <c r="K62" s="108"/>
      <c r="L62" s="45"/>
      <c r="M62" s="108"/>
      <c r="N62" s="108"/>
      <c r="O62" s="108"/>
      <c r="P62" s="108"/>
      <c r="Q62" s="45"/>
      <c r="R62" s="108">
        <f>R51</f>
        <v>1.2470000000000001</v>
      </c>
      <c r="S62" s="108">
        <f>S51</f>
        <v>1.333</v>
      </c>
      <c r="T62" s="108">
        <f>T51</f>
        <v>1.3029999999999999</v>
      </c>
      <c r="U62" s="108">
        <f>U51</f>
        <v>1.4530000000000001</v>
      </c>
      <c r="V62" s="45">
        <f>SUM(R62:U62)</f>
        <v>5.3360000000000003</v>
      </c>
      <c r="W62" s="108">
        <f>W51</f>
        <v>1.6559999999999999</v>
      </c>
      <c r="X62" s="108">
        <f>X51</f>
        <v>1.95</v>
      </c>
      <c r="Y62" s="108">
        <f>Y51</f>
        <v>2.218</v>
      </c>
      <c r="Z62" s="108">
        <f>Z51</f>
        <v>2.5649999999999995</v>
      </c>
      <c r="AA62" s="45">
        <f>SUM(W62:Z62)</f>
        <v>8.3889999999999993</v>
      </c>
      <c r="AB62" s="108">
        <f>AB51</f>
        <v>2.8490000000000002</v>
      </c>
      <c r="AC62" s="108">
        <f>AC51</f>
        <v>2.8279999999999994</v>
      </c>
      <c r="AD62" s="108">
        <f>AD51</f>
        <v>3.4929999999999999</v>
      </c>
      <c r="AE62" s="108">
        <f>AE51</f>
        <v>6.4989999999999997</v>
      </c>
      <c r="AF62" s="45">
        <f>SUM(AB62:AE62)</f>
        <v>15.669</v>
      </c>
      <c r="AG62" s="45">
        <f>AG51</f>
        <v>8.4480000000000004</v>
      </c>
      <c r="AH62" s="45">
        <f>AH51</f>
        <v>8.8000000000000007</v>
      </c>
      <c r="AI62" s="45">
        <f>AI51</f>
        <v>9.3190000000000008</v>
      </c>
      <c r="AJ62" s="45">
        <f>AJ51</f>
        <v>9.6389999999999993</v>
      </c>
      <c r="AK62" s="45">
        <f>SUM(AG62:AJ62)</f>
        <v>36.206000000000003</v>
      </c>
      <c r="AL62" s="45">
        <f>AL51</f>
        <v>9.6050000000000004</v>
      </c>
      <c r="AM62" s="45">
        <f>AM51</f>
        <v>10.807</v>
      </c>
      <c r="AN62" s="45">
        <f>AN51</f>
        <v>10.891999999999999</v>
      </c>
      <c r="AO62" s="45">
        <f>AO51</f>
        <v>11.317</v>
      </c>
      <c r="AP62" s="45">
        <f>SUM(AL62:AO62)</f>
        <v>42.620999999999995</v>
      </c>
    </row>
    <row r="63" spans="1:42">
      <c r="A63" s="44" t="str">
        <f>"(-) Capital Expenditures"</f>
        <v>(-) Capital Expenditures</v>
      </c>
      <c r="M63" s="133"/>
      <c r="N63" s="133"/>
      <c r="O63" s="133"/>
      <c r="P63" s="133"/>
      <c r="Q63" s="45"/>
      <c r="R63" s="133">
        <v>1.6</v>
      </c>
      <c r="S63" s="133">
        <v>3</v>
      </c>
      <c r="T63" s="133">
        <v>2.1</v>
      </c>
      <c r="U63" s="133">
        <v>2.6</v>
      </c>
      <c r="V63" s="45">
        <f>SUM(R63:U63)</f>
        <v>9.2999999999999989</v>
      </c>
      <c r="W63" s="133">
        <v>3.4</v>
      </c>
      <c r="X63" s="133">
        <v>5.6</v>
      </c>
      <c r="Y63" s="133">
        <v>4.4000000000000004</v>
      </c>
      <c r="Z63" s="133">
        <v>5</v>
      </c>
      <c r="AA63" s="45">
        <f>SUM(W63:Z63)</f>
        <v>18.399999999999999</v>
      </c>
      <c r="AB63" s="133">
        <v>5.0999999999999996</v>
      </c>
      <c r="AC63" s="133">
        <v>18.100000000000001</v>
      </c>
      <c r="AD63" s="133">
        <v>14.9</v>
      </c>
      <c r="AE63" s="133">
        <v>39.1</v>
      </c>
      <c r="AF63" s="45">
        <f>SUM(AB63:AE63)</f>
        <v>77.2</v>
      </c>
      <c r="AG63" s="92">
        <v>45.3</v>
      </c>
      <c r="AH63" s="92">
        <v>18.8</v>
      </c>
      <c r="AI63" s="92">
        <v>11.9</v>
      </c>
      <c r="AJ63" s="92">
        <v>6.4</v>
      </c>
      <c r="AK63" s="45">
        <f>SUM(AG63:AJ63)</f>
        <v>82.4</v>
      </c>
      <c r="AL63" s="92">
        <v>3.7</v>
      </c>
      <c r="AM63" s="92">
        <v>10.199999999999999</v>
      </c>
      <c r="AN63" s="92">
        <v>14.1</v>
      </c>
      <c r="AO63" s="92">
        <v>12</v>
      </c>
      <c r="AP63" s="45">
        <f>SUM(AL63:AO63)</f>
        <v>40</v>
      </c>
    </row>
    <row r="64" spans="1:42">
      <c r="A64" s="44" t="str">
        <f>"(-) Changes to Net Working Capital"</f>
        <v>(-) Changes to Net Working Capital</v>
      </c>
      <c r="H64" s="133"/>
      <c r="I64" s="133"/>
      <c r="J64" s="133"/>
      <c r="K64" s="133"/>
      <c r="L64" s="92"/>
      <c r="M64" s="133"/>
      <c r="N64" s="133"/>
      <c r="O64" s="133"/>
      <c r="P64" s="133"/>
      <c r="Q64" s="92"/>
      <c r="R64" s="133">
        <v>-19.7</v>
      </c>
      <c r="S64" s="133">
        <v>-17.600000000000001</v>
      </c>
      <c r="T64" s="133">
        <v>-6.8</v>
      </c>
      <c r="U64" s="133">
        <v>19.306999999999999</v>
      </c>
      <c r="V64" s="45">
        <f>SUM(R64:U64)</f>
        <v>-24.792999999999996</v>
      </c>
      <c r="W64" s="133">
        <v>25.928000000000001</v>
      </c>
      <c r="X64" s="133">
        <v>-0.9</v>
      </c>
      <c r="Y64" s="133">
        <v>2.835</v>
      </c>
      <c r="Z64" s="133">
        <v>8.9499999999999993</v>
      </c>
      <c r="AA64" s="45">
        <f>SUM(W64:Z64)</f>
        <v>36.813000000000002</v>
      </c>
      <c r="AB64" s="133">
        <v>40.591999999999999</v>
      </c>
      <c r="AC64" s="133">
        <v>-40.700000000000003</v>
      </c>
      <c r="AD64" s="133">
        <v>-2.6</v>
      </c>
      <c r="AE64" s="133">
        <v>36.08</v>
      </c>
      <c r="AF64" s="45">
        <f>SUM(AB64:AE64)</f>
        <v>33.371999999999993</v>
      </c>
      <c r="AG64" s="92">
        <v>-42</v>
      </c>
      <c r="AH64" s="92">
        <v>-22.9</v>
      </c>
      <c r="AI64" s="92">
        <v>47.12</v>
      </c>
      <c r="AJ64" s="92">
        <v>68.08</v>
      </c>
      <c r="AK64" s="45">
        <f>SUM(AG64:AJ64)</f>
        <v>50.29999999999999</v>
      </c>
      <c r="AL64" s="92">
        <v>-42.4</v>
      </c>
      <c r="AM64" s="92">
        <v>63.393999999999998</v>
      </c>
      <c r="AN64" s="92">
        <v>11.33</v>
      </c>
      <c r="AO64" s="92">
        <v>68.519000000000005</v>
      </c>
      <c r="AP64" s="45">
        <f>SUM(AL64:AO64)</f>
        <v>100.843</v>
      </c>
    </row>
    <row r="65" spans="1:42">
      <c r="A65" s="44"/>
      <c r="H65" s="133"/>
      <c r="I65" s="133"/>
      <c r="J65" s="133"/>
      <c r="K65" s="133"/>
      <c r="L65" s="92"/>
      <c r="M65" s="133"/>
      <c r="N65" s="133"/>
      <c r="O65" s="133"/>
      <c r="P65" s="133"/>
      <c r="Q65" s="92"/>
      <c r="R65" s="133"/>
      <c r="S65" s="133"/>
      <c r="T65" s="133"/>
      <c r="U65" s="133"/>
      <c r="V65" s="92"/>
      <c r="W65" s="133"/>
      <c r="X65" s="133"/>
      <c r="Y65" s="133"/>
      <c r="Z65" s="133"/>
      <c r="AA65" s="92"/>
      <c r="AB65" s="133"/>
      <c r="AC65" s="133"/>
      <c r="AD65" s="133"/>
      <c r="AE65" s="133"/>
      <c r="AF65" s="92"/>
      <c r="AG65" s="92"/>
      <c r="AH65" s="92"/>
      <c r="AI65" s="92"/>
      <c r="AJ65" s="92"/>
      <c r="AK65" s="92"/>
      <c r="AL65" s="92"/>
      <c r="AM65" s="92"/>
      <c r="AN65" s="92"/>
      <c r="AO65" s="92"/>
      <c r="AP65" s="92"/>
    </row>
    <row r="66" spans="1:42">
      <c r="A66" s="66" t="s">
        <v>264</v>
      </c>
      <c r="H66" s="108"/>
      <c r="I66" s="111"/>
      <c r="J66" s="111"/>
      <c r="K66" s="111"/>
      <c r="L66" s="57"/>
      <c r="M66" s="111"/>
      <c r="N66" s="111"/>
      <c r="O66" s="111"/>
      <c r="P66" s="111"/>
      <c r="Q66" s="57"/>
      <c r="R66" s="111"/>
      <c r="S66" s="111"/>
      <c r="T66" s="111"/>
      <c r="U66" s="111"/>
      <c r="V66" s="57"/>
      <c r="W66" s="111"/>
      <c r="X66" s="111"/>
      <c r="Y66" s="111"/>
      <c r="Z66" s="111"/>
      <c r="AA66" s="57"/>
      <c r="AB66" s="111"/>
      <c r="AC66" s="111"/>
      <c r="AD66" s="111"/>
      <c r="AE66" s="111"/>
      <c r="AF66" s="45">
        <f>SUM(AF68,AF69)</f>
        <v>25.242000000000001</v>
      </c>
      <c r="AG66" s="57"/>
      <c r="AH66" s="57"/>
      <c r="AI66" s="57"/>
      <c r="AJ66" s="57"/>
      <c r="AK66" s="45">
        <f>SUM(AK68,AK69)</f>
        <v>51.134999999999998</v>
      </c>
      <c r="AL66" s="57"/>
      <c r="AM66" s="57"/>
      <c r="AN66" s="57"/>
      <c r="AO66" s="57"/>
      <c r="AP66" s="45">
        <f>SUM(AP68,AP69)</f>
        <v>126.59399999999999</v>
      </c>
    </row>
    <row r="67" spans="1:42">
      <c r="A67" s="56" t="s">
        <v>241</v>
      </c>
      <c r="H67" s="108"/>
      <c r="I67" s="111"/>
      <c r="J67" s="111"/>
      <c r="K67" s="111"/>
      <c r="L67" s="57"/>
      <c r="M67" s="111"/>
      <c r="N67" s="111"/>
      <c r="O67" s="111"/>
      <c r="P67" s="111"/>
      <c r="Q67" s="57"/>
      <c r="R67" s="111"/>
      <c r="S67" s="111"/>
      <c r="T67" s="111"/>
      <c r="U67" s="111"/>
      <c r="V67" s="57"/>
      <c r="W67" s="111"/>
      <c r="X67" s="111"/>
      <c r="Y67" s="111"/>
      <c r="Z67" s="111"/>
      <c r="AA67" s="57"/>
      <c r="AB67" s="111"/>
      <c r="AC67" s="111"/>
      <c r="AD67" s="111"/>
      <c r="AE67" s="111"/>
      <c r="AF67" s="45"/>
      <c r="AG67" s="57"/>
      <c r="AH67" s="57"/>
      <c r="AI67" s="57"/>
      <c r="AJ67" s="57"/>
      <c r="AK67" s="57">
        <f>AK66/AF66-1</f>
        <v>1.0257903494176372</v>
      </c>
      <c r="AL67" s="57"/>
      <c r="AM67" s="57"/>
      <c r="AN67" s="57"/>
      <c r="AO67" s="57"/>
      <c r="AP67" s="57">
        <f>AP66/AK66-1</f>
        <v>1.4756820181871517</v>
      </c>
    </row>
    <row r="68" spans="1:42">
      <c r="A68" s="44" t="s">
        <v>265</v>
      </c>
      <c r="H68" s="108"/>
      <c r="I68" s="111"/>
      <c r="J68" s="111"/>
      <c r="K68" s="111"/>
      <c r="L68" s="57"/>
      <c r="M68" s="111"/>
      <c r="N68" s="111"/>
      <c r="O68" s="111"/>
      <c r="P68" s="111"/>
      <c r="Q68" s="57"/>
      <c r="R68" s="111"/>
      <c r="S68" s="111"/>
      <c r="T68" s="111"/>
      <c r="U68" s="111"/>
      <c r="V68" s="57"/>
      <c r="W68" s="111"/>
      <c r="X68" s="111"/>
      <c r="Y68" s="111"/>
      <c r="Z68" s="111"/>
      <c r="AA68" s="57"/>
      <c r="AB68" s="111"/>
      <c r="AC68" s="111"/>
      <c r="AD68" s="111"/>
      <c r="AE68" s="111"/>
      <c r="AF68" s="45">
        <v>22.327999999999999</v>
      </c>
      <c r="AG68" s="57"/>
      <c r="AH68" s="57"/>
      <c r="AI68" s="57"/>
      <c r="AJ68" s="57"/>
      <c r="AK68" s="45">
        <v>28.742999999999999</v>
      </c>
      <c r="AL68" s="57"/>
      <c r="AM68" s="57"/>
      <c r="AN68" s="57"/>
      <c r="AO68" s="57"/>
      <c r="AP68" s="45">
        <v>31.024000000000001</v>
      </c>
    </row>
    <row r="69" spans="1:42">
      <c r="A69" s="44" t="s">
        <v>266</v>
      </c>
      <c r="H69" s="108"/>
      <c r="I69" s="111"/>
      <c r="J69" s="111"/>
      <c r="K69" s="111"/>
      <c r="L69" s="57"/>
      <c r="M69" s="111"/>
      <c r="N69" s="111"/>
      <c r="O69" s="111"/>
      <c r="P69" s="111"/>
      <c r="Q69" s="57"/>
      <c r="R69" s="111"/>
      <c r="S69" s="111"/>
      <c r="T69" s="111"/>
      <c r="U69" s="111"/>
      <c r="V69" s="57"/>
      <c r="W69" s="111"/>
      <c r="X69" s="111"/>
      <c r="Y69" s="111"/>
      <c r="Z69" s="111"/>
      <c r="AA69" s="57"/>
      <c r="AB69" s="111"/>
      <c r="AC69" s="111"/>
      <c r="AD69" s="111"/>
      <c r="AE69" s="111"/>
      <c r="AF69" s="45">
        <v>2.9140000000000001</v>
      </c>
      <c r="AG69" s="57"/>
      <c r="AH69" s="57"/>
      <c r="AI69" s="57"/>
      <c r="AJ69" s="57"/>
      <c r="AK69" s="45">
        <v>22.391999999999999</v>
      </c>
      <c r="AL69" s="57"/>
      <c r="AM69" s="57"/>
      <c r="AN69" s="57"/>
      <c r="AO69" s="57"/>
      <c r="AP69" s="45">
        <v>95.57</v>
      </c>
    </row>
    <row r="70" spans="1:42">
      <c r="A70" s="44"/>
      <c r="H70" s="133"/>
      <c r="I70" s="133"/>
      <c r="J70" s="133"/>
      <c r="K70" s="133"/>
      <c r="L70" s="92"/>
      <c r="M70" s="133"/>
      <c r="N70" s="133"/>
      <c r="O70" s="133"/>
      <c r="P70" s="133"/>
      <c r="Q70" s="92"/>
      <c r="R70" s="133"/>
      <c r="S70" s="133"/>
      <c r="T70" s="133"/>
      <c r="U70" s="133"/>
      <c r="V70" s="92"/>
      <c r="W70" s="133"/>
      <c r="X70" s="133"/>
      <c r="Y70" s="133"/>
      <c r="Z70" s="133"/>
      <c r="AA70" s="92"/>
      <c r="AB70" s="133"/>
      <c r="AC70" s="133"/>
      <c r="AD70" s="133"/>
      <c r="AE70" s="133"/>
      <c r="AF70" s="92"/>
      <c r="AG70" s="92"/>
      <c r="AH70" s="92"/>
      <c r="AI70" s="92"/>
      <c r="AJ70" s="92"/>
      <c r="AK70" s="92"/>
      <c r="AL70" s="92"/>
      <c r="AM70" s="92"/>
      <c r="AN70" s="92"/>
      <c r="AO70" s="92"/>
      <c r="AP70" s="92"/>
    </row>
    <row r="71" spans="1:42">
      <c r="A71" s="31" t="s">
        <v>267</v>
      </c>
      <c r="B71" s="31"/>
      <c r="C71" s="31"/>
      <c r="D71" s="31"/>
      <c r="E71" s="31"/>
      <c r="F71" s="31"/>
      <c r="G71" s="31"/>
      <c r="H71" s="133"/>
      <c r="I71" s="133"/>
      <c r="J71" s="133"/>
      <c r="K71" s="133"/>
      <c r="L71" s="92"/>
      <c r="M71" s="133"/>
      <c r="N71" s="133"/>
      <c r="O71" s="133"/>
      <c r="P71" s="133"/>
      <c r="Q71" s="92"/>
      <c r="R71" s="133"/>
      <c r="S71" s="133"/>
      <c r="T71" s="133"/>
      <c r="U71" s="133"/>
      <c r="V71" s="92"/>
      <c r="W71" s="133"/>
      <c r="X71" s="133"/>
      <c r="Y71" s="133"/>
      <c r="Z71" s="133"/>
      <c r="AA71" s="92"/>
      <c r="AB71" s="133"/>
      <c r="AC71" s="133"/>
      <c r="AD71" s="133"/>
      <c r="AE71" s="133"/>
      <c r="AF71" s="92"/>
      <c r="AG71" s="92"/>
      <c r="AH71" s="92"/>
      <c r="AI71" s="92"/>
      <c r="AJ71" s="92"/>
      <c r="AK71" s="92"/>
      <c r="AL71" s="92"/>
      <c r="AM71" s="92"/>
      <c r="AN71" s="92"/>
      <c r="AO71" s="92"/>
      <c r="AP71" s="92"/>
    </row>
    <row r="72" spans="1:42">
      <c r="A72" s="44"/>
      <c r="H72" s="133"/>
      <c r="I72" s="133"/>
      <c r="J72" s="133"/>
      <c r="K72" s="133"/>
      <c r="L72" s="92"/>
      <c r="M72" s="133"/>
      <c r="N72" s="133"/>
      <c r="O72" s="133"/>
      <c r="P72" s="133"/>
      <c r="Q72" s="92"/>
      <c r="R72" s="133"/>
      <c r="S72" s="133"/>
      <c r="T72" s="133"/>
      <c r="U72" s="133"/>
      <c r="V72" s="92"/>
      <c r="W72" s="133"/>
      <c r="X72" s="133"/>
      <c r="Y72" s="133"/>
      <c r="Z72" s="133"/>
      <c r="AA72" s="92"/>
      <c r="AB72" s="133"/>
      <c r="AC72" s="133"/>
      <c r="AD72" s="133"/>
      <c r="AE72" s="133"/>
      <c r="AF72" s="92"/>
      <c r="AG72" s="92"/>
      <c r="AH72" s="92"/>
      <c r="AI72" s="92"/>
      <c r="AJ72" s="92"/>
      <c r="AK72" s="92"/>
      <c r="AL72" s="92"/>
      <c r="AM72" s="92"/>
      <c r="AN72" s="92"/>
      <c r="AO72" s="92"/>
      <c r="AP72" s="92"/>
    </row>
    <row r="73" spans="1:42">
      <c r="A73" s="66" t="s">
        <v>268</v>
      </c>
      <c r="H73" s="133">
        <v>6.8380000000000001</v>
      </c>
      <c r="I73" s="133">
        <v>7.23</v>
      </c>
      <c r="J73" s="133">
        <v>7.633</v>
      </c>
      <c r="K73" s="133">
        <v>9.1790000000000003</v>
      </c>
      <c r="L73" s="45">
        <f>AVERAGE(H73:K73)</f>
        <v>7.7200000000000006</v>
      </c>
      <c r="M73" s="133">
        <v>10.006</v>
      </c>
      <c r="N73" s="133">
        <v>10.552</v>
      </c>
      <c r="O73" s="133">
        <v>11.278</v>
      </c>
      <c r="P73" s="133">
        <v>13.4</v>
      </c>
      <c r="Q73" s="45">
        <f>AVERAGE(M73:P73)</f>
        <v>11.308999999999999</v>
      </c>
      <c r="R73" s="133">
        <v>14.2</v>
      </c>
      <c r="S73" s="133">
        <v>15.1</v>
      </c>
      <c r="T73" s="133">
        <v>16.7</v>
      </c>
      <c r="U73" s="133">
        <v>19.3</v>
      </c>
      <c r="V73" s="45">
        <f>AVERAGE(R73:U73)</f>
        <v>16.324999999999999</v>
      </c>
      <c r="W73" s="133">
        <v>20.8</v>
      </c>
      <c r="X73" s="133">
        <v>22</v>
      </c>
      <c r="Y73" s="133">
        <v>23.8</v>
      </c>
      <c r="Z73" s="133">
        <v>27.1</v>
      </c>
      <c r="AA73" s="45">
        <f>AVERAGE(W73:Z73)</f>
        <v>23.424999999999997</v>
      </c>
      <c r="AB73" s="133">
        <v>29.1</v>
      </c>
      <c r="AC73" s="133">
        <v>30.5</v>
      </c>
      <c r="AD73" s="133">
        <v>32.299999999999997</v>
      </c>
      <c r="AE73" s="133">
        <v>36.9</v>
      </c>
      <c r="AF73" s="45">
        <f>AVERAGE(AB73:AE73)</f>
        <v>32.200000000000003</v>
      </c>
      <c r="AG73" s="92">
        <v>39.799999999999997</v>
      </c>
      <c r="AH73" s="92">
        <v>43</v>
      </c>
      <c r="AI73" s="92">
        <v>46</v>
      </c>
      <c r="AJ73" s="92">
        <v>51.2</v>
      </c>
      <c r="AK73" s="45">
        <f>AVERAGE(AG73:AJ73)</f>
        <v>45</v>
      </c>
      <c r="AL73" s="92">
        <v>53.6</v>
      </c>
      <c r="AM73" s="92">
        <v>55.1</v>
      </c>
      <c r="AN73" s="92">
        <v>56.4</v>
      </c>
      <c r="AO73" s="92">
        <v>60.1</v>
      </c>
      <c r="AP73" s="45">
        <f>AVERAGE(AL73:AO73)</f>
        <v>56.3</v>
      </c>
    </row>
    <row r="74" spans="1:42">
      <c r="A74" s="56" t="s">
        <v>241</v>
      </c>
      <c r="H74" s="108"/>
      <c r="J74" s="108"/>
      <c r="K74" s="108"/>
      <c r="L74" s="45"/>
      <c r="M74" s="111">
        <f>M73/H73-1</f>
        <v>0.46329336063176374</v>
      </c>
      <c r="N74" s="111">
        <f t="shared" ref="N74" si="188">N73/I73-1</f>
        <v>0.45947441217150753</v>
      </c>
      <c r="O74" s="111">
        <f t="shared" ref="O74" si="189">O73/J73-1</f>
        <v>0.47753176994628599</v>
      </c>
      <c r="P74" s="111">
        <f t="shared" ref="P74:Q74" si="190">P73/K73-1</f>
        <v>0.45985401459854014</v>
      </c>
      <c r="Q74" s="57">
        <f t="shared" si="190"/>
        <v>0.46489637305699461</v>
      </c>
      <c r="R74" s="111">
        <f t="shared" ref="R74" si="191">R73/M73-1</f>
        <v>0.41914851089346383</v>
      </c>
      <c r="S74" s="111">
        <f t="shared" ref="S74" si="192">S73/N73-1</f>
        <v>0.43100833965125096</v>
      </c>
      <c r="T74" s="111">
        <f t="shared" ref="T74" si="193">T73/O73-1</f>
        <v>0.48075899982266357</v>
      </c>
      <c r="U74" s="111">
        <f t="shared" ref="U74:V74" si="194">U73/P73-1</f>
        <v>0.44029850746268662</v>
      </c>
      <c r="V74" s="57">
        <f t="shared" si="194"/>
        <v>0.44354054293040934</v>
      </c>
      <c r="W74" s="111">
        <f t="shared" ref="W74" si="195">W73/R73-1</f>
        <v>0.46478873239436624</v>
      </c>
      <c r="X74" s="111">
        <f t="shared" ref="X74" si="196">X73/S73-1</f>
        <v>0.45695364238410607</v>
      </c>
      <c r="Y74" s="111">
        <f t="shared" ref="Y74" si="197">Y73/T73-1</f>
        <v>0.42514970059880253</v>
      </c>
      <c r="Z74" s="111">
        <f t="shared" ref="Z74:AA74" si="198">Z73/U73-1</f>
        <v>0.40414507772020736</v>
      </c>
      <c r="AA74" s="57">
        <f t="shared" si="198"/>
        <v>0.43491577335375187</v>
      </c>
      <c r="AB74" s="111">
        <f t="shared" ref="AB74" si="199">AB73/W73-1</f>
        <v>0.39903846153846145</v>
      </c>
      <c r="AC74" s="111">
        <f t="shared" ref="AC74" si="200">AC73/X73-1</f>
        <v>0.38636363636363646</v>
      </c>
      <c r="AD74" s="111">
        <f t="shared" ref="AD74" si="201">AD73/Y73-1</f>
        <v>0.35714285714285698</v>
      </c>
      <c r="AE74" s="111">
        <f t="shared" ref="AE74:AF74" si="202">AE73/Z73-1</f>
        <v>0.36162361623616235</v>
      </c>
      <c r="AF74" s="57">
        <f t="shared" si="202"/>
        <v>0.37459978655282855</v>
      </c>
      <c r="AG74" s="57">
        <f t="shared" ref="AG74" si="203">AG73/AB73-1</f>
        <v>0.36769759450171802</v>
      </c>
      <c r="AH74" s="57">
        <f t="shared" ref="AH74" si="204">AH73/AC73-1</f>
        <v>0.4098360655737705</v>
      </c>
      <c r="AI74" s="57">
        <f t="shared" ref="AI74" si="205">AI73/AD73-1</f>
        <v>0.42414860681114575</v>
      </c>
      <c r="AJ74" s="57">
        <f t="shared" ref="AJ74:AK74" si="206">AJ73/AE73-1</f>
        <v>0.38753387533875361</v>
      </c>
      <c r="AK74" s="57">
        <f t="shared" si="206"/>
        <v>0.39751552795031042</v>
      </c>
      <c r="AL74" s="57">
        <f t="shared" ref="AL74" si="207">AL73/AG73-1</f>
        <v>0.3467336683417086</v>
      </c>
      <c r="AM74" s="57">
        <f t="shared" ref="AM74" si="208">AM73/AH73-1</f>
        <v>0.2813953488372094</v>
      </c>
      <c r="AN74" s="57">
        <f t="shared" ref="AN74" si="209">AN73/AI73-1</f>
        <v>0.22608695652173916</v>
      </c>
      <c r="AO74" s="57">
        <f t="shared" ref="AO74:AP74" si="210">AO73/AJ73-1</f>
        <v>0.173828125</v>
      </c>
      <c r="AP74" s="57">
        <f t="shared" si="210"/>
        <v>0.25111111111111106</v>
      </c>
    </row>
    <row r="75" spans="1:42">
      <c r="A75" s="56" t="s">
        <v>242</v>
      </c>
      <c r="H75" s="108"/>
      <c r="I75" s="111">
        <f>I73/H73-1</f>
        <v>5.7326703714536409E-2</v>
      </c>
      <c r="J75" s="111">
        <f t="shared" ref="J75:AO75" si="211">J73/I73-1</f>
        <v>5.5739972337482735E-2</v>
      </c>
      <c r="K75" s="111">
        <f t="shared" si="211"/>
        <v>0.20254159570286911</v>
      </c>
      <c r="L75" s="57"/>
      <c r="M75" s="111">
        <f>M73/K73-1</f>
        <v>9.0096960453208474E-2</v>
      </c>
      <c r="N75" s="111">
        <f t="shared" si="211"/>
        <v>5.4567259644213495E-2</v>
      </c>
      <c r="O75" s="111">
        <f t="shared" si="211"/>
        <v>6.8802122820318612E-2</v>
      </c>
      <c r="P75" s="111">
        <f t="shared" si="211"/>
        <v>0.18815392800141861</v>
      </c>
      <c r="Q75" s="57"/>
      <c r="R75" s="111">
        <f>R73/P73-1</f>
        <v>5.9701492537313383E-2</v>
      </c>
      <c r="S75" s="111">
        <f t="shared" si="211"/>
        <v>6.3380281690140983E-2</v>
      </c>
      <c r="T75" s="111">
        <f t="shared" si="211"/>
        <v>0.10596026490066213</v>
      </c>
      <c r="U75" s="111">
        <f t="shared" si="211"/>
        <v>0.15568862275449113</v>
      </c>
      <c r="V75" s="57"/>
      <c r="W75" s="111">
        <f>W73/U73-1</f>
        <v>7.7720207253886064E-2</v>
      </c>
      <c r="X75" s="111">
        <f t="shared" si="211"/>
        <v>5.7692307692307709E-2</v>
      </c>
      <c r="Y75" s="111">
        <f t="shared" si="211"/>
        <v>8.181818181818179E-2</v>
      </c>
      <c r="Z75" s="111">
        <f t="shared" si="211"/>
        <v>0.1386554621848739</v>
      </c>
      <c r="AA75" s="57"/>
      <c r="AB75" s="111">
        <f>AB73/Z73-1</f>
        <v>7.3800738007379962E-2</v>
      </c>
      <c r="AC75" s="111">
        <f t="shared" si="211"/>
        <v>4.8109965635738883E-2</v>
      </c>
      <c r="AD75" s="111">
        <f t="shared" si="211"/>
        <v>5.9016393442622883E-2</v>
      </c>
      <c r="AE75" s="111">
        <f t="shared" si="211"/>
        <v>0.14241486068111464</v>
      </c>
      <c r="AF75" s="57"/>
      <c r="AG75" s="57">
        <f>AG73/AE73-1</f>
        <v>7.8590785907858951E-2</v>
      </c>
      <c r="AH75" s="57">
        <f t="shared" si="211"/>
        <v>8.0402010050251382E-2</v>
      </c>
      <c r="AI75" s="57">
        <f t="shared" si="211"/>
        <v>6.9767441860465018E-2</v>
      </c>
      <c r="AJ75" s="57">
        <f t="shared" si="211"/>
        <v>0.11304347826086958</v>
      </c>
      <c r="AK75" s="57"/>
      <c r="AL75" s="57">
        <f>AL73/AJ73-1</f>
        <v>4.6875E-2</v>
      </c>
      <c r="AM75" s="57">
        <f t="shared" si="211"/>
        <v>2.7985074626865725E-2</v>
      </c>
      <c r="AN75" s="57">
        <f t="shared" si="211"/>
        <v>2.3593466424682408E-2</v>
      </c>
      <c r="AO75" s="57">
        <f t="shared" si="211"/>
        <v>6.560283687943258E-2</v>
      </c>
      <c r="AP75" s="57"/>
    </row>
    <row r="76" spans="1:42">
      <c r="A76" s="44" t="s">
        <v>269</v>
      </c>
      <c r="H76" s="108"/>
      <c r="I76" s="111"/>
      <c r="J76" s="111"/>
      <c r="K76" s="111"/>
      <c r="L76" s="57"/>
      <c r="M76" s="108">
        <f t="shared" ref="M76:AP76" si="212">M73-H73</f>
        <v>3.1680000000000001</v>
      </c>
      <c r="N76" s="108">
        <f t="shared" si="212"/>
        <v>3.3219999999999992</v>
      </c>
      <c r="O76" s="108">
        <f t="shared" si="212"/>
        <v>3.6450000000000005</v>
      </c>
      <c r="P76" s="108">
        <f t="shared" si="212"/>
        <v>4.2210000000000001</v>
      </c>
      <c r="Q76" s="45">
        <f t="shared" si="212"/>
        <v>3.5889999999999986</v>
      </c>
      <c r="R76" s="108">
        <f t="shared" si="212"/>
        <v>4.1939999999999991</v>
      </c>
      <c r="S76" s="108">
        <f t="shared" si="212"/>
        <v>4.548</v>
      </c>
      <c r="T76" s="108">
        <f t="shared" si="212"/>
        <v>5.4219999999999988</v>
      </c>
      <c r="U76" s="108">
        <f t="shared" si="212"/>
        <v>5.9</v>
      </c>
      <c r="V76" s="45">
        <f t="shared" si="212"/>
        <v>5.016</v>
      </c>
      <c r="W76" s="108">
        <f t="shared" si="212"/>
        <v>6.6000000000000014</v>
      </c>
      <c r="X76" s="108">
        <f t="shared" si="212"/>
        <v>6.9</v>
      </c>
      <c r="Y76" s="108">
        <f t="shared" si="212"/>
        <v>7.1000000000000014</v>
      </c>
      <c r="Z76" s="108">
        <f t="shared" si="212"/>
        <v>7.8000000000000007</v>
      </c>
      <c r="AA76" s="45">
        <f t="shared" si="212"/>
        <v>7.0999999999999979</v>
      </c>
      <c r="AB76" s="108">
        <f t="shared" si="212"/>
        <v>8.3000000000000007</v>
      </c>
      <c r="AC76" s="108">
        <f t="shared" si="212"/>
        <v>8.5</v>
      </c>
      <c r="AD76" s="108">
        <f t="shared" si="212"/>
        <v>8.4999999999999964</v>
      </c>
      <c r="AE76" s="108">
        <f t="shared" si="212"/>
        <v>9.7999999999999972</v>
      </c>
      <c r="AF76" s="45">
        <f t="shared" si="212"/>
        <v>8.7750000000000057</v>
      </c>
      <c r="AG76" s="45">
        <f t="shared" si="212"/>
        <v>10.699999999999996</v>
      </c>
      <c r="AH76" s="45">
        <f t="shared" si="212"/>
        <v>12.5</v>
      </c>
      <c r="AI76" s="45">
        <f t="shared" si="212"/>
        <v>13.700000000000003</v>
      </c>
      <c r="AJ76" s="45">
        <f t="shared" si="212"/>
        <v>14.300000000000004</v>
      </c>
      <c r="AK76" s="45">
        <f t="shared" si="212"/>
        <v>12.799999999999997</v>
      </c>
      <c r="AL76" s="45">
        <f t="shared" si="212"/>
        <v>13.800000000000004</v>
      </c>
      <c r="AM76" s="45">
        <f t="shared" si="212"/>
        <v>12.100000000000001</v>
      </c>
      <c r="AN76" s="45">
        <f t="shared" si="212"/>
        <v>10.399999999999999</v>
      </c>
      <c r="AO76" s="45">
        <f t="shared" si="212"/>
        <v>8.8999999999999986</v>
      </c>
      <c r="AP76" s="45">
        <f t="shared" si="212"/>
        <v>11.299999999999997</v>
      </c>
    </row>
    <row r="77" spans="1:42">
      <c r="A77" s="69" t="s">
        <v>241</v>
      </c>
      <c r="B77" s="44"/>
      <c r="C77" s="44"/>
      <c r="D77" s="44"/>
      <c r="E77" s="44"/>
      <c r="F77" s="44"/>
      <c r="G77" s="44"/>
      <c r="H77" s="135"/>
      <c r="I77" s="134"/>
      <c r="J77" s="135"/>
      <c r="K77" s="135"/>
      <c r="L77" s="128"/>
      <c r="M77" s="136"/>
      <c r="N77" s="136"/>
      <c r="O77" s="111"/>
      <c r="P77" s="111"/>
      <c r="Q77" s="128"/>
      <c r="R77" s="111">
        <f t="shared" ref="R77" si="213">R76/M76-1</f>
        <v>0.32386363636363602</v>
      </c>
      <c r="S77" s="111">
        <f t="shared" ref="S77" si="214">S76/N76-1</f>
        <v>0.36905478627332977</v>
      </c>
      <c r="T77" s="111">
        <f t="shared" ref="T77" si="215">T76/O76-1</f>
        <v>0.48751714677640545</v>
      </c>
      <c r="U77" s="111">
        <f t="shared" ref="U77:V77" si="216">U76/P76-1</f>
        <v>0.39777303956408439</v>
      </c>
      <c r="V77" s="57">
        <f t="shared" si="216"/>
        <v>0.39760378935636731</v>
      </c>
      <c r="W77" s="111">
        <f t="shared" ref="W77" si="217">W76/R76-1</f>
        <v>0.5736766809728191</v>
      </c>
      <c r="X77" s="111">
        <f t="shared" ref="X77" si="218">X76/S76-1</f>
        <v>0.51715039577836408</v>
      </c>
      <c r="Y77" s="111">
        <f t="shared" ref="Y77" si="219">Y76/T76-1</f>
        <v>0.30947989671707909</v>
      </c>
      <c r="Z77" s="111">
        <f t="shared" ref="Z77:AA77" si="220">Z76/U76-1</f>
        <v>0.32203389830508478</v>
      </c>
      <c r="AA77" s="57">
        <f t="shared" si="220"/>
        <v>0.41547049441786243</v>
      </c>
      <c r="AB77" s="111">
        <f t="shared" ref="AB77" si="221">AB76/W76-1</f>
        <v>0.25757575757575735</v>
      </c>
      <c r="AC77" s="111">
        <f t="shared" ref="AC77" si="222">AC76/X76-1</f>
        <v>0.23188405797101441</v>
      </c>
      <c r="AD77" s="111">
        <f t="shared" ref="AD77" si="223">AD76/Y76-1</f>
        <v>0.19718309859154859</v>
      </c>
      <c r="AE77" s="111">
        <f t="shared" ref="AE77:AF77" si="224">AE76/Z76-1</f>
        <v>0.25641025641025594</v>
      </c>
      <c r="AF77" s="57">
        <f t="shared" si="224"/>
        <v>0.23591549295774761</v>
      </c>
      <c r="AG77" s="57">
        <f t="shared" ref="AG77" si="225">AG76/AB76-1</f>
        <v>0.28915662650602347</v>
      </c>
      <c r="AH77" s="57">
        <f t="shared" ref="AH77" si="226">AH76/AC76-1</f>
        <v>0.47058823529411775</v>
      </c>
      <c r="AI77" s="57">
        <f t="shared" ref="AI77" si="227">AI76/AD76-1</f>
        <v>0.61176470588235388</v>
      </c>
      <c r="AJ77" s="57">
        <f t="shared" ref="AJ77:AK77" si="228">AJ76/AE76-1</f>
        <v>0.4591836734693886</v>
      </c>
      <c r="AK77" s="57">
        <f t="shared" si="228"/>
        <v>0.45868945868945743</v>
      </c>
      <c r="AL77" s="57">
        <f t="shared" ref="AL77" si="229">AL76/AG76-1</f>
        <v>0.28971962616822511</v>
      </c>
      <c r="AM77" s="57">
        <f t="shared" ref="AM77" si="230">AM76/AH76-1</f>
        <v>-3.1999999999999917E-2</v>
      </c>
      <c r="AN77" s="57">
        <f t="shared" ref="AN77" si="231">AN76/AI76-1</f>
        <v>-0.24087591240875939</v>
      </c>
      <c r="AO77" s="57">
        <f t="shared" ref="AO77:AP77" si="232">AO76/AJ76-1</f>
        <v>-0.37762237762237794</v>
      </c>
      <c r="AP77" s="57">
        <f t="shared" si="232"/>
        <v>-0.1171875</v>
      </c>
    </row>
    <row r="78" spans="1:42">
      <c r="A78" s="69" t="s">
        <v>242</v>
      </c>
      <c r="B78" s="44"/>
      <c r="C78" s="44"/>
      <c r="D78" s="44"/>
      <c r="E78" s="44"/>
      <c r="F78" s="44"/>
      <c r="G78" s="44"/>
      <c r="H78" s="135"/>
      <c r="I78" s="136"/>
      <c r="J78" s="136"/>
      <c r="K78" s="136"/>
      <c r="L78" s="129"/>
      <c r="M78" s="136"/>
      <c r="N78" s="136">
        <f t="shared" ref="N78:AO78" si="233">N76/M76-1</f>
        <v>4.8611111111110716E-2</v>
      </c>
      <c r="O78" s="111">
        <f t="shared" si="233"/>
        <v>9.7230583985551178E-2</v>
      </c>
      <c r="P78" s="111">
        <f t="shared" si="233"/>
        <v>0.15802469135802455</v>
      </c>
      <c r="Q78" s="129"/>
      <c r="R78" s="111">
        <f>R76/P76-1</f>
        <v>-6.3965884861409972E-3</v>
      </c>
      <c r="S78" s="111">
        <f t="shared" si="233"/>
        <v>8.4406294706724116E-2</v>
      </c>
      <c r="T78" s="111">
        <f t="shared" si="233"/>
        <v>0.19217238346525911</v>
      </c>
      <c r="U78" s="111">
        <f t="shared" si="233"/>
        <v>8.8159350793065583E-2</v>
      </c>
      <c r="V78" s="129"/>
      <c r="W78" s="111">
        <f>W76/U76-1</f>
        <v>0.1186440677966103</v>
      </c>
      <c r="X78" s="111">
        <f t="shared" si="233"/>
        <v>4.5454545454545192E-2</v>
      </c>
      <c r="Y78" s="111">
        <f t="shared" si="233"/>
        <v>2.898550724637694E-2</v>
      </c>
      <c r="Z78" s="111">
        <f t="shared" si="233"/>
        <v>9.8591549295774517E-2</v>
      </c>
      <c r="AA78" s="129"/>
      <c r="AB78" s="111">
        <f>AB76/Z76-1</f>
        <v>6.4102564102564097E-2</v>
      </c>
      <c r="AC78" s="111">
        <f t="shared" si="233"/>
        <v>2.409638554216853E-2</v>
      </c>
      <c r="AD78" s="111">
        <f t="shared" si="233"/>
        <v>0</v>
      </c>
      <c r="AE78" s="111">
        <f t="shared" si="233"/>
        <v>0.15294117647058836</v>
      </c>
      <c r="AF78" s="129"/>
      <c r="AG78" s="57">
        <f>AG76/AE76-1</f>
        <v>9.1836734693877542E-2</v>
      </c>
      <c r="AH78" s="57">
        <f t="shared" si="233"/>
        <v>0.16822429906542102</v>
      </c>
      <c r="AI78" s="57">
        <f t="shared" si="233"/>
        <v>9.6000000000000307E-2</v>
      </c>
      <c r="AJ78" s="57">
        <f t="shared" si="233"/>
        <v>4.3795620437956373E-2</v>
      </c>
      <c r="AK78" s="129"/>
      <c r="AL78" s="57">
        <f>AL76/AJ76-1</f>
        <v>-3.4965034965035002E-2</v>
      </c>
      <c r="AM78" s="57">
        <f t="shared" si="233"/>
        <v>-0.12318840579710166</v>
      </c>
      <c r="AN78" s="57">
        <f t="shared" si="233"/>
        <v>-0.14049586776859524</v>
      </c>
      <c r="AO78" s="57">
        <f t="shared" si="233"/>
        <v>-0.14423076923076927</v>
      </c>
      <c r="AP78" s="129"/>
    </row>
    <row r="79" spans="1:42">
      <c r="A79" s="69"/>
      <c r="B79" s="44"/>
      <c r="C79" s="44"/>
      <c r="D79" s="44"/>
      <c r="E79" s="44"/>
      <c r="F79" s="44"/>
      <c r="G79" s="44"/>
      <c r="H79" s="135"/>
      <c r="I79" s="136"/>
      <c r="J79" s="136"/>
      <c r="K79" s="136"/>
      <c r="L79" s="129"/>
      <c r="M79" s="136"/>
      <c r="N79" s="136"/>
      <c r="O79" s="111"/>
      <c r="P79" s="111"/>
      <c r="Q79" s="129">
        <f>Q76/Q73</f>
        <v>0.31735785657440968</v>
      </c>
      <c r="R79" s="111"/>
      <c r="S79" s="111"/>
      <c r="T79" s="111"/>
      <c r="U79" s="111"/>
      <c r="V79" s="129">
        <f>V76/V73</f>
        <v>0.30725880551301687</v>
      </c>
      <c r="W79" s="111"/>
      <c r="X79" s="111"/>
      <c r="Y79" s="111"/>
      <c r="Z79" s="111"/>
      <c r="AA79" s="129">
        <f>AA76/AA73</f>
        <v>0.30309498399146206</v>
      </c>
      <c r="AB79" s="111"/>
      <c r="AC79" s="111"/>
      <c r="AD79" s="111"/>
      <c r="AE79" s="111"/>
      <c r="AF79" s="129">
        <f>AF76/AF73</f>
        <v>0.2725155279503107</v>
      </c>
      <c r="AG79" s="57"/>
      <c r="AH79" s="57"/>
      <c r="AI79" s="57"/>
      <c r="AJ79" s="57"/>
      <c r="AK79" s="129">
        <f>AK76/AK73</f>
        <v>0.28444444444444439</v>
      </c>
      <c r="AL79" s="57"/>
      <c r="AM79" s="57"/>
      <c r="AN79" s="57"/>
      <c r="AO79" s="57"/>
      <c r="AP79" s="129">
        <f>AP76/AP73</f>
        <v>0.20071047957371221</v>
      </c>
    </row>
    <row r="80" spans="1:42">
      <c r="A80" s="44" t="s">
        <v>270</v>
      </c>
      <c r="H80" s="108"/>
      <c r="I80" s="111"/>
      <c r="J80" s="108">
        <f>J73-I73</f>
        <v>0.40299999999999958</v>
      </c>
      <c r="K80" s="108">
        <f t="shared" ref="K80:AO80" si="234">K73-J73</f>
        <v>1.5460000000000003</v>
      </c>
      <c r="L80" s="45"/>
      <c r="M80" s="108">
        <f>M73-K73</f>
        <v>0.82699999999999996</v>
      </c>
      <c r="N80" s="108">
        <f t="shared" si="234"/>
        <v>0.54599999999999937</v>
      </c>
      <c r="O80" s="108">
        <f t="shared" si="234"/>
        <v>0.72600000000000087</v>
      </c>
      <c r="P80" s="108">
        <f t="shared" si="234"/>
        <v>2.1219999999999999</v>
      </c>
      <c r="Q80" s="45"/>
      <c r="R80" s="108">
        <f>R73-P73</f>
        <v>0.79999999999999893</v>
      </c>
      <c r="S80" s="108">
        <f t="shared" si="234"/>
        <v>0.90000000000000036</v>
      </c>
      <c r="T80" s="108">
        <f t="shared" si="234"/>
        <v>1.5999999999999996</v>
      </c>
      <c r="U80" s="108">
        <f t="shared" si="234"/>
        <v>2.6000000000000014</v>
      </c>
      <c r="V80" s="45"/>
      <c r="W80" s="108">
        <f>W73-U73</f>
        <v>1.5</v>
      </c>
      <c r="X80" s="108">
        <f t="shared" si="234"/>
        <v>1.1999999999999993</v>
      </c>
      <c r="Y80" s="108">
        <f t="shared" si="234"/>
        <v>1.8000000000000007</v>
      </c>
      <c r="Z80" s="108">
        <f t="shared" si="234"/>
        <v>3.3000000000000007</v>
      </c>
      <c r="AA80" s="45"/>
      <c r="AB80" s="108">
        <f>AB73-Z73</f>
        <v>2</v>
      </c>
      <c r="AC80" s="108">
        <f t="shared" si="234"/>
        <v>1.3999999999999986</v>
      </c>
      <c r="AD80" s="108">
        <f t="shared" si="234"/>
        <v>1.7999999999999972</v>
      </c>
      <c r="AE80" s="108">
        <f t="shared" si="234"/>
        <v>4.6000000000000014</v>
      </c>
      <c r="AF80" s="45"/>
      <c r="AG80" s="45">
        <f>AG73-AE73</f>
        <v>2.8999999999999986</v>
      </c>
      <c r="AH80" s="45">
        <f t="shared" si="234"/>
        <v>3.2000000000000028</v>
      </c>
      <c r="AI80" s="45">
        <f t="shared" si="234"/>
        <v>3</v>
      </c>
      <c r="AJ80" s="45">
        <f t="shared" si="234"/>
        <v>5.2000000000000028</v>
      </c>
      <c r="AK80" s="45"/>
      <c r="AL80" s="45">
        <f>AL73-AJ73</f>
        <v>2.3999999999999986</v>
      </c>
      <c r="AM80" s="45">
        <f t="shared" si="234"/>
        <v>1.5</v>
      </c>
      <c r="AN80" s="45">
        <f t="shared" si="234"/>
        <v>1.2999999999999972</v>
      </c>
      <c r="AO80" s="45">
        <f t="shared" si="234"/>
        <v>3.7000000000000028</v>
      </c>
      <c r="AP80" s="45"/>
    </row>
    <row r="81" spans="1:42">
      <c r="A81" s="69" t="s">
        <v>241</v>
      </c>
      <c r="B81" s="44"/>
      <c r="C81" s="44"/>
      <c r="D81" s="44"/>
      <c r="E81" s="44"/>
      <c r="F81" s="44"/>
      <c r="G81" s="44"/>
      <c r="H81" s="135"/>
      <c r="I81" s="134"/>
      <c r="J81" s="135"/>
      <c r="K81" s="135"/>
      <c r="L81" s="128"/>
      <c r="M81" s="136"/>
      <c r="N81" s="136"/>
      <c r="O81" s="111">
        <f t="shared" ref="O81" si="235">O80/J80-1</f>
        <v>0.80148883374690238</v>
      </c>
      <c r="P81" s="111">
        <f t="shared" ref="P81" si="236">P80/K80-1</f>
        <v>0.37257438551099575</v>
      </c>
      <c r="Q81" s="128"/>
      <c r="R81" s="111">
        <f t="shared" ref="R81" si="237">R80/M80-1</f>
        <v>-3.2648125755744939E-2</v>
      </c>
      <c r="S81" s="111">
        <f t="shared" ref="S81" si="238">S80/N80-1</f>
        <v>0.64835164835165093</v>
      </c>
      <c r="T81" s="111">
        <f t="shared" ref="T81" si="239">T80/O80-1</f>
        <v>1.2038567493112917</v>
      </c>
      <c r="U81" s="111">
        <f t="shared" ref="U81" si="240">U80/P80-1</f>
        <v>0.22525918944392154</v>
      </c>
      <c r="V81" s="128"/>
      <c r="W81" s="111">
        <f t="shared" ref="W81" si="241">W80/R80-1</f>
        <v>0.87500000000000244</v>
      </c>
      <c r="X81" s="111">
        <f t="shared" ref="X81" si="242">X80/S80-1</f>
        <v>0.33333333333333193</v>
      </c>
      <c r="Y81" s="111">
        <f t="shared" ref="Y81" si="243">Y80/T80-1</f>
        <v>0.12500000000000067</v>
      </c>
      <c r="Z81" s="111">
        <f t="shared" ref="Z81" si="244">Z80/U80-1</f>
        <v>0.26923076923076872</v>
      </c>
      <c r="AA81" s="128"/>
      <c r="AB81" s="111">
        <f t="shared" ref="AB81" si="245">AB80/W80-1</f>
        <v>0.33333333333333326</v>
      </c>
      <c r="AC81" s="111">
        <f t="shared" ref="AC81" si="246">AC80/X80-1</f>
        <v>0.16666666666666607</v>
      </c>
      <c r="AD81" s="111">
        <f t="shared" ref="AD81" si="247">AD80/Y80-1</f>
        <v>-1.9984014443252818E-15</v>
      </c>
      <c r="AE81" s="111">
        <f t="shared" ref="AE81" si="248">AE80/Z80-1</f>
        <v>0.39393939393939403</v>
      </c>
      <c r="AF81" s="128"/>
      <c r="AG81" s="57">
        <f t="shared" ref="AG81" si="249">AG80/AB80-1</f>
        <v>0.44999999999999929</v>
      </c>
      <c r="AH81" s="57">
        <f t="shared" ref="AH81" si="250">AH80/AC80-1</f>
        <v>1.28571428571429</v>
      </c>
      <c r="AI81" s="57">
        <f t="shared" ref="AI81" si="251">AI80/AD80-1</f>
        <v>0.66666666666666941</v>
      </c>
      <c r="AJ81" s="57">
        <f t="shared" ref="AJ81" si="252">AJ80/AE80-1</f>
        <v>0.13043478260869601</v>
      </c>
      <c r="AK81" s="128"/>
      <c r="AL81" s="57">
        <f t="shared" ref="AL81" si="253">AL80/AG80-1</f>
        <v>-0.1724137931034484</v>
      </c>
      <c r="AM81" s="57">
        <f t="shared" ref="AM81" si="254">AM80/AH80-1</f>
        <v>-0.53125000000000044</v>
      </c>
      <c r="AN81" s="57">
        <f t="shared" ref="AN81" si="255">AN80/AI80-1</f>
        <v>-0.56666666666666754</v>
      </c>
      <c r="AO81" s="57">
        <f t="shared" ref="AO81" si="256">AO80/AJ80-1</f>
        <v>-0.28846153846153832</v>
      </c>
      <c r="AP81" s="128"/>
    </row>
    <row r="82" spans="1:42">
      <c r="A82" s="69" t="s">
        <v>242</v>
      </c>
      <c r="B82" s="44"/>
      <c r="C82" s="44"/>
      <c r="D82" s="44"/>
      <c r="E82" s="44"/>
      <c r="F82" s="44"/>
      <c r="G82" s="44"/>
      <c r="H82" s="135"/>
      <c r="I82" s="136"/>
      <c r="J82" s="136"/>
      <c r="K82" s="136">
        <f t="shared" ref="K82:AO82" si="257">K80/J80-1</f>
        <v>2.8362282878411955</v>
      </c>
      <c r="L82" s="129"/>
      <c r="M82" s="136">
        <f>M80/K80-1</f>
        <v>-0.4650711513583442</v>
      </c>
      <c r="N82" s="136">
        <f t="shared" si="257"/>
        <v>-0.33978234582829581</v>
      </c>
      <c r="O82" s="111">
        <f t="shared" si="257"/>
        <v>0.32967032967033272</v>
      </c>
      <c r="P82" s="111">
        <f t="shared" si="257"/>
        <v>1.9228650137741012</v>
      </c>
      <c r="Q82" s="129"/>
      <c r="R82" s="111">
        <f>R80/P80-1</f>
        <v>-0.62299717247879405</v>
      </c>
      <c r="S82" s="111">
        <f t="shared" si="257"/>
        <v>0.125000000000002</v>
      </c>
      <c r="T82" s="111">
        <f t="shared" si="257"/>
        <v>0.77777777777777679</v>
      </c>
      <c r="U82" s="111">
        <f t="shared" si="257"/>
        <v>0.62500000000000133</v>
      </c>
      <c r="V82" s="129"/>
      <c r="W82" s="111">
        <f>W80/U80-1</f>
        <v>-0.42307692307692335</v>
      </c>
      <c r="X82" s="111">
        <f t="shared" si="257"/>
        <v>-0.20000000000000051</v>
      </c>
      <c r="Y82" s="111">
        <f t="shared" si="257"/>
        <v>0.50000000000000155</v>
      </c>
      <c r="Z82" s="111">
        <f t="shared" si="257"/>
        <v>0.83333333333333304</v>
      </c>
      <c r="AA82" s="129"/>
      <c r="AB82" s="111">
        <f>AB80/Z80-1</f>
        <v>-0.39393939393939403</v>
      </c>
      <c r="AC82" s="111">
        <f t="shared" si="257"/>
        <v>-0.30000000000000071</v>
      </c>
      <c r="AD82" s="111">
        <f t="shared" si="257"/>
        <v>0.28571428571428492</v>
      </c>
      <c r="AE82" s="111">
        <f t="shared" si="257"/>
        <v>1.5555555555555602</v>
      </c>
      <c r="AF82" s="129"/>
      <c r="AG82" s="57">
        <f>AG80/AE80-1</f>
        <v>-0.36956521739130488</v>
      </c>
      <c r="AH82" s="57">
        <f t="shared" si="257"/>
        <v>0.1034482758620705</v>
      </c>
      <c r="AI82" s="57">
        <f t="shared" si="257"/>
        <v>-6.2500000000000888E-2</v>
      </c>
      <c r="AJ82" s="57">
        <f t="shared" si="257"/>
        <v>0.73333333333333428</v>
      </c>
      <c r="AK82" s="129"/>
      <c r="AL82" s="57">
        <f>AL80/AJ80-1</f>
        <v>-0.53846153846153899</v>
      </c>
      <c r="AM82" s="57">
        <f t="shared" si="257"/>
        <v>-0.37499999999999967</v>
      </c>
      <c r="AN82" s="57">
        <f t="shared" si="257"/>
        <v>-0.13333333333333519</v>
      </c>
      <c r="AO82" s="57">
        <f t="shared" si="257"/>
        <v>1.8461538461538547</v>
      </c>
      <c r="AP82" s="129"/>
    </row>
    <row r="83" spans="1:42">
      <c r="A83" s="56"/>
      <c r="H83" s="108"/>
      <c r="I83" s="111"/>
      <c r="J83" s="111"/>
      <c r="K83" s="111"/>
      <c r="L83" s="57"/>
      <c r="M83" s="111"/>
      <c r="N83" s="111"/>
      <c r="O83" s="111"/>
      <c r="P83" s="111"/>
      <c r="Q83" s="57"/>
      <c r="R83" s="111"/>
      <c r="S83" s="111"/>
      <c r="T83" s="111"/>
      <c r="U83" s="111"/>
      <c r="V83" s="57"/>
      <c r="W83" s="111"/>
      <c r="X83" s="111"/>
      <c r="Y83" s="111"/>
      <c r="Z83" s="111"/>
      <c r="AA83" s="57"/>
      <c r="AB83" s="111"/>
      <c r="AC83" s="111"/>
      <c r="AD83" s="111"/>
      <c r="AE83" s="111"/>
      <c r="AF83" s="57"/>
      <c r="AG83" s="57"/>
      <c r="AH83" s="57"/>
      <c r="AI83" s="57"/>
      <c r="AJ83" s="57"/>
      <c r="AK83" s="57"/>
      <c r="AL83" s="57"/>
      <c r="AM83" s="57"/>
      <c r="AN83" s="57"/>
      <c r="AO83" s="57"/>
      <c r="AP83" s="57"/>
    </row>
    <row r="84" spans="1:42">
      <c r="A84" s="66" t="s">
        <v>271</v>
      </c>
      <c r="H84" s="133">
        <v>1.208</v>
      </c>
      <c r="I84" s="133">
        <v>1.2649999999999999</v>
      </c>
      <c r="J84" s="133">
        <v>1.4139999999999999</v>
      </c>
      <c r="K84" s="133">
        <v>1.611</v>
      </c>
      <c r="L84" s="45">
        <f>SUM(H84:K84)</f>
        <v>5.4979999999999993</v>
      </c>
      <c r="M84" s="133">
        <v>1.9970000000000001</v>
      </c>
      <c r="N84" s="133">
        <v>2.1749999999999998</v>
      </c>
      <c r="O84" s="133">
        <v>2.3959999999999999</v>
      </c>
      <c r="P84" s="133">
        <v>2.8</v>
      </c>
      <c r="Q84" s="45">
        <f>SUM(M84:P84)</f>
        <v>9.3679999999999986</v>
      </c>
      <c r="R84" s="133">
        <v>3.2</v>
      </c>
      <c r="S84" s="133">
        <v>3.5</v>
      </c>
      <c r="T84" s="133">
        <v>3.8</v>
      </c>
      <c r="U84" s="133">
        <v>4.3</v>
      </c>
      <c r="V84" s="45">
        <f>SUM(R84:U84)</f>
        <v>14.8</v>
      </c>
      <c r="W84" s="133">
        <v>5.0999999999999996</v>
      </c>
      <c r="X84" s="133">
        <v>5.4</v>
      </c>
      <c r="Y84" s="133">
        <v>6.1</v>
      </c>
      <c r="Z84" s="133">
        <v>7.1</v>
      </c>
      <c r="AA84" s="45">
        <f>SUM(W84:Z84)</f>
        <v>23.700000000000003</v>
      </c>
      <c r="AB84" s="133">
        <v>8.4</v>
      </c>
      <c r="AC84" s="133">
        <v>8.8000000000000007</v>
      </c>
      <c r="AD84" s="133">
        <v>9.6</v>
      </c>
      <c r="AE84" s="133">
        <v>10.9</v>
      </c>
      <c r="AF84" s="45">
        <f>SUM(AB84:AE84)</f>
        <v>37.700000000000003</v>
      </c>
      <c r="AG84" s="92">
        <v>12.3</v>
      </c>
      <c r="AH84" s="92">
        <v>14.6</v>
      </c>
      <c r="AI84" s="92">
        <v>14.8</v>
      </c>
      <c r="AJ84" s="92">
        <v>17</v>
      </c>
      <c r="AK84" s="45">
        <f>SUM(AG84:AJ84)</f>
        <v>58.7</v>
      </c>
      <c r="AL84" s="92">
        <v>18.3</v>
      </c>
      <c r="AM84" s="92">
        <v>17.399999999999999</v>
      </c>
      <c r="AN84" s="92">
        <v>18</v>
      </c>
      <c r="AO84" s="92">
        <v>19.5</v>
      </c>
      <c r="AP84" s="45">
        <f>SUM(AL84:AO84)</f>
        <v>73.2</v>
      </c>
    </row>
    <row r="85" spans="1:42">
      <c r="A85" s="56" t="s">
        <v>241</v>
      </c>
      <c r="H85" s="108"/>
      <c r="J85" s="108"/>
      <c r="K85" s="108"/>
      <c r="L85" s="45"/>
      <c r="M85" s="111">
        <f>M84/H84-1</f>
        <v>0.6531456953642385</v>
      </c>
      <c r="N85" s="111">
        <f t="shared" ref="N85" si="258">N84/I84-1</f>
        <v>0.71936758893280639</v>
      </c>
      <c r="O85" s="111">
        <f t="shared" ref="O85" si="259">O84/J84-1</f>
        <v>0.69448373408769459</v>
      </c>
      <c r="P85" s="111">
        <f t="shared" ref="P85:Q85" si="260">P84/K84-1</f>
        <v>0.73805090006207319</v>
      </c>
      <c r="Q85" s="57">
        <f t="shared" si="260"/>
        <v>0.70389232448162953</v>
      </c>
      <c r="R85" s="111">
        <f t="shared" ref="R85" si="261">R84/M84-1</f>
        <v>0.60240360540811211</v>
      </c>
      <c r="S85" s="111">
        <f t="shared" ref="S85" si="262">S84/N84-1</f>
        <v>0.60919540229885061</v>
      </c>
      <c r="T85" s="111">
        <f t="shared" ref="T85" si="263">T84/O84-1</f>
        <v>0.58597662771285464</v>
      </c>
      <c r="U85" s="111">
        <f t="shared" ref="U85:V85" si="264">U84/P84-1</f>
        <v>0.53571428571428581</v>
      </c>
      <c r="V85" s="57">
        <f t="shared" si="264"/>
        <v>0.57984628522630266</v>
      </c>
      <c r="W85" s="111">
        <f t="shared" ref="W85" si="265">W84/R84-1</f>
        <v>0.59374999999999978</v>
      </c>
      <c r="X85" s="111">
        <f t="shared" ref="X85" si="266">X84/S84-1</f>
        <v>0.54285714285714293</v>
      </c>
      <c r="Y85" s="111">
        <f t="shared" ref="Y85" si="267">Y84/T84-1</f>
        <v>0.60526315789473673</v>
      </c>
      <c r="Z85" s="111">
        <f t="shared" ref="Z85:AA85" si="268">Z84/U84-1</f>
        <v>0.65116279069767447</v>
      </c>
      <c r="AA85" s="57">
        <f t="shared" si="268"/>
        <v>0.60135135135135154</v>
      </c>
      <c r="AB85" s="111">
        <f t="shared" ref="AB85" si="269">AB84/W84-1</f>
        <v>0.64705882352941191</v>
      </c>
      <c r="AC85" s="111">
        <f t="shared" ref="AC85" si="270">AC84/X84-1</f>
        <v>0.62962962962962976</v>
      </c>
      <c r="AD85" s="111">
        <f t="shared" ref="AD85" si="271">AD84/Y84-1</f>
        <v>0.57377049180327866</v>
      </c>
      <c r="AE85" s="111">
        <f t="shared" ref="AE85:AF85" si="272">AE84/Z84-1</f>
        <v>0.53521126760563398</v>
      </c>
      <c r="AF85" s="57">
        <f t="shared" si="272"/>
        <v>0.59071729957805896</v>
      </c>
      <c r="AG85" s="57">
        <f t="shared" ref="AG85" si="273">AG84/AB84-1</f>
        <v>0.46428571428571441</v>
      </c>
      <c r="AH85" s="57">
        <f t="shared" ref="AH85" si="274">AH84/AC84-1</f>
        <v>0.65909090909090895</v>
      </c>
      <c r="AI85" s="57">
        <f t="shared" ref="AI85" si="275">AI84/AD84-1</f>
        <v>0.54166666666666674</v>
      </c>
      <c r="AJ85" s="57">
        <f t="shared" ref="AJ85:AK85" si="276">AJ84/AE84-1</f>
        <v>0.55963302752293576</v>
      </c>
      <c r="AK85" s="57">
        <f t="shared" si="276"/>
        <v>0.55702917771883276</v>
      </c>
      <c r="AL85" s="57">
        <f t="shared" ref="AL85" si="277">AL84/AG84-1</f>
        <v>0.48780487804878048</v>
      </c>
      <c r="AM85" s="57">
        <f t="shared" ref="AM85" si="278">AM84/AH84-1</f>
        <v>0.1917808219178081</v>
      </c>
      <c r="AN85" s="57">
        <f t="shared" ref="AN85" si="279">AN84/AI84-1</f>
        <v>0.21621621621621623</v>
      </c>
      <c r="AO85" s="57">
        <f t="shared" ref="AO85:AP85" si="280">AO84/AJ84-1</f>
        <v>0.14705882352941169</v>
      </c>
      <c r="AP85" s="57">
        <f t="shared" si="280"/>
        <v>0.24701873935264063</v>
      </c>
    </row>
    <row r="86" spans="1:42">
      <c r="A86" s="56" t="s">
        <v>242</v>
      </c>
      <c r="H86" s="108"/>
      <c r="I86" s="111">
        <f>I84/H84-1</f>
        <v>4.718543046357615E-2</v>
      </c>
      <c r="J86" s="111">
        <f t="shared" ref="J86:AO86" si="281">J84/I84-1</f>
        <v>0.11778656126482212</v>
      </c>
      <c r="K86" s="111">
        <f t="shared" si="281"/>
        <v>0.13932107496463941</v>
      </c>
      <c r="L86" s="57"/>
      <c r="M86" s="111">
        <f>M84/K84-1</f>
        <v>0.23960273122284304</v>
      </c>
      <c r="N86" s="111">
        <f t="shared" si="281"/>
        <v>8.9133700550826145E-2</v>
      </c>
      <c r="O86" s="111">
        <f t="shared" si="281"/>
        <v>0.10160919540229885</v>
      </c>
      <c r="P86" s="111">
        <f t="shared" si="281"/>
        <v>0.1686143572621035</v>
      </c>
      <c r="Q86" s="57"/>
      <c r="R86" s="111">
        <f>R84/P84-1</f>
        <v>0.14285714285714302</v>
      </c>
      <c r="S86" s="111">
        <f t="shared" si="281"/>
        <v>9.375E-2</v>
      </c>
      <c r="T86" s="111">
        <f t="shared" si="281"/>
        <v>8.5714285714285632E-2</v>
      </c>
      <c r="U86" s="111">
        <f t="shared" si="281"/>
        <v>0.13157894736842102</v>
      </c>
      <c r="V86" s="57"/>
      <c r="W86" s="111">
        <f>W84/U84-1</f>
        <v>0.18604651162790686</v>
      </c>
      <c r="X86" s="111">
        <f t="shared" si="281"/>
        <v>5.8823529411764941E-2</v>
      </c>
      <c r="Y86" s="111">
        <f t="shared" si="281"/>
        <v>0.12962962962962954</v>
      </c>
      <c r="Z86" s="111">
        <f t="shared" si="281"/>
        <v>0.16393442622950816</v>
      </c>
      <c r="AA86" s="57"/>
      <c r="AB86" s="111">
        <f>AB84/Z84-1</f>
        <v>0.18309859154929597</v>
      </c>
      <c r="AC86" s="111">
        <f t="shared" si="281"/>
        <v>4.7619047619047672E-2</v>
      </c>
      <c r="AD86" s="111">
        <f t="shared" si="281"/>
        <v>9.0909090909090828E-2</v>
      </c>
      <c r="AE86" s="111">
        <f t="shared" si="281"/>
        <v>0.13541666666666674</v>
      </c>
      <c r="AF86" s="57"/>
      <c r="AG86" s="57">
        <f>AG84/AE84-1</f>
        <v>0.12844036697247718</v>
      </c>
      <c r="AH86" s="57">
        <f t="shared" si="281"/>
        <v>0.18699186991869898</v>
      </c>
      <c r="AI86" s="57">
        <f t="shared" si="281"/>
        <v>1.3698630136986356E-2</v>
      </c>
      <c r="AJ86" s="57">
        <f t="shared" si="281"/>
        <v>0.14864864864864868</v>
      </c>
      <c r="AK86" s="57"/>
      <c r="AL86" s="57">
        <f>AL84/AJ84-1</f>
        <v>7.6470588235294068E-2</v>
      </c>
      <c r="AM86" s="57">
        <f t="shared" si="281"/>
        <v>-4.9180327868852625E-2</v>
      </c>
      <c r="AN86" s="57">
        <f t="shared" si="281"/>
        <v>3.4482758620689724E-2</v>
      </c>
      <c r="AO86" s="57">
        <f t="shared" si="281"/>
        <v>8.3333333333333259E-2</v>
      </c>
      <c r="AP86" s="57"/>
    </row>
    <row r="87" spans="1:42">
      <c r="A87" s="44"/>
      <c r="H87" s="133"/>
      <c r="I87" s="133"/>
      <c r="J87" s="133"/>
      <c r="K87" s="133"/>
      <c r="L87" s="92"/>
      <c r="M87" s="133"/>
      <c r="N87" s="133"/>
      <c r="O87" s="133"/>
      <c r="P87" s="133"/>
      <c r="Q87" s="92"/>
      <c r="R87" s="133"/>
      <c r="S87" s="133"/>
      <c r="T87" s="133"/>
      <c r="U87" s="133"/>
      <c r="V87" s="92"/>
      <c r="W87" s="133"/>
      <c r="X87" s="133"/>
      <c r="Y87" s="133"/>
      <c r="Z87" s="133"/>
      <c r="AA87" s="92"/>
      <c r="AB87" s="133"/>
      <c r="AC87" s="133"/>
      <c r="AD87" s="133"/>
      <c r="AE87" s="133"/>
      <c r="AF87" s="92"/>
      <c r="AG87" s="92"/>
      <c r="AH87" s="92"/>
      <c r="AI87" s="92"/>
      <c r="AJ87" s="92"/>
      <c r="AK87" s="92"/>
      <c r="AL87" s="92"/>
      <c r="AM87" s="92"/>
      <c r="AN87" s="92"/>
      <c r="AO87" s="92"/>
      <c r="AP87" s="92"/>
    </row>
    <row r="88" spans="1:42">
      <c r="A88" s="66" t="s">
        <v>272</v>
      </c>
      <c r="H88" s="137">
        <v>5.4</v>
      </c>
      <c r="I88" s="137">
        <v>5.73</v>
      </c>
      <c r="J88" s="137">
        <v>6.11</v>
      </c>
      <c r="K88" s="137">
        <v>6.48</v>
      </c>
      <c r="L88" s="53">
        <f>L15/L73</f>
        <v>6.4611398963730569</v>
      </c>
      <c r="M88" s="110">
        <f>SUM(I15,J15,K15,M15)/AVERAGE(M73,H73)</f>
        <v>7.2000712419852766</v>
      </c>
      <c r="N88" s="110">
        <f>SUM(J15,K15,M15,N15)/AVERAGE(N73,I73)</f>
        <v>8.3230232819705314</v>
      </c>
      <c r="O88" s="110">
        <f>SUM(K15,M15,N15,O15)/AVERAGE(O73,J73)</f>
        <v>9.2572576807149272</v>
      </c>
      <c r="P88" s="110">
        <f>SUM(M15,N15,O15,P15)/AVERAGE(P73,K73)</f>
        <v>9.2758758138092912</v>
      </c>
      <c r="Q88" s="53">
        <f>Q15/Q73</f>
        <v>9.2598815103015308</v>
      </c>
      <c r="R88" s="110">
        <f>SUM(N15,O15,P15,R15)/AVERAGE(R73,M73)</f>
        <v>10.044947533669339</v>
      </c>
      <c r="S88" s="110">
        <f>SUM(O15,P15,R15,S15)/AVERAGE(S73,N73)</f>
        <v>11.223764228910024</v>
      </c>
      <c r="T88" s="110">
        <f>SUM(P15,R15,S15,T15)/AVERAGE(T73,O73)</f>
        <v>12.668525269854886</v>
      </c>
      <c r="U88" s="110">
        <f>SUM(R15,S15,T15,U15)/AVERAGE(U73,P73)</f>
        <v>13.782324159021407</v>
      </c>
      <c r="V88" s="53">
        <f>V15/V73</f>
        <v>13.80343032159265</v>
      </c>
      <c r="W88" s="110">
        <f>SUM(S15,T15,U15,W15)/AVERAGE(W73,R73)</f>
        <v>15.086742857142855</v>
      </c>
      <c r="X88" s="110">
        <f>SUM(T15,U15,W15,X15)/AVERAGE(X73,S73)</f>
        <v>16.6244204851752</v>
      </c>
      <c r="Y88" s="110">
        <f>SUM(U15,W15,X15,Y15)/AVERAGE(Y73,T73)</f>
        <v>17.328641975308642</v>
      </c>
      <c r="Z88" s="110">
        <f>SUM(W15,X15,Y15,Z15)/AVERAGE(Z73,U73)</f>
        <v>17.96823275862069</v>
      </c>
      <c r="AA88" s="53">
        <f>AA15/AA73</f>
        <v>17.795645677694775</v>
      </c>
      <c r="AB88" s="110">
        <f>SUM(X15,Y15,Z15,AB15)/AVERAGE(AB73,W73)</f>
        <v>19.075711422845689</v>
      </c>
      <c r="AC88" s="110">
        <f>SUM(Y15,Z15,AB15,AC15)/AVERAGE(AC73,X73)</f>
        <v>21.077333333333332</v>
      </c>
      <c r="AD88" s="110">
        <f>SUM(Z15,AB15,AC15,AD15)/AVERAGE(AD73,Y73)</f>
        <v>22.550873440285208</v>
      </c>
      <c r="AE88" s="110">
        <f>SUM(AB15,AC15,AD15,AE15)/AVERAGE(AE73,Z73)</f>
        <v>23.149250000000002</v>
      </c>
      <c r="AF88" s="53">
        <f>AF15/AF73</f>
        <v>23.005465838509316</v>
      </c>
      <c r="AG88" s="53">
        <f>SUM(AC15,AD15,AE15,AG15)/AVERAGE(AG73,AB73)</f>
        <v>24.360609579100146</v>
      </c>
      <c r="AH88" s="53">
        <f>SUM(AD15,AE15,AG15,AH15)/AVERAGE(AH73,AC73)</f>
        <v>24.933632653061224</v>
      </c>
      <c r="AI88" s="53">
        <f>SUM(AE15,AG15,AH15,AI15)/AVERAGE(AI73,AD73)</f>
        <v>26.978799489144318</v>
      </c>
      <c r="AJ88" s="53">
        <f>SUM(AG15,AH15,AI15,AJ15)/AVERAGE(AJ73,AE73)</f>
        <v>28.780953461975027</v>
      </c>
      <c r="AK88" s="53">
        <f>AK15/AK73</f>
        <v>28.173355555555553</v>
      </c>
      <c r="AL88" s="53">
        <f>SUM(AH15,AI15,AJ15,AL15)/AVERAGE(AL73,AG73)</f>
        <v>32.156895074946469</v>
      </c>
      <c r="AM88" s="53">
        <f>SUM(AI15,AJ15,AL15,AM15)/AVERAGE(AM73,AH73)</f>
        <v>36.478287461773704</v>
      </c>
      <c r="AN88" s="53">
        <f>SUM(AJ15,AL15,AM15,AN15)/AVERAGE(AN73,AI73)</f>
        <v>40.088730468750001</v>
      </c>
      <c r="AO88" s="53">
        <f>SUM(AL15,AM15,AN15,AO15)/AVERAGE(AO73,AJ73)</f>
        <v>41.058849955076361</v>
      </c>
      <c r="AP88" s="53">
        <f>AP15/AP73</f>
        <v>40.584813499111895</v>
      </c>
    </row>
    <row r="89" spans="1:42">
      <c r="A89" s="56" t="s">
        <v>241</v>
      </c>
      <c r="H89" s="108"/>
      <c r="J89" s="108"/>
      <c r="K89" s="108"/>
      <c r="L89" s="45"/>
      <c r="M89" s="111">
        <f>M88/H88-1</f>
        <v>0.33334652629356976</v>
      </c>
      <c r="N89" s="111">
        <f t="shared" ref="N89" si="282">N88/I88-1</f>
        <v>0.45253460418333868</v>
      </c>
      <c r="O89" s="111">
        <f t="shared" ref="O89" si="283">O88/J88-1</f>
        <v>0.51509945674548718</v>
      </c>
      <c r="P89" s="111">
        <f t="shared" ref="P89:Q89" si="284">P88/K88-1</f>
        <v>0.43146231694587822</v>
      </c>
      <c r="Q89" s="57">
        <f t="shared" si="284"/>
        <v>0.43316530191515268</v>
      </c>
      <c r="R89" s="111">
        <f t="shared" ref="R89" si="285">R88/M88-1</f>
        <v>0.39511779759829757</v>
      </c>
      <c r="S89" s="111">
        <f t="shared" ref="S89" si="286">S88/N88-1</f>
        <v>0.34852010485458162</v>
      </c>
      <c r="T89" s="111">
        <f t="shared" ref="T89" si="287">T88/O88-1</f>
        <v>0.36849655770590051</v>
      </c>
      <c r="U89" s="111">
        <f t="shared" ref="U89:V89" si="288">U88/P88-1</f>
        <v>0.48582456639870308</v>
      </c>
      <c r="V89" s="57">
        <f t="shared" si="288"/>
        <v>0.49067029704823595</v>
      </c>
      <c r="W89" s="111">
        <f t="shared" ref="W89" si="289">W88/R88-1</f>
        <v>0.50192350996101109</v>
      </c>
      <c r="X89" s="111">
        <f t="shared" ref="X89" si="290">X88/S88-1</f>
        <v>0.48118047974976497</v>
      </c>
      <c r="Y89" s="111">
        <f t="shared" ref="Y89" si="291">Y88/T88-1</f>
        <v>0.3678499751303046</v>
      </c>
      <c r="Z89" s="111">
        <f t="shared" ref="Z89:AA89" si="292">Z88/U88-1</f>
        <v>0.30371572684708181</v>
      </c>
      <c r="AA89" s="57">
        <f t="shared" si="292"/>
        <v>0.28921907548278925</v>
      </c>
      <c r="AB89" s="111">
        <f t="shared" ref="AB89" si="293">AB88/W88-1</f>
        <v>0.26440223734669455</v>
      </c>
      <c r="AC89" s="111">
        <f t="shared" ref="AC89" si="294">AC88/X88-1</f>
        <v>0.26785371869828545</v>
      </c>
      <c r="AD89" s="111">
        <f t="shared" ref="AD89" si="295">AD88/Y88-1</f>
        <v>0.3013641503135478</v>
      </c>
      <c r="AE89" s="111">
        <f t="shared" ref="AE89:AF89" si="296">AE88/Z88-1</f>
        <v>0.28834317269702514</v>
      </c>
      <c r="AF89" s="57">
        <f t="shared" si="296"/>
        <v>0.29275814180457504</v>
      </c>
      <c r="AG89" s="57">
        <f t="shared" ref="AG89" si="297">AG88/AB88-1</f>
        <v>0.27704854823527536</v>
      </c>
      <c r="AH89" s="57">
        <f t="shared" ref="AH89" si="298">AH88/AC88-1</f>
        <v>0.18295954515409418</v>
      </c>
      <c r="AI89" s="57">
        <f t="shared" ref="AI89" si="299">AI88/AD88-1</f>
        <v>0.19635275150580189</v>
      </c>
      <c r="AJ89" s="57">
        <f t="shared" ref="AJ89:AK89" si="300">AJ88/AE88-1</f>
        <v>0.24327800952406764</v>
      </c>
      <c r="AK89" s="57">
        <f t="shared" si="300"/>
        <v>0.22463747325627281</v>
      </c>
      <c r="AL89" s="57">
        <f t="shared" ref="AL89" si="301">AL88/AG88-1</f>
        <v>0.32003655206292714</v>
      </c>
      <c r="AM89" s="57">
        <f t="shared" ref="AM89" si="302">AM88/AH88-1</f>
        <v>0.46301535638029412</v>
      </c>
      <c r="AN89" s="57">
        <f t="shared" ref="AN89" si="303">AN88/AI88-1</f>
        <v>0.48593455705398725</v>
      </c>
      <c r="AO89" s="57">
        <f t="shared" ref="AO89:AP89" si="304">AO88/AJ88-1</f>
        <v>0.42659797596082805</v>
      </c>
      <c r="AP89" s="57">
        <f t="shared" si="304"/>
        <v>0.44053886016814592</v>
      </c>
    </row>
    <row r="90" spans="1:42">
      <c r="A90" s="56" t="s">
        <v>242</v>
      </c>
      <c r="H90" s="108"/>
      <c r="I90" s="111">
        <f>I88/H88-1</f>
        <v>6.1111111111111116E-2</v>
      </c>
      <c r="J90" s="111">
        <f t="shared" ref="J90:AO90" si="305">J88/I88-1</f>
        <v>6.6317626527050644E-2</v>
      </c>
      <c r="K90" s="111">
        <f t="shared" si="305"/>
        <v>6.0556464811784005E-2</v>
      </c>
      <c r="L90" s="57"/>
      <c r="M90" s="111">
        <f>M88/K88-1</f>
        <v>0.11112210524464139</v>
      </c>
      <c r="N90" s="111">
        <f t="shared" si="305"/>
        <v>0.15596401788874847</v>
      </c>
      <c r="O90" s="111">
        <f t="shared" si="305"/>
        <v>0.11224700053022185</v>
      </c>
      <c r="P90" s="111">
        <f t="shared" si="305"/>
        <v>2.0111931347821521E-3</v>
      </c>
      <c r="Q90" s="57"/>
      <c r="R90" s="111">
        <f>R88/P88-1</f>
        <v>8.2910954749427113E-2</v>
      </c>
      <c r="S90" s="111">
        <f t="shared" si="305"/>
        <v>0.11735419137725178</v>
      </c>
      <c r="T90" s="111">
        <f t="shared" si="305"/>
        <v>0.1287233954205369</v>
      </c>
      <c r="U90" s="111">
        <f t="shared" si="305"/>
        <v>8.7918590794213269E-2</v>
      </c>
      <c r="V90" s="57"/>
      <c r="W90" s="111">
        <f>W88/U88-1</f>
        <v>9.4644320005172977E-2</v>
      </c>
      <c r="X90" s="111">
        <f t="shared" si="305"/>
        <v>0.10192243896463893</v>
      </c>
      <c r="Y90" s="111">
        <f t="shared" si="305"/>
        <v>4.2360663985937519E-2</v>
      </c>
      <c r="Z90" s="111">
        <f t="shared" si="305"/>
        <v>3.690945800734946E-2</v>
      </c>
      <c r="AA90" s="57"/>
      <c r="AB90" s="111">
        <f>AB88/Z88-1</f>
        <v>6.1635369437968768E-2</v>
      </c>
      <c r="AC90" s="111">
        <f t="shared" si="305"/>
        <v>0.10493039374093471</v>
      </c>
      <c r="AD90" s="111">
        <f t="shared" si="305"/>
        <v>6.9911126025677284E-2</v>
      </c>
      <c r="AE90" s="111">
        <f t="shared" si="305"/>
        <v>2.6534518110763905E-2</v>
      </c>
      <c r="AF90" s="57"/>
      <c r="AG90" s="57">
        <f>AG88/AE88-1</f>
        <v>5.2328242992759844E-2</v>
      </c>
      <c r="AH90" s="57">
        <f t="shared" si="305"/>
        <v>2.3522526072282446E-2</v>
      </c>
      <c r="AI90" s="57">
        <f t="shared" si="305"/>
        <v>8.2024423177342376E-2</v>
      </c>
      <c r="AJ90" s="57">
        <f t="shared" si="305"/>
        <v>6.6798894204164183E-2</v>
      </c>
      <c r="AK90" s="57"/>
      <c r="AL90" s="57">
        <f>AL88/AJ88-1</f>
        <v>0.11729776838115136</v>
      </c>
      <c r="AM90" s="57">
        <f t="shared" si="305"/>
        <v>0.13438462814135455</v>
      </c>
      <c r="AN90" s="57">
        <f t="shared" si="305"/>
        <v>9.8975123510382623E-2</v>
      </c>
      <c r="AO90" s="57">
        <f t="shared" si="305"/>
        <v>2.4199306762347828E-2</v>
      </c>
      <c r="AP90" s="57"/>
    </row>
    <row r="91" spans="1:42">
      <c r="A91" s="66" t="s">
        <v>273</v>
      </c>
      <c r="H91" s="133"/>
      <c r="I91" s="110">
        <f>(I15/AVERAGE(H73,I73))/3</f>
        <v>0.48493033835655391</v>
      </c>
      <c r="J91" s="110">
        <f>(J15/AVERAGE(I73,J73))/3</f>
        <v>0.48137432999170199</v>
      </c>
      <c r="K91" s="110">
        <f>(K15/AVERAGE(J73,K73))/3</f>
        <v>0.79816004441272093</v>
      </c>
      <c r="L91" s="53">
        <f>L88/12</f>
        <v>0.5384283246977547</v>
      </c>
      <c r="M91" s="110">
        <f>(M15/AVERAGE(K73,M73))/3</f>
        <v>0.67921118929719393</v>
      </c>
      <c r="N91" s="110">
        <f>(N15/AVERAGE(M73,N73))/3</f>
        <v>0.76511982358854624</v>
      </c>
      <c r="O91" s="110">
        <f>(O15/AVERAGE(N73,O73))/3</f>
        <v>0.74099862574438846</v>
      </c>
      <c r="P91" s="110">
        <f>(P15/AVERAGE(O73,P73))/3</f>
        <v>1.0080773698570928</v>
      </c>
      <c r="Q91" s="53">
        <f>Q88/12</f>
        <v>0.77165679252512753</v>
      </c>
      <c r="R91" s="110">
        <f>(R15/AVERAGE(P73,R73))/3</f>
        <v>0.87922705314009653</v>
      </c>
      <c r="S91" s="110">
        <f>(S15/AVERAGE(R73,S73))/3</f>
        <v>1.0460978384527875</v>
      </c>
      <c r="T91" s="110">
        <f>(T15/AVERAGE(S73,T73))/3</f>
        <v>1.2060377358490568</v>
      </c>
      <c r="U91" s="110">
        <f>(U15/AVERAGE(T73,U73))/3</f>
        <v>1.5821666666666667</v>
      </c>
      <c r="V91" s="53">
        <f>V88/12</f>
        <v>1.1502858601327208</v>
      </c>
      <c r="W91" s="110">
        <f>(W15/AVERAGE(U73,W73))/3</f>
        <v>1.2481629260182876</v>
      </c>
      <c r="X91" s="110">
        <f>(X15/AVERAGE(W73,X73))/3</f>
        <v>1.4071806853582556</v>
      </c>
      <c r="Y91" s="110">
        <f>(Y15/AVERAGE(X73,Y73))/3</f>
        <v>1.4563318777292578</v>
      </c>
      <c r="Z91" s="110">
        <f>(Z15/AVERAGE(Y73,Z73))/3</f>
        <v>1.9829076620825148</v>
      </c>
      <c r="AA91" s="53">
        <f>AA88/12</f>
        <v>1.4829704731412312</v>
      </c>
      <c r="AB91" s="110">
        <f>(AB15/AVERAGE(Z73,AB73))/3</f>
        <v>1.5913760379596678</v>
      </c>
      <c r="AC91" s="110">
        <f>(AC15/AVERAGE(AB73,AC73))/3</f>
        <v>1.8756375838926171</v>
      </c>
      <c r="AD91" s="110">
        <f>(AD15/AVERAGE(AC73,AD73))/3</f>
        <v>1.9036305732484078</v>
      </c>
      <c r="AE91" s="110">
        <f>(AE15/AVERAGE(AD73,AE73))/3</f>
        <v>2.5011464354527946</v>
      </c>
      <c r="AF91" s="53">
        <f>AF88/12</f>
        <v>1.9171221532091096</v>
      </c>
      <c r="AG91" s="53">
        <f>(AG15/AVERAGE(AE73,AG73))/3</f>
        <v>2.0217296827466322</v>
      </c>
      <c r="AH91" s="53">
        <f>(AH15/AVERAGE(AG73,AH73))/3</f>
        <v>1.9707729468599036</v>
      </c>
      <c r="AI91" s="53">
        <f>(AI15/AVERAGE(AH73,AI73))/3</f>
        <v>2.3912434456928837</v>
      </c>
      <c r="AJ91" s="53">
        <f>(AJ15/AVERAGE(AI73,AJ73))/3</f>
        <v>3.231824417009602</v>
      </c>
      <c r="AK91" s="53">
        <f>AK88/12</f>
        <v>2.3477796296296294</v>
      </c>
      <c r="AL91" s="53">
        <f>(AL15/AVERAGE(AJ73,AL73))/3</f>
        <v>2.9677226463104325</v>
      </c>
      <c r="AM91" s="53">
        <f>(AM15/AVERAGE(AL73,AM73))/3</f>
        <v>3.2646611468874576</v>
      </c>
      <c r="AN91" s="53">
        <f>(AN15/AVERAGE(AM73,AN73))/3</f>
        <v>3.4828938714499249</v>
      </c>
      <c r="AO91" s="53">
        <f>(AO15/AVERAGE(AN73,AO73))/3</f>
        <v>4.0262203147353359</v>
      </c>
      <c r="AP91" s="53">
        <f>AP88/12</f>
        <v>3.3820677915926578</v>
      </c>
    </row>
    <row r="92" spans="1:42">
      <c r="A92" s="56" t="s">
        <v>241</v>
      </c>
      <c r="H92" s="108"/>
      <c r="J92" s="108"/>
      <c r="K92" s="108"/>
      <c r="L92" s="45"/>
      <c r="M92" s="111"/>
      <c r="N92" s="111">
        <f t="shared" ref="N92" si="306">N91/I91-1</f>
        <v>0.57779326857866731</v>
      </c>
      <c r="O92" s="111">
        <f t="shared" ref="O92" si="307">O91/J91-1</f>
        <v>0.53933971875309994</v>
      </c>
      <c r="P92" s="111">
        <f t="shared" ref="P92:Q92" si="308">P91/K91-1</f>
        <v>0.26300154575994505</v>
      </c>
      <c r="Q92" s="57">
        <f t="shared" si="308"/>
        <v>0.43316530191515268</v>
      </c>
      <c r="R92" s="111">
        <f t="shared" ref="R92" si="309">R91/M91-1</f>
        <v>0.29448258066812283</v>
      </c>
      <c r="S92" s="111">
        <f t="shared" ref="S92" si="310">S91/N91-1</f>
        <v>0.36723400205003842</v>
      </c>
      <c r="T92" s="111">
        <f t="shared" ref="T92" si="311">T91/O91-1</f>
        <v>0.62758430845604041</v>
      </c>
      <c r="U92" s="111">
        <f t="shared" ref="U92:V92" si="312">U91/P91-1</f>
        <v>0.5694893209347196</v>
      </c>
      <c r="V92" s="57">
        <f t="shared" si="312"/>
        <v>0.49067029704823595</v>
      </c>
      <c r="W92" s="111">
        <f t="shared" ref="W92" si="313">W91/R91-1</f>
        <v>0.41961387739442624</v>
      </c>
      <c r="X92" s="111">
        <f t="shared" ref="X92" si="314">X91/S91-1</f>
        <v>0.3451712006589378</v>
      </c>
      <c r="Y92" s="111">
        <f t="shared" ref="Y92" si="315">Y91/T91-1</f>
        <v>0.20753425406211901</v>
      </c>
      <c r="Z92" s="111">
        <f t="shared" ref="Z92:AA92" si="316">Z91/U91-1</f>
        <v>0.25328620799484769</v>
      </c>
      <c r="AA92" s="57">
        <f t="shared" si="316"/>
        <v>0.28921907548278902</v>
      </c>
      <c r="AB92" s="111">
        <f t="shared" ref="AB92" si="317">AB91/W91-1</f>
        <v>0.27497460851224775</v>
      </c>
      <c r="AC92" s="111">
        <f t="shared" ref="AC92" si="318">AC91/X91-1</f>
        <v>0.33290458248088917</v>
      </c>
      <c r="AD92" s="111">
        <f t="shared" ref="AD92" si="319">AD91/Y91-1</f>
        <v>0.30714063350490362</v>
      </c>
      <c r="AE92" s="111">
        <f t="shared" ref="AE92:AF92" si="320">AE91/Z91-1</f>
        <v>0.26135295318089002</v>
      </c>
      <c r="AF92" s="57">
        <f t="shared" si="320"/>
        <v>0.29275814180457504</v>
      </c>
      <c r="AG92" s="57">
        <f t="shared" ref="AG92" si="321">AG91/AB91-1</f>
        <v>0.27042863190194111</v>
      </c>
      <c r="AH92" s="57">
        <f t="shared" ref="AH92" si="322">AH91/AC91-1</f>
        <v>5.0721612631501323E-2</v>
      </c>
      <c r="AI92" s="57">
        <f t="shared" ref="AI92" si="323">AI91/AD91-1</f>
        <v>0.25614889742624802</v>
      </c>
      <c r="AJ92" s="57">
        <f t="shared" ref="AJ92:AK92" si="324">AJ91/AE91-1</f>
        <v>0.29213722603352066</v>
      </c>
      <c r="AK92" s="57">
        <f t="shared" si="324"/>
        <v>0.22463747325627303</v>
      </c>
      <c r="AL92" s="57">
        <f t="shared" ref="AL92" si="325">AL91/AG91-1</f>
        <v>0.46791268468622182</v>
      </c>
      <c r="AM92" s="57">
        <f t="shared" ref="AM92" si="326">AM91/AH91-1</f>
        <v>0.65653844197990852</v>
      </c>
      <c r="AN92" s="57">
        <f t="shared" ref="AN92" si="327">AN91/AI91-1</f>
        <v>0.45651998658828563</v>
      </c>
      <c r="AO92" s="57">
        <f t="shared" ref="AO92:AP92" si="328">AO91/AJ91-1</f>
        <v>0.2458041636001953</v>
      </c>
      <c r="AP92" s="57">
        <f t="shared" si="328"/>
        <v>0.4405388601681457</v>
      </c>
    </row>
    <row r="93" spans="1:42">
      <c r="A93" s="56" t="s">
        <v>242</v>
      </c>
      <c r="H93" s="108"/>
      <c r="I93" s="111"/>
      <c r="J93" s="111">
        <f t="shared" ref="J93:AO93" si="329">J91/I91-1</f>
        <v>-7.3330292695304999E-3</v>
      </c>
      <c r="K93" s="111">
        <f t="shared" si="329"/>
        <v>0.6580860147371792</v>
      </c>
      <c r="L93" s="57"/>
      <c r="M93" s="111">
        <f>M91/K91-1</f>
        <v>-0.14902882692286168</v>
      </c>
      <c r="N93" s="111">
        <f t="shared" si="329"/>
        <v>0.12648294911078439</v>
      </c>
      <c r="O93" s="111">
        <f t="shared" si="329"/>
        <v>-3.1526039582957299E-2</v>
      </c>
      <c r="P93" s="111">
        <f t="shared" si="329"/>
        <v>0.36043082245180114</v>
      </c>
      <c r="Q93" s="57"/>
      <c r="R93" s="111">
        <f>R91/P91-1</f>
        <v>-0.12781788439042374</v>
      </c>
      <c r="S93" s="111">
        <f t="shared" si="329"/>
        <v>0.18979259648201663</v>
      </c>
      <c r="T93" s="111">
        <f t="shared" si="329"/>
        <v>0.15289191079184872</v>
      </c>
      <c r="U93" s="111">
        <f t="shared" si="329"/>
        <v>0.31187161034626598</v>
      </c>
      <c r="V93" s="57"/>
      <c r="W93" s="111">
        <f>W91/U91-1</f>
        <v>-0.21110528219638414</v>
      </c>
      <c r="X93" s="111">
        <f t="shared" si="329"/>
        <v>0.12740144417463495</v>
      </c>
      <c r="Y93" s="111">
        <f t="shared" si="329"/>
        <v>3.492884238848748E-2</v>
      </c>
      <c r="Z93" s="111">
        <f t="shared" si="329"/>
        <v>0.36157677546295597</v>
      </c>
      <c r="AA93" s="57"/>
      <c r="AB93" s="111">
        <f>AB91/Z91-1</f>
        <v>-0.19745328116370664</v>
      </c>
      <c r="AC93" s="111">
        <f t="shared" si="329"/>
        <v>0.17862625749813743</v>
      </c>
      <c r="AD93" s="111">
        <f t="shared" si="329"/>
        <v>1.4924519318756158E-2</v>
      </c>
      <c r="AE93" s="111">
        <f t="shared" si="329"/>
        <v>0.31388225772439093</v>
      </c>
      <c r="AF93" s="57"/>
      <c r="AG93" s="57">
        <f>AG91/AE91-1</f>
        <v>-0.19167880213273925</v>
      </c>
      <c r="AH93" s="57">
        <f t="shared" si="329"/>
        <v>-2.5204524779742665E-2</v>
      </c>
      <c r="AI93" s="57">
        <f t="shared" si="329"/>
        <v>0.21335309047291795</v>
      </c>
      <c r="AJ93" s="57">
        <f t="shared" si="329"/>
        <v>0.35152463160151082</v>
      </c>
      <c r="AK93" s="57"/>
      <c r="AL93" s="57">
        <f>AL91/AJ91-1</f>
        <v>-8.171909628170404E-2</v>
      </c>
      <c r="AM93" s="57">
        <f t="shared" si="329"/>
        <v>0.10005601465021963</v>
      </c>
      <c r="AN93" s="57">
        <f t="shared" si="329"/>
        <v>6.6846975763635186E-2</v>
      </c>
      <c r="AO93" s="57">
        <f t="shared" si="329"/>
        <v>0.15599856422246505</v>
      </c>
      <c r="AP93" s="57"/>
    </row>
    <row r="94" spans="1:42">
      <c r="A94" s="56"/>
      <c r="H94" s="108"/>
      <c r="I94" s="111"/>
      <c r="J94" s="111"/>
      <c r="K94" s="111"/>
      <c r="L94" s="57"/>
      <c r="M94" s="111"/>
      <c r="N94" s="111"/>
      <c r="O94" s="111"/>
      <c r="P94" s="111"/>
      <c r="Q94" s="57"/>
      <c r="R94" s="111"/>
      <c r="S94" s="111"/>
      <c r="T94" s="111"/>
      <c r="U94" s="111"/>
      <c r="V94" s="57"/>
      <c r="W94" s="111"/>
      <c r="X94" s="111"/>
      <c r="Y94" s="111"/>
      <c r="Z94" s="111"/>
      <c r="AA94" s="57"/>
      <c r="AB94" s="111"/>
      <c r="AC94" s="111"/>
      <c r="AD94" s="111"/>
      <c r="AE94" s="111"/>
      <c r="AF94" s="57"/>
      <c r="AG94" s="57"/>
      <c r="AH94" s="57"/>
      <c r="AI94" s="57"/>
      <c r="AJ94" s="57"/>
      <c r="AK94" s="57"/>
      <c r="AL94" s="57"/>
      <c r="AM94" s="57"/>
      <c r="AN94" s="57"/>
      <c r="AO94" s="57"/>
      <c r="AP94" s="57"/>
    </row>
    <row r="95" spans="1:42">
      <c r="A95" s="66" t="s">
        <v>274</v>
      </c>
      <c r="H95" s="108"/>
      <c r="I95" s="111"/>
      <c r="J95" s="111"/>
      <c r="K95" s="111"/>
      <c r="L95" s="57"/>
      <c r="M95" s="110">
        <f>M19*4/M76</f>
        <v>74.369949494949495</v>
      </c>
      <c r="N95" s="110">
        <f>N19*4/N76</f>
        <v>72.504515352197487</v>
      </c>
      <c r="O95" s="110">
        <f>O19*4/O76</f>
        <v>71.099039780521252</v>
      </c>
      <c r="P95" s="110">
        <f>P19*4/P76</f>
        <v>104.26344468135512</v>
      </c>
      <c r="Q95" s="53">
        <f>Q19/Q76</f>
        <v>81.897185845639498</v>
      </c>
      <c r="R95" s="110">
        <f>R19*4/R76</f>
        <v>60.753457319980939</v>
      </c>
      <c r="S95" s="110">
        <f>S19*4/S76</f>
        <v>47.186455584872476</v>
      </c>
      <c r="T95" s="110">
        <f>T19*4/T76</f>
        <v>49.615639985245309</v>
      </c>
      <c r="U95" s="110">
        <f>U19*4/U76</f>
        <v>69.711186440677963</v>
      </c>
      <c r="V95" s="53">
        <f>V19/V76</f>
        <v>57.302432216905906</v>
      </c>
      <c r="W95" s="110">
        <f>W19*4/W76</f>
        <v>37.272121212121206</v>
      </c>
      <c r="X95" s="110">
        <f>X19*4/X76</f>
        <v>38.532753623188398</v>
      </c>
      <c r="Y95" s="110">
        <f>Y19*4/Y76</f>
        <v>41.31323943661971</v>
      </c>
      <c r="Z95" s="110">
        <f>Z19*4/Z76</f>
        <v>63.766153846153834</v>
      </c>
      <c r="AA95" s="53">
        <f>AA19/AA76</f>
        <v>45.865211267605645</v>
      </c>
      <c r="AB95" s="110">
        <f>AB19*4/AB76</f>
        <v>34.944096385542167</v>
      </c>
      <c r="AC95" s="110">
        <f>AC19*4/AC76</f>
        <v>38.785411764705884</v>
      </c>
      <c r="AD95" s="110">
        <f>AD19*4/AD76</f>
        <v>38.402823529411776</v>
      </c>
      <c r="AE95" s="110">
        <f>AE19*4/AE76</f>
        <v>61.882040816326544</v>
      </c>
      <c r="AF95" s="53">
        <f>AF19/AF76</f>
        <v>44.233048433048403</v>
      </c>
      <c r="AG95" s="53">
        <f>AG19*4/AG76</f>
        <v>32.971962616822445</v>
      </c>
      <c r="AH95" s="53">
        <f>AH19*4/AH76</f>
        <v>35.614720000000005</v>
      </c>
      <c r="AI95" s="53">
        <f>AI19*4/AI76</f>
        <v>38.666277372262762</v>
      </c>
      <c r="AJ95" s="53">
        <f>AJ19*4/AJ76</f>
        <v>49.986013986013965</v>
      </c>
      <c r="AK95" s="53">
        <f>AK19/AK76</f>
        <v>39.892812500000005</v>
      </c>
      <c r="AL95" s="53">
        <f>AL19*4/AL76</f>
        <v>31.204927536231875</v>
      </c>
      <c r="AM95" s="53">
        <f>AM19*4/AM76</f>
        <v>37.29454545454545</v>
      </c>
      <c r="AN95" s="53">
        <f>AN19*4/AN76</f>
        <v>37.47653846153846</v>
      </c>
      <c r="AO95" s="53">
        <f>AO19*4/AO76</f>
        <v>72.695280898876419</v>
      </c>
      <c r="AP95" s="53">
        <f>AP19/AP76</f>
        <v>42.447699115044266</v>
      </c>
    </row>
    <row r="96" spans="1:42">
      <c r="A96" s="56"/>
      <c r="H96" s="108"/>
      <c r="I96" s="111"/>
      <c r="J96" s="111"/>
      <c r="K96" s="111"/>
      <c r="L96" s="57"/>
      <c r="M96" s="111"/>
      <c r="N96" s="111"/>
      <c r="O96" s="111"/>
      <c r="P96" s="111"/>
      <c r="Q96" s="57"/>
      <c r="R96" s="111"/>
      <c r="S96" s="111"/>
      <c r="T96" s="111"/>
      <c r="U96" s="111"/>
      <c r="V96" s="36"/>
      <c r="W96" s="138"/>
      <c r="X96" s="138"/>
      <c r="Y96" s="138"/>
      <c r="Z96" s="138"/>
      <c r="AA96" s="36"/>
      <c r="AB96" s="138"/>
      <c r="AC96" s="138"/>
      <c r="AD96" s="138"/>
      <c r="AE96" s="138"/>
      <c r="AF96" s="36"/>
      <c r="AG96" s="36"/>
      <c r="AH96" s="36"/>
      <c r="AI96" s="36"/>
      <c r="AJ96" s="36"/>
      <c r="AK96" s="36"/>
      <c r="AL96" s="36"/>
      <c r="AM96" s="36"/>
      <c r="AN96" s="36"/>
      <c r="AO96" s="36"/>
      <c r="AP96" s="36"/>
    </row>
    <row r="97" spans="1:42">
      <c r="A97" s="66" t="s">
        <v>275</v>
      </c>
      <c r="H97" s="108"/>
      <c r="I97" s="108">
        <f>(I84*10^3)/AVERAGE(H73,I73)</f>
        <v>179.84077338640884</v>
      </c>
      <c r="J97" s="108">
        <f>(J84*10^3)/AVERAGE(I73,J73)</f>
        <v>190.27114310704434</v>
      </c>
      <c r="K97" s="108">
        <f>(K84*10^3)/AVERAGE(J73,K73)</f>
        <v>191.64882226980725</v>
      </c>
      <c r="L97" s="45">
        <f>(L84*10^3)/L73</f>
        <v>712.17616580310869</v>
      </c>
      <c r="M97" s="108">
        <f>(M84*10^3)/AVERAGE(K73,M73)</f>
        <v>208.18347667448526</v>
      </c>
      <c r="N97" s="108">
        <f>(N84*10^3)/AVERAGE(M73,N73)</f>
        <v>211.59645879949412</v>
      </c>
      <c r="O97" s="108">
        <f>(O84*10^3)/AVERAGE(N73,O73)</f>
        <v>219.51442968392124</v>
      </c>
      <c r="P97" s="108">
        <f>(P84*10^3)/AVERAGE(O73,P73)</f>
        <v>226.92276521598183</v>
      </c>
      <c r="Q97" s="45">
        <f>(Q84*10^3)/Q73</f>
        <v>828.36678751436898</v>
      </c>
      <c r="R97" s="108">
        <f>(R84*10^3)/AVERAGE(P73,R73)</f>
        <v>231.88405797101447</v>
      </c>
      <c r="S97" s="108">
        <f>(S84*10^3)/AVERAGE(R73,S73)</f>
        <v>238.90784982935156</v>
      </c>
      <c r="T97" s="108">
        <f>(T84*10^3)/AVERAGE(S73,T73)</f>
        <v>238.99371069182391</v>
      </c>
      <c r="U97" s="108">
        <f>(U84*10^3)/AVERAGE(T73,U73)</f>
        <v>238.88888888888889</v>
      </c>
      <c r="V97" s="45">
        <f>(V84*10^3)/V73</f>
        <v>906.58499234303224</v>
      </c>
      <c r="W97" s="108">
        <f>(W84*10^3)/AVERAGE(U73,W73)</f>
        <v>254.3640897755611</v>
      </c>
      <c r="X97" s="108">
        <f>(X84*10^3)/AVERAGE(W73,X73)</f>
        <v>252.33644859813086</v>
      </c>
      <c r="Y97" s="108">
        <f>(Y84*10^3)/AVERAGE(X73,Y73)</f>
        <v>266.37554585152839</v>
      </c>
      <c r="Z97" s="108">
        <f>(Z84*10^3)/AVERAGE(Y73,Z73)</f>
        <v>278.97838899803531</v>
      </c>
      <c r="AA97" s="45">
        <f>(AA84*10^3)/AA73</f>
        <v>1011.7395944503738</v>
      </c>
      <c r="AB97" s="108">
        <f>(AB84*10^3)/AVERAGE(Z73,AB73)</f>
        <v>298.93238434163698</v>
      </c>
      <c r="AC97" s="108">
        <f>(AC84*10^3)/AVERAGE(AB73,AC73)</f>
        <v>295.30201342281879</v>
      </c>
      <c r="AD97" s="108">
        <f>(AD84*10^3)/AVERAGE(AC73,AD73)</f>
        <v>305.73248407643314</v>
      </c>
      <c r="AE97" s="108">
        <f>(AE84*10^3)/AVERAGE(AD73,AE73)</f>
        <v>315.02890173410412</v>
      </c>
      <c r="AF97" s="45">
        <f>(AF84*10^3)/AF73</f>
        <v>1170.807453416149</v>
      </c>
      <c r="AG97" s="45">
        <f>(AG84*10^3)/AVERAGE(AE73,AG73)</f>
        <v>320.73011734028688</v>
      </c>
      <c r="AH97" s="45">
        <f>(AH84*10^3)/AVERAGE(AG73,AH73)</f>
        <v>352.65700483091791</v>
      </c>
      <c r="AI97" s="45">
        <f>(AI84*10^3)/AVERAGE(AH73,AI73)</f>
        <v>332.58426966292137</v>
      </c>
      <c r="AJ97" s="45">
        <f>(AJ84*10^3)/AVERAGE(AI73,AJ73)</f>
        <v>349.79423868312756</v>
      </c>
      <c r="AK97" s="45">
        <f>(AK84*10^3)/AK73</f>
        <v>1304.4444444444443</v>
      </c>
      <c r="AL97" s="45">
        <f>(AL84*10^3)/AVERAGE(AJ73,AL73)</f>
        <v>349.23664122137399</v>
      </c>
      <c r="AM97" s="45">
        <f>(AM84*10^3)/AVERAGE(AL73,AM73)</f>
        <v>320.14719411223552</v>
      </c>
      <c r="AN97" s="45">
        <f>(AN84*10^3)/AVERAGE(AM73,AN73)</f>
        <v>322.86995515695065</v>
      </c>
      <c r="AO97" s="45">
        <f>(AO84*10^3)/AVERAGE(AN73,AO73)</f>
        <v>334.76394849785407</v>
      </c>
      <c r="AP97" s="45">
        <f>(AP84*10^3)/AP73</f>
        <v>1300.1776198934281</v>
      </c>
    </row>
    <row r="98" spans="1:42">
      <c r="A98" s="56" t="s">
        <v>241</v>
      </c>
      <c r="H98" s="108"/>
      <c r="J98" s="108"/>
      <c r="K98" s="108"/>
      <c r="L98" s="45"/>
      <c r="M98" s="111"/>
      <c r="N98" s="111">
        <f t="shared" ref="N98" si="330">N97/I97-1</f>
        <v>0.17657667288193024</v>
      </c>
      <c r="O98" s="111">
        <f t="shared" ref="O98" si="331">O97/J97-1</f>
        <v>0.15369270452338091</v>
      </c>
      <c r="P98" s="111">
        <f t="shared" ref="P98:Q98" si="332">P97/K97-1</f>
        <v>0.18405509894819594</v>
      </c>
      <c r="Q98" s="57">
        <f t="shared" si="332"/>
        <v>0.16314870855055097</v>
      </c>
      <c r="R98" s="111">
        <f t="shared" ref="R98" si="333">R97/M97-1</f>
        <v>0.11384468006357351</v>
      </c>
      <c r="S98" s="111">
        <f t="shared" ref="S98" si="334">S97/N97-1</f>
        <v>0.12907300615903661</v>
      </c>
      <c r="T98" s="111">
        <f t="shared" ref="T98" si="335">T97/O97-1</f>
        <v>8.8738043489673402E-2</v>
      </c>
      <c r="U98" s="111">
        <f t="shared" ref="U98" si="336">U97/P97-1</f>
        <v>5.2732142857143005E-2</v>
      </c>
      <c r="V98" s="57">
        <f>V97/Q97-1</f>
        <v>9.4424602733492069E-2</v>
      </c>
      <c r="W98" s="111">
        <f t="shared" ref="W98" si="337">W97/R97-1</f>
        <v>9.6945137157107286E-2</v>
      </c>
      <c r="X98" s="111">
        <f t="shared" ref="X98" si="338">X97/S97-1</f>
        <v>5.6208277703604814E-2</v>
      </c>
      <c r="Y98" s="111">
        <f t="shared" ref="Y98" si="339">Y97/T97-1</f>
        <v>0.1145713629050793</v>
      </c>
      <c r="Z98" s="111">
        <f t="shared" ref="Z98" si="340">Z97/U97-1</f>
        <v>0.16781651208479897</v>
      </c>
      <c r="AA98" s="57">
        <f>AA97/V97-1</f>
        <v>0.11598978914880753</v>
      </c>
      <c r="AB98" s="111">
        <f t="shared" ref="AB98" si="341">AB97/W97-1</f>
        <v>0.17521456981369044</v>
      </c>
      <c r="AC98" s="111">
        <f t="shared" ref="AC98" si="342">AC97/X97-1</f>
        <v>0.17027094208302263</v>
      </c>
      <c r="AD98" s="111">
        <f t="shared" ref="AD98" si="343">AD97/Y97-1</f>
        <v>0.14774981727054404</v>
      </c>
      <c r="AE98" s="111">
        <f t="shared" ref="AE98:AF98" si="344">AE97/Z97-1</f>
        <v>0.12922331677928889</v>
      </c>
      <c r="AF98" s="57">
        <f t="shared" si="344"/>
        <v>0.15722213486385161</v>
      </c>
      <c r="AG98" s="57">
        <f t="shared" ref="AG98" si="345">AG97/AB97-1</f>
        <v>7.291860681691209E-2</v>
      </c>
      <c r="AH98" s="57">
        <f t="shared" ref="AH98" si="346">AH97/AC97-1</f>
        <v>0.1942248572683356</v>
      </c>
      <c r="AI98" s="57">
        <f t="shared" ref="AI98" si="347">AI97/AD97-1</f>
        <v>8.7827715355805358E-2</v>
      </c>
      <c r="AJ98" s="57">
        <f t="shared" ref="AJ98:AK98" si="348">AJ97/AE97-1</f>
        <v>0.11035602370974407</v>
      </c>
      <c r="AK98" s="57">
        <f t="shared" si="348"/>
        <v>0.11414087827880937</v>
      </c>
      <c r="AL98" s="57">
        <f t="shared" ref="AL98" si="349">AL97/AG97-1</f>
        <v>8.8880096816234877E-2</v>
      </c>
      <c r="AM98" s="57">
        <f t="shared" ref="AM98" si="350">AM97/AH97-1</f>
        <v>-9.2185353681743187E-2</v>
      </c>
      <c r="AN98" s="57">
        <f t="shared" ref="AN98" si="351">AN97/AI97-1</f>
        <v>-2.9208580778087634E-2</v>
      </c>
      <c r="AO98" s="57">
        <f t="shared" ref="AO98:AP98" si="352">AO97/AJ97-1</f>
        <v>-4.2968947235546562E-2</v>
      </c>
      <c r="AP98" s="57">
        <f t="shared" si="352"/>
        <v>-3.270989860233886E-3</v>
      </c>
    </row>
    <row r="99" spans="1:42">
      <c r="A99" s="56" t="s">
        <v>242</v>
      </c>
      <c r="H99" s="108"/>
      <c r="I99" s="111"/>
      <c r="J99" s="111">
        <f t="shared" ref="J99:AO99" si="353">J97/I97-1</f>
        <v>5.7997802857667979E-2</v>
      </c>
      <c r="K99" s="111">
        <f t="shared" si="353"/>
        <v>7.2406101117910016E-3</v>
      </c>
      <c r="L99" s="57"/>
      <c r="M99" s="111">
        <f>M97/K97-1</f>
        <v>8.6275794491448288E-2</v>
      </c>
      <c r="N99" s="111">
        <f t="shared" si="353"/>
        <v>1.6394106677089404E-2</v>
      </c>
      <c r="O99" s="111">
        <f t="shared" si="353"/>
        <v>3.742014837748342E-2</v>
      </c>
      <c r="P99" s="111">
        <f t="shared" si="353"/>
        <v>3.3748740539416344E-2</v>
      </c>
      <c r="Q99" s="57"/>
      <c r="R99" s="111">
        <f>R97/P97-1</f>
        <v>2.1863354037267024E-2</v>
      </c>
      <c r="S99" s="111">
        <f t="shared" si="353"/>
        <v>3.0290102389078699E-2</v>
      </c>
      <c r="T99" s="111">
        <f t="shared" si="353"/>
        <v>3.5938903863419469E-4</v>
      </c>
      <c r="U99" s="111">
        <f t="shared" si="353"/>
        <v>-4.3859649122812705E-4</v>
      </c>
      <c r="V99" s="57"/>
      <c r="W99" s="111">
        <f>W97/U97-1</f>
        <v>6.4779910688395281E-2</v>
      </c>
      <c r="X99" s="111">
        <f t="shared" si="353"/>
        <v>-7.9714128642109916E-3</v>
      </c>
      <c r="Y99" s="111">
        <f t="shared" si="353"/>
        <v>5.5636422448649414E-2</v>
      </c>
      <c r="Z99" s="111">
        <f t="shared" si="353"/>
        <v>4.7312312795902978E-2</v>
      </c>
      <c r="AA99" s="57"/>
      <c r="AB99" s="111">
        <f>AB97/Z97-1</f>
        <v>7.1525236830234151E-2</v>
      </c>
      <c r="AC99" s="111">
        <f t="shared" si="353"/>
        <v>-1.2144455097475082E-2</v>
      </c>
      <c r="AD99" s="111">
        <f t="shared" si="353"/>
        <v>3.5321366531557707E-2</v>
      </c>
      <c r="AE99" s="111">
        <f t="shared" si="353"/>
        <v>3.0407032755298768E-2</v>
      </c>
      <c r="AF99" s="57"/>
      <c r="AG99" s="57">
        <f>AG97/AE97-1</f>
        <v>1.8097436694855418E-2</v>
      </c>
      <c r="AH99" s="57">
        <f t="shared" si="353"/>
        <v>9.9544401241113745E-2</v>
      </c>
      <c r="AI99" s="57">
        <f t="shared" si="353"/>
        <v>-5.6918577805140869E-2</v>
      </c>
      <c r="AJ99" s="57">
        <f t="shared" si="353"/>
        <v>5.1746190635079348E-2</v>
      </c>
      <c r="AK99" s="57"/>
      <c r="AL99" s="57">
        <f>AL97/AJ97-1</f>
        <v>-1.5940727436013491E-3</v>
      </c>
      <c r="AM99" s="57">
        <f t="shared" si="353"/>
        <v>-8.3294373143106837E-2</v>
      </c>
      <c r="AN99" s="57">
        <f t="shared" si="353"/>
        <v>8.5047162517395414E-3</v>
      </c>
      <c r="AO99" s="57">
        <f t="shared" si="353"/>
        <v>3.6838340486409216E-2</v>
      </c>
      <c r="AP99" s="57"/>
    </row>
    <row r="100" spans="1:42">
      <c r="A100" s="44" t="s">
        <v>276</v>
      </c>
      <c r="H100" s="108"/>
      <c r="I100" s="112">
        <f>I97/90</f>
        <v>1.9982308154045427</v>
      </c>
      <c r="J100" s="112">
        <f t="shared" ref="J100:AO100" si="354">J97/90</f>
        <v>2.1141238123004928</v>
      </c>
      <c r="K100" s="112">
        <f t="shared" si="354"/>
        <v>2.1294313585534139</v>
      </c>
      <c r="L100" s="62">
        <f>L97/365</f>
        <v>1.9511675775427635</v>
      </c>
      <c r="M100" s="112">
        <f t="shared" si="354"/>
        <v>2.313149740827614</v>
      </c>
      <c r="N100" s="112">
        <f t="shared" si="354"/>
        <v>2.3510717644388235</v>
      </c>
      <c r="O100" s="112">
        <f t="shared" si="354"/>
        <v>2.4390492187102359</v>
      </c>
      <c r="P100" s="112">
        <f t="shared" si="354"/>
        <v>2.5213640579553536</v>
      </c>
      <c r="Q100" s="62">
        <f>Q97/365</f>
        <v>2.2694980479845723</v>
      </c>
      <c r="R100" s="112">
        <f t="shared" si="354"/>
        <v>2.576489533011272</v>
      </c>
      <c r="S100" s="112">
        <f t="shared" si="354"/>
        <v>2.6545316647705728</v>
      </c>
      <c r="T100" s="112">
        <f t="shared" si="354"/>
        <v>2.6554856743535988</v>
      </c>
      <c r="U100" s="112">
        <f t="shared" si="354"/>
        <v>2.6543209876543208</v>
      </c>
      <c r="V100" s="62">
        <f>V97/365</f>
        <v>2.4837944995699512</v>
      </c>
      <c r="W100" s="112">
        <f t="shared" si="354"/>
        <v>2.8262676641729012</v>
      </c>
      <c r="X100" s="112">
        <f t="shared" si="354"/>
        <v>2.8037383177570097</v>
      </c>
      <c r="Y100" s="112">
        <f t="shared" si="354"/>
        <v>2.9597282872392041</v>
      </c>
      <c r="Z100" s="112">
        <f t="shared" si="354"/>
        <v>3.0997598777559481</v>
      </c>
      <c r="AA100" s="62">
        <f>AA97/365</f>
        <v>2.7718892998640379</v>
      </c>
      <c r="AB100" s="112">
        <f t="shared" si="354"/>
        <v>3.3214709371292996</v>
      </c>
      <c r="AC100" s="112">
        <f t="shared" si="354"/>
        <v>3.2811334824757643</v>
      </c>
      <c r="AD100" s="112">
        <f t="shared" si="354"/>
        <v>3.397027600849257</v>
      </c>
      <c r="AE100" s="112">
        <f t="shared" si="354"/>
        <v>3.5003211303789348</v>
      </c>
      <c r="AF100" s="62">
        <f>AF97/365</f>
        <v>3.2076916531949289</v>
      </c>
      <c r="AG100" s="62">
        <f t="shared" si="354"/>
        <v>3.5636679704476322</v>
      </c>
      <c r="AH100" s="62">
        <f t="shared" si="354"/>
        <v>3.9184111647879769</v>
      </c>
      <c r="AI100" s="62">
        <f t="shared" si="354"/>
        <v>3.6953807740324596</v>
      </c>
      <c r="AJ100" s="62">
        <f t="shared" si="354"/>
        <v>3.8866026520347505</v>
      </c>
      <c r="AK100" s="62">
        <f>AK97/365</f>
        <v>3.5738203957382035</v>
      </c>
      <c r="AL100" s="62">
        <f t="shared" si="354"/>
        <v>3.8804071246819332</v>
      </c>
      <c r="AM100" s="62">
        <f t="shared" si="354"/>
        <v>3.5571910456915057</v>
      </c>
      <c r="AN100" s="62">
        <f t="shared" si="354"/>
        <v>3.5874439461883405</v>
      </c>
      <c r="AO100" s="62">
        <f t="shared" si="354"/>
        <v>3.7195994277539342</v>
      </c>
      <c r="AP100" s="62">
        <f>AP97/365</f>
        <v>3.562130465461447</v>
      </c>
    </row>
    <row r="101" spans="1:42">
      <c r="A101" s="69" t="s">
        <v>241</v>
      </c>
      <c r="H101" s="108"/>
      <c r="J101" s="108"/>
      <c r="K101" s="108"/>
      <c r="L101" s="45"/>
      <c r="M101" s="111"/>
      <c r="N101" s="111">
        <f t="shared" ref="N101" si="355">N100/I100-1</f>
        <v>0.17657667288193024</v>
      </c>
      <c r="O101" s="111">
        <f t="shared" ref="O101" si="356">O100/J100-1</f>
        <v>0.15369270452338091</v>
      </c>
      <c r="P101" s="111">
        <f t="shared" ref="P101:Q101" si="357">P100/K100-1</f>
        <v>0.18405509894819572</v>
      </c>
      <c r="Q101" s="57">
        <f t="shared" si="357"/>
        <v>0.16314870855055097</v>
      </c>
      <c r="R101" s="111">
        <f t="shared" ref="R101" si="358">R100/M100-1</f>
        <v>0.11384468006357373</v>
      </c>
      <c r="S101" s="111">
        <f t="shared" ref="S101" si="359">S100/N100-1</f>
        <v>0.12907300615903661</v>
      </c>
      <c r="T101" s="111">
        <f t="shared" ref="T101" si="360">T100/O100-1</f>
        <v>8.8738043489673402E-2</v>
      </c>
      <c r="U101" s="111">
        <f t="shared" ref="U101:V101" si="361">U100/P100-1</f>
        <v>5.2732142857142783E-2</v>
      </c>
      <c r="V101" s="57">
        <f t="shared" si="361"/>
        <v>9.4424602733492069E-2</v>
      </c>
      <c r="W101" s="111">
        <f t="shared" ref="W101" si="362">W100/R100-1</f>
        <v>9.6945137157107286E-2</v>
      </c>
      <c r="X101" s="111">
        <f t="shared" ref="X101" si="363">X100/S100-1</f>
        <v>5.6208277703604814E-2</v>
      </c>
      <c r="Y101" s="111">
        <f t="shared" ref="Y101" si="364">Y100/T100-1</f>
        <v>0.1145713629050793</v>
      </c>
      <c r="Z101" s="111">
        <f t="shared" ref="Z101:AA101" si="365">Z100/U100-1</f>
        <v>0.1678165120847992</v>
      </c>
      <c r="AA101" s="57">
        <f t="shared" si="365"/>
        <v>0.11598978914880753</v>
      </c>
      <c r="AB101" s="111">
        <f t="shared" ref="AB101" si="366">AB100/W100-1</f>
        <v>0.17521456981369044</v>
      </c>
      <c r="AC101" s="111">
        <f t="shared" ref="AC101" si="367">AC100/X100-1</f>
        <v>0.1702709420830224</v>
      </c>
      <c r="AD101" s="111">
        <f t="shared" ref="AD101" si="368">AD100/Y100-1</f>
        <v>0.14774981727054404</v>
      </c>
      <c r="AE101" s="111">
        <f t="shared" ref="AE101:AF101" si="369">AE100/Z100-1</f>
        <v>0.12922331677928889</v>
      </c>
      <c r="AF101" s="57">
        <f t="shared" si="369"/>
        <v>0.15722213486385161</v>
      </c>
      <c r="AG101" s="57">
        <f t="shared" ref="AG101" si="370">AG100/AB100-1</f>
        <v>7.2918606816912312E-2</v>
      </c>
      <c r="AH101" s="57">
        <f t="shared" ref="AH101" si="371">AH100/AC100-1</f>
        <v>0.1942248572683356</v>
      </c>
      <c r="AI101" s="57">
        <f t="shared" ref="AI101" si="372">AI100/AD100-1</f>
        <v>8.7827715355805136E-2</v>
      </c>
      <c r="AJ101" s="57">
        <f t="shared" ref="AJ101:AK101" si="373">AJ100/AE100-1</f>
        <v>0.11035602370974407</v>
      </c>
      <c r="AK101" s="57">
        <f t="shared" si="373"/>
        <v>0.11414087827880914</v>
      </c>
      <c r="AL101" s="57">
        <f t="shared" ref="AL101" si="374">AL100/AG100-1</f>
        <v>8.8880096816234877E-2</v>
      </c>
      <c r="AM101" s="57">
        <f t="shared" ref="AM101" si="375">AM100/AH100-1</f>
        <v>-9.2185353681743298E-2</v>
      </c>
      <c r="AN101" s="57">
        <f t="shared" ref="AN101" si="376">AN100/AI100-1</f>
        <v>-2.9208580778087634E-2</v>
      </c>
      <c r="AO101" s="57">
        <f t="shared" ref="AO101:AP101" si="377">AO100/AJ100-1</f>
        <v>-4.2968947235546562E-2</v>
      </c>
      <c r="AP101" s="57">
        <f t="shared" si="377"/>
        <v>-3.270989860233886E-3</v>
      </c>
    </row>
    <row r="102" spans="1:42">
      <c r="A102" s="69" t="s">
        <v>242</v>
      </c>
      <c r="H102" s="108"/>
      <c r="I102" s="111"/>
      <c r="J102" s="111">
        <f t="shared" ref="J102:AO102" si="378">J100/I100-1</f>
        <v>5.7997802857668201E-2</v>
      </c>
      <c r="K102" s="111">
        <f t="shared" si="378"/>
        <v>7.2406101117910016E-3</v>
      </c>
      <c r="L102" s="57"/>
      <c r="M102" s="111">
        <f>M100/K100-1</f>
        <v>8.627579449144851E-2</v>
      </c>
      <c r="N102" s="111">
        <f t="shared" si="378"/>
        <v>1.6394106677089404E-2</v>
      </c>
      <c r="O102" s="111">
        <f t="shared" si="378"/>
        <v>3.742014837748342E-2</v>
      </c>
      <c r="P102" s="111">
        <f t="shared" si="378"/>
        <v>3.3748740539416122E-2</v>
      </c>
      <c r="Q102" s="57"/>
      <c r="R102" s="111">
        <f>R100/P100-1</f>
        <v>2.1863354037267246E-2</v>
      </c>
      <c r="S102" s="111">
        <f t="shared" si="378"/>
        <v>3.0290102389078699E-2</v>
      </c>
      <c r="T102" s="111">
        <f t="shared" si="378"/>
        <v>3.5938903863419469E-4</v>
      </c>
      <c r="U102" s="111">
        <f t="shared" si="378"/>
        <v>-4.3859649122812705E-4</v>
      </c>
      <c r="V102" s="57"/>
      <c r="W102" s="111">
        <f>W100/U100-1</f>
        <v>6.4779910688395503E-2</v>
      </c>
      <c r="X102" s="111">
        <f t="shared" si="378"/>
        <v>-7.9714128642109916E-3</v>
      </c>
      <c r="Y102" s="111">
        <f t="shared" si="378"/>
        <v>5.5636422448649414E-2</v>
      </c>
      <c r="Z102" s="111">
        <f t="shared" si="378"/>
        <v>4.73123127959032E-2</v>
      </c>
      <c r="AA102" s="57"/>
      <c r="AB102" s="111">
        <f>AB100/Z100-1</f>
        <v>7.1525236830234151E-2</v>
      </c>
      <c r="AC102" s="111">
        <f t="shared" si="378"/>
        <v>-1.2144455097475082E-2</v>
      </c>
      <c r="AD102" s="111">
        <f t="shared" si="378"/>
        <v>3.5321366531557707E-2</v>
      </c>
      <c r="AE102" s="111">
        <f t="shared" si="378"/>
        <v>3.0407032755298991E-2</v>
      </c>
      <c r="AF102" s="57"/>
      <c r="AG102" s="57">
        <f>AG100/AE100-1</f>
        <v>1.8097436694855418E-2</v>
      </c>
      <c r="AH102" s="57">
        <f t="shared" si="378"/>
        <v>9.9544401241113745E-2</v>
      </c>
      <c r="AI102" s="57">
        <f t="shared" si="378"/>
        <v>-5.6918577805140869E-2</v>
      </c>
      <c r="AJ102" s="57">
        <f t="shared" si="378"/>
        <v>5.1746190635079348E-2</v>
      </c>
      <c r="AK102" s="57"/>
      <c r="AL102" s="57">
        <f>AL100/AJ100-1</f>
        <v>-1.5940727436013491E-3</v>
      </c>
      <c r="AM102" s="57">
        <f t="shared" si="378"/>
        <v>-8.3294373143106948E-2</v>
      </c>
      <c r="AN102" s="57">
        <f t="shared" si="378"/>
        <v>8.5047162517395414E-3</v>
      </c>
      <c r="AO102" s="57">
        <f t="shared" si="378"/>
        <v>3.6838340486409216E-2</v>
      </c>
      <c r="AP102" s="57"/>
    </row>
    <row r="103" spans="1:42">
      <c r="A103" s="56"/>
      <c r="H103" s="108"/>
      <c r="I103" s="111"/>
      <c r="J103" s="111"/>
      <c r="K103" s="111"/>
      <c r="L103" s="57"/>
      <c r="M103" s="111"/>
      <c r="N103" s="111"/>
      <c r="O103" s="111"/>
      <c r="P103" s="111"/>
      <c r="Q103" s="57"/>
      <c r="R103" s="111"/>
      <c r="S103" s="111"/>
      <c r="T103" s="111"/>
      <c r="U103" s="111"/>
      <c r="V103" s="57"/>
      <c r="W103" s="111"/>
      <c r="X103" s="111"/>
      <c r="Y103" s="111"/>
      <c r="Z103" s="111"/>
      <c r="AA103" s="57"/>
      <c r="AB103" s="111"/>
      <c r="AC103" s="111"/>
      <c r="AD103" s="111"/>
      <c r="AE103" s="111"/>
      <c r="AF103" s="57"/>
      <c r="AG103" s="57"/>
      <c r="AH103" s="57"/>
      <c r="AI103" s="57"/>
      <c r="AJ103" s="57"/>
      <c r="AK103" s="57"/>
      <c r="AL103" s="57"/>
      <c r="AM103" s="57"/>
      <c r="AN103" s="57"/>
      <c r="AO103" s="57"/>
      <c r="AP103" s="57"/>
    </row>
    <row r="104" spans="1:42" s="31" customFormat="1">
      <c r="H104" s="105"/>
      <c r="I104" s="105"/>
      <c r="J104" s="105"/>
      <c r="K104" s="105"/>
      <c r="M104" s="105"/>
      <c r="N104" s="105"/>
      <c r="O104" s="105"/>
      <c r="P104" s="105"/>
      <c r="R104" s="105"/>
      <c r="S104" s="105"/>
      <c r="T104" s="105"/>
      <c r="U104" s="105"/>
      <c r="W104" s="105"/>
      <c r="X104" s="105"/>
      <c r="Y104" s="105"/>
      <c r="Z104" s="105"/>
      <c r="AB104" s="105"/>
      <c r="AC104" s="105"/>
      <c r="AD104" s="105"/>
      <c r="AE104" s="105"/>
    </row>
  </sheetData>
  <sheetProtection algorithmName="SHA-512" hashValue="caoc4aLUtF6fECxczeJ+jmC/27mtzE8kF4ZnZ4XPrw3rGbVdzG7nbpw+1y7zQXaVai6jRSkGaaS43T8xDnza5Q==" saltValue="bI5eG4ogbiAwhnNwHaiPNA==" spinCount="100000"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D065-4FF8-48AD-8965-3B29B8833A28}">
  <sheetPr codeName="Sheet2"/>
  <dimension ref="A1:AB178"/>
  <sheetViews>
    <sheetView zoomScale="85" zoomScaleNormal="85" workbookViewId="0">
      <selection activeCell="W24" sqref="W24"/>
    </sheetView>
  </sheetViews>
  <sheetFormatPr defaultColWidth="8.59765625" defaultRowHeight="13.2" outlineLevelRow="1" outlineLevelCol="1"/>
  <cols>
    <col min="1" max="5" width="8.59765625" style="37"/>
    <col min="6" max="8" width="12.59765625" style="37" customWidth="1"/>
    <col min="9" max="14" width="10.59765625" style="106" hidden="1" customWidth="1" outlineLevel="1"/>
    <col min="15" max="15" width="10.59765625" style="37" customWidth="1" collapsed="1"/>
    <col min="16" max="19" width="10.59765625" style="106" hidden="1" customWidth="1" outlineLevel="1"/>
    <col min="20" max="20" width="10.59765625" style="37" customWidth="1" collapsed="1"/>
    <col min="21" max="22" width="10.59765625" style="141" customWidth="1"/>
    <col min="23" max="29" width="8.59765625" style="37"/>
    <col min="30" max="30" width="18.09765625" style="37" customWidth="1"/>
    <col min="31" max="16384" width="8.59765625" style="37"/>
  </cols>
  <sheetData>
    <row r="1" spans="1:23" s="139" customFormat="1">
      <c r="A1" s="31" t="s">
        <v>277</v>
      </c>
      <c r="I1" s="151"/>
      <c r="J1" s="151"/>
      <c r="K1" s="151"/>
      <c r="L1" s="151"/>
      <c r="M1" s="151"/>
      <c r="N1" s="151"/>
      <c r="P1" s="151"/>
      <c r="Q1" s="151"/>
      <c r="R1" s="151"/>
      <c r="S1" s="151"/>
      <c r="U1" s="140"/>
      <c r="V1" s="140"/>
    </row>
    <row r="2" spans="1:23" s="139" customFormat="1">
      <c r="A2" s="31"/>
      <c r="I2" s="151"/>
      <c r="J2" s="151"/>
      <c r="K2" s="151"/>
      <c r="L2" s="151"/>
      <c r="M2" s="151"/>
      <c r="N2" s="151"/>
      <c r="P2" s="151"/>
      <c r="Q2" s="151"/>
      <c r="R2" s="151"/>
      <c r="S2" s="151"/>
      <c r="U2" s="140"/>
      <c r="V2" s="140"/>
    </row>
    <row r="3" spans="1:23" s="103" customFormat="1">
      <c r="A3" s="31" t="s">
        <v>278</v>
      </c>
      <c r="I3" s="130">
        <v>2015</v>
      </c>
      <c r="J3" s="130">
        <f>I3+1</f>
        <v>2016</v>
      </c>
      <c r="K3" s="130">
        <f t="shared" ref="K3:L3" si="0">J3+1</f>
        <v>2017</v>
      </c>
      <c r="L3" s="130">
        <f t="shared" si="0"/>
        <v>2018</v>
      </c>
      <c r="M3" s="130">
        <f>L3+1</f>
        <v>2019</v>
      </c>
      <c r="N3" s="130">
        <f>M3+1</f>
        <v>2020</v>
      </c>
      <c r="O3" s="125">
        <f>N3+1</f>
        <v>2021</v>
      </c>
      <c r="P3" s="130">
        <f t="shared" ref="P3:T3" si="1">O3+1</f>
        <v>2022</v>
      </c>
      <c r="Q3" s="130">
        <f t="shared" si="1"/>
        <v>2023</v>
      </c>
      <c r="R3" s="130">
        <f t="shared" si="1"/>
        <v>2024</v>
      </c>
      <c r="S3" s="130">
        <f t="shared" si="1"/>
        <v>2025</v>
      </c>
      <c r="T3" s="125">
        <f t="shared" si="1"/>
        <v>2026</v>
      </c>
      <c r="U3" s="35" t="s">
        <v>39</v>
      </c>
      <c r="V3" s="35"/>
      <c r="W3" s="31" t="s">
        <v>1</v>
      </c>
    </row>
    <row r="4" spans="1:23">
      <c r="A4" s="36" t="s">
        <v>44</v>
      </c>
    </row>
    <row r="5" spans="1:23">
      <c r="A5" s="36" t="s">
        <v>279</v>
      </c>
    </row>
    <row r="6" spans="1:23">
      <c r="A6" s="36" t="s">
        <v>280</v>
      </c>
    </row>
    <row r="7" spans="1:23">
      <c r="A7" s="36"/>
    </row>
    <row r="8" spans="1:23">
      <c r="A8" s="32" t="s">
        <v>281</v>
      </c>
      <c r="B8" s="32"/>
      <c r="C8" s="32"/>
      <c r="D8" s="32"/>
      <c r="E8" s="32"/>
      <c r="F8" s="32"/>
      <c r="G8" s="32"/>
      <c r="N8" s="108"/>
      <c r="O8" s="45"/>
      <c r="P8" s="108"/>
      <c r="Q8" s="108"/>
      <c r="R8" s="108"/>
      <c r="S8" s="108"/>
      <c r="T8" s="45"/>
    </row>
    <row r="9" spans="1:23">
      <c r="A9" s="39"/>
      <c r="N9" s="108"/>
      <c r="O9" s="142"/>
      <c r="P9" s="158"/>
      <c r="Q9" s="158"/>
      <c r="R9" s="158"/>
      <c r="S9" s="158"/>
      <c r="T9" s="142"/>
    </row>
    <row r="10" spans="1:23">
      <c r="A10" s="37" t="s">
        <v>282</v>
      </c>
      <c r="I10" s="133">
        <v>151444.21477090768</v>
      </c>
      <c r="J10" s="133">
        <v>182368.96404060451</v>
      </c>
      <c r="K10" s="133">
        <v>216072.54787335848</v>
      </c>
      <c r="L10" s="133">
        <v>258593.46866916545</v>
      </c>
      <c r="M10" s="133">
        <v>300013.29766855144</v>
      </c>
      <c r="N10" s="133">
        <v>334394.75408209022</v>
      </c>
      <c r="O10" s="92">
        <v>439327.62759716914</v>
      </c>
      <c r="P10" s="133">
        <v>551705.99635326536</v>
      </c>
      <c r="Q10" s="133">
        <v>652749.23911497649</v>
      </c>
      <c r="R10" s="133">
        <v>719739.05284401262</v>
      </c>
      <c r="S10" s="133">
        <v>786992.25420863752</v>
      </c>
      <c r="T10" s="92">
        <v>850229.06483778474</v>
      </c>
      <c r="U10" s="143">
        <f>_xlfn.RRI(5,O10,T10)</f>
        <v>0.141167741102733</v>
      </c>
      <c r="V10" s="144"/>
      <c r="W10" s="37" t="s">
        <v>283</v>
      </c>
    </row>
    <row r="11" spans="1:23">
      <c r="A11" s="44" t="s">
        <v>284</v>
      </c>
      <c r="I11" s="133">
        <v>52991.056768895854</v>
      </c>
      <c r="J11" s="133">
        <v>66653.385312027225</v>
      </c>
      <c r="K11" s="133">
        <v>79832.62823101558</v>
      </c>
      <c r="L11" s="133">
        <v>96976.463346587712</v>
      </c>
      <c r="M11" s="133">
        <v>114220.15249101682</v>
      </c>
      <c r="N11" s="133">
        <v>130948.53073657115</v>
      </c>
      <c r="O11" s="92">
        <v>178710.88551417185</v>
      </c>
      <c r="P11" s="133">
        <v>219183.65349856071</v>
      </c>
      <c r="Q11" s="133">
        <v>263180.91979297751</v>
      </c>
      <c r="R11" s="133">
        <v>311223.94838902983</v>
      </c>
      <c r="S11" s="133">
        <v>363906.64212195261</v>
      </c>
      <c r="T11" s="92">
        <v>412986.86560312222</v>
      </c>
      <c r="U11" s="143">
        <f>_xlfn.RRI(5,O11,T11)</f>
        <v>0.18237992269965875</v>
      </c>
      <c r="V11" s="144"/>
      <c r="W11" s="37" t="s">
        <v>285</v>
      </c>
    </row>
    <row r="12" spans="1:23">
      <c r="A12" s="69" t="s">
        <v>286</v>
      </c>
      <c r="B12" s="39"/>
      <c r="C12" s="39"/>
      <c r="D12" s="39"/>
      <c r="E12" s="39"/>
      <c r="F12" s="39"/>
      <c r="G12" s="39"/>
      <c r="H12" s="39"/>
      <c r="I12" s="111">
        <f t="shared" ref="I12:T12" si="2">I11/I10</f>
        <v>0.34990479398012236</v>
      </c>
      <c r="J12" s="111">
        <f t="shared" si="2"/>
        <v>0.36548645029966187</v>
      </c>
      <c r="K12" s="111">
        <f t="shared" si="2"/>
        <v>0.3694714067878998</v>
      </c>
      <c r="L12" s="111">
        <f t="shared" si="2"/>
        <v>0.37501513029571398</v>
      </c>
      <c r="M12" s="111">
        <f t="shared" si="2"/>
        <v>0.38071696614329714</v>
      </c>
      <c r="N12" s="111">
        <f t="shared" si="2"/>
        <v>0.39159863944643319</v>
      </c>
      <c r="O12" s="57">
        <f t="shared" si="2"/>
        <v>0.40678271587790171</v>
      </c>
      <c r="P12" s="111">
        <f t="shared" si="2"/>
        <v>0.39728343528500321</v>
      </c>
      <c r="Q12" s="111">
        <f t="shared" si="2"/>
        <v>0.40318839766065256</v>
      </c>
      <c r="R12" s="111">
        <f t="shared" si="2"/>
        <v>0.43241220156005716</v>
      </c>
      <c r="S12" s="111">
        <f t="shared" si="2"/>
        <v>0.46240180913582185</v>
      </c>
      <c r="T12" s="57">
        <f t="shared" si="2"/>
        <v>0.4857360006646162</v>
      </c>
      <c r="U12" s="143"/>
      <c r="V12" s="143"/>
    </row>
    <row r="13" spans="1:23">
      <c r="A13" s="44" t="s">
        <v>287</v>
      </c>
      <c r="I13" s="108">
        <f t="shared" ref="I13:T13" si="3">I10-I11</f>
        <v>98453.158002011827</v>
      </c>
      <c r="J13" s="108">
        <f t="shared" si="3"/>
        <v>115715.57872857728</v>
      </c>
      <c r="K13" s="108">
        <f t="shared" si="3"/>
        <v>136239.91964234289</v>
      </c>
      <c r="L13" s="108">
        <f t="shared" si="3"/>
        <v>161617.00532257772</v>
      </c>
      <c r="M13" s="108">
        <f t="shared" si="3"/>
        <v>185793.14517753461</v>
      </c>
      <c r="N13" s="108">
        <f t="shared" si="3"/>
        <v>203446.22334551907</v>
      </c>
      <c r="O13" s="45">
        <f t="shared" si="3"/>
        <v>260616.74208299728</v>
      </c>
      <c r="P13" s="108">
        <f t="shared" si="3"/>
        <v>332522.34285470465</v>
      </c>
      <c r="Q13" s="108">
        <f t="shared" si="3"/>
        <v>389568.31932199898</v>
      </c>
      <c r="R13" s="108">
        <f t="shared" si="3"/>
        <v>408515.10445498279</v>
      </c>
      <c r="S13" s="108">
        <f t="shared" si="3"/>
        <v>423085.61208668491</v>
      </c>
      <c r="T13" s="45">
        <f t="shared" si="3"/>
        <v>437242.19923466252</v>
      </c>
      <c r="U13" s="143">
        <f>(T13/O13)^(1/5)-1</f>
        <v>0.10903167890109389</v>
      </c>
      <c r="V13" s="144"/>
    </row>
    <row r="14" spans="1:23">
      <c r="A14" s="44"/>
      <c r="L14" s="108"/>
      <c r="U14" s="143"/>
      <c r="V14" s="143"/>
    </row>
    <row r="15" spans="1:23">
      <c r="A15" s="37" t="s">
        <v>288</v>
      </c>
      <c r="I15" s="133">
        <v>7339.0766540000004</v>
      </c>
      <c r="J15" s="133">
        <v>7424.4847410000002</v>
      </c>
      <c r="K15" s="133">
        <v>7509.4102279999997</v>
      </c>
      <c r="L15" s="133">
        <v>7592.4756150000003</v>
      </c>
      <c r="M15" s="133">
        <v>7673.3453909999998</v>
      </c>
      <c r="N15" s="133">
        <v>7752.8405469999998</v>
      </c>
      <c r="O15" s="45">
        <f>N15*(1+O16)</f>
        <v>7838.3515473454545</v>
      </c>
      <c r="P15" s="108">
        <f t="shared" ref="P15:T15" si="4">O15*(1+P16)</f>
        <v>7924.8057028010589</v>
      </c>
      <c r="Q15" s="108">
        <f t="shared" si="4"/>
        <v>8012.2134160232927</v>
      </c>
      <c r="R15" s="108">
        <f t="shared" si="4"/>
        <v>8100.5852044061376</v>
      </c>
      <c r="S15" s="108">
        <f t="shared" si="4"/>
        <v>8189.9317013465916</v>
      </c>
      <c r="T15" s="45">
        <f t="shared" si="4"/>
        <v>8280.2636575241377</v>
      </c>
      <c r="U15" s="143"/>
      <c r="V15" s="143"/>
      <c r="W15" s="37" t="s">
        <v>289</v>
      </c>
    </row>
    <row r="16" spans="1:23">
      <c r="A16" s="56" t="s">
        <v>77</v>
      </c>
      <c r="L16" s="108"/>
      <c r="N16" s="108"/>
      <c r="O16" s="59">
        <f>_xlfn.RRI(5,I15,N15)</f>
        <v>1.1029634857967485E-2</v>
      </c>
      <c r="P16" s="155">
        <f>O16</f>
        <v>1.1029634857967485E-2</v>
      </c>
      <c r="Q16" s="155">
        <f t="shared" ref="Q16:T16" si="5">P16</f>
        <v>1.1029634857967485E-2</v>
      </c>
      <c r="R16" s="155">
        <f t="shared" si="5"/>
        <v>1.1029634857967485E-2</v>
      </c>
      <c r="S16" s="155">
        <f t="shared" si="5"/>
        <v>1.1029634857967485E-2</v>
      </c>
      <c r="T16" s="59">
        <f t="shared" si="5"/>
        <v>1.1029634857967485E-2</v>
      </c>
      <c r="U16" s="143"/>
      <c r="V16" s="143"/>
    </row>
    <row r="17" spans="1:23">
      <c r="A17" s="44" t="s">
        <v>290</v>
      </c>
      <c r="I17" s="133">
        <v>321.38397604395607</v>
      </c>
      <c r="J17" s="133">
        <v>323.14307120222151</v>
      </c>
      <c r="K17" s="133">
        <v>325.47898204433102</v>
      </c>
      <c r="L17" s="133">
        <v>327.85474610703699</v>
      </c>
      <c r="M17" s="133">
        <v>330.18119743082997</v>
      </c>
      <c r="N17" s="133">
        <v>331.50108</v>
      </c>
      <c r="O17" s="92">
        <v>331.89374500000002</v>
      </c>
      <c r="P17" s="108">
        <f t="shared" ref="P17:T17" si="6">O17*(1+P18)</f>
        <v>333.67211293701064</v>
      </c>
      <c r="Q17" s="108">
        <f t="shared" si="6"/>
        <v>335.46000980479209</v>
      </c>
      <c r="R17" s="108">
        <f t="shared" si="6"/>
        <v>337.25748666168829</v>
      </c>
      <c r="S17" s="108">
        <f t="shared" si="6"/>
        <v>339.06459483962612</v>
      </c>
      <c r="T17" s="45">
        <f t="shared" si="6"/>
        <v>340.88138594558166</v>
      </c>
      <c r="U17" s="143"/>
      <c r="V17" s="143"/>
      <c r="W17" s="37" t="s">
        <v>291</v>
      </c>
    </row>
    <row r="18" spans="1:23">
      <c r="A18" s="69" t="s">
        <v>77</v>
      </c>
      <c r="I18" s="108"/>
      <c r="J18" s="111">
        <f>J17/I17-1</f>
        <v>5.4734998923058331E-3</v>
      </c>
      <c r="K18" s="111">
        <f t="shared" ref="K18" si="7">K17/J17-1</f>
        <v>7.2287201870644413E-3</v>
      </c>
      <c r="L18" s="111">
        <f t="shared" ref="L18" si="8">L17/K17-1</f>
        <v>7.2992856490572411E-3</v>
      </c>
      <c r="M18" s="111">
        <f t="shared" ref="M18" si="9">M17/L17-1</f>
        <v>7.0959818377418493E-3</v>
      </c>
      <c r="N18" s="111">
        <f t="shared" ref="N18" si="10">N17/M17-1</f>
        <v>3.9974492170971043E-3</v>
      </c>
      <c r="O18" s="57">
        <f t="shared" ref="O18" si="11">O17/N17-1</f>
        <v>1.184505944897829E-3</v>
      </c>
      <c r="P18" s="155">
        <f>_xlfn.RRI(5,J17,O17)</f>
        <v>5.3582448111837433E-3</v>
      </c>
      <c r="Q18" s="155">
        <f t="shared" ref="Q18:T18" si="12">P18</f>
        <v>5.3582448111837433E-3</v>
      </c>
      <c r="R18" s="155">
        <f t="shared" si="12"/>
        <v>5.3582448111837433E-3</v>
      </c>
      <c r="S18" s="155">
        <f t="shared" si="12"/>
        <v>5.3582448111837433E-3</v>
      </c>
      <c r="T18" s="59">
        <f t="shared" si="12"/>
        <v>5.3582448111837433E-3</v>
      </c>
      <c r="U18" s="143"/>
      <c r="V18" s="143"/>
    </row>
    <row r="19" spans="1:23">
      <c r="A19" s="44" t="s">
        <v>292</v>
      </c>
      <c r="I19" s="108">
        <f>I15-I17</f>
        <v>7017.6926779560445</v>
      </c>
      <c r="J19" s="108">
        <f t="shared" ref="J19:T19" si="13">J15-J17</f>
        <v>7101.3416697977791</v>
      </c>
      <c r="K19" s="108">
        <f t="shared" si="13"/>
        <v>7183.9312459556686</v>
      </c>
      <c r="L19" s="108">
        <f t="shared" si="13"/>
        <v>7264.6208688929637</v>
      </c>
      <c r="M19" s="108">
        <f t="shared" si="13"/>
        <v>7343.1641935691696</v>
      </c>
      <c r="N19" s="108">
        <f t="shared" si="13"/>
        <v>7421.3394669999998</v>
      </c>
      <c r="O19" s="45">
        <f t="shared" si="13"/>
        <v>7506.4578023454542</v>
      </c>
      <c r="P19" s="108">
        <f t="shared" si="13"/>
        <v>7591.1335898640482</v>
      </c>
      <c r="Q19" s="108">
        <f t="shared" si="13"/>
        <v>7676.7534062185005</v>
      </c>
      <c r="R19" s="108">
        <f t="shared" si="13"/>
        <v>7763.3277177444488</v>
      </c>
      <c r="S19" s="108">
        <f t="shared" si="13"/>
        <v>7850.8671065069657</v>
      </c>
      <c r="T19" s="45">
        <f t="shared" si="13"/>
        <v>7939.3822715785564</v>
      </c>
      <c r="U19" s="143"/>
      <c r="V19" s="143"/>
    </row>
    <row r="20" spans="1:23">
      <c r="A20" s="69" t="s">
        <v>77</v>
      </c>
      <c r="L20" s="108"/>
      <c r="N20" s="108"/>
      <c r="O20" s="59"/>
      <c r="P20" s="155"/>
      <c r="Q20" s="155"/>
      <c r="R20" s="155"/>
      <c r="S20" s="155"/>
      <c r="T20" s="59"/>
      <c r="U20" s="143"/>
      <c r="V20" s="143"/>
    </row>
    <row r="21" spans="1:23">
      <c r="A21" s="69"/>
      <c r="L21" s="108"/>
      <c r="N21" s="108"/>
      <c r="O21" s="59"/>
      <c r="P21" s="155"/>
      <c r="Q21" s="155"/>
      <c r="R21" s="155"/>
      <c r="S21" s="155"/>
      <c r="T21" s="59"/>
      <c r="U21" s="143"/>
      <c r="V21" s="143"/>
    </row>
    <row r="22" spans="1:23">
      <c r="A22" s="66" t="s">
        <v>293</v>
      </c>
      <c r="I22" s="124">
        <f t="shared" ref="I22:T22" si="14">I10/I15</f>
        <v>20.635322658520863</v>
      </c>
      <c r="J22" s="124">
        <f t="shared" si="14"/>
        <v>24.563181204146609</v>
      </c>
      <c r="K22" s="124">
        <f t="shared" si="14"/>
        <v>28.773570934731797</v>
      </c>
      <c r="L22" s="124">
        <f t="shared" si="14"/>
        <v>34.059176714150759</v>
      </c>
      <c r="M22" s="124">
        <f t="shared" si="14"/>
        <v>39.098109413976651</v>
      </c>
      <c r="N22" s="124">
        <f t="shared" si="14"/>
        <v>43.131901405025793</v>
      </c>
      <c r="O22" s="99">
        <f t="shared" si="14"/>
        <v>56.048472047155421</v>
      </c>
      <c r="P22" s="124">
        <f t="shared" si="14"/>
        <v>69.617605408074837</v>
      </c>
      <c r="Q22" s="124">
        <f t="shared" si="14"/>
        <v>81.469277616790691</v>
      </c>
      <c r="R22" s="124">
        <f t="shared" si="14"/>
        <v>88.850253985665901</v>
      </c>
      <c r="S22" s="124">
        <f t="shared" si="14"/>
        <v>96.092651673669025</v>
      </c>
      <c r="T22" s="99">
        <f t="shared" si="14"/>
        <v>102.68140001377803</v>
      </c>
      <c r="U22" s="143">
        <f>(T22/O22)^(1/5)-1</f>
        <v>0.12871838941006675</v>
      </c>
      <c r="V22" s="143"/>
    </row>
    <row r="23" spans="1:23">
      <c r="A23" s="56" t="s">
        <v>77</v>
      </c>
      <c r="I23" s="124"/>
      <c r="J23" s="111">
        <f>J22/I22-1</f>
        <v>0.19034635952270085</v>
      </c>
      <c r="K23" s="111">
        <f t="shared" ref="K23:T23" si="15">K22/J22-1</f>
        <v>0.17141060417184129</v>
      </c>
      <c r="L23" s="111">
        <f t="shared" si="15"/>
        <v>0.18369655234689164</v>
      </c>
      <c r="M23" s="111">
        <f t="shared" si="15"/>
        <v>0.14794640346465981</v>
      </c>
      <c r="N23" s="111">
        <f t="shared" si="15"/>
        <v>0.10317102416228741</v>
      </c>
      <c r="O23" s="57">
        <f t="shared" si="15"/>
        <v>0.2994667571187708</v>
      </c>
      <c r="P23" s="111">
        <f t="shared" si="15"/>
        <v>0.24209640094208562</v>
      </c>
      <c r="Q23" s="111">
        <f t="shared" si="15"/>
        <v>0.17023958435865993</v>
      </c>
      <c r="R23" s="111">
        <f t="shared" si="15"/>
        <v>9.0598279312028795E-2</v>
      </c>
      <c r="S23" s="111">
        <f t="shared" si="15"/>
        <v>8.1512402757695224E-2</v>
      </c>
      <c r="T23" s="57">
        <f t="shared" si="15"/>
        <v>6.8566620083338137E-2</v>
      </c>
      <c r="U23" s="143"/>
      <c r="V23" s="143"/>
    </row>
    <row r="24" spans="1:23">
      <c r="A24" s="44" t="s">
        <v>294</v>
      </c>
      <c r="I24" s="124">
        <f>I11/I17</f>
        <v>164.88394169859981</v>
      </c>
      <c r="J24" s="124">
        <f t="shared" ref="J24:T24" si="16">J11/J17</f>
        <v>206.26586565526523</v>
      </c>
      <c r="K24" s="124">
        <f t="shared" si="16"/>
        <v>245.27736854032003</v>
      </c>
      <c r="L24" s="124">
        <f t="shared" si="16"/>
        <v>295.79093942695937</v>
      </c>
      <c r="M24" s="124">
        <f t="shared" si="16"/>
        <v>345.93172894087928</v>
      </c>
      <c r="N24" s="124">
        <f t="shared" si="16"/>
        <v>395.0169053342787</v>
      </c>
      <c r="O24" s="99">
        <f t="shared" si="16"/>
        <v>538.45813067122378</v>
      </c>
      <c r="P24" s="124">
        <f t="shared" si="16"/>
        <v>656.88334445838859</v>
      </c>
      <c r="Q24" s="124">
        <f t="shared" si="16"/>
        <v>784.53738776829289</v>
      </c>
      <c r="R24" s="124">
        <f t="shared" si="16"/>
        <v>922.80812345976653</v>
      </c>
      <c r="S24" s="124">
        <f t="shared" si="16"/>
        <v>1073.2664148967735</v>
      </c>
      <c r="T24" s="99">
        <f t="shared" si="16"/>
        <v>1211.5265973163214</v>
      </c>
      <c r="U24" s="143">
        <f>(T24/O24)^(1/5)-1</f>
        <v>0.17607820774546035</v>
      </c>
      <c r="V24" s="143"/>
    </row>
    <row r="25" spans="1:23">
      <c r="A25" s="69" t="s">
        <v>77</v>
      </c>
      <c r="I25" s="124"/>
      <c r="J25" s="111">
        <f>J24/I24-1</f>
        <v>0.25097607159531421</v>
      </c>
      <c r="K25" s="111">
        <f t="shared" ref="K25" si="17">K24/J24-1</f>
        <v>0.18913213178110255</v>
      </c>
      <c r="L25" s="111">
        <f t="shared" ref="L25" si="18">L24/K24-1</f>
        <v>0.2059446869772481</v>
      </c>
      <c r="M25" s="111">
        <f t="shared" ref="M25" si="19">M24/L24-1</f>
        <v>0.16951428468721352</v>
      </c>
      <c r="N25" s="111">
        <f t="shared" ref="N25" si="20">N24/M24-1</f>
        <v>0.14189266923760036</v>
      </c>
      <c r="O25" s="57">
        <f t="shared" ref="O25" si="21">O24/N24-1</f>
        <v>0.36312680141008014</v>
      </c>
      <c r="P25" s="111">
        <f t="shared" ref="P25" si="22">P24/O24-1</f>
        <v>0.21993393179807663</v>
      </c>
      <c r="Q25" s="111">
        <f t="shared" ref="Q25" si="23">Q24/P24-1</f>
        <v>0.19433289698516742</v>
      </c>
      <c r="R25" s="111">
        <f t="shared" ref="R25" si="24">R24/Q24-1</f>
        <v>0.17624492834535355</v>
      </c>
      <c r="S25" s="111">
        <f t="shared" ref="S25" si="25">S24/R24-1</f>
        <v>0.16304396072383165</v>
      </c>
      <c r="T25" s="57">
        <f t="shared" ref="T25" si="26">T24/S24-1</f>
        <v>0.1288218661280347</v>
      </c>
      <c r="U25" s="143"/>
      <c r="V25" s="143"/>
    </row>
    <row r="26" spans="1:23">
      <c r="A26" s="44" t="s">
        <v>295</v>
      </c>
      <c r="I26" s="124">
        <f>I13/I19</f>
        <v>14.029277501887849</v>
      </c>
      <c r="J26" s="124">
        <f t="shared" ref="J26:T26" si="27">J13/J19</f>
        <v>16.294889629197698</v>
      </c>
      <c r="K26" s="124">
        <f t="shared" si="27"/>
        <v>18.964535569440724</v>
      </c>
      <c r="L26" s="124">
        <f t="shared" si="27"/>
        <v>22.247135568302014</v>
      </c>
      <c r="M26" s="124">
        <f t="shared" si="27"/>
        <v>25.301510395238655</v>
      </c>
      <c r="N26" s="124">
        <f t="shared" si="27"/>
        <v>27.41367973398475</v>
      </c>
      <c r="O26" s="99">
        <f t="shared" si="27"/>
        <v>34.719004481922944</v>
      </c>
      <c r="P26" s="124">
        <f t="shared" si="27"/>
        <v>43.804043087675382</v>
      </c>
      <c r="Q26" s="124">
        <f t="shared" si="27"/>
        <v>50.746493824646222</v>
      </c>
      <c r="R26" s="124">
        <f t="shared" si="27"/>
        <v>52.621133527733186</v>
      </c>
      <c r="S26" s="124">
        <f t="shared" si="27"/>
        <v>53.890303624681479</v>
      </c>
      <c r="T26" s="99">
        <f t="shared" si="27"/>
        <v>55.072571678517676</v>
      </c>
      <c r="U26" s="143">
        <f>(T26/O26)^(1/5)-1</f>
        <v>9.6664079275485593E-2</v>
      </c>
    </row>
    <row r="27" spans="1:23">
      <c r="A27" s="69" t="s">
        <v>77</v>
      </c>
      <c r="J27" s="111">
        <f>J26/I26-1</f>
        <v>0.16149171808776153</v>
      </c>
      <c r="K27" s="111">
        <f t="shared" ref="K27" si="28">K26/J26-1</f>
        <v>0.16383332449576526</v>
      </c>
      <c r="L27" s="111">
        <f t="shared" ref="L27" si="29">L26/K26-1</f>
        <v>0.17309150476380974</v>
      </c>
      <c r="M27" s="111">
        <f t="shared" ref="M27" si="30">M26/L26-1</f>
        <v>0.13729294800938563</v>
      </c>
      <c r="N27" s="111">
        <f t="shared" ref="N27" si="31">N26/M26-1</f>
        <v>8.3479970395110126E-2</v>
      </c>
      <c r="O27" s="57">
        <f t="shared" ref="O27" si="32">O26/N26-1</f>
        <v>0.26648464630896584</v>
      </c>
      <c r="P27" s="111">
        <f t="shared" ref="P27" si="33">P26/O26-1</f>
        <v>0.26167336135696861</v>
      </c>
      <c r="Q27" s="111">
        <f t="shared" ref="Q27" si="34">Q26/P26-1</f>
        <v>0.15848881170798035</v>
      </c>
      <c r="R27" s="111">
        <f t="shared" ref="R27" si="35">R26/Q26-1</f>
        <v>3.6941265529885747E-2</v>
      </c>
      <c r="S27" s="111">
        <f t="shared" ref="S27" si="36">S26/R26-1</f>
        <v>2.411901857415133E-2</v>
      </c>
      <c r="T27" s="57">
        <f t="shared" ref="T27" si="37">T26/S26-1</f>
        <v>2.193841886789305E-2</v>
      </c>
    </row>
    <row r="28" spans="1:23">
      <c r="A28" s="44"/>
      <c r="I28" s="108"/>
      <c r="J28" s="108"/>
      <c r="K28" s="108"/>
      <c r="L28" s="108"/>
      <c r="M28" s="108"/>
      <c r="N28" s="108"/>
      <c r="O28" s="45"/>
      <c r="P28" s="108"/>
      <c r="Q28" s="108"/>
      <c r="R28" s="108"/>
      <c r="S28" s="108"/>
      <c r="T28" s="45"/>
      <c r="U28" s="143"/>
      <c r="V28" s="144"/>
    </row>
    <row r="29" spans="1:23">
      <c r="A29" s="32" t="s">
        <v>296</v>
      </c>
      <c r="B29" s="32"/>
      <c r="C29" s="32"/>
      <c r="D29" s="32"/>
      <c r="E29" s="32"/>
      <c r="F29" s="32"/>
      <c r="G29" s="32"/>
      <c r="N29" s="108"/>
      <c r="O29" s="45"/>
      <c r="P29" s="108"/>
      <c r="Q29" s="108"/>
      <c r="R29" s="108"/>
      <c r="S29" s="108"/>
      <c r="T29" s="45"/>
    </row>
    <row r="30" spans="1:23">
      <c r="A30" s="44"/>
      <c r="I30" s="108"/>
      <c r="J30" s="108"/>
      <c r="K30" s="108"/>
      <c r="L30" s="108"/>
      <c r="M30" s="108"/>
      <c r="N30" s="108"/>
      <c r="O30" s="45"/>
      <c r="P30" s="108"/>
      <c r="Q30" s="108"/>
      <c r="R30" s="108"/>
      <c r="S30" s="108"/>
      <c r="T30" s="45"/>
      <c r="U30" s="143"/>
      <c r="V30" s="144"/>
    </row>
    <row r="31" spans="1:23">
      <c r="A31" s="37" t="s">
        <v>288</v>
      </c>
      <c r="I31" s="108">
        <f>I15</f>
        <v>7339.0766540000004</v>
      </c>
      <c r="J31" s="108">
        <f t="shared" ref="J31:S31" si="38">J15</f>
        <v>7424.4847410000002</v>
      </c>
      <c r="K31" s="108">
        <f t="shared" si="38"/>
        <v>7509.4102279999997</v>
      </c>
      <c r="L31" s="108">
        <f t="shared" si="38"/>
        <v>7592.4756150000003</v>
      </c>
      <c r="M31" s="108">
        <f t="shared" si="38"/>
        <v>7673.3453909999998</v>
      </c>
      <c r="N31" s="108">
        <f t="shared" si="38"/>
        <v>7752.8405469999998</v>
      </c>
      <c r="O31" s="45">
        <f t="shared" si="38"/>
        <v>7838.3515473454545</v>
      </c>
      <c r="P31" s="108">
        <f t="shared" si="38"/>
        <v>7924.8057028010589</v>
      </c>
      <c r="Q31" s="108">
        <f t="shared" si="38"/>
        <v>8012.2134160232927</v>
      </c>
      <c r="R31" s="108">
        <f t="shared" si="38"/>
        <v>8100.5852044061376</v>
      </c>
      <c r="S31" s="108">
        <f t="shared" si="38"/>
        <v>8189.9317013465916</v>
      </c>
      <c r="T31" s="45">
        <f>T15</f>
        <v>8280.2636575241377</v>
      </c>
      <c r="U31" s="143"/>
      <c r="V31" s="144"/>
      <c r="W31" s="37" t="s">
        <v>297</v>
      </c>
    </row>
    <row r="32" spans="1:23">
      <c r="A32" s="44" t="s">
        <v>298</v>
      </c>
      <c r="I32" s="152">
        <v>4.9000000000000004</v>
      </c>
      <c r="J32" s="152">
        <f>I32</f>
        <v>4.9000000000000004</v>
      </c>
      <c r="K32" s="152">
        <f t="shared" ref="K32" si="39">J32</f>
        <v>4.9000000000000004</v>
      </c>
      <c r="L32" s="152">
        <f t="shared" ref="L32" si="40">K32</f>
        <v>4.9000000000000004</v>
      </c>
      <c r="M32" s="152">
        <f t="shared" ref="M32" si="41">L32</f>
        <v>4.9000000000000004</v>
      </c>
      <c r="N32" s="152">
        <f t="shared" ref="N32" si="42">M32</f>
        <v>4.9000000000000004</v>
      </c>
      <c r="O32" s="70">
        <f t="shared" ref="O32" si="43">N32</f>
        <v>4.9000000000000004</v>
      </c>
      <c r="P32" s="152">
        <f t="shared" ref="P32" si="44">O32</f>
        <v>4.9000000000000004</v>
      </c>
      <c r="Q32" s="152">
        <f t="shared" ref="Q32" si="45">P32</f>
        <v>4.9000000000000004</v>
      </c>
      <c r="R32" s="152">
        <f t="shared" ref="R32" si="46">Q32</f>
        <v>4.9000000000000004</v>
      </c>
      <c r="S32" s="152">
        <f t="shared" ref="S32" si="47">R32</f>
        <v>4.9000000000000004</v>
      </c>
      <c r="T32" s="70">
        <f t="shared" ref="T32" si="48">S32</f>
        <v>4.9000000000000004</v>
      </c>
      <c r="W32" s="37" t="s">
        <v>299</v>
      </c>
    </row>
    <row r="33" spans="1:28">
      <c r="A33" s="44" t="s">
        <v>300</v>
      </c>
      <c r="I33" s="108">
        <f>I31/I32</f>
        <v>1497.7707457142858</v>
      </c>
      <c r="J33" s="108">
        <f t="shared" ref="J33:T33" si="49">J31/J32</f>
        <v>1515.2009675510203</v>
      </c>
      <c r="K33" s="108">
        <f t="shared" si="49"/>
        <v>1532.5326995918365</v>
      </c>
      <c r="L33" s="108">
        <f t="shared" si="49"/>
        <v>1549.4848193877551</v>
      </c>
      <c r="M33" s="108">
        <f t="shared" si="49"/>
        <v>1565.9888553061223</v>
      </c>
      <c r="N33" s="108">
        <f t="shared" si="49"/>
        <v>1582.2123565306122</v>
      </c>
      <c r="O33" s="45">
        <f t="shared" si="49"/>
        <v>1599.663581090909</v>
      </c>
      <c r="P33" s="108">
        <f t="shared" si="49"/>
        <v>1617.3072862859303</v>
      </c>
      <c r="Q33" s="108">
        <f t="shared" si="49"/>
        <v>1635.1455951067942</v>
      </c>
      <c r="R33" s="108">
        <f t="shared" si="49"/>
        <v>1653.1806539604361</v>
      </c>
      <c r="S33" s="108">
        <f t="shared" si="49"/>
        <v>1671.4146329278758</v>
      </c>
      <c r="T33" s="45">
        <f t="shared" si="49"/>
        <v>1689.8497260253341</v>
      </c>
    </row>
    <row r="34" spans="1:28">
      <c r="A34" s="44" t="s">
        <v>301</v>
      </c>
      <c r="I34" s="133">
        <v>835</v>
      </c>
      <c r="J34" s="133">
        <v>910</v>
      </c>
      <c r="K34" s="133">
        <v>1020</v>
      </c>
      <c r="L34" s="133">
        <v>1076</v>
      </c>
      <c r="M34" s="133">
        <v>1146</v>
      </c>
      <c r="N34" s="133">
        <v>1228</v>
      </c>
      <c r="O34" s="45">
        <f t="shared" ref="O34:T34" si="50">O35*O61/O62</f>
        <v>1278.7907233537514</v>
      </c>
      <c r="P34" s="108">
        <f t="shared" si="50"/>
        <v>1331.6821776348625</v>
      </c>
      <c r="Q34" s="108">
        <f t="shared" si="50"/>
        <v>1386.7612501750691</v>
      </c>
      <c r="R34" s="108">
        <f t="shared" si="50"/>
        <v>1444.1184220116691</v>
      </c>
      <c r="S34" s="108">
        <f t="shared" si="50"/>
        <v>1503.8479165250656</v>
      </c>
      <c r="T34" s="45">
        <f t="shared" si="50"/>
        <v>1566.0478542240401</v>
      </c>
      <c r="U34" s="143">
        <f>(T34/O34)^(1/5)-1</f>
        <v>4.1360523903706481E-2</v>
      </c>
      <c r="W34" s="37" t="s">
        <v>302</v>
      </c>
    </row>
    <row r="35" spans="1:28">
      <c r="A35" s="69" t="s">
        <v>303</v>
      </c>
      <c r="I35" s="111">
        <f>I34/I33</f>
        <v>0.55749519904115175</v>
      </c>
      <c r="J35" s="111">
        <f t="shared" ref="J35:N35" si="51">J34/J33</f>
        <v>0.60058039790643036</v>
      </c>
      <c r="K35" s="111">
        <f t="shared" si="51"/>
        <v>0.66556491765014825</v>
      </c>
      <c r="L35" s="111">
        <f t="shared" si="51"/>
        <v>0.69442435739716235</v>
      </c>
      <c r="M35" s="111">
        <f t="shared" si="51"/>
        <v>0.73180597429984762</v>
      </c>
      <c r="N35" s="111">
        <f t="shared" si="51"/>
        <v>0.7761284349293609</v>
      </c>
      <c r="O35" s="57">
        <f t="shared" ref="O35:S35" si="52">N35*(1+O36)</f>
        <v>0.79941228797724173</v>
      </c>
      <c r="P35" s="111">
        <f t="shared" si="52"/>
        <v>0.82339465661655897</v>
      </c>
      <c r="Q35" s="111">
        <f t="shared" si="52"/>
        <v>0.84809649631505579</v>
      </c>
      <c r="R35" s="111">
        <f t="shared" si="52"/>
        <v>0.87353939120450752</v>
      </c>
      <c r="S35" s="111">
        <f t="shared" si="52"/>
        <v>0.89974557294064272</v>
      </c>
      <c r="T35" s="57">
        <f>S35*(1+T36)</f>
        <v>0.92673794012886201</v>
      </c>
      <c r="X35" s="36"/>
      <c r="Y35" s="36"/>
      <c r="Z35" s="36"/>
    </row>
    <row r="36" spans="1:28">
      <c r="A36" s="82" t="s">
        <v>304</v>
      </c>
      <c r="I36" s="111"/>
      <c r="J36" s="111">
        <f>J35/I35-1</f>
        <v>7.7283533453528896E-2</v>
      </c>
      <c r="K36" s="111">
        <f t="shared" ref="K36:N36" si="53">K35/J35-1</f>
        <v>0.10820286504562615</v>
      </c>
      <c r="L36" s="111">
        <f t="shared" si="53"/>
        <v>4.3360818729607287E-2</v>
      </c>
      <c r="M36" s="111">
        <f t="shared" si="53"/>
        <v>5.3831085422750391E-2</v>
      </c>
      <c r="N36" s="111">
        <f t="shared" si="53"/>
        <v>6.056586333818692E-2</v>
      </c>
      <c r="O36" s="59">
        <v>0.03</v>
      </c>
      <c r="P36" s="155">
        <f>O36</f>
        <v>0.03</v>
      </c>
      <c r="Q36" s="155">
        <f t="shared" ref="Q36:T36" si="54">P36</f>
        <v>0.03</v>
      </c>
      <c r="R36" s="155">
        <f t="shared" si="54"/>
        <v>0.03</v>
      </c>
      <c r="S36" s="155">
        <f t="shared" si="54"/>
        <v>0.03</v>
      </c>
      <c r="T36" s="59">
        <f t="shared" si="54"/>
        <v>0.03</v>
      </c>
    </row>
    <row r="37" spans="1:28">
      <c r="A37" s="82"/>
      <c r="I37" s="111"/>
      <c r="J37" s="111"/>
      <c r="K37" s="111"/>
      <c r="L37" s="111"/>
      <c r="M37" s="111"/>
      <c r="N37" s="111"/>
      <c r="O37" s="59"/>
      <c r="P37" s="155"/>
      <c r="Q37" s="155"/>
      <c r="R37" s="155"/>
      <c r="S37" s="155"/>
      <c r="T37" s="59"/>
    </row>
    <row r="38" spans="1:28">
      <c r="A38" s="66" t="s">
        <v>290</v>
      </c>
      <c r="I38" s="108">
        <f>I17</f>
        <v>321.38397604395607</v>
      </c>
      <c r="J38" s="108">
        <f t="shared" ref="J38:T38" si="55">J17</f>
        <v>323.14307120222151</v>
      </c>
      <c r="K38" s="108">
        <f t="shared" si="55"/>
        <v>325.47898204433102</v>
      </c>
      <c r="L38" s="108">
        <f t="shared" si="55"/>
        <v>327.85474610703699</v>
      </c>
      <c r="M38" s="108">
        <f t="shared" si="55"/>
        <v>330.18119743082997</v>
      </c>
      <c r="N38" s="108">
        <f t="shared" si="55"/>
        <v>331.50108</v>
      </c>
      <c r="O38" s="45">
        <f t="shared" si="55"/>
        <v>331.89374500000002</v>
      </c>
      <c r="P38" s="108">
        <f t="shared" si="55"/>
        <v>333.67211293701064</v>
      </c>
      <c r="Q38" s="108">
        <f t="shared" si="55"/>
        <v>335.46000980479209</v>
      </c>
      <c r="R38" s="108">
        <f t="shared" si="55"/>
        <v>337.25748666168829</v>
      </c>
      <c r="S38" s="108">
        <f t="shared" si="55"/>
        <v>339.06459483962612</v>
      </c>
      <c r="T38" s="45">
        <f t="shared" si="55"/>
        <v>340.88138594558166</v>
      </c>
    </row>
    <row r="39" spans="1:28">
      <c r="A39" s="44" t="s">
        <v>298</v>
      </c>
      <c r="I39" s="108">
        <f>I38/I40</f>
        <v>2.5795326755273784</v>
      </c>
      <c r="J39" s="108">
        <f t="shared" ref="J39:O39" si="56">J38/J40</f>
        <v>2.5682965442872479</v>
      </c>
      <c r="K39" s="108">
        <f t="shared" si="56"/>
        <v>2.5786640947895028</v>
      </c>
      <c r="L39" s="108">
        <f t="shared" si="56"/>
        <v>2.5695959409596125</v>
      </c>
      <c r="M39" s="108">
        <f t="shared" si="56"/>
        <v>2.5679047863651419</v>
      </c>
      <c r="N39" s="108">
        <f t="shared" si="56"/>
        <v>2.5807791358505257</v>
      </c>
      <c r="O39" s="45">
        <f t="shared" si="56"/>
        <v>2.5543845964396485</v>
      </c>
      <c r="P39" s="152">
        <f>AVERAGE(I39:O39)</f>
        <v>2.5713082534598652</v>
      </c>
      <c r="Q39" s="152">
        <f>P39</f>
        <v>2.5713082534598652</v>
      </c>
      <c r="R39" s="152">
        <f t="shared" ref="R39:T39" si="57">Q39</f>
        <v>2.5713082534598652</v>
      </c>
      <c r="S39" s="152">
        <f t="shared" si="57"/>
        <v>2.5713082534598652</v>
      </c>
      <c r="T39" s="70">
        <f t="shared" si="57"/>
        <v>2.5713082534598652</v>
      </c>
      <c r="U39" s="143"/>
      <c r="V39" s="143"/>
      <c r="W39" s="37" t="s">
        <v>305</v>
      </c>
    </row>
    <row r="40" spans="1:28">
      <c r="A40" s="44" t="s">
        <v>306</v>
      </c>
      <c r="I40" s="133">
        <v>124.59</v>
      </c>
      <c r="J40" s="133">
        <v>125.82</v>
      </c>
      <c r="K40" s="133">
        <v>126.22</v>
      </c>
      <c r="L40" s="133">
        <v>127.59</v>
      </c>
      <c r="M40" s="133">
        <v>128.58000000000001</v>
      </c>
      <c r="N40" s="133">
        <v>128.44999999999999</v>
      </c>
      <c r="O40" s="92">
        <v>129.93100000000001</v>
      </c>
      <c r="P40" s="108">
        <f>P17/P39</f>
        <v>129.76744911390253</v>
      </c>
      <c r="Q40" s="108">
        <f>Q17/Q39</f>
        <v>130.46277487477764</v>
      </c>
      <c r="R40" s="108">
        <f>R17/R39</f>
        <v>131.16182636130307</v>
      </c>
      <c r="S40" s="108">
        <f>S17/S39</f>
        <v>131.8646235368289</v>
      </c>
      <c r="T40" s="45">
        <f>T17/T39</f>
        <v>132.5711864716738</v>
      </c>
      <c r="U40" s="143">
        <f>(T40/O40)^(1/5)-1</f>
        <v>4.0313475542865795E-3</v>
      </c>
      <c r="V40" s="143"/>
      <c r="W40" s="37" t="s">
        <v>307</v>
      </c>
    </row>
    <row r="41" spans="1:28">
      <c r="A41" s="44" t="s">
        <v>308</v>
      </c>
      <c r="I41" s="108">
        <v>95.040440000000004</v>
      </c>
      <c r="J41" s="108">
        <v>98.344583</v>
      </c>
      <c r="K41" s="108">
        <v>101.43322000000001</v>
      </c>
      <c r="L41" s="108">
        <v>104.79279699999999</v>
      </c>
      <c r="M41" s="108">
        <v>107.825924</v>
      </c>
      <c r="N41" s="108">
        <v>113.331512</v>
      </c>
      <c r="O41" s="45">
        <v>117.596428</v>
      </c>
      <c r="P41" s="108">
        <f>P42*P40</f>
        <v>118.59204772929688</v>
      </c>
      <c r="Q41" s="108">
        <f>Q42*Q40</f>
        <v>120.3884611474774</v>
      </c>
      <c r="R41" s="108">
        <f>R42*R40</f>
        <v>122.21208634950695</v>
      </c>
      <c r="S41" s="108">
        <f>S42*S40</f>
        <v>124.06333553514568</v>
      </c>
      <c r="T41" s="45">
        <f>T42*T40</f>
        <v>125.9426271480901</v>
      </c>
      <c r="U41" s="143">
        <f>(T41/O41)^(1/5)-1</f>
        <v>1.3808022641539797E-2</v>
      </c>
      <c r="V41" s="143"/>
      <c r="W41" s="37" t="s">
        <v>309</v>
      </c>
    </row>
    <row r="42" spans="1:28">
      <c r="A42" s="69" t="s">
        <v>310</v>
      </c>
      <c r="I42" s="111">
        <f t="shared" ref="I42:O42" si="58">I41/I40</f>
        <v>0.76282558792840516</v>
      </c>
      <c r="J42" s="111">
        <f t="shared" si="58"/>
        <v>0.78162917660149422</v>
      </c>
      <c r="K42" s="111">
        <f t="shared" si="58"/>
        <v>0.80362240532403739</v>
      </c>
      <c r="L42" s="111">
        <f t="shared" si="58"/>
        <v>0.82132453170311148</v>
      </c>
      <c r="M42" s="111">
        <f t="shared" si="58"/>
        <v>0.83859016954425247</v>
      </c>
      <c r="N42" s="111">
        <f t="shared" si="58"/>
        <v>0.88230059945504102</v>
      </c>
      <c r="O42" s="57">
        <f t="shared" si="58"/>
        <v>0.90506829009243361</v>
      </c>
      <c r="P42" s="111">
        <f>O42*(1+P43)</f>
        <v>0.91388132030863523</v>
      </c>
      <c r="Q42" s="111">
        <f t="shared" ref="Q42:S42" si="59">P42*(1+Q43)</f>
        <v>0.92278016670295504</v>
      </c>
      <c r="R42" s="111">
        <f t="shared" si="59"/>
        <v>0.93176566490357604</v>
      </c>
      <c r="S42" s="111">
        <f t="shared" si="59"/>
        <v>0.94083865867554406</v>
      </c>
      <c r="T42" s="59">
        <v>0.95</v>
      </c>
      <c r="U42" s="143"/>
      <c r="V42" s="143"/>
    </row>
    <row r="43" spans="1:28">
      <c r="A43" s="82" t="s">
        <v>304</v>
      </c>
      <c r="I43" s="111"/>
      <c r="J43" s="111">
        <f>J42/I42-1</f>
        <v>2.4649918632322798E-2</v>
      </c>
      <c r="K43" s="111">
        <f t="shared" ref="K43:O43" si="60">K42/J42-1</f>
        <v>2.8137676254831323E-2</v>
      </c>
      <c r="L43" s="111">
        <f t="shared" si="60"/>
        <v>2.2027915426195976E-2</v>
      </c>
      <c r="M43" s="111">
        <f t="shared" si="60"/>
        <v>2.1021699918470249E-2</v>
      </c>
      <c r="N43" s="111">
        <f t="shared" si="60"/>
        <v>5.2123708932271251E-2</v>
      </c>
      <c r="O43" s="57">
        <f t="shared" si="60"/>
        <v>2.5804913485783842E-2</v>
      </c>
      <c r="P43" s="155">
        <f>_xlfn.RRI(5,O42,T42)</f>
        <v>9.7374201622968393E-3</v>
      </c>
      <c r="Q43" s="155">
        <f>P43</f>
        <v>9.7374201622968393E-3</v>
      </c>
      <c r="R43" s="155">
        <f t="shared" ref="R43:T43" si="61">Q43</f>
        <v>9.7374201622968393E-3</v>
      </c>
      <c r="S43" s="155">
        <f t="shared" si="61"/>
        <v>9.7374201622968393E-3</v>
      </c>
      <c r="T43" s="59">
        <f t="shared" si="61"/>
        <v>9.7374201622968393E-3</v>
      </c>
      <c r="U43" s="143"/>
      <c r="V43" s="143"/>
    </row>
    <row r="44" spans="1:28">
      <c r="A44" s="44" t="s">
        <v>311</v>
      </c>
      <c r="I44" s="133">
        <v>99.590317159999998</v>
      </c>
      <c r="J44" s="133">
        <v>97.735207599999995</v>
      </c>
      <c r="K44" s="133">
        <v>94.257839069999989</v>
      </c>
      <c r="L44" s="133">
        <v>90.250159999999994</v>
      </c>
      <c r="M44" s="133">
        <v>83.967411680000012</v>
      </c>
      <c r="N44" s="133">
        <v>77.520063129999997</v>
      </c>
      <c r="O44" s="92">
        <v>72.20915325</v>
      </c>
      <c r="P44" s="108">
        <f>P45*P40</f>
        <v>66.468781320382888</v>
      </c>
      <c r="Q44" s="108">
        <f>Q45*Q40</f>
        <v>61.642466356028088</v>
      </c>
      <c r="R44" s="108">
        <f>R45*R40</f>
        <v>57.214653042090319</v>
      </c>
      <c r="S44" s="108">
        <f>S45*S40</f>
        <v>53.149055380277176</v>
      </c>
      <c r="T44" s="45">
        <f>T45*T40</f>
        <v>49.412968590589216</v>
      </c>
      <c r="U44" s="143">
        <f>(T44/O44)^(1/5)-1</f>
        <v>-7.3064022949954066E-2</v>
      </c>
      <c r="W44" s="37" t="s">
        <v>312</v>
      </c>
      <c r="Z44" s="39"/>
    </row>
    <row r="45" spans="1:28">
      <c r="A45" s="69" t="s">
        <v>310</v>
      </c>
      <c r="I45" s="111">
        <f t="shared" ref="I45:O45" si="62">I44/I$40</f>
        <v>0.79934438686893006</v>
      </c>
      <c r="J45" s="111">
        <f t="shared" si="62"/>
        <v>0.77678594500079479</v>
      </c>
      <c r="K45" s="111">
        <f t="shared" si="62"/>
        <v>0.74677419640310561</v>
      </c>
      <c r="L45" s="111">
        <f t="shared" si="62"/>
        <v>0.70734508974057519</v>
      </c>
      <c r="M45" s="111">
        <f t="shared" si="62"/>
        <v>0.65303633286669782</v>
      </c>
      <c r="N45" s="111">
        <f t="shared" si="62"/>
        <v>0.6035038001557026</v>
      </c>
      <c r="O45" s="57">
        <f t="shared" si="62"/>
        <v>0.55574999999999997</v>
      </c>
      <c r="P45" s="111">
        <f>O45*(1+P46)</f>
        <v>0.51221459444764417</v>
      </c>
      <c r="Q45" s="111">
        <f t="shared" ref="Q45:T45" si="63">P45*(1+Q46)</f>
        <v>0.47249084204436481</v>
      </c>
      <c r="R45" s="111">
        <f t="shared" si="63"/>
        <v>0.43621421437427066</v>
      </c>
      <c r="S45" s="111">
        <f t="shared" si="63"/>
        <v>0.40305772658906508</v>
      </c>
      <c r="T45" s="57">
        <f t="shared" si="63"/>
        <v>0.37272781443460323</v>
      </c>
      <c r="W45" s="145"/>
    </row>
    <row r="46" spans="1:28">
      <c r="A46" s="82" t="s">
        <v>304</v>
      </c>
      <c r="I46" s="111"/>
      <c r="J46" s="111">
        <f>J45/I45-1</f>
        <v>-2.8221180055442385E-2</v>
      </c>
      <c r="K46" s="111">
        <f t="shared" ref="K46:O46" si="64">K45/J45-1</f>
        <v>-3.8635802811363251E-2</v>
      </c>
      <c r="L46" s="111">
        <f t="shared" si="64"/>
        <v>-5.2799235501767017E-2</v>
      </c>
      <c r="M46" s="111">
        <f t="shared" si="64"/>
        <v>-7.6778304764645422E-2</v>
      </c>
      <c r="N46" s="111">
        <f t="shared" si="64"/>
        <v>-7.5849581743112848E-2</v>
      </c>
      <c r="O46" s="57">
        <f t="shared" si="64"/>
        <v>-7.912758816660681E-2</v>
      </c>
      <c r="P46" s="155">
        <v>-7.8336312284940743E-2</v>
      </c>
      <c r="Q46" s="155">
        <v>-7.7552949162091336E-2</v>
      </c>
      <c r="R46" s="155">
        <v>-7.6777419670470429E-2</v>
      </c>
      <c r="S46" s="155">
        <v>-7.6009645473765722E-2</v>
      </c>
      <c r="T46" s="59">
        <v>-7.524954901902807E-2</v>
      </c>
      <c r="W46" s="36"/>
      <c r="X46" s="36"/>
      <c r="Y46" s="36"/>
      <c r="Z46" s="36"/>
      <c r="AA46" s="36"/>
      <c r="AB46" s="36"/>
    </row>
    <row r="47" spans="1:28">
      <c r="A47" s="44"/>
      <c r="I47" s="108"/>
      <c r="J47" s="108"/>
      <c r="K47" s="108"/>
      <c r="L47" s="108"/>
      <c r="M47" s="108"/>
      <c r="N47" s="108"/>
      <c r="O47" s="45"/>
      <c r="P47" s="108"/>
      <c r="Q47" s="108"/>
      <c r="R47" s="108"/>
      <c r="S47" s="108"/>
      <c r="T47" s="45"/>
      <c r="U47" s="143"/>
      <c r="V47" s="144"/>
    </row>
    <row r="48" spans="1:28">
      <c r="A48" s="66" t="s">
        <v>313</v>
      </c>
      <c r="I48" s="133">
        <v>173573.47968901251</v>
      </c>
      <c r="J48" s="133">
        <v>177879.22092279379</v>
      </c>
      <c r="K48" s="133">
        <v>173876.62045286011</v>
      </c>
      <c r="L48" s="133">
        <v>178499.45109010738</v>
      </c>
      <c r="M48" s="133">
        <v>172911.0450142347</v>
      </c>
      <c r="N48" s="133">
        <v>155072.80793248679</v>
      </c>
      <c r="O48" s="92">
        <v>169364.62818769662</v>
      </c>
      <c r="P48" s="108">
        <f t="shared" ref="P48:T48" si="65">O48*(1+P49)</f>
        <v>167201.92640193037</v>
      </c>
      <c r="Q48" s="108">
        <f t="shared" si="65"/>
        <v>163164.25954795361</v>
      </c>
      <c r="R48" s="108">
        <f t="shared" si="65"/>
        <v>155328.47785629326</v>
      </c>
      <c r="S48" s="108">
        <f t="shared" si="65"/>
        <v>148006.0521194691</v>
      </c>
      <c r="T48" s="45">
        <f t="shared" si="65"/>
        <v>138109.93485990836</v>
      </c>
      <c r="U48" s="143">
        <f>(T48/O48)^(1/5)-1</f>
        <v>-3.9979644698660555E-2</v>
      </c>
      <c r="V48" s="143"/>
      <c r="W48" s="37" t="s">
        <v>314</v>
      </c>
    </row>
    <row r="49" spans="1:23">
      <c r="A49" s="69" t="s">
        <v>77</v>
      </c>
      <c r="J49" s="111">
        <f>J48/I48-1</f>
        <v>2.4806446477283028E-2</v>
      </c>
      <c r="K49" s="111">
        <f t="shared" ref="K49:O49" si="66">K48/J48-1</f>
        <v>-2.2501787725228151E-2</v>
      </c>
      <c r="L49" s="111">
        <f t="shared" si="66"/>
        <v>2.6586844310679369E-2</v>
      </c>
      <c r="M49" s="111">
        <f t="shared" si="66"/>
        <v>-3.1307693338797016E-2</v>
      </c>
      <c r="N49" s="111">
        <f t="shared" si="66"/>
        <v>-0.1031642430955142</v>
      </c>
      <c r="O49" s="57">
        <f t="shared" si="66"/>
        <v>9.2162000841772285E-2</v>
      </c>
      <c r="P49" s="155">
        <v>-1.2769500980862825E-2</v>
      </c>
      <c r="Q49" s="155">
        <v>-2.4148446975848614E-2</v>
      </c>
      <c r="R49" s="155">
        <v>-4.8023885337201699E-2</v>
      </c>
      <c r="S49" s="155">
        <v>-4.7141553422024307E-2</v>
      </c>
      <c r="T49" s="59">
        <v>-6.6862922953803916E-2</v>
      </c>
      <c r="U49" s="143"/>
      <c r="V49" s="143"/>
    </row>
    <row r="50" spans="1:23">
      <c r="A50" s="44" t="s">
        <v>315</v>
      </c>
      <c r="I50" s="133">
        <v>66174.9051358617</v>
      </c>
      <c r="J50" s="133">
        <v>70014.108416853996</v>
      </c>
      <c r="K50" s="133">
        <v>65413.892406367799</v>
      </c>
      <c r="L50" s="133">
        <v>69249.284396762901</v>
      </c>
      <c r="M50" s="133">
        <v>65811.938136328012</v>
      </c>
      <c r="N50" s="133">
        <v>61919.381320262699</v>
      </c>
      <c r="O50" s="92">
        <v>65561.052763327898</v>
      </c>
      <c r="P50" s="108">
        <f>O50*(1+P51)</f>
        <v>63199.216115366427</v>
      </c>
      <c r="Q50" s="108">
        <f t="shared" ref="Q50:T50" si="67">P50*(1+Q51)</f>
        <v>60232.650957142112</v>
      </c>
      <c r="R50" s="108">
        <f t="shared" si="67"/>
        <v>56102.398551220664</v>
      </c>
      <c r="S50" s="108">
        <f t="shared" si="67"/>
        <v>53171.932300572073</v>
      </c>
      <c r="T50" s="45">
        <f t="shared" si="67"/>
        <v>48732.796529482526</v>
      </c>
      <c r="U50" s="143">
        <f>(T50/O50)^(1/5)-1</f>
        <v>-5.7600421794690382E-2</v>
      </c>
      <c r="V50" s="144"/>
      <c r="W50" s="37" t="s">
        <v>314</v>
      </c>
    </row>
    <row r="51" spans="1:23">
      <c r="A51" s="69" t="s">
        <v>77</v>
      </c>
      <c r="J51" s="111">
        <f>J50/I50-1</f>
        <v>5.8015999767738968E-2</v>
      </c>
      <c r="K51" s="111">
        <f t="shared" ref="K51:O51" si="68">K50/J50-1</f>
        <v>-6.5704128989219845E-2</v>
      </c>
      <c r="L51" s="111">
        <f t="shared" si="68"/>
        <v>5.8632682589329299E-2</v>
      </c>
      <c r="M51" s="111">
        <f t="shared" si="68"/>
        <v>-4.9637282036600672E-2</v>
      </c>
      <c r="N51" s="111">
        <f t="shared" si="68"/>
        <v>-5.9146667402530606E-2</v>
      </c>
      <c r="O51" s="57">
        <f t="shared" si="68"/>
        <v>5.8813110942267821E-2</v>
      </c>
      <c r="P51" s="155">
        <v>-3.6024995762157452E-2</v>
      </c>
      <c r="Q51" s="155">
        <v>-4.6939904330601599E-2</v>
      </c>
      <c r="R51" s="155">
        <v>-6.8571652422542151E-2</v>
      </c>
      <c r="S51" s="155">
        <v>-5.2234241785101498E-2</v>
      </c>
      <c r="T51" s="59">
        <v>-8.3486448188413553E-2</v>
      </c>
      <c r="U51" s="143"/>
      <c r="V51" s="143"/>
    </row>
    <row r="52" spans="1:23">
      <c r="A52" s="44" t="s">
        <v>316</v>
      </c>
      <c r="I52" s="108">
        <f>I48-I50</f>
        <v>107398.57455315081</v>
      </c>
      <c r="J52" s="108">
        <f t="shared" ref="J52:T52" si="69">J48-J50</f>
        <v>107865.11250593979</v>
      </c>
      <c r="K52" s="108">
        <f t="shared" si="69"/>
        <v>108462.72804649231</v>
      </c>
      <c r="L52" s="108">
        <f t="shared" si="69"/>
        <v>109250.16669334448</v>
      </c>
      <c r="M52" s="108">
        <f t="shared" si="69"/>
        <v>107099.10687790668</v>
      </c>
      <c r="N52" s="108">
        <f t="shared" si="69"/>
        <v>93153.426612224081</v>
      </c>
      <c r="O52" s="45">
        <f t="shared" si="69"/>
        <v>103803.57542436873</v>
      </c>
      <c r="P52" s="108">
        <f t="shared" si="69"/>
        <v>104002.71028656393</v>
      </c>
      <c r="Q52" s="108">
        <f t="shared" si="69"/>
        <v>102931.60859081149</v>
      </c>
      <c r="R52" s="108">
        <f t="shared" si="69"/>
        <v>99226.079305072606</v>
      </c>
      <c r="S52" s="108">
        <f t="shared" si="69"/>
        <v>94834.119818897016</v>
      </c>
      <c r="T52" s="45">
        <f t="shared" si="69"/>
        <v>89377.138330425834</v>
      </c>
      <c r="U52" s="143">
        <f>(T52/O52)^(1/5)-1</f>
        <v>-2.9483716327456611E-2</v>
      </c>
      <c r="V52" s="144"/>
    </row>
    <row r="53" spans="1:23">
      <c r="A53" s="44"/>
      <c r="I53" s="108"/>
      <c r="J53" s="108"/>
      <c r="K53" s="108"/>
      <c r="L53" s="108"/>
      <c r="M53" s="108"/>
      <c r="N53" s="108"/>
      <c r="O53" s="45"/>
      <c r="P53" s="108"/>
      <c r="Q53" s="108"/>
      <c r="R53" s="108"/>
      <c r="S53" s="108"/>
      <c r="T53" s="45"/>
      <c r="U53" s="143"/>
      <c r="V53" s="144"/>
    </row>
    <row r="54" spans="1:23">
      <c r="A54" s="66" t="s">
        <v>317</v>
      </c>
      <c r="I54" s="108"/>
      <c r="J54" s="108"/>
      <c r="K54" s="108"/>
      <c r="L54" s="153">
        <f>3+(44/60)+(30/60)+(5/60)</f>
        <v>4.3166666666666664</v>
      </c>
      <c r="M54" s="153">
        <f>3+(27/60)+(29/60)+(4/60)</f>
        <v>4</v>
      </c>
      <c r="N54" s="153">
        <f>3+(14/60)+(27/60)+(3/60)</f>
        <v>3.7333333333333334</v>
      </c>
      <c r="O54" s="146">
        <f>196.6/60</f>
        <v>3.2766666666666664</v>
      </c>
      <c r="P54" s="112">
        <f>O54*(1+P55)</f>
        <v>2.9159407738095235</v>
      </c>
      <c r="Q54" s="112">
        <f t="shared" ref="Q54:T54" si="70">P54*(1+Q55)</f>
        <v>2.6270283205330567</v>
      </c>
      <c r="R54" s="112">
        <f t="shared" si="70"/>
        <v>2.3927701067325224</v>
      </c>
      <c r="S54" s="112">
        <f t="shared" si="70"/>
        <v>2.2007381281765155</v>
      </c>
      <c r="T54" s="62">
        <f t="shared" si="70"/>
        <v>2.0417797367023618</v>
      </c>
      <c r="U54" s="143">
        <f>(T54/O54)^(1/5)-1</f>
        <v>-9.0264116585019982E-2</v>
      </c>
      <c r="V54" s="144"/>
      <c r="W54" s="37" t="s">
        <v>318</v>
      </c>
    </row>
    <row r="55" spans="1:23">
      <c r="A55" s="56" t="s">
        <v>77</v>
      </c>
      <c r="I55" s="108"/>
      <c r="J55" s="108"/>
      <c r="K55" s="108"/>
      <c r="L55" s="108"/>
      <c r="M55" s="111">
        <f t="shared" ref="M55" si="71">M54/L54-1</f>
        <v>-7.3359073359073323E-2</v>
      </c>
      <c r="N55" s="111">
        <f t="shared" ref="N55" si="72">N54/M54-1</f>
        <v>-6.6666666666666652E-2</v>
      </c>
      <c r="O55" s="57">
        <f t="shared" ref="O55" si="73">O54/N54-1</f>
        <v>-0.12232142857142869</v>
      </c>
      <c r="P55" s="155">
        <v>-0.11008928571428582</v>
      </c>
      <c r="Q55" s="155">
        <v>-9.9080357142857234E-2</v>
      </c>
      <c r="R55" s="155">
        <v>-8.917232142857151E-2</v>
      </c>
      <c r="S55" s="155">
        <v>-8.0255089285714357E-2</v>
      </c>
      <c r="T55" s="59">
        <v>-7.2229580357142928E-2</v>
      </c>
      <c r="U55" s="143"/>
      <c r="V55" s="144"/>
    </row>
    <row r="56" spans="1:23" hidden="1" outlineLevel="1">
      <c r="A56" s="44" t="s">
        <v>319</v>
      </c>
      <c r="I56" s="153">
        <v>8.1010000000000009</v>
      </c>
      <c r="J56" s="153">
        <v>7.835</v>
      </c>
      <c r="K56" s="153">
        <v>7.867</v>
      </c>
      <c r="L56" s="108"/>
      <c r="M56" s="111"/>
      <c r="N56" s="111"/>
      <c r="O56" s="57"/>
      <c r="P56" s="155"/>
      <c r="Q56" s="155"/>
      <c r="R56" s="155"/>
      <c r="S56" s="155"/>
      <c r="T56" s="59"/>
      <c r="U56" s="143"/>
      <c r="V56" s="144"/>
      <c r="W56" s="37" t="s">
        <v>320</v>
      </c>
    </row>
    <row r="57" spans="1:23" hidden="1" outlineLevel="1">
      <c r="A57" s="44" t="s">
        <v>321</v>
      </c>
      <c r="I57" s="110">
        <f>I50/(I56*I44*365)</f>
        <v>0.22472154669007474</v>
      </c>
      <c r="J57" s="110">
        <f t="shared" ref="J57:K57" si="74">J50/(J56*J44*365)</f>
        <v>0.25049707419922046</v>
      </c>
      <c r="K57" s="110">
        <f t="shared" si="74"/>
        <v>0.24168544606659528</v>
      </c>
      <c r="L57" s="108"/>
      <c r="M57" s="111"/>
      <c r="N57" s="111"/>
      <c r="O57" s="57"/>
      <c r="P57" s="155"/>
      <c r="Q57" s="155"/>
      <c r="R57" s="155"/>
      <c r="S57" s="155"/>
      <c r="T57" s="59"/>
      <c r="U57" s="143"/>
      <c r="V57" s="144"/>
    </row>
    <row r="58" spans="1:23" collapsed="1">
      <c r="A58" s="44"/>
      <c r="L58" s="108"/>
      <c r="N58" s="108"/>
      <c r="O58" s="45"/>
      <c r="P58" s="108"/>
      <c r="Q58" s="108"/>
      <c r="R58" s="108"/>
      <c r="S58" s="108"/>
      <c r="T58" s="45"/>
      <c r="U58" s="143"/>
      <c r="V58" s="143"/>
    </row>
    <row r="59" spans="1:23">
      <c r="A59" s="32" t="s">
        <v>322</v>
      </c>
      <c r="B59" s="32"/>
      <c r="C59" s="32"/>
      <c r="D59" s="32"/>
      <c r="E59" s="32"/>
      <c r="F59" s="32"/>
      <c r="G59" s="32"/>
      <c r="N59" s="108"/>
      <c r="O59" s="45"/>
      <c r="P59" s="108"/>
      <c r="Q59" s="108"/>
      <c r="R59" s="108"/>
      <c r="S59" s="108"/>
      <c r="T59" s="45"/>
    </row>
    <row r="61" spans="1:23">
      <c r="A61" s="37" t="s">
        <v>288</v>
      </c>
      <c r="I61" s="108">
        <f t="shared" ref="I61:T61" si="75">I15</f>
        <v>7339.0766540000004</v>
      </c>
      <c r="J61" s="108">
        <f t="shared" si="75"/>
        <v>7424.4847410000002</v>
      </c>
      <c r="K61" s="108">
        <f t="shared" si="75"/>
        <v>7509.4102279999997</v>
      </c>
      <c r="L61" s="108">
        <f t="shared" si="75"/>
        <v>7592.4756150000003</v>
      </c>
      <c r="M61" s="108">
        <f t="shared" si="75"/>
        <v>7673.3453909999998</v>
      </c>
      <c r="N61" s="108">
        <f t="shared" si="75"/>
        <v>7752.8405469999998</v>
      </c>
      <c r="O61" s="45">
        <f t="shared" si="75"/>
        <v>7838.3515473454545</v>
      </c>
      <c r="P61" s="108">
        <f t="shared" si="75"/>
        <v>7924.8057028010589</v>
      </c>
      <c r="Q61" s="108">
        <f t="shared" si="75"/>
        <v>8012.2134160232927</v>
      </c>
      <c r="R61" s="108">
        <f t="shared" si="75"/>
        <v>8100.5852044061376</v>
      </c>
      <c r="S61" s="108">
        <f t="shared" si="75"/>
        <v>8189.9317013465916</v>
      </c>
      <c r="T61" s="45">
        <f t="shared" si="75"/>
        <v>8280.2636575241377</v>
      </c>
      <c r="U61" s="143">
        <f>(T61/O61)^(1/5)-1</f>
        <v>1.1029634857967485E-2</v>
      </c>
      <c r="V61" s="143"/>
      <c r="W61" s="37" t="s">
        <v>297</v>
      </c>
    </row>
    <row r="62" spans="1:23">
      <c r="A62" s="44" t="s">
        <v>298</v>
      </c>
      <c r="I62" s="108">
        <f t="shared" ref="I62:T62" si="76">I32</f>
        <v>4.9000000000000004</v>
      </c>
      <c r="J62" s="108">
        <f t="shared" si="76"/>
        <v>4.9000000000000004</v>
      </c>
      <c r="K62" s="108">
        <f t="shared" si="76"/>
        <v>4.9000000000000004</v>
      </c>
      <c r="L62" s="108">
        <f t="shared" si="76"/>
        <v>4.9000000000000004</v>
      </c>
      <c r="M62" s="108">
        <f t="shared" si="76"/>
        <v>4.9000000000000004</v>
      </c>
      <c r="N62" s="108">
        <f t="shared" si="76"/>
        <v>4.9000000000000004</v>
      </c>
      <c r="O62" s="45">
        <f t="shared" si="76"/>
        <v>4.9000000000000004</v>
      </c>
      <c r="P62" s="108">
        <f t="shared" si="76"/>
        <v>4.9000000000000004</v>
      </c>
      <c r="Q62" s="108">
        <f t="shared" si="76"/>
        <v>4.9000000000000004</v>
      </c>
      <c r="R62" s="108">
        <f t="shared" si="76"/>
        <v>4.9000000000000004</v>
      </c>
      <c r="S62" s="108">
        <f t="shared" si="76"/>
        <v>4.9000000000000004</v>
      </c>
      <c r="T62" s="45">
        <f t="shared" si="76"/>
        <v>4.9000000000000004</v>
      </c>
      <c r="W62" s="37" t="s">
        <v>323</v>
      </c>
    </row>
    <row r="63" spans="1:23">
      <c r="A63" s="44" t="s">
        <v>324</v>
      </c>
      <c r="I63" s="133">
        <v>3366</v>
      </c>
      <c r="J63" s="133">
        <v>3696</v>
      </c>
      <c r="K63" s="133">
        <v>4156</v>
      </c>
      <c r="L63" s="133">
        <v>4313</v>
      </c>
      <c r="M63" s="133">
        <v>4536</v>
      </c>
      <c r="N63" s="133">
        <v>5053</v>
      </c>
      <c r="O63" s="92">
        <v>5219.2741368558745</v>
      </c>
      <c r="P63" s="133">
        <v>5391.019694370204</v>
      </c>
      <c r="Q63" s="133">
        <v>5568.4167152398713</v>
      </c>
      <c r="R63" s="133">
        <v>5751.6511666509805</v>
      </c>
      <c r="S63" s="133">
        <v>5940.915135230236</v>
      </c>
      <c r="T63" s="92">
        <v>6136.4070284113977</v>
      </c>
      <c r="U63" s="143">
        <f>(T63/O63)^(1/5)-1</f>
        <v>3.2906023521843464E-2</v>
      </c>
      <c r="V63" s="143"/>
      <c r="W63" s="37" t="s">
        <v>325</v>
      </c>
    </row>
    <row r="64" spans="1:23">
      <c r="A64" s="69" t="s">
        <v>326</v>
      </c>
      <c r="I64" s="111">
        <f t="shared" ref="I64:T64" si="77">I63/I15</f>
        <v>0.458640801655265</v>
      </c>
      <c r="J64" s="111">
        <f t="shared" si="77"/>
        <v>0.49781232353939586</v>
      </c>
      <c r="K64" s="111">
        <f t="shared" si="77"/>
        <v>0.55343893512485309</v>
      </c>
      <c r="L64" s="111">
        <f t="shared" si="77"/>
        <v>0.56806241056330342</v>
      </c>
      <c r="M64" s="111">
        <f t="shared" si="77"/>
        <v>0.59113721185028822</v>
      </c>
      <c r="N64" s="111">
        <f t="shared" si="77"/>
        <v>0.65176111508642898</v>
      </c>
      <c r="O64" s="57">
        <f t="shared" si="77"/>
        <v>0.66586374766814849</v>
      </c>
      <c r="P64" s="111">
        <f t="shared" si="77"/>
        <v>0.68027152923947687</v>
      </c>
      <c r="Q64" s="111">
        <f t="shared" si="77"/>
        <v>0.69499106253258636</v>
      </c>
      <c r="R64" s="111">
        <f t="shared" si="77"/>
        <v>0.71002909314780061</v>
      </c>
      <c r="S64" s="111">
        <f t="shared" si="77"/>
        <v>0.72539251264493798</v>
      </c>
      <c r="T64" s="57">
        <f t="shared" si="77"/>
        <v>0.74108836170154402</v>
      </c>
      <c r="U64" s="143"/>
      <c r="V64" s="143"/>
    </row>
    <row r="65" spans="1:26">
      <c r="A65" s="44" t="s">
        <v>327</v>
      </c>
      <c r="I65" s="133">
        <v>312.95381093000003</v>
      </c>
      <c r="J65" s="133">
        <v>456.87821157999997</v>
      </c>
      <c r="K65" s="133">
        <v>642.77827313</v>
      </c>
      <c r="L65" s="133">
        <v>975.52334384000005</v>
      </c>
      <c r="M65" s="133">
        <v>1204.37444716</v>
      </c>
      <c r="N65" s="133">
        <v>1511.01850878</v>
      </c>
      <c r="O65" s="92">
        <v>1724.1621338499999</v>
      </c>
      <c r="P65" s="108">
        <f>P66*P63</f>
        <v>2006.1414104509704</v>
      </c>
      <c r="Q65" s="108">
        <f t="shared" ref="Q65:T65" si="78">Q66*Q63</f>
        <v>2334.2371808963203</v>
      </c>
      <c r="R65" s="108">
        <f t="shared" si="78"/>
        <v>2715.9915987447612</v>
      </c>
      <c r="S65" s="108">
        <f t="shared" si="78"/>
        <v>3160.1803042223801</v>
      </c>
      <c r="T65" s="45">
        <f t="shared" si="78"/>
        <v>4142.0747441776939</v>
      </c>
      <c r="U65" s="143">
        <f>(T65/O65)^(1/5)-1</f>
        <v>0.1915930615672119</v>
      </c>
      <c r="V65" s="143"/>
      <c r="W65" s="37" t="s">
        <v>328</v>
      </c>
    </row>
    <row r="66" spans="1:26">
      <c r="A66" s="69" t="s">
        <v>329</v>
      </c>
      <c r="I66" s="111">
        <f>I65/I63</f>
        <v>9.2974988392751048E-2</v>
      </c>
      <c r="J66" s="111">
        <f t="shared" ref="J66:O66" si="79">J65/J63</f>
        <v>0.12361423473484848</v>
      </c>
      <c r="K66" s="111">
        <f t="shared" si="79"/>
        <v>0.15466272211982676</v>
      </c>
      <c r="L66" s="111">
        <f t="shared" si="79"/>
        <v>0.22618208760491537</v>
      </c>
      <c r="M66" s="111">
        <f t="shared" si="79"/>
        <v>0.2655146488447972</v>
      </c>
      <c r="N66" s="111">
        <f t="shared" si="79"/>
        <v>0.29903394197110628</v>
      </c>
      <c r="O66" s="57">
        <f t="shared" si="79"/>
        <v>0.33034519525901868</v>
      </c>
      <c r="P66" s="155">
        <f t="shared" ref="P66:S66" si="80">O66*(1+P67)</f>
        <v>0.37212652228779036</v>
      </c>
      <c r="Q66" s="155">
        <f t="shared" si="80"/>
        <v>0.41919225881710404</v>
      </c>
      <c r="R66" s="155">
        <f t="shared" si="80"/>
        <v>0.47221076523077882</v>
      </c>
      <c r="S66" s="155">
        <f t="shared" si="80"/>
        <v>0.53193493465041886</v>
      </c>
      <c r="T66" s="59">
        <v>0.67500000000000004</v>
      </c>
      <c r="U66" s="143"/>
      <c r="V66" s="143"/>
    </row>
    <row r="67" spans="1:26">
      <c r="A67" s="82" t="s">
        <v>304</v>
      </c>
      <c r="I67" s="124"/>
      <c r="J67" s="111">
        <f>J66/I66-1</f>
        <v>0.32954288967124268</v>
      </c>
      <c r="K67" s="111">
        <f t="shared" ref="K67:O67" si="81">K66/J66-1</f>
        <v>0.25117242728215761</v>
      </c>
      <c r="L67" s="111">
        <f t="shared" si="81"/>
        <v>0.46242148401912986</v>
      </c>
      <c r="M67" s="111">
        <f t="shared" si="81"/>
        <v>0.17389777261489492</v>
      </c>
      <c r="N67" s="111">
        <f t="shared" si="81"/>
        <v>0.12624272623806276</v>
      </c>
      <c r="O67" s="57">
        <f t="shared" si="81"/>
        <v>0.10470802438519766</v>
      </c>
      <c r="P67" s="159">
        <f>_xlfn.RRI(6,O66,T66)</f>
        <v>0.12647778029891299</v>
      </c>
      <c r="Q67" s="159">
        <f>P67</f>
        <v>0.12647778029891299</v>
      </c>
      <c r="R67" s="159">
        <f t="shared" ref="R67:T67" si="82">Q67</f>
        <v>0.12647778029891299</v>
      </c>
      <c r="S67" s="159">
        <f t="shared" si="82"/>
        <v>0.12647778029891299</v>
      </c>
      <c r="T67" s="147">
        <f t="shared" si="82"/>
        <v>0.12647778029891299</v>
      </c>
    </row>
    <row r="68" spans="1:26">
      <c r="A68" s="47" t="s">
        <v>330</v>
      </c>
      <c r="I68" s="108">
        <f t="shared" ref="I68:T68" si="83">I65/I62</f>
        <v>63.868124679591837</v>
      </c>
      <c r="J68" s="108">
        <f t="shared" si="83"/>
        <v>93.240451342857128</v>
      </c>
      <c r="K68" s="108">
        <f t="shared" si="83"/>
        <v>131.17923941428572</v>
      </c>
      <c r="L68" s="108">
        <f t="shared" si="83"/>
        <v>199.08639670204082</v>
      </c>
      <c r="M68" s="108">
        <f t="shared" si="83"/>
        <v>245.7907035020408</v>
      </c>
      <c r="N68" s="108">
        <f t="shared" si="83"/>
        <v>308.3711242408163</v>
      </c>
      <c r="O68" s="45">
        <f t="shared" si="83"/>
        <v>351.86982323469385</v>
      </c>
      <c r="P68" s="108">
        <f t="shared" si="83"/>
        <v>409.41661437774906</v>
      </c>
      <c r="Q68" s="108">
        <f t="shared" si="83"/>
        <v>476.37493487680001</v>
      </c>
      <c r="R68" s="108">
        <f t="shared" si="83"/>
        <v>554.28399974382876</v>
      </c>
      <c r="S68" s="108">
        <f t="shared" si="83"/>
        <v>644.93475596375094</v>
      </c>
      <c r="T68" s="45">
        <f t="shared" si="83"/>
        <v>845.32137636279458</v>
      </c>
      <c r="W68" s="37" t="s">
        <v>331</v>
      </c>
    </row>
    <row r="69" spans="1:26">
      <c r="A69" s="66" t="s">
        <v>332</v>
      </c>
      <c r="I69" s="124"/>
      <c r="J69" s="111"/>
      <c r="K69" s="108"/>
      <c r="L69" s="108"/>
      <c r="M69" s="108"/>
      <c r="N69" s="133">
        <v>60000</v>
      </c>
      <c r="O69" s="45">
        <f t="shared" ref="O69:T69" si="84">O68*O70</f>
        <v>76661.6179513432</v>
      </c>
      <c r="P69" s="108">
        <f t="shared" si="84"/>
        <v>99880.298675939455</v>
      </c>
      <c r="Q69" s="108">
        <f t="shared" si="84"/>
        <v>130131.27468724492</v>
      </c>
      <c r="R69" s="108">
        <f t="shared" si="84"/>
        <v>169544.43344898138</v>
      </c>
      <c r="S69" s="108">
        <f t="shared" si="84"/>
        <v>220894.7463445818</v>
      </c>
      <c r="T69" s="45">
        <f t="shared" si="84"/>
        <v>324197.65426265897</v>
      </c>
      <c r="U69" s="143">
        <f>(T69/O69)^(1/5)-1</f>
        <v>0.33427816027690738</v>
      </c>
      <c r="W69" s="37" t="s">
        <v>333</v>
      </c>
    </row>
    <row r="70" spans="1:26">
      <c r="A70" s="44" t="s">
        <v>334</v>
      </c>
      <c r="I70" s="124"/>
      <c r="J70" s="111"/>
      <c r="K70" s="124"/>
      <c r="L70" s="124"/>
      <c r="M70" s="124"/>
      <c r="N70" s="124">
        <f>N69/N68</f>
        <v>194.57074701048919</v>
      </c>
      <c r="O70" s="99">
        <f>O71*12</f>
        <v>217.86925984900563</v>
      </c>
      <c r="P70" s="124">
        <f t="shared" ref="P70:T70" si="85">P71*12</f>
        <v>243.95760984869241</v>
      </c>
      <c r="Q70" s="124">
        <f t="shared" si="85"/>
        <v>273.16986088048367</v>
      </c>
      <c r="R70" s="124">
        <f t="shared" si="85"/>
        <v>305.88007867327769</v>
      </c>
      <c r="S70" s="124">
        <f t="shared" si="85"/>
        <v>342.50712076214631</v>
      </c>
      <c r="T70" s="99">
        <f t="shared" si="85"/>
        <v>383.52</v>
      </c>
      <c r="U70" s="143">
        <f>(T70/O70)^(1/5)-1</f>
        <v>0.11974314328587377</v>
      </c>
      <c r="W70" s="145"/>
    </row>
    <row r="71" spans="1:26">
      <c r="A71" s="47" t="s">
        <v>335</v>
      </c>
      <c r="I71" s="124"/>
      <c r="J71" s="111"/>
      <c r="K71" s="111"/>
      <c r="L71" s="111"/>
      <c r="M71" s="111"/>
      <c r="N71" s="124">
        <f>N70/12</f>
        <v>16.214228917540765</v>
      </c>
      <c r="O71" s="99">
        <f>O72*O73</f>
        <v>18.155771654083804</v>
      </c>
      <c r="P71" s="124">
        <f t="shared" ref="P71:T71" si="86">P72*P73</f>
        <v>20.329800820724369</v>
      </c>
      <c r="Q71" s="124">
        <f t="shared" si="86"/>
        <v>22.76415507337364</v>
      </c>
      <c r="R71" s="124">
        <f t="shared" si="86"/>
        <v>25.490006556106472</v>
      </c>
      <c r="S71" s="124">
        <f t="shared" si="86"/>
        <v>28.542260063512192</v>
      </c>
      <c r="T71" s="99">
        <f t="shared" si="86"/>
        <v>31.96</v>
      </c>
      <c r="W71" s="36"/>
    </row>
    <row r="72" spans="1:26">
      <c r="A72" s="47" t="s">
        <v>336</v>
      </c>
      <c r="I72" s="154">
        <v>7.99</v>
      </c>
      <c r="J72" s="154">
        <f>I72</f>
        <v>7.99</v>
      </c>
      <c r="K72" s="154">
        <f t="shared" ref="K72:T72" si="87">J72</f>
        <v>7.99</v>
      </c>
      <c r="L72" s="154">
        <f t="shared" si="87"/>
        <v>7.99</v>
      </c>
      <c r="M72" s="154">
        <f t="shared" si="87"/>
        <v>7.99</v>
      </c>
      <c r="N72" s="154">
        <f t="shared" si="87"/>
        <v>7.99</v>
      </c>
      <c r="O72" s="74">
        <f t="shared" si="87"/>
        <v>7.99</v>
      </c>
      <c r="P72" s="154">
        <f t="shared" si="87"/>
        <v>7.99</v>
      </c>
      <c r="Q72" s="154">
        <f t="shared" si="87"/>
        <v>7.99</v>
      </c>
      <c r="R72" s="154">
        <f t="shared" si="87"/>
        <v>7.99</v>
      </c>
      <c r="S72" s="154">
        <f t="shared" si="87"/>
        <v>7.99</v>
      </c>
      <c r="T72" s="74">
        <f t="shared" si="87"/>
        <v>7.99</v>
      </c>
      <c r="W72" s="37" t="s">
        <v>337</v>
      </c>
    </row>
    <row r="73" spans="1:26">
      <c r="A73" s="148" t="s">
        <v>338</v>
      </c>
      <c r="I73" s="124"/>
      <c r="J73" s="111"/>
      <c r="K73" s="111"/>
      <c r="L73" s="111"/>
      <c r="M73" s="111"/>
      <c r="N73" s="108">
        <f>N71/N72</f>
        <v>2.029315258766053</v>
      </c>
      <c r="O73" s="45">
        <f>N73*(1+O74)</f>
        <v>2.2723118465686865</v>
      </c>
      <c r="P73" s="108">
        <f t="shared" ref="P73:S73" si="88">O73*(1+P74)</f>
        <v>2.5444056096025491</v>
      </c>
      <c r="Q73" s="108">
        <f t="shared" si="88"/>
        <v>2.8490807350905683</v>
      </c>
      <c r="R73" s="108">
        <f t="shared" si="88"/>
        <v>3.1902386177855409</v>
      </c>
      <c r="S73" s="108">
        <f t="shared" si="88"/>
        <v>3.5722478177111627</v>
      </c>
      <c r="T73" s="70">
        <f>'Roku Valuation'!T61</f>
        <v>4</v>
      </c>
      <c r="W73" s="37" t="s">
        <v>339</v>
      </c>
    </row>
    <row r="74" spans="1:26">
      <c r="A74" s="149" t="s">
        <v>77</v>
      </c>
      <c r="I74" s="124"/>
      <c r="J74" s="111"/>
      <c r="K74" s="111"/>
      <c r="L74" s="111"/>
      <c r="M74" s="111"/>
      <c r="N74" s="111"/>
      <c r="O74" s="59">
        <f>_xlfn.RRI(6,N73,T73)</f>
        <v>0.11974314328587377</v>
      </c>
      <c r="P74" s="155">
        <f>O74</f>
        <v>0.11974314328587377</v>
      </c>
      <c r="Q74" s="155">
        <f t="shared" ref="Q74:T74" si="89">P74</f>
        <v>0.11974314328587377</v>
      </c>
      <c r="R74" s="155">
        <f t="shared" si="89"/>
        <v>0.11974314328587377</v>
      </c>
      <c r="S74" s="155">
        <f t="shared" si="89"/>
        <v>0.11974314328587377</v>
      </c>
      <c r="T74" s="59">
        <f t="shared" si="89"/>
        <v>0.11974314328587377</v>
      </c>
    </row>
    <row r="75" spans="1:26">
      <c r="A75" s="47"/>
      <c r="I75" s="108"/>
      <c r="J75" s="108"/>
      <c r="K75" s="108"/>
      <c r="L75" s="108"/>
      <c r="M75" s="108"/>
      <c r="N75" s="108"/>
      <c r="O75" s="45"/>
      <c r="P75" s="108"/>
      <c r="Q75" s="108"/>
      <c r="R75" s="108"/>
      <c r="S75" s="108"/>
      <c r="T75" s="45"/>
    </row>
    <row r="76" spans="1:26">
      <c r="A76" s="66" t="s">
        <v>340</v>
      </c>
      <c r="I76" s="108">
        <f t="shared" ref="I76:O76" si="90">SUM(I94,I95)</f>
        <v>59.772055072816443</v>
      </c>
      <c r="J76" s="108">
        <f t="shared" si="90"/>
        <v>69.791344268565311</v>
      </c>
      <c r="K76" s="108">
        <f t="shared" si="90"/>
        <v>73.482474148140128</v>
      </c>
      <c r="L76" s="108">
        <f t="shared" si="90"/>
        <v>78.430675651339769</v>
      </c>
      <c r="M76" s="108">
        <f t="shared" si="90"/>
        <v>87.329266235767093</v>
      </c>
      <c r="N76" s="108">
        <f t="shared" si="90"/>
        <v>96.61031068527484</v>
      </c>
      <c r="O76" s="45">
        <f t="shared" si="90"/>
        <v>101.7786109258536</v>
      </c>
      <c r="P76" s="108">
        <f>P77*P41</f>
        <v>104.57074460003496</v>
      </c>
      <c r="Q76" s="108">
        <f>Q77*Q41</f>
        <v>108.15129866483262</v>
      </c>
      <c r="R76" s="108">
        <f>R77*R41</f>
        <v>111.8544526734289</v>
      </c>
      <c r="S76" s="108">
        <f>S77*S41</f>
        <v>115.68440450859475</v>
      </c>
      <c r="T76" s="45">
        <f>T77*T41</f>
        <v>119.64549579068559</v>
      </c>
      <c r="U76" s="143">
        <f>(T76/O76)^(1/5)-1</f>
        <v>3.2875478286813031E-2</v>
      </c>
      <c r="V76" s="143"/>
      <c r="W76" s="37" t="s">
        <v>341</v>
      </c>
    </row>
    <row r="77" spans="1:26">
      <c r="A77" s="56" t="s">
        <v>342</v>
      </c>
      <c r="I77" s="111">
        <f t="shared" ref="I77:O77" si="91">I76/I41</f>
        <v>0.6289118092552648</v>
      </c>
      <c r="J77" s="111">
        <f t="shared" si="91"/>
        <v>0.70966129642916187</v>
      </c>
      <c r="K77" s="111">
        <f t="shared" si="91"/>
        <v>0.72444189534888204</v>
      </c>
      <c r="L77" s="111">
        <f t="shared" si="91"/>
        <v>0.74843575032489851</v>
      </c>
      <c r="M77" s="111">
        <f t="shared" si="91"/>
        <v>0.80990974151788486</v>
      </c>
      <c r="N77" s="111">
        <f t="shared" si="91"/>
        <v>0.8524576173066043</v>
      </c>
      <c r="O77" s="57">
        <f t="shared" si="91"/>
        <v>0.86549066716425771</v>
      </c>
      <c r="P77" s="111">
        <f>O77*(1+P78)</f>
        <v>0.8817686059248464</v>
      </c>
      <c r="Q77" s="111">
        <f t="shared" ref="Q77" si="92">P77*(1+Q78)</f>
        <v>0.89835269621351754</v>
      </c>
      <c r="R77" s="111">
        <f t="shared" ref="R77" si="93">Q77*(1+R78)</f>
        <v>0.91524869605403114</v>
      </c>
      <c r="S77" s="111">
        <f t="shared" ref="S77" si="94">R77*(1+S78)</f>
        <v>0.93246247176566299</v>
      </c>
      <c r="T77" s="57">
        <v>0.95</v>
      </c>
      <c r="U77" s="143"/>
      <c r="V77" s="143"/>
      <c r="X77" s="36"/>
      <c r="Y77" s="36"/>
      <c r="Z77" s="36"/>
    </row>
    <row r="78" spans="1:26">
      <c r="A78" s="69" t="s">
        <v>304</v>
      </c>
      <c r="I78" s="111"/>
      <c r="J78" s="111">
        <f>J77/I77-1</f>
        <v>0.12839556514214245</v>
      </c>
      <c r="K78" s="111">
        <f t="shared" ref="K78" si="95">K77/J77-1</f>
        <v>2.0827680745860722E-2</v>
      </c>
      <c r="L78" s="111">
        <f t="shared" ref="L78" si="96">L77/K77-1</f>
        <v>3.3120468501426581E-2</v>
      </c>
      <c r="M78" s="111">
        <f t="shared" ref="M78" si="97">M77/L77-1</f>
        <v>8.213663118884984E-2</v>
      </c>
      <c r="N78" s="111">
        <f t="shared" ref="N78" si="98">N77/M77-1</f>
        <v>5.2534095600552666E-2</v>
      </c>
      <c r="O78" s="57">
        <f t="shared" ref="O78" si="99">O77/N77-1</f>
        <v>1.5288795117852638E-2</v>
      </c>
      <c r="P78" s="155">
        <f>_xlfn.RRI(5,O77,T77)</f>
        <v>1.8807757701099881E-2</v>
      </c>
      <c r="Q78" s="155">
        <f>P78</f>
        <v>1.8807757701099881E-2</v>
      </c>
      <c r="R78" s="155">
        <f t="shared" ref="R78:T78" si="100">Q78</f>
        <v>1.8807757701099881E-2</v>
      </c>
      <c r="S78" s="155">
        <f t="shared" si="100"/>
        <v>1.8807757701099881E-2</v>
      </c>
      <c r="T78" s="59">
        <f t="shared" si="100"/>
        <v>1.8807757701099881E-2</v>
      </c>
      <c r="U78" s="143"/>
      <c r="V78" s="143"/>
    </row>
    <row r="79" spans="1:26">
      <c r="A79" s="66" t="s">
        <v>343</v>
      </c>
      <c r="I79" s="133">
        <v>6380</v>
      </c>
      <c r="J79" s="133">
        <v>8210</v>
      </c>
      <c r="K79" s="133">
        <v>10530</v>
      </c>
      <c r="L79" s="133">
        <v>13850</v>
      </c>
      <c r="M79" s="133">
        <v>17460</v>
      </c>
      <c r="N79" s="133">
        <v>23520</v>
      </c>
      <c r="O79" s="92">
        <v>30160</v>
      </c>
      <c r="P79" s="108">
        <f>P76*P80</f>
        <v>37008.079981671668</v>
      </c>
      <c r="Q79" s="108">
        <f>Q76*Q80</f>
        <v>45711.937373502478</v>
      </c>
      <c r="R79" s="108">
        <f>R76*R80</f>
        <v>56462.837830924553</v>
      </c>
      <c r="S79" s="108">
        <f>S76*S80</f>
        <v>69742.221378026312</v>
      </c>
      <c r="T79" s="45">
        <f>T76*T80</f>
        <v>86144.756969293623</v>
      </c>
      <c r="U79" s="143">
        <f>(T79/O79)^(1/5)-1</f>
        <v>0.23355779668134491</v>
      </c>
      <c r="W79" s="37" t="s">
        <v>344</v>
      </c>
    </row>
    <row r="80" spans="1:26">
      <c r="A80" s="44" t="s">
        <v>345</v>
      </c>
      <c r="I80" s="124">
        <f t="shared" ref="I80:O80" si="101">I79/I76</f>
        <v>106.73884296311473</v>
      </c>
      <c r="J80" s="124">
        <f t="shared" si="101"/>
        <v>117.63636430911767</v>
      </c>
      <c r="K80" s="124">
        <f t="shared" si="101"/>
        <v>143.29947544732363</v>
      </c>
      <c r="L80" s="124">
        <f t="shared" si="101"/>
        <v>176.58906907253464</v>
      </c>
      <c r="M80" s="124">
        <f t="shared" si="101"/>
        <v>199.93297496468577</v>
      </c>
      <c r="N80" s="124">
        <f t="shared" si="101"/>
        <v>243.45227577851972</v>
      </c>
      <c r="O80" s="99">
        <f t="shared" si="101"/>
        <v>296.32945199037704</v>
      </c>
      <c r="P80" s="124">
        <f>P81*12</f>
        <v>353.90471898446538</v>
      </c>
      <c r="Q80" s="124">
        <f t="shared" ref="Q80:T80" si="102">Q81*12</f>
        <v>422.66656006754499</v>
      </c>
      <c r="R80" s="124">
        <f t="shared" si="102"/>
        <v>504.78846824072247</v>
      </c>
      <c r="S80" s="124">
        <f t="shared" si="102"/>
        <v>602.86623485920973</v>
      </c>
      <c r="T80" s="99">
        <f t="shared" si="102"/>
        <v>720</v>
      </c>
      <c r="U80" s="143">
        <f>(T80/O80)^(1/5)-1</f>
        <v>0.19429478442783354</v>
      </c>
      <c r="V80" s="143"/>
      <c r="W80" s="145"/>
    </row>
    <row r="81" spans="1:23">
      <c r="A81" s="47" t="s">
        <v>335</v>
      </c>
      <c r="I81" s="124">
        <f>I80/12</f>
        <v>8.8949035802595606</v>
      </c>
      <c r="J81" s="124">
        <f t="shared" ref="J81:O81" si="103">J80/12</f>
        <v>9.8030303590931389</v>
      </c>
      <c r="K81" s="124">
        <f t="shared" si="103"/>
        <v>11.941622953943636</v>
      </c>
      <c r="L81" s="124">
        <f t="shared" si="103"/>
        <v>14.715755756044553</v>
      </c>
      <c r="M81" s="124">
        <f t="shared" si="103"/>
        <v>16.661081247057147</v>
      </c>
      <c r="N81" s="124">
        <f t="shared" si="103"/>
        <v>20.287689648209977</v>
      </c>
      <c r="O81" s="99">
        <f t="shared" si="103"/>
        <v>24.694120999198088</v>
      </c>
      <c r="P81" s="124">
        <f>P82*P84</f>
        <v>29.492059915372117</v>
      </c>
      <c r="Q81" s="124">
        <f t="shared" ref="Q81:T81" si="104">Q82*Q84</f>
        <v>35.222213338962085</v>
      </c>
      <c r="R81" s="124">
        <f t="shared" si="104"/>
        <v>42.065705686726872</v>
      </c>
      <c r="S81" s="124">
        <f t="shared" si="104"/>
        <v>50.238852904934149</v>
      </c>
      <c r="T81" s="99">
        <f t="shared" si="104"/>
        <v>60</v>
      </c>
      <c r="U81" s="143"/>
      <c r="V81" s="143"/>
      <c r="W81" s="36"/>
    </row>
    <row r="82" spans="1:23">
      <c r="A82" s="47" t="s">
        <v>336</v>
      </c>
      <c r="I82" s="110">
        <v>7.99</v>
      </c>
      <c r="J82" s="110">
        <f>I82*(1+J83)</f>
        <v>8.2909530934948794</v>
      </c>
      <c r="K82" s="110">
        <f t="shared" ref="K82:S82" si="105">J82*(1+K83)</f>
        <v>8.6032419522568588</v>
      </c>
      <c r="L82" s="110">
        <f t="shared" si="105"/>
        <v>8.9272935517082512</v>
      </c>
      <c r="M82" s="110">
        <f t="shared" si="105"/>
        <v>9.2635509498213278</v>
      </c>
      <c r="N82" s="110">
        <f t="shared" si="105"/>
        <v>9.6124738928871789</v>
      </c>
      <c r="O82" s="53">
        <f t="shared" si="105"/>
        <v>9.9745394441015911</v>
      </c>
      <c r="P82" s="110">
        <f t="shared" si="105"/>
        <v>10.350242635827382</v>
      </c>
      <c r="Q82" s="110">
        <f t="shared" si="105"/>
        <v>10.740097146424983</v>
      </c>
      <c r="R82" s="110">
        <f t="shared" si="105"/>
        <v>11.144636002576688</v>
      </c>
      <c r="S82" s="110">
        <f t="shared" si="105"/>
        <v>11.56441230806478</v>
      </c>
      <c r="T82" s="74">
        <v>12</v>
      </c>
      <c r="U82" s="143"/>
      <c r="V82" s="143"/>
      <c r="W82" s="37" t="s">
        <v>346</v>
      </c>
    </row>
    <row r="83" spans="1:23">
      <c r="A83" s="82" t="s">
        <v>77</v>
      </c>
      <c r="I83" s="110"/>
      <c r="J83" s="155">
        <f>_xlfn.RRI(11,I82,T82)</f>
        <v>3.7666219461186312E-2</v>
      </c>
      <c r="K83" s="155">
        <f>J83</f>
        <v>3.7666219461186312E-2</v>
      </c>
      <c r="L83" s="155">
        <f t="shared" ref="L83:T83" si="106">K83</f>
        <v>3.7666219461186312E-2</v>
      </c>
      <c r="M83" s="155">
        <f t="shared" si="106"/>
        <v>3.7666219461186312E-2</v>
      </c>
      <c r="N83" s="155">
        <f t="shared" si="106"/>
        <v>3.7666219461186312E-2</v>
      </c>
      <c r="O83" s="59">
        <f t="shared" si="106"/>
        <v>3.7666219461186312E-2</v>
      </c>
      <c r="P83" s="155">
        <f t="shared" si="106"/>
        <v>3.7666219461186312E-2</v>
      </c>
      <c r="Q83" s="155">
        <f t="shared" si="106"/>
        <v>3.7666219461186312E-2</v>
      </c>
      <c r="R83" s="155">
        <f t="shared" si="106"/>
        <v>3.7666219461186312E-2</v>
      </c>
      <c r="S83" s="155">
        <f t="shared" si="106"/>
        <v>3.7666219461186312E-2</v>
      </c>
      <c r="T83" s="59">
        <f t="shared" si="106"/>
        <v>3.7666219461186312E-2</v>
      </c>
      <c r="U83" s="143"/>
      <c r="V83" s="143"/>
    </row>
    <row r="84" spans="1:23">
      <c r="A84" s="148" t="s">
        <v>338</v>
      </c>
      <c r="I84" s="108">
        <f>I81/I82</f>
        <v>1.1132545156770413</v>
      </c>
      <c r="J84" s="108">
        <f t="shared" ref="J84:O84" si="107">J81/J82</f>
        <v>1.1823767724346002</v>
      </c>
      <c r="K84" s="108">
        <f t="shared" si="107"/>
        <v>1.3880375584242439</v>
      </c>
      <c r="L84" s="108">
        <f t="shared" si="107"/>
        <v>1.6484005674069797</v>
      </c>
      <c r="M84" s="108">
        <f t="shared" si="107"/>
        <v>1.7985631360270653</v>
      </c>
      <c r="N84" s="108">
        <f t="shared" si="107"/>
        <v>2.1105586214618488</v>
      </c>
      <c r="O84" s="45">
        <f t="shared" si="107"/>
        <v>2.4757154089756868</v>
      </c>
      <c r="P84" s="108">
        <f>O84*(1+P85)</f>
        <v>2.8494075890825306</v>
      </c>
      <c r="Q84" s="108">
        <f t="shared" ref="Q84:S84" si="108">P84*(1+Q85)</f>
        <v>3.2795060285545343</v>
      </c>
      <c r="R84" s="108">
        <f t="shared" si="108"/>
        <v>3.7745248635308593</v>
      </c>
      <c r="S84" s="108">
        <f t="shared" si="108"/>
        <v>4.3442633803274742</v>
      </c>
      <c r="T84" s="70">
        <v>5</v>
      </c>
      <c r="U84" s="143"/>
      <c r="V84" s="143"/>
      <c r="W84" s="37" t="s">
        <v>347</v>
      </c>
    </row>
    <row r="85" spans="1:23">
      <c r="A85" s="149" t="s">
        <v>77</v>
      </c>
      <c r="I85" s="108"/>
      <c r="J85" s="111">
        <f>J84/I84-1</f>
        <v>6.2090254999344285E-2</v>
      </c>
      <c r="K85" s="111">
        <f t="shared" ref="K85:O85" si="109">K84/J84-1</f>
        <v>0.17393845243269901</v>
      </c>
      <c r="L85" s="111">
        <f t="shared" si="109"/>
        <v>0.18757634287526792</v>
      </c>
      <c r="M85" s="111">
        <f t="shared" si="109"/>
        <v>9.1095921458155704E-2</v>
      </c>
      <c r="N85" s="111">
        <f t="shared" si="109"/>
        <v>0.17346929845563586</v>
      </c>
      <c r="O85" s="57">
        <f t="shared" si="109"/>
        <v>0.17301428342270686</v>
      </c>
      <c r="P85" s="155">
        <f>_xlfn.RRI(5,O84,T84)</f>
        <v>0.1509431087079014</v>
      </c>
      <c r="Q85" s="155">
        <f>P85</f>
        <v>0.1509431087079014</v>
      </c>
      <c r="R85" s="155">
        <f t="shared" ref="R85:T85" si="110">Q85</f>
        <v>0.1509431087079014</v>
      </c>
      <c r="S85" s="155">
        <f t="shared" si="110"/>
        <v>0.1509431087079014</v>
      </c>
      <c r="T85" s="59">
        <f t="shared" si="110"/>
        <v>0.1509431087079014</v>
      </c>
      <c r="U85" s="143"/>
      <c r="V85" s="143"/>
    </row>
    <row r="86" spans="1:23">
      <c r="A86" s="82"/>
      <c r="I86" s="111"/>
      <c r="J86" s="111"/>
      <c r="K86" s="111"/>
      <c r="L86" s="111"/>
      <c r="M86" s="111"/>
      <c r="N86" s="111"/>
      <c r="O86" s="57"/>
      <c r="P86" s="155"/>
      <c r="Q86" s="155"/>
      <c r="R86" s="155"/>
      <c r="S86" s="155"/>
      <c r="T86" s="59"/>
      <c r="U86" s="143"/>
      <c r="V86" s="143"/>
    </row>
    <row r="87" spans="1:23">
      <c r="A87" s="37" t="s">
        <v>71</v>
      </c>
      <c r="I87" s="111"/>
      <c r="J87" s="111"/>
      <c r="K87" s="111"/>
      <c r="L87" s="111"/>
      <c r="M87" s="111"/>
      <c r="N87" s="133">
        <v>665</v>
      </c>
      <c r="O87" s="45">
        <f t="shared" ref="O87:T87" si="111">O88*O34</f>
        <v>739.03874439773199</v>
      </c>
      <c r="P87" s="108">
        <f t="shared" si="111"/>
        <v>821.32070033229513</v>
      </c>
      <c r="Q87" s="108">
        <f t="shared" si="111"/>
        <v>912.76363777660958</v>
      </c>
      <c r="R87" s="108">
        <f t="shared" si="111"/>
        <v>1014.3875079614013</v>
      </c>
      <c r="S87" s="108">
        <f t="shared" si="111"/>
        <v>1127.3258198744936</v>
      </c>
      <c r="T87" s="45">
        <f t="shared" si="111"/>
        <v>1252.8382833792321</v>
      </c>
      <c r="U87" s="143">
        <f>(T87/O87)^(1/5)-1</f>
        <v>0.11133645774095036</v>
      </c>
      <c r="W87" s="37" t="s">
        <v>348</v>
      </c>
    </row>
    <row r="88" spans="1:23">
      <c r="A88" s="56" t="s">
        <v>349</v>
      </c>
      <c r="I88" s="111"/>
      <c r="J88" s="111"/>
      <c r="K88" s="111"/>
      <c r="L88" s="111"/>
      <c r="M88" s="111"/>
      <c r="N88" s="111">
        <f>N87/N34</f>
        <v>0.54153094462540718</v>
      </c>
      <c r="O88" s="57">
        <f>N88*(1+O89)</f>
        <v>0.57792000747356997</v>
      </c>
      <c r="P88" s="111">
        <f t="shared" ref="P88:S88" si="112">O88*(1+P89)</f>
        <v>0.61675429327364273</v>
      </c>
      <c r="Q88" s="111">
        <f t="shared" si="112"/>
        <v>0.65819811280519946</v>
      </c>
      <c r="R88" s="111">
        <f t="shared" si="112"/>
        <v>0.70242681798100115</v>
      </c>
      <c r="S88" s="111">
        <f t="shared" si="112"/>
        <v>0.74962754377410734</v>
      </c>
      <c r="T88" s="59">
        <f>'Roku Valuation'!T51</f>
        <v>0.8</v>
      </c>
      <c r="W88" s="37" t="s">
        <v>350</v>
      </c>
    </row>
    <row r="89" spans="1:23">
      <c r="A89" s="69" t="s">
        <v>304</v>
      </c>
      <c r="I89" s="111"/>
      <c r="J89" s="111"/>
      <c r="K89" s="111"/>
      <c r="L89" s="111"/>
      <c r="M89" s="111"/>
      <c r="N89" s="111"/>
      <c r="O89" s="59">
        <f>_xlfn.RRI(6,N88,T88)</f>
        <v>6.7196645379765219E-2</v>
      </c>
      <c r="P89" s="155">
        <f>O89</f>
        <v>6.7196645379765219E-2</v>
      </c>
      <c r="Q89" s="155">
        <f t="shared" ref="Q89:T89" si="113">P89</f>
        <v>6.7196645379765219E-2</v>
      </c>
      <c r="R89" s="155">
        <f t="shared" si="113"/>
        <v>6.7196645379765219E-2</v>
      </c>
      <c r="S89" s="155">
        <f t="shared" si="113"/>
        <v>6.7196645379765219E-2</v>
      </c>
      <c r="T89" s="59">
        <f t="shared" si="113"/>
        <v>6.7196645379765219E-2</v>
      </c>
    </row>
    <row r="90" spans="1:23">
      <c r="A90" s="44" t="s">
        <v>351</v>
      </c>
      <c r="I90" s="133">
        <v>53.46</v>
      </c>
      <c r="J90" s="133">
        <v>60.25</v>
      </c>
      <c r="K90" s="133">
        <v>66.680000000000007</v>
      </c>
      <c r="L90" s="133">
        <v>73.62</v>
      </c>
      <c r="M90" s="133">
        <v>81.55</v>
      </c>
      <c r="N90" s="133">
        <v>103.01</v>
      </c>
      <c r="O90" s="92">
        <v>107.79</v>
      </c>
      <c r="P90" s="108">
        <f>P91*P40</f>
        <v>111.52837111418954</v>
      </c>
      <c r="Q90" s="108">
        <f>Q91*Q40</f>
        <v>116.16093629258691</v>
      </c>
      <c r="R90" s="108">
        <f>R91*R40</f>
        <v>120.98592479715418</v>
      </c>
      <c r="S90" s="108">
        <f>S91*S40</f>
        <v>126.01132933496143</v>
      </c>
      <c r="T90" s="45">
        <f>T91*T40</f>
        <v>131.24547460695706</v>
      </c>
      <c r="U90" s="143">
        <f>(T90/O90)^(1/5)-1</f>
        <v>4.0162453642263118E-2</v>
      </c>
      <c r="W90" s="37" t="s">
        <v>352</v>
      </c>
    </row>
    <row r="91" spans="1:23">
      <c r="A91" s="69" t="s">
        <v>310</v>
      </c>
      <c r="I91" s="111">
        <f t="shared" ref="I91:O91" si="114">I90/I$40</f>
        <v>0.42908740669395617</v>
      </c>
      <c r="J91" s="111">
        <f t="shared" si="114"/>
        <v>0.47885868701319345</v>
      </c>
      <c r="K91" s="111">
        <f t="shared" si="114"/>
        <v>0.52828394866106798</v>
      </c>
      <c r="L91" s="111">
        <f t="shared" si="114"/>
        <v>0.57700446743475198</v>
      </c>
      <c r="M91" s="111">
        <f t="shared" si="114"/>
        <v>0.63423549541141688</v>
      </c>
      <c r="N91" s="111">
        <f t="shared" si="114"/>
        <v>0.80194628260023371</v>
      </c>
      <c r="O91" s="57">
        <f t="shared" si="114"/>
        <v>0.82959416921288986</v>
      </c>
      <c r="P91" s="111">
        <f>O91*(1+P92)</f>
        <v>0.85944797309143561</v>
      </c>
      <c r="Q91" s="111">
        <f t="shared" ref="Q91:S91" si="115">P91*(1+Q92)</f>
        <v>0.89037609696775122</v>
      </c>
      <c r="R91" s="111">
        <f t="shared" si="115"/>
        <v>0.92241720135767258</v>
      </c>
      <c r="S91" s="111">
        <f t="shared" si="115"/>
        <v>0.95561133801566811</v>
      </c>
      <c r="T91" s="59">
        <v>0.99</v>
      </c>
    </row>
    <row r="92" spans="1:23">
      <c r="A92" s="82" t="s">
        <v>304</v>
      </c>
      <c r="I92" s="111"/>
      <c r="J92" s="111">
        <f>J91/I91-1</f>
        <v>0.1159933373545412</v>
      </c>
      <c r="K92" s="111">
        <f t="shared" ref="K92:O92" si="116">K91/J91-1</f>
        <v>0.10321471237403435</v>
      </c>
      <c r="L92" s="111">
        <f t="shared" si="116"/>
        <v>9.2224113371541572E-2</v>
      </c>
      <c r="M92" s="111">
        <f t="shared" si="116"/>
        <v>9.9186455576510069E-2</v>
      </c>
      <c r="N92" s="111">
        <f t="shared" si="116"/>
        <v>0.26442983466263725</v>
      </c>
      <c r="O92" s="57">
        <f t="shared" si="116"/>
        <v>3.4475983257894249E-2</v>
      </c>
      <c r="P92" s="155">
        <f>_xlfn.RRI(5,O91,T91)</f>
        <v>3.5986033878312673E-2</v>
      </c>
      <c r="Q92" s="155">
        <f t="shared" ref="Q92:T92" si="117">P92</f>
        <v>3.5986033878312673E-2</v>
      </c>
      <c r="R92" s="155">
        <f t="shared" si="117"/>
        <v>3.5986033878312673E-2</v>
      </c>
      <c r="S92" s="155">
        <f t="shared" si="117"/>
        <v>3.5986033878312673E-2</v>
      </c>
      <c r="T92" s="59">
        <f t="shared" si="117"/>
        <v>3.5986033878312673E-2</v>
      </c>
    </row>
    <row r="93" spans="1:23">
      <c r="A93" s="47" t="s">
        <v>353</v>
      </c>
      <c r="N93" s="108"/>
      <c r="O93" s="45">
        <f>O90-N90</f>
        <v>4.7800000000000011</v>
      </c>
      <c r="P93" s="108">
        <f t="shared" ref="P93:T93" si="118">P90-O90</f>
        <v>3.7383711141895333</v>
      </c>
      <c r="Q93" s="108">
        <f t="shared" si="118"/>
        <v>4.6325651783973711</v>
      </c>
      <c r="R93" s="108">
        <f t="shared" si="118"/>
        <v>4.8249885045672727</v>
      </c>
      <c r="S93" s="108">
        <f t="shared" si="118"/>
        <v>5.0254045378072476</v>
      </c>
      <c r="T93" s="45">
        <f t="shared" si="118"/>
        <v>5.2341452719956294</v>
      </c>
    </row>
    <row r="94" spans="1:23">
      <c r="A94" s="47" t="s">
        <v>354</v>
      </c>
      <c r="I94" s="133">
        <v>32.414414583939717</v>
      </c>
      <c r="J94" s="133">
        <v>38.678756906187132</v>
      </c>
      <c r="K94" s="133">
        <v>41.646353030822013</v>
      </c>
      <c r="L94" s="133">
        <v>43.86574912511665</v>
      </c>
      <c r="M94" s="133">
        <v>46.375923351793517</v>
      </c>
      <c r="N94" s="133">
        <v>49.162656178299642</v>
      </c>
      <c r="O94" s="92">
        <v>44.49172035466124</v>
      </c>
      <c r="P94" s="133">
        <v>41.38</v>
      </c>
      <c r="Q94" s="133">
        <v>39.03</v>
      </c>
      <c r="R94" s="133">
        <v>36.04</v>
      </c>
      <c r="S94" s="133">
        <v>33.44</v>
      </c>
      <c r="T94" s="92">
        <v>30.71</v>
      </c>
      <c r="U94" s="143">
        <f>(T94/O94)^(1/5)-1</f>
        <v>-7.146105548207804E-2</v>
      </c>
      <c r="V94" s="143"/>
      <c r="W94" s="37" t="s">
        <v>355</v>
      </c>
    </row>
    <row r="95" spans="1:23">
      <c r="A95" s="47" t="s">
        <v>356</v>
      </c>
      <c r="I95" s="133">
        <v>27.357640488876722</v>
      </c>
      <c r="J95" s="133">
        <v>31.112587362378182</v>
      </c>
      <c r="K95" s="133">
        <v>31.836121117318111</v>
      </c>
      <c r="L95" s="133">
        <v>34.564926526223118</v>
      </c>
      <c r="M95" s="133">
        <v>40.953342883973576</v>
      </c>
      <c r="N95" s="133">
        <v>47.447654506975198</v>
      </c>
      <c r="O95" s="92">
        <v>57.286890571192359</v>
      </c>
      <c r="P95" s="133">
        <f>P96*P76</f>
        <v>60.577571161017175</v>
      </c>
      <c r="Q95" s="133">
        <f>Q96*Q76</f>
        <v>64.48167642153048</v>
      </c>
      <c r="R95" s="133">
        <f>R96*R76</f>
        <v>68.637393583825968</v>
      </c>
      <c r="S95" s="133">
        <f>S96*S76</f>
        <v>73.060938539867038</v>
      </c>
      <c r="T95" s="92">
        <f>T96*T76</f>
        <v>77.769572263945633</v>
      </c>
      <c r="U95" s="143">
        <f>(T95/O95)^(1/5)-1</f>
        <v>6.3043146807655104E-2</v>
      </c>
      <c r="V95" s="143"/>
      <c r="W95" s="37" t="s">
        <v>355</v>
      </c>
    </row>
    <row r="96" spans="1:23">
      <c r="A96" s="82" t="s">
        <v>357</v>
      </c>
      <c r="I96" s="111">
        <f t="shared" ref="I96:O96" si="119">I95/I76</f>
        <v>0.45769951285008809</v>
      </c>
      <c r="J96" s="111">
        <f t="shared" si="119"/>
        <v>0.44579435585383315</v>
      </c>
      <c r="K96" s="111">
        <f t="shared" si="119"/>
        <v>0.43324781162290105</v>
      </c>
      <c r="L96" s="111">
        <f t="shared" si="119"/>
        <v>0.44070672908493136</v>
      </c>
      <c r="M96" s="111">
        <f t="shared" si="119"/>
        <v>0.46895324613640782</v>
      </c>
      <c r="N96" s="111">
        <f t="shared" si="119"/>
        <v>0.49112412712908377</v>
      </c>
      <c r="O96" s="57">
        <f t="shared" si="119"/>
        <v>0.56285785441625102</v>
      </c>
      <c r="P96" s="111">
        <f>O96*(1+P97)</f>
        <v>0.57929750230540988</v>
      </c>
      <c r="Q96" s="111">
        <f t="shared" ref="Q96" si="120">P96*(1+Q97)</f>
        <v>0.59621731054162441</v>
      </c>
      <c r="R96" s="111">
        <f t="shared" ref="R96" si="121">Q96*(1+R97)</f>
        <v>0.6136313033887012</v>
      </c>
      <c r="S96" s="111">
        <f t="shared" ref="S96" si="122">R96*(1+S97)</f>
        <v>0.63155391472356148</v>
      </c>
      <c r="T96" s="57">
        <v>0.65</v>
      </c>
      <c r="U96" s="143"/>
      <c r="V96" s="143"/>
    </row>
    <row r="97" spans="1:22">
      <c r="A97" s="149" t="s">
        <v>304</v>
      </c>
      <c r="I97" s="111"/>
      <c r="J97" s="111">
        <f>J96/I96-1</f>
        <v>-2.601085791444635E-2</v>
      </c>
      <c r="K97" s="111">
        <f t="shared" ref="K97" si="123">K96/J96-1</f>
        <v>-2.8144241994499053E-2</v>
      </c>
      <c r="L97" s="111">
        <f t="shared" ref="L97" si="124">L96/K96-1</f>
        <v>1.7216284218701583E-2</v>
      </c>
      <c r="M97" s="111">
        <f t="shared" ref="M97" si="125">M96/L96-1</f>
        <v>6.4093682232006177E-2</v>
      </c>
      <c r="N97" s="111">
        <f t="shared" ref="N97" si="126">N96/M96-1</f>
        <v>4.7277380368589972E-2</v>
      </c>
      <c r="O97" s="57">
        <f t="shared" ref="O97" si="127">O96/N96-1</f>
        <v>0.14606027951934286</v>
      </c>
      <c r="P97" s="155">
        <f>_xlfn.RRI(5,O96,T96)</f>
        <v>2.9207459325958363E-2</v>
      </c>
      <c r="Q97" s="155">
        <f>P97</f>
        <v>2.9207459325958363E-2</v>
      </c>
      <c r="R97" s="155">
        <f t="shared" ref="R97:T97" si="128">Q97</f>
        <v>2.9207459325958363E-2</v>
      </c>
      <c r="S97" s="155">
        <f t="shared" si="128"/>
        <v>2.9207459325958363E-2</v>
      </c>
      <c r="T97" s="59">
        <f t="shared" si="128"/>
        <v>2.9207459325958363E-2</v>
      </c>
      <c r="U97" s="143"/>
      <c r="V97" s="143"/>
    </row>
    <row r="98" spans="1:22">
      <c r="A98" s="44" t="s">
        <v>358</v>
      </c>
      <c r="N98" s="108">
        <f t="shared" ref="N98:T98" si="129">N87-N90</f>
        <v>561.99</v>
      </c>
      <c r="O98" s="45">
        <f t="shared" si="129"/>
        <v>631.24874439773203</v>
      </c>
      <c r="P98" s="108">
        <f t="shared" si="129"/>
        <v>709.79232921810558</v>
      </c>
      <c r="Q98" s="108">
        <f t="shared" si="129"/>
        <v>796.60270148402265</v>
      </c>
      <c r="R98" s="108">
        <f t="shared" si="129"/>
        <v>893.40158316424709</v>
      </c>
      <c r="S98" s="108">
        <f t="shared" si="129"/>
        <v>1001.3144905395322</v>
      </c>
      <c r="T98" s="45">
        <f t="shared" si="129"/>
        <v>1121.592808772275</v>
      </c>
      <c r="U98" s="143">
        <f>(T98/O98)^(1/5)-1</f>
        <v>0.12182971075151672</v>
      </c>
    </row>
    <row r="99" spans="1:22">
      <c r="A99" s="47" t="s">
        <v>353</v>
      </c>
      <c r="N99" s="108"/>
      <c r="O99" s="45">
        <f>O98-N98</f>
        <v>69.258744397732016</v>
      </c>
      <c r="P99" s="108">
        <f t="shared" ref="P99:T99" si="130">P98-O98</f>
        <v>78.543584820373553</v>
      </c>
      <c r="Q99" s="108">
        <f t="shared" si="130"/>
        <v>86.810372265917067</v>
      </c>
      <c r="R99" s="108">
        <f t="shared" si="130"/>
        <v>96.79888168022444</v>
      </c>
      <c r="S99" s="108">
        <f t="shared" si="130"/>
        <v>107.91290737528516</v>
      </c>
      <c r="T99" s="45">
        <f t="shared" si="130"/>
        <v>120.27831823274278</v>
      </c>
    </row>
    <row r="101" spans="1:22" s="139" customFormat="1">
      <c r="A101" s="31"/>
      <c r="I101" s="151"/>
      <c r="J101" s="151"/>
      <c r="K101" s="151"/>
      <c r="L101" s="151"/>
      <c r="M101" s="151"/>
      <c r="N101" s="151"/>
      <c r="P101" s="151"/>
      <c r="Q101" s="151"/>
      <c r="R101" s="151"/>
      <c r="S101" s="151"/>
      <c r="U101" s="140"/>
      <c r="V101" s="140"/>
    </row>
    <row r="103" spans="1:22">
      <c r="A103" s="82"/>
      <c r="I103" s="124"/>
      <c r="J103" s="111"/>
      <c r="K103" s="111"/>
      <c r="L103" s="111"/>
      <c r="M103" s="111"/>
      <c r="N103" s="111"/>
      <c r="O103" s="57"/>
      <c r="P103" s="111"/>
      <c r="Q103" s="111"/>
      <c r="R103" s="111"/>
      <c r="S103" s="111"/>
      <c r="T103" s="57"/>
    </row>
    <row r="114" spans="1:23">
      <c r="A114" s="47"/>
      <c r="N114" s="108"/>
      <c r="O114" s="45"/>
      <c r="P114" s="108"/>
      <c r="Q114" s="108"/>
      <c r="R114" s="108"/>
      <c r="S114" s="108"/>
      <c r="T114" s="38"/>
      <c r="U114" s="143"/>
      <c r="V114" s="143"/>
    </row>
    <row r="115" spans="1:23">
      <c r="A115" s="47"/>
      <c r="N115" s="108"/>
      <c r="O115" s="45"/>
      <c r="P115" s="108"/>
      <c r="Q115" s="108"/>
      <c r="R115" s="108"/>
      <c r="S115" s="108"/>
      <c r="T115" s="45"/>
      <c r="U115" s="143"/>
      <c r="V115" s="143"/>
    </row>
    <row r="116" spans="1:23">
      <c r="A116" s="47"/>
      <c r="N116" s="108"/>
      <c r="O116" s="45"/>
      <c r="P116" s="108"/>
      <c r="Q116" s="108"/>
      <c r="R116" s="108"/>
      <c r="S116" s="108"/>
      <c r="T116" s="45"/>
      <c r="U116" s="143"/>
      <c r="V116" s="143"/>
    </row>
    <row r="117" spans="1:23">
      <c r="A117" s="47"/>
      <c r="N117" s="108"/>
      <c r="O117" s="45"/>
      <c r="P117" s="108"/>
      <c r="Q117" s="108"/>
      <c r="R117" s="108"/>
      <c r="S117" s="108"/>
      <c r="T117" s="45"/>
      <c r="U117" s="143"/>
      <c r="V117" s="143"/>
    </row>
    <row r="118" spans="1:23">
      <c r="A118" s="47"/>
      <c r="N118" s="108"/>
      <c r="O118" s="45"/>
      <c r="P118" s="108"/>
      <c r="Q118" s="108"/>
      <c r="R118" s="108"/>
      <c r="S118" s="108"/>
      <c r="T118" s="45"/>
      <c r="U118" s="143"/>
      <c r="V118" s="143"/>
    </row>
    <row r="119" spans="1:23">
      <c r="A119" s="47"/>
      <c r="N119" s="108"/>
      <c r="O119" s="45"/>
      <c r="P119" s="108"/>
      <c r="Q119" s="108"/>
      <c r="R119" s="108"/>
      <c r="S119" s="108"/>
      <c r="T119" s="45"/>
      <c r="U119" s="143"/>
      <c r="V119" s="143"/>
    </row>
    <row r="122" spans="1:23" s="141" customFormat="1">
      <c r="A122" s="69"/>
      <c r="B122" s="37"/>
      <c r="C122" s="37"/>
      <c r="D122" s="37"/>
      <c r="E122" s="37"/>
      <c r="F122" s="37"/>
      <c r="G122" s="37"/>
      <c r="H122" s="37"/>
      <c r="I122" s="111"/>
      <c r="J122" s="111"/>
      <c r="K122" s="111"/>
      <c r="L122" s="111"/>
      <c r="M122" s="111"/>
      <c r="N122" s="111"/>
      <c r="O122" s="57"/>
      <c r="P122" s="111"/>
      <c r="Q122" s="111"/>
      <c r="R122" s="111"/>
      <c r="S122" s="111"/>
      <c r="T122" s="57"/>
      <c r="W122" s="37"/>
    </row>
    <row r="125" spans="1:23" s="141" customFormat="1">
      <c r="A125" s="69"/>
      <c r="B125" s="37"/>
      <c r="C125" s="37"/>
      <c r="D125" s="37"/>
      <c r="E125" s="37"/>
      <c r="F125" s="37"/>
      <c r="G125" s="37"/>
      <c r="H125" s="37"/>
      <c r="I125" s="111"/>
      <c r="J125" s="111"/>
      <c r="K125" s="111"/>
      <c r="L125" s="111"/>
      <c r="M125" s="111"/>
      <c r="N125" s="111"/>
      <c r="O125" s="57"/>
      <c r="P125" s="111"/>
      <c r="Q125" s="111"/>
      <c r="R125" s="111"/>
      <c r="S125" s="111"/>
      <c r="T125" s="57"/>
      <c r="W125" s="37"/>
    </row>
    <row r="126" spans="1:23" s="141" customFormat="1">
      <c r="A126" s="37"/>
      <c r="B126" s="37"/>
      <c r="C126" s="37"/>
      <c r="D126" s="37"/>
      <c r="E126" s="37"/>
      <c r="F126" s="37"/>
      <c r="G126" s="37"/>
      <c r="H126" s="37"/>
      <c r="I126" s="111"/>
      <c r="J126" s="111"/>
      <c r="K126" s="111"/>
      <c r="L126" s="111"/>
      <c r="M126" s="108"/>
      <c r="N126" s="108"/>
      <c r="O126" s="57"/>
      <c r="P126" s="111"/>
      <c r="Q126" s="111"/>
      <c r="R126" s="111"/>
      <c r="S126" s="111"/>
      <c r="T126" s="57"/>
      <c r="W126" s="37"/>
    </row>
    <row r="127" spans="1:23" s="141" customFormat="1">
      <c r="A127" s="44"/>
      <c r="B127" s="37"/>
      <c r="C127" s="37"/>
      <c r="D127" s="37"/>
      <c r="E127" s="37"/>
      <c r="F127" s="37"/>
      <c r="G127" s="37"/>
      <c r="H127" s="37"/>
      <c r="I127" s="111"/>
      <c r="J127" s="111"/>
      <c r="K127" s="111"/>
      <c r="L127" s="111"/>
      <c r="M127" s="108"/>
      <c r="N127" s="108"/>
      <c r="O127" s="57"/>
      <c r="P127" s="111"/>
      <c r="Q127" s="111"/>
      <c r="R127" s="111"/>
      <c r="S127" s="111"/>
      <c r="T127" s="57"/>
      <c r="W127" s="37"/>
    </row>
    <row r="128" spans="1:23" s="141" customFormat="1">
      <c r="A128" s="69"/>
      <c r="B128" s="37"/>
      <c r="C128" s="37"/>
      <c r="D128" s="37"/>
      <c r="E128" s="37"/>
      <c r="F128" s="37"/>
      <c r="G128" s="37"/>
      <c r="H128" s="37"/>
      <c r="I128" s="111"/>
      <c r="J128" s="111"/>
      <c r="K128" s="111"/>
      <c r="L128" s="111"/>
      <c r="M128" s="111"/>
      <c r="N128" s="111"/>
      <c r="O128" s="57"/>
      <c r="P128" s="111"/>
      <c r="Q128" s="111"/>
      <c r="R128" s="111"/>
      <c r="S128" s="111"/>
      <c r="T128" s="57"/>
      <c r="W128" s="37"/>
    </row>
    <row r="129" spans="1:23" s="141" customFormat="1">
      <c r="A129" s="69"/>
      <c r="B129" s="37"/>
      <c r="C129" s="37"/>
      <c r="D129" s="37"/>
      <c r="E129" s="37"/>
      <c r="F129" s="37"/>
      <c r="G129" s="37"/>
      <c r="H129" s="37"/>
      <c r="I129" s="156"/>
      <c r="J129" s="156"/>
      <c r="K129" s="156"/>
      <c r="L129" s="156"/>
      <c r="M129" s="156"/>
      <c r="N129" s="156"/>
      <c r="O129" s="150"/>
      <c r="P129" s="156"/>
      <c r="Q129" s="111"/>
      <c r="R129" s="111"/>
      <c r="S129" s="111"/>
      <c r="T129" s="57"/>
      <c r="W129" s="37"/>
    </row>
    <row r="130" spans="1:23" s="141" customFormat="1">
      <c r="A130" s="69"/>
      <c r="B130" s="37"/>
      <c r="C130" s="37"/>
      <c r="D130" s="37"/>
      <c r="E130" s="37"/>
      <c r="F130" s="37"/>
      <c r="G130" s="37"/>
      <c r="H130" s="37"/>
      <c r="I130" s="156"/>
      <c r="J130" s="156"/>
      <c r="K130" s="156"/>
      <c r="L130" s="156"/>
      <c r="M130" s="156"/>
      <c r="N130" s="156"/>
      <c r="O130" s="150"/>
      <c r="P130" s="156"/>
      <c r="Q130" s="111"/>
      <c r="R130" s="111"/>
      <c r="S130" s="111"/>
      <c r="T130" s="57"/>
      <c r="W130" s="37"/>
    </row>
    <row r="131" spans="1:23" s="141" customFormat="1">
      <c r="A131" s="69"/>
      <c r="B131" s="37"/>
      <c r="C131" s="37"/>
      <c r="D131" s="37"/>
      <c r="E131" s="37"/>
      <c r="F131" s="37"/>
      <c r="G131" s="37"/>
      <c r="H131" s="37"/>
      <c r="I131" s="157"/>
      <c r="J131" s="111"/>
      <c r="K131" s="111"/>
      <c r="L131" s="111"/>
      <c r="M131" s="111"/>
      <c r="N131" s="111"/>
      <c r="O131" s="57"/>
      <c r="P131" s="111"/>
      <c r="Q131" s="111"/>
      <c r="R131" s="111"/>
      <c r="S131" s="111"/>
      <c r="T131" s="57"/>
      <c r="W131" s="37"/>
    </row>
    <row r="132" spans="1:23" s="141" customFormat="1">
      <c r="A132" s="69"/>
      <c r="B132" s="37"/>
      <c r="C132" s="37"/>
      <c r="D132" s="37"/>
      <c r="E132" s="37"/>
      <c r="F132" s="37"/>
      <c r="G132" s="37"/>
      <c r="H132" s="37"/>
      <c r="I132" s="156"/>
      <c r="J132" s="111"/>
      <c r="K132" s="111"/>
      <c r="L132" s="111"/>
      <c r="M132" s="111"/>
      <c r="N132" s="111"/>
      <c r="O132" s="57"/>
      <c r="P132" s="111"/>
      <c r="Q132" s="111"/>
      <c r="R132" s="111"/>
      <c r="S132" s="111"/>
      <c r="T132" s="57"/>
      <c r="W132" s="37"/>
    </row>
    <row r="133" spans="1:23" s="141" customFormat="1">
      <c r="A133" s="44"/>
      <c r="B133" s="37"/>
      <c r="C133" s="37"/>
      <c r="D133" s="37"/>
      <c r="E133" s="37"/>
      <c r="F133" s="37"/>
      <c r="G133" s="37"/>
      <c r="H133" s="37"/>
      <c r="I133" s="157"/>
      <c r="J133" s="108"/>
      <c r="K133" s="108"/>
      <c r="L133" s="108"/>
      <c r="M133" s="108"/>
      <c r="N133" s="108"/>
      <c r="O133" s="45"/>
      <c r="P133" s="108"/>
      <c r="Q133" s="108"/>
      <c r="R133" s="108"/>
      <c r="S133" s="108"/>
      <c r="T133" s="45"/>
      <c r="W133" s="37"/>
    </row>
    <row r="134" spans="1:23" s="141" customFormat="1">
      <c r="A134" s="69"/>
      <c r="B134" s="37"/>
      <c r="C134" s="37"/>
      <c r="D134" s="37"/>
      <c r="E134" s="37"/>
      <c r="F134" s="37"/>
      <c r="G134" s="37"/>
      <c r="H134" s="37"/>
      <c r="I134" s="111"/>
      <c r="J134" s="111"/>
      <c r="K134" s="111"/>
      <c r="L134" s="111"/>
      <c r="M134" s="111"/>
      <c r="N134" s="111"/>
      <c r="O134" s="37"/>
      <c r="P134" s="106"/>
      <c r="Q134" s="106"/>
      <c r="R134" s="106"/>
      <c r="S134" s="106"/>
      <c r="T134" s="37"/>
      <c r="W134" s="37"/>
    </row>
    <row r="135" spans="1:23" s="141" customFormat="1">
      <c r="A135" s="56"/>
      <c r="B135" s="37"/>
      <c r="C135" s="37"/>
      <c r="D135" s="37"/>
      <c r="E135" s="37"/>
      <c r="F135" s="37"/>
      <c r="G135" s="37"/>
      <c r="H135" s="37"/>
      <c r="I135" s="108"/>
      <c r="J135" s="108"/>
      <c r="K135" s="108"/>
      <c r="L135" s="108"/>
      <c r="M135" s="108"/>
      <c r="N135" s="111"/>
      <c r="O135" s="57"/>
      <c r="P135" s="111"/>
      <c r="Q135" s="111"/>
      <c r="R135" s="111"/>
      <c r="S135" s="111"/>
      <c r="T135" s="57"/>
      <c r="W135" s="37"/>
    </row>
    <row r="136" spans="1:23" s="141" customFormat="1">
      <c r="A136" s="56"/>
      <c r="B136" s="37"/>
      <c r="C136" s="37"/>
      <c r="D136" s="37"/>
      <c r="E136" s="37"/>
      <c r="F136" s="37"/>
      <c r="G136" s="37"/>
      <c r="H136" s="37"/>
      <c r="I136" s="108"/>
      <c r="J136" s="108"/>
      <c r="K136" s="108"/>
      <c r="L136" s="108"/>
      <c r="M136" s="108"/>
      <c r="N136" s="111"/>
      <c r="O136" s="57"/>
      <c r="P136" s="111"/>
      <c r="Q136" s="111"/>
      <c r="R136" s="111"/>
      <c r="S136" s="111"/>
      <c r="T136" s="57"/>
      <c r="W136" s="37"/>
    </row>
    <row r="137" spans="1:23" s="141" customFormat="1">
      <c r="A137" s="56"/>
      <c r="B137" s="37"/>
      <c r="C137" s="37"/>
      <c r="D137" s="37"/>
      <c r="E137" s="37"/>
      <c r="F137" s="37"/>
      <c r="G137" s="37"/>
      <c r="H137" s="37"/>
      <c r="I137" s="108"/>
      <c r="J137" s="108"/>
      <c r="K137" s="108"/>
      <c r="L137" s="108"/>
      <c r="M137" s="108"/>
      <c r="N137" s="111"/>
      <c r="O137" s="57"/>
      <c r="P137" s="111"/>
      <c r="Q137" s="111"/>
      <c r="R137" s="111"/>
      <c r="S137" s="111"/>
      <c r="T137" s="57"/>
      <c r="W137" s="37"/>
    </row>
    <row r="140" spans="1:23" s="141" customFormat="1">
      <c r="A140" s="56"/>
      <c r="B140" s="37"/>
      <c r="C140" s="37"/>
      <c r="D140" s="37"/>
      <c r="E140" s="37"/>
      <c r="F140" s="37"/>
      <c r="G140" s="37"/>
      <c r="H140" s="37"/>
      <c r="I140" s="108"/>
      <c r="J140" s="108"/>
      <c r="K140" s="108"/>
      <c r="L140" s="108"/>
      <c r="M140" s="108"/>
      <c r="N140" s="111"/>
      <c r="O140" s="57"/>
      <c r="P140" s="111"/>
      <c r="Q140" s="111"/>
      <c r="R140" s="111"/>
      <c r="S140" s="111"/>
      <c r="T140" s="57"/>
      <c r="W140" s="37"/>
    </row>
    <row r="141" spans="1:23" s="141" customFormat="1">
      <c r="A141" s="56"/>
      <c r="B141" s="37"/>
      <c r="C141" s="37"/>
      <c r="D141" s="37"/>
      <c r="E141" s="37"/>
      <c r="F141" s="37"/>
      <c r="G141" s="37"/>
      <c r="H141" s="37"/>
      <c r="I141" s="108"/>
      <c r="J141" s="108"/>
      <c r="K141" s="108"/>
      <c r="L141" s="108"/>
      <c r="M141" s="108"/>
      <c r="N141" s="111"/>
      <c r="O141" s="57"/>
      <c r="P141" s="111"/>
      <c r="Q141" s="111"/>
      <c r="R141" s="111"/>
      <c r="S141" s="111"/>
      <c r="T141" s="57"/>
      <c r="W141" s="37"/>
    </row>
    <row r="145" spans="1:23" s="141" customFormat="1">
      <c r="A145" s="37"/>
      <c r="B145" s="37"/>
      <c r="C145" s="37"/>
      <c r="D145" s="37"/>
      <c r="E145" s="37"/>
      <c r="F145" s="37"/>
      <c r="G145" s="37"/>
      <c r="H145" s="37"/>
      <c r="I145" s="106"/>
      <c r="J145" s="106"/>
      <c r="K145" s="106"/>
      <c r="L145" s="106"/>
      <c r="M145" s="106"/>
      <c r="N145" s="106"/>
      <c r="O145" s="37"/>
      <c r="P145" s="106"/>
      <c r="Q145" s="111"/>
      <c r="R145" s="111"/>
      <c r="S145" s="106"/>
      <c r="T145" s="37"/>
      <c r="W145" s="37"/>
    </row>
    <row r="146" spans="1:23" s="141" customFormat="1">
      <c r="A146" s="56"/>
      <c r="B146" s="37"/>
      <c r="C146" s="37"/>
      <c r="D146" s="37"/>
      <c r="E146" s="37"/>
      <c r="F146" s="37"/>
      <c r="G146" s="37"/>
      <c r="H146" s="37"/>
      <c r="I146" s="108"/>
      <c r="J146" s="108"/>
      <c r="K146" s="108"/>
      <c r="L146" s="108"/>
      <c r="M146" s="108"/>
      <c r="N146" s="111"/>
      <c r="O146" s="57"/>
      <c r="P146" s="111"/>
      <c r="Q146" s="111"/>
      <c r="R146" s="111"/>
      <c r="S146" s="111"/>
      <c r="T146" s="57"/>
      <c r="W146" s="37"/>
    </row>
    <row r="147" spans="1:23" s="141" customFormat="1">
      <c r="A147" s="56"/>
      <c r="B147" s="37"/>
      <c r="C147" s="37"/>
      <c r="D147" s="37"/>
      <c r="E147" s="37"/>
      <c r="F147" s="37"/>
      <c r="G147" s="37"/>
      <c r="H147" s="37"/>
      <c r="I147" s="108"/>
      <c r="J147" s="108"/>
      <c r="K147" s="108"/>
      <c r="L147" s="108"/>
      <c r="M147" s="108"/>
      <c r="N147" s="111"/>
      <c r="O147" s="57"/>
      <c r="P147" s="111"/>
      <c r="Q147" s="111"/>
      <c r="R147" s="111"/>
      <c r="S147" s="111"/>
      <c r="T147" s="57"/>
      <c r="W147" s="37"/>
    </row>
    <row r="148" spans="1:23" s="141" customFormat="1">
      <c r="A148" s="56"/>
      <c r="B148" s="37"/>
      <c r="C148" s="37"/>
      <c r="D148" s="37"/>
      <c r="E148" s="37"/>
      <c r="F148" s="37"/>
      <c r="G148" s="37"/>
      <c r="H148" s="37"/>
      <c r="I148" s="108"/>
      <c r="J148" s="108"/>
      <c r="K148" s="108"/>
      <c r="L148" s="108"/>
      <c r="M148" s="108"/>
      <c r="N148" s="111"/>
      <c r="O148" s="57"/>
      <c r="P148" s="111"/>
      <c r="Q148" s="111"/>
      <c r="R148" s="111"/>
      <c r="S148" s="111"/>
      <c r="T148" s="57"/>
      <c r="W148" s="37"/>
    </row>
    <row r="157" spans="1:23" s="141" customFormat="1">
      <c r="A157" s="47"/>
      <c r="B157" s="37"/>
      <c r="C157" s="37"/>
      <c r="D157" s="37"/>
      <c r="E157" s="37"/>
      <c r="F157" s="37"/>
      <c r="G157" s="37"/>
      <c r="H157" s="37"/>
      <c r="I157" s="108"/>
      <c r="J157" s="108"/>
      <c r="K157" s="108"/>
      <c r="L157" s="108"/>
      <c r="M157" s="108"/>
      <c r="N157" s="108"/>
      <c r="O157" s="37"/>
      <c r="P157" s="106"/>
      <c r="Q157" s="106"/>
      <c r="R157" s="106"/>
      <c r="S157" s="106"/>
      <c r="T157" s="37"/>
      <c r="W157" s="37"/>
    </row>
    <row r="158" spans="1:23" s="141" customFormat="1">
      <c r="A158" s="44"/>
      <c r="B158" s="37"/>
      <c r="C158" s="37"/>
      <c r="D158" s="37"/>
      <c r="E158" s="37"/>
      <c r="F158" s="37"/>
      <c r="G158" s="37"/>
      <c r="H158" s="37"/>
      <c r="I158" s="108"/>
      <c r="J158" s="108"/>
      <c r="K158" s="108"/>
      <c r="L158" s="108"/>
      <c r="M158" s="108"/>
      <c r="N158" s="108"/>
      <c r="O158" s="37"/>
      <c r="P158" s="106"/>
      <c r="Q158" s="106"/>
      <c r="R158" s="106"/>
      <c r="S158" s="106"/>
      <c r="T158" s="37"/>
      <c r="W158" s="37"/>
    </row>
    <row r="159" spans="1:23" s="141" customFormat="1">
      <c r="A159" s="69"/>
      <c r="B159" s="37"/>
      <c r="C159" s="37"/>
      <c r="D159" s="37"/>
      <c r="E159" s="37"/>
      <c r="F159" s="37"/>
      <c r="G159" s="37"/>
      <c r="H159" s="37"/>
      <c r="I159" s="111"/>
      <c r="J159" s="111"/>
      <c r="K159" s="111"/>
      <c r="L159" s="111"/>
      <c r="M159" s="111"/>
      <c r="N159" s="111"/>
      <c r="O159" s="37"/>
      <c r="P159" s="106"/>
      <c r="Q159" s="106"/>
      <c r="R159" s="106"/>
      <c r="S159" s="106"/>
      <c r="T159" s="37"/>
      <c r="W159" s="37"/>
    </row>
    <row r="160" spans="1:23" s="141" customFormat="1">
      <c r="A160" s="82"/>
      <c r="B160" s="37"/>
      <c r="C160" s="37"/>
      <c r="D160" s="37"/>
      <c r="E160" s="37"/>
      <c r="F160" s="37"/>
      <c r="G160" s="37"/>
      <c r="H160" s="37"/>
      <c r="I160" s="111"/>
      <c r="J160" s="111"/>
      <c r="K160" s="111"/>
      <c r="L160" s="111"/>
      <c r="M160" s="111"/>
      <c r="N160" s="111"/>
      <c r="O160" s="37"/>
      <c r="P160" s="106"/>
      <c r="Q160" s="106"/>
      <c r="R160" s="106"/>
      <c r="S160" s="106"/>
      <c r="T160" s="37"/>
      <c r="W160" s="37"/>
    </row>
    <row r="163" spans="1:23" s="141" customFormat="1">
      <c r="A163" s="82"/>
      <c r="B163" s="37"/>
      <c r="C163" s="37"/>
      <c r="D163" s="37"/>
      <c r="E163" s="37"/>
      <c r="F163" s="37"/>
      <c r="G163" s="37"/>
      <c r="H163" s="37"/>
      <c r="I163" s="111"/>
      <c r="J163" s="111"/>
      <c r="K163" s="111"/>
      <c r="L163" s="111"/>
      <c r="M163" s="111"/>
      <c r="N163" s="111"/>
      <c r="O163" s="37"/>
      <c r="P163" s="106"/>
      <c r="Q163" s="106"/>
      <c r="R163" s="106"/>
      <c r="S163" s="106"/>
      <c r="T163" s="37"/>
      <c r="W163" s="37"/>
    </row>
    <row r="166" spans="1:23" s="141" customFormat="1">
      <c r="A166" s="44"/>
      <c r="B166" s="37"/>
      <c r="C166" s="37"/>
      <c r="D166" s="37"/>
      <c r="E166" s="37"/>
      <c r="F166" s="37"/>
      <c r="G166" s="37"/>
      <c r="H166" s="37"/>
      <c r="I166" s="108"/>
      <c r="J166" s="108"/>
      <c r="K166" s="108"/>
      <c r="L166" s="108"/>
      <c r="M166" s="108"/>
      <c r="N166" s="108"/>
      <c r="O166" s="45"/>
      <c r="P166" s="108"/>
      <c r="Q166" s="108"/>
      <c r="R166" s="108"/>
      <c r="S166" s="108"/>
      <c r="T166" s="45"/>
      <c r="W166" s="37"/>
    </row>
    <row r="167" spans="1:23" s="141" customFormat="1">
      <c r="A167" s="69"/>
      <c r="B167" s="37"/>
      <c r="C167" s="37"/>
      <c r="D167" s="37"/>
      <c r="E167" s="37"/>
      <c r="F167" s="37"/>
      <c r="G167" s="37"/>
      <c r="H167" s="37"/>
      <c r="I167" s="106"/>
      <c r="J167" s="111"/>
      <c r="K167" s="111"/>
      <c r="L167" s="111"/>
      <c r="M167" s="111"/>
      <c r="N167" s="111"/>
      <c r="O167" s="57"/>
      <c r="P167" s="111"/>
      <c r="Q167" s="111"/>
      <c r="R167" s="111"/>
      <c r="S167" s="111"/>
      <c r="T167" s="57"/>
      <c r="W167" s="37"/>
    </row>
    <row r="168" spans="1:23" s="141" customFormat="1">
      <c r="A168" s="69"/>
      <c r="B168" s="37"/>
      <c r="C168" s="37"/>
      <c r="D168" s="37"/>
      <c r="E168" s="37"/>
      <c r="F168" s="37"/>
      <c r="G168" s="37"/>
      <c r="H168" s="37"/>
      <c r="I168" s="111"/>
      <c r="J168" s="111"/>
      <c r="K168" s="111"/>
      <c r="L168" s="111"/>
      <c r="M168" s="111"/>
      <c r="N168" s="111"/>
      <c r="O168" s="57"/>
      <c r="P168" s="111"/>
      <c r="Q168" s="111"/>
      <c r="R168" s="111"/>
      <c r="S168" s="111"/>
      <c r="T168" s="57"/>
      <c r="W168" s="37"/>
    </row>
    <row r="170" spans="1:23" s="141" customFormat="1">
      <c r="A170" s="37"/>
      <c r="B170" s="37"/>
      <c r="C170" s="37"/>
      <c r="D170" s="37"/>
      <c r="E170" s="37"/>
      <c r="F170" s="37"/>
      <c r="G170" s="37"/>
      <c r="H170" s="37"/>
      <c r="I170" s="108"/>
      <c r="J170" s="108"/>
      <c r="K170" s="108"/>
      <c r="L170" s="108"/>
      <c r="M170" s="108"/>
      <c r="N170" s="108"/>
      <c r="O170" s="37"/>
      <c r="P170" s="106"/>
      <c r="Q170" s="106"/>
      <c r="R170" s="106"/>
      <c r="S170" s="106"/>
      <c r="T170" s="37"/>
      <c r="W170" s="37"/>
    </row>
    <row r="171" spans="1:23" s="141" customFormat="1">
      <c r="A171" s="44"/>
      <c r="B171" s="37"/>
      <c r="C171" s="37"/>
      <c r="D171" s="37"/>
      <c r="E171" s="37"/>
      <c r="F171" s="37"/>
      <c r="G171" s="37"/>
      <c r="H171" s="37"/>
      <c r="I171" s="108"/>
      <c r="J171" s="108"/>
      <c r="K171" s="108"/>
      <c r="L171" s="108"/>
      <c r="M171" s="108"/>
      <c r="N171" s="108"/>
      <c r="O171" s="37"/>
      <c r="P171" s="106"/>
      <c r="Q171" s="106"/>
      <c r="R171" s="106"/>
      <c r="S171" s="106"/>
      <c r="T171" s="37"/>
      <c r="W171" s="37"/>
    </row>
    <row r="172" spans="1:23" s="141" customFormat="1">
      <c r="A172" s="69"/>
      <c r="B172" s="37"/>
      <c r="C172" s="37"/>
      <c r="D172" s="37"/>
      <c r="E172" s="37"/>
      <c r="F172" s="37"/>
      <c r="G172" s="37"/>
      <c r="H172" s="37"/>
      <c r="I172" s="111"/>
      <c r="J172" s="111"/>
      <c r="K172" s="111"/>
      <c r="L172" s="111"/>
      <c r="M172" s="111"/>
      <c r="N172" s="111"/>
      <c r="O172" s="37"/>
      <c r="P172" s="106"/>
      <c r="Q172" s="106"/>
      <c r="R172" s="106"/>
      <c r="S172" s="106"/>
      <c r="T172" s="37"/>
      <c r="W172" s="37"/>
    </row>
    <row r="173" spans="1:23" s="141" customFormat="1">
      <c r="A173" s="69"/>
      <c r="B173" s="37"/>
      <c r="C173" s="37"/>
      <c r="D173" s="37"/>
      <c r="E173" s="37"/>
      <c r="F173" s="37"/>
      <c r="G173" s="37"/>
      <c r="H173" s="37"/>
      <c r="I173" s="111"/>
      <c r="J173" s="111"/>
      <c r="K173" s="111"/>
      <c r="L173" s="111"/>
      <c r="M173" s="111"/>
      <c r="N173" s="111"/>
      <c r="O173" s="37"/>
      <c r="P173" s="106"/>
      <c r="Q173" s="106"/>
      <c r="R173" s="106"/>
      <c r="S173" s="106"/>
      <c r="T173" s="37"/>
      <c r="W173" s="37"/>
    </row>
    <row r="177" spans="1:23" s="141" customFormat="1">
      <c r="A177" s="69"/>
      <c r="B177" s="37"/>
      <c r="C177" s="37"/>
      <c r="D177" s="37"/>
      <c r="E177" s="37"/>
      <c r="F177" s="37"/>
      <c r="G177" s="37"/>
      <c r="H177" s="37"/>
      <c r="I177" s="111"/>
      <c r="J177" s="111"/>
      <c r="K177" s="111"/>
      <c r="L177" s="111"/>
      <c r="M177" s="111"/>
      <c r="N177" s="111"/>
      <c r="O177" s="37"/>
      <c r="P177" s="106"/>
      <c r="Q177" s="106"/>
      <c r="R177" s="106"/>
      <c r="S177" s="106"/>
      <c r="T177" s="37"/>
      <c r="W177" s="37"/>
    </row>
    <row r="178" spans="1:23" s="141" customFormat="1">
      <c r="A178" s="69"/>
      <c r="B178" s="37"/>
      <c r="C178" s="37"/>
      <c r="D178" s="37"/>
      <c r="E178" s="37"/>
      <c r="F178" s="37"/>
      <c r="G178" s="37"/>
      <c r="H178" s="37"/>
      <c r="I178" s="111"/>
      <c r="J178" s="111"/>
      <c r="K178" s="111"/>
      <c r="L178" s="111"/>
      <c r="M178" s="111"/>
      <c r="N178" s="111"/>
      <c r="O178" s="37"/>
      <c r="P178" s="106"/>
      <c r="Q178" s="106"/>
      <c r="R178" s="106"/>
      <c r="S178" s="106"/>
      <c r="T178" s="37"/>
      <c r="W178" s="37"/>
    </row>
  </sheetData>
  <sheetProtection algorithmName="SHA-512" hashValue="/Z8mBfyK228mIcIWUtJBIxBPASwHozCAM0iOeLHswR7Z59cz7N8u+Mjc81JHw8NOnmehilMIhdVLrV8McfQEvw==" saltValue="zn66wWmQWaZw6JSuEhuRzw==" spinCount="100000" sheet="1" objects="1" scenarios="1" selectLockedCell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421C-AA26-47FD-A204-35A113017973}">
  <sheetPr codeName="Sheet4"/>
  <dimension ref="A1:Q36"/>
  <sheetViews>
    <sheetView zoomScale="85" zoomScaleNormal="85" workbookViewId="0">
      <selection activeCell="F32" sqref="F32"/>
    </sheetView>
  </sheetViews>
  <sheetFormatPr defaultColWidth="8.59765625" defaultRowHeight="13.2"/>
  <cols>
    <col min="1" max="16384" width="8.59765625" style="3"/>
  </cols>
  <sheetData>
    <row r="1" spans="1:17" s="1" customFormat="1">
      <c r="A1" s="1" t="s">
        <v>359</v>
      </c>
    </row>
    <row r="2" spans="1:17" s="1" customFormat="1"/>
    <row r="3" spans="1:17" s="1" customFormat="1">
      <c r="A3" s="1" t="s">
        <v>360</v>
      </c>
      <c r="H3" s="1">
        <v>2014</v>
      </c>
      <c r="I3" s="1">
        <v>2015</v>
      </c>
      <c r="J3" s="1">
        <v>2016</v>
      </c>
      <c r="K3" s="1">
        <v>2017</v>
      </c>
      <c r="L3" s="1">
        <v>2018</v>
      </c>
      <c r="M3" s="1">
        <v>2019</v>
      </c>
      <c r="N3" s="1">
        <v>2020</v>
      </c>
      <c r="O3" s="1">
        <v>2021</v>
      </c>
      <c r="Q3" s="1" t="s">
        <v>1</v>
      </c>
    </row>
    <row r="4" spans="1:17">
      <c r="A4" s="2" t="s">
        <v>44</v>
      </c>
    </row>
    <row r="5" spans="1:17">
      <c r="A5" s="2" t="s">
        <v>361</v>
      </c>
    </row>
    <row r="6" spans="1:17">
      <c r="A6" s="2" t="s">
        <v>362</v>
      </c>
    </row>
    <row r="7" spans="1:17">
      <c r="A7" s="2" t="s">
        <v>239</v>
      </c>
    </row>
    <row r="9" spans="1:17">
      <c r="A9" s="3" t="s">
        <v>363</v>
      </c>
      <c r="H9" s="4">
        <f>SUM(H11,H12)</f>
        <v>906</v>
      </c>
      <c r="I9" s="4">
        <f t="shared" ref="I9:O9" si="0">SUM(I11,I12)</f>
        <v>1461</v>
      </c>
      <c r="J9" s="4">
        <f t="shared" si="0"/>
        <v>2300</v>
      </c>
      <c r="K9" s="4">
        <f t="shared" si="0"/>
        <v>3386</v>
      </c>
      <c r="L9" s="4">
        <f t="shared" si="0"/>
        <v>4577</v>
      </c>
      <c r="M9" s="4">
        <f t="shared" si="0"/>
        <v>5696</v>
      </c>
      <c r="N9" s="4">
        <f t="shared" si="0"/>
        <v>7005</v>
      </c>
      <c r="O9" s="4">
        <f t="shared" si="0"/>
        <v>8176</v>
      </c>
      <c r="Q9" s="3" t="s">
        <v>364</v>
      </c>
    </row>
    <row r="10" spans="1:17">
      <c r="A10" s="8" t="s">
        <v>77</v>
      </c>
      <c r="H10" s="4"/>
      <c r="I10" s="7">
        <f>I9/H9-1</f>
        <v>0.61258278145695355</v>
      </c>
      <c r="J10" s="7">
        <f t="shared" ref="J10" si="1">J9/I9-1</f>
        <v>0.57426420260095834</v>
      </c>
      <c r="K10" s="7">
        <f t="shared" ref="K10" si="2">K9/J9-1</f>
        <v>0.47217391304347833</v>
      </c>
      <c r="L10" s="7">
        <f t="shared" ref="L10" si="3">L9/K9-1</f>
        <v>0.35174246898995865</v>
      </c>
      <c r="M10" s="7">
        <f t="shared" ref="M10" si="4">M9/L9-1</f>
        <v>0.24448328599519331</v>
      </c>
      <c r="N10" s="7">
        <f t="shared" ref="N10" si="5">N9/M9-1</f>
        <v>0.229810393258427</v>
      </c>
      <c r="O10" s="7">
        <f t="shared" ref="O10" si="6">O9/N9-1</f>
        <v>0.16716630977872948</v>
      </c>
    </row>
    <row r="11" spans="1:17">
      <c r="A11" s="5" t="s">
        <v>365</v>
      </c>
      <c r="H11" s="10">
        <v>52</v>
      </c>
      <c r="I11" s="10">
        <v>131</v>
      </c>
      <c r="J11" s="10">
        <v>322</v>
      </c>
      <c r="K11" s="10">
        <v>503</v>
      </c>
      <c r="L11" s="10">
        <v>747</v>
      </c>
      <c r="M11" s="10">
        <v>991</v>
      </c>
      <c r="N11" s="10">
        <v>1099</v>
      </c>
      <c r="O11" s="14">
        <v>1485</v>
      </c>
    </row>
    <row r="12" spans="1:17">
      <c r="A12" s="5" t="s">
        <v>366</v>
      </c>
      <c r="H12" s="10">
        <v>854</v>
      </c>
      <c r="I12" s="10">
        <v>1330</v>
      </c>
      <c r="J12" s="10">
        <v>1978</v>
      </c>
      <c r="K12" s="10">
        <v>2883</v>
      </c>
      <c r="L12" s="10">
        <v>3830</v>
      </c>
      <c r="M12" s="10">
        <v>4705</v>
      </c>
      <c r="N12" s="10">
        <v>5906</v>
      </c>
      <c r="O12" s="14">
        <v>6691</v>
      </c>
    </row>
    <row r="13" spans="1:17">
      <c r="A13" s="5" t="s">
        <v>367</v>
      </c>
      <c r="H13" s="4"/>
      <c r="I13" s="4"/>
      <c r="J13" s="10">
        <v>66.291018510000001</v>
      </c>
      <c r="K13" s="10">
        <v>97.511235810000002</v>
      </c>
      <c r="L13" s="10">
        <v>126.70638932999999</v>
      </c>
      <c r="M13" s="10">
        <v>149.2754927</v>
      </c>
      <c r="N13" s="10">
        <v>196.44654840000001</v>
      </c>
      <c r="O13" s="10">
        <v>226.89576339999999</v>
      </c>
      <c r="Q13" s="3" t="s">
        <v>368</v>
      </c>
    </row>
    <row r="14" spans="1:17">
      <c r="A14" s="6" t="s">
        <v>77</v>
      </c>
      <c r="H14" s="4"/>
      <c r="I14" s="4"/>
      <c r="J14" s="4"/>
      <c r="K14" s="7">
        <f>K13/J13-1</f>
        <v>0.47095697127191416</v>
      </c>
      <c r="L14" s="7">
        <f>L13/K13-1</f>
        <v>0.2994029690782154</v>
      </c>
      <c r="M14" s="7">
        <f t="shared" ref="M14" si="7">M13/L13-1</f>
        <v>0.17812127304188263</v>
      </c>
      <c r="N14" s="7">
        <f t="shared" ref="N14" si="8">N13/M13-1</f>
        <v>0.3160000000455534</v>
      </c>
      <c r="O14" s="7">
        <f t="shared" ref="O14" si="9">O13/N13-1</f>
        <v>0.15499999998981906</v>
      </c>
    </row>
    <row r="15" spans="1:17">
      <c r="A15" s="15" t="s">
        <v>369</v>
      </c>
      <c r="H15" s="4"/>
      <c r="I15" s="4"/>
      <c r="J15" s="4"/>
      <c r="K15" s="7">
        <f>K14/J10</f>
        <v>0.82010504770949522</v>
      </c>
      <c r="L15" s="7">
        <f>L14/K10</f>
        <v>0.63409468589308959</v>
      </c>
      <c r="M15" s="7">
        <f t="shared" ref="M15" si="10">M14/L10</f>
        <v>0.50639683502923138</v>
      </c>
      <c r="N15" s="7">
        <f t="shared" ref="N15" si="11">N14/M10</f>
        <v>1.2925218947350297</v>
      </c>
      <c r="O15" s="7">
        <f t="shared" ref="O15" si="12">O14/N10</f>
        <v>0.67446906030711173</v>
      </c>
    </row>
    <row r="16" spans="1:17">
      <c r="A16" s="9" t="s">
        <v>353</v>
      </c>
      <c r="H16" s="4"/>
      <c r="I16" s="4"/>
      <c r="J16" s="4"/>
      <c r="K16" s="4">
        <f>K13-J13</f>
        <v>31.220217300000002</v>
      </c>
      <c r="L16" s="4">
        <f t="shared" ref="L16:O16" si="13">L13-K13</f>
        <v>29.195153519999991</v>
      </c>
      <c r="M16" s="4">
        <f t="shared" si="13"/>
        <v>22.569103370000008</v>
      </c>
      <c r="N16" s="4">
        <f t="shared" si="13"/>
        <v>47.171055700000011</v>
      </c>
      <c r="O16" s="4">
        <f t="shared" si="13"/>
        <v>30.449214999999981</v>
      </c>
    </row>
    <row r="17" spans="1:17">
      <c r="A17" s="9" t="s">
        <v>370</v>
      </c>
      <c r="H17" s="4"/>
      <c r="I17" s="4"/>
      <c r="J17" s="4"/>
      <c r="K17" s="13">
        <f>AVERAGE(J9,K9)/(K13-J13)</f>
        <v>91.062787061382807</v>
      </c>
      <c r="L17" s="13">
        <f>AVERAGE(K9,L9)/(L13-K13)</f>
        <v>136.3753746755431</v>
      </c>
      <c r="M17" s="13">
        <f t="shared" ref="M17:O17" si="14">AVERAGE(L9,M9)/(M13-L13)</f>
        <v>227.58990092746419</v>
      </c>
      <c r="N17" s="13">
        <f t="shared" si="14"/>
        <v>134.62704842537579</v>
      </c>
      <c r="O17" s="13">
        <f t="shared" si="14"/>
        <v>249.2839306366356</v>
      </c>
    </row>
    <row r="18" spans="1:17">
      <c r="A18" s="9" t="s">
        <v>371</v>
      </c>
      <c r="H18" s="4"/>
      <c r="I18" s="4"/>
      <c r="J18" s="4"/>
      <c r="K18" s="13">
        <f>AVERAGE(J12,K12)/(K13-J13)</f>
        <v>77.850194847939122</v>
      </c>
      <c r="L18" s="13">
        <f t="shared" ref="L18:O18" si="15">AVERAGE(K12,L12)/(L13-K13)</f>
        <v>114.96771194234847</v>
      </c>
      <c r="M18" s="13">
        <f t="shared" si="15"/>
        <v>189.0859344316078</v>
      </c>
      <c r="N18" s="13">
        <f t="shared" si="15"/>
        <v>112.47363285108752</v>
      </c>
      <c r="O18" s="13">
        <f t="shared" si="15"/>
        <v>206.85262329422955</v>
      </c>
    </row>
    <row r="20" spans="1:17">
      <c r="A20" s="6"/>
      <c r="H20" s="4"/>
      <c r="I20" s="4"/>
      <c r="J20" s="4"/>
      <c r="K20" s="7"/>
      <c r="L20" s="7"/>
      <c r="M20" s="7"/>
      <c r="N20" s="7"/>
      <c r="O20" s="7"/>
    </row>
    <row r="21" spans="1:17">
      <c r="A21" s="6"/>
      <c r="H21" s="4"/>
      <c r="I21" s="4"/>
      <c r="J21" s="4"/>
      <c r="K21" s="7"/>
      <c r="L21" s="7"/>
      <c r="M21" s="7"/>
      <c r="N21" s="7"/>
      <c r="O21" s="7"/>
      <c r="Q21" s="3" t="s">
        <v>372</v>
      </c>
    </row>
    <row r="22" spans="1:17">
      <c r="A22" s="6"/>
      <c r="H22" s="4"/>
      <c r="I22" s="4"/>
      <c r="J22" s="4"/>
      <c r="K22" s="7"/>
      <c r="L22" s="7"/>
      <c r="M22" s="7"/>
      <c r="N22" s="7"/>
      <c r="O22" s="7"/>
    </row>
    <row r="23" spans="1:17">
      <c r="A23" s="6"/>
      <c r="H23" s="4"/>
      <c r="I23" s="4"/>
      <c r="J23" s="4"/>
      <c r="K23" s="7"/>
      <c r="L23" s="7"/>
      <c r="M23" s="7"/>
      <c r="N23" s="7"/>
      <c r="O23" s="7"/>
    </row>
    <row r="24" spans="1:17">
      <c r="A24" s="6"/>
      <c r="H24" s="4"/>
      <c r="I24" s="4"/>
      <c r="J24" s="4"/>
      <c r="K24" s="7"/>
      <c r="L24" s="7"/>
      <c r="M24" s="7"/>
      <c r="N24" s="7"/>
      <c r="O24" s="7"/>
    </row>
    <row r="25" spans="1:17">
      <c r="A25" s="6"/>
      <c r="H25" s="4"/>
      <c r="I25" s="4"/>
      <c r="J25" s="4"/>
      <c r="K25" s="7"/>
      <c r="L25" s="7"/>
      <c r="M25" s="7"/>
      <c r="N25" s="7"/>
      <c r="O25" s="7"/>
    </row>
    <row r="26" spans="1:17">
      <c r="A26" s="6"/>
      <c r="H26" s="4"/>
      <c r="I26" s="4"/>
      <c r="J26" s="4"/>
      <c r="K26" s="7"/>
      <c r="L26" s="7"/>
      <c r="M26" s="7"/>
      <c r="N26" s="7"/>
      <c r="O26" s="7"/>
    </row>
    <row r="27" spans="1:17">
      <c r="A27" s="6"/>
      <c r="H27" s="4"/>
      <c r="I27" s="4"/>
      <c r="J27" s="4"/>
      <c r="K27" s="7"/>
      <c r="L27" s="7"/>
      <c r="M27" s="7"/>
      <c r="N27" s="7"/>
      <c r="O27" s="7"/>
    </row>
    <row r="28" spans="1:17">
      <c r="A28" s="6"/>
      <c r="H28" s="4"/>
      <c r="I28" s="4"/>
      <c r="J28" s="4"/>
      <c r="K28" s="7"/>
      <c r="L28" s="7"/>
      <c r="M28" s="7"/>
      <c r="N28" s="7"/>
      <c r="O28" s="7"/>
    </row>
    <row r="29" spans="1:17">
      <c r="A29" s="6"/>
      <c r="H29" s="4"/>
      <c r="I29" s="4"/>
      <c r="J29" s="4"/>
      <c r="K29" s="7"/>
      <c r="L29" s="7"/>
      <c r="M29" s="7"/>
      <c r="N29" s="7"/>
      <c r="O29" s="7"/>
    </row>
    <row r="30" spans="1:17">
      <c r="A30" s="6"/>
      <c r="H30" s="4"/>
      <c r="I30" s="4"/>
      <c r="J30" s="4"/>
      <c r="K30" s="7"/>
      <c r="L30" s="7"/>
      <c r="M30" s="7"/>
      <c r="N30" s="7"/>
      <c r="O30" s="7"/>
    </row>
    <row r="31" spans="1:17">
      <c r="A31" s="6"/>
      <c r="H31" s="4"/>
      <c r="I31" s="4"/>
      <c r="J31" s="4"/>
      <c r="K31" s="7"/>
      <c r="L31" s="7"/>
      <c r="M31" s="7"/>
      <c r="N31" s="7"/>
      <c r="O31" s="7"/>
    </row>
    <row r="32" spans="1:17">
      <c r="A32" s="6"/>
      <c r="H32" s="4"/>
      <c r="I32" s="4"/>
      <c r="J32" s="4"/>
      <c r="K32" s="7"/>
      <c r="L32" s="7"/>
      <c r="M32" s="7"/>
      <c r="N32" s="7"/>
      <c r="O32" s="7"/>
    </row>
    <row r="33" spans="1:15">
      <c r="A33" s="6"/>
      <c r="H33" s="4"/>
      <c r="I33" s="4"/>
      <c r="J33" s="4"/>
      <c r="K33" s="7"/>
      <c r="L33" s="7"/>
      <c r="M33" s="7"/>
      <c r="N33" s="7"/>
      <c r="O33" s="7"/>
    </row>
    <row r="34" spans="1:15">
      <c r="A34" s="6"/>
      <c r="H34" s="4"/>
      <c r="I34" s="4"/>
      <c r="J34" s="4"/>
      <c r="K34" s="7"/>
      <c r="L34" s="7"/>
      <c r="M34" s="7"/>
      <c r="N34" s="7"/>
      <c r="O34" s="7"/>
    </row>
    <row r="35" spans="1:15">
      <c r="A35" s="6"/>
      <c r="H35" s="4"/>
      <c r="I35" s="4"/>
      <c r="J35" s="4"/>
      <c r="K35" s="7"/>
      <c r="L35" s="7"/>
      <c r="M35" s="7"/>
      <c r="N35" s="7"/>
      <c r="O35" s="7"/>
    </row>
    <row r="36" spans="1:15">
      <c r="A36" s="6"/>
      <c r="H36" s="4"/>
      <c r="I36" s="4"/>
      <c r="J36" s="4"/>
      <c r="K36" s="7"/>
      <c r="L36" s="7"/>
      <c r="M36" s="7"/>
      <c r="N36" s="7"/>
      <c r="O36"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ARK Disclosure</vt:lpstr>
      <vt:lpstr>Table of Contents</vt:lpstr>
      <vt:lpstr>Roku Valuation</vt:lpstr>
      <vt:lpstr>Financials + KPIs</vt:lpstr>
      <vt:lpstr>TAM</vt:lpstr>
      <vt:lpstr>Content Spend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ARK Invest Roku Valuation Model (v. Open Source) </dc:title>
  <dc:subject/>
  <dc:creator>Nicholas Grous;AKim@ark-invest.com</dc:creator>
  <cp:keywords/>
  <dc:description/>
  <cp:lastModifiedBy>Andrew Kim</cp:lastModifiedBy>
  <cp:revision/>
  <dcterms:created xsi:type="dcterms:W3CDTF">2021-08-09T14:56:54Z</dcterms:created>
  <dcterms:modified xsi:type="dcterms:W3CDTF">2022-07-07T21:47:36Z</dcterms:modified>
  <cp:category/>
  <cp:contentStatus/>
</cp:coreProperties>
</file>